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1.bin" ContentType="application/vnd.openxmlformats-officedocument.spreadsheetml.customProperty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tsonetworkde.sharepoint.com/sites/ag_lksn_sghoba_agumlagen/Freigegebene Dokumente/30_KWKG/Prognose und Abrechnung/2025 Abrechnung/Veröffentlichung/VÖ-Dateien 15.09.2026/"/>
    </mc:Choice>
  </mc:AlternateContent>
  <xr:revisionPtr revIDLastSave="8121" documentId="13_ncr:1_{559B926D-E2BA-413F-A7E8-D28429D7CE2E}" xr6:coauthVersionLast="47" xr6:coauthVersionMax="47" xr10:uidLastSave="{288A7287-A9DB-415A-93ED-6E5035FF1BF2}"/>
  <workbookProtection workbookAlgorithmName="SHA-512" workbookHashValue="g37Ebn39gvzaQiWD/xXIqwkFSIF3FgrBDKzlc4KVQkT3aavUIQTVwaPoo8Rjn7OFkoP4Sx4D/zW4QeOAYopFwQ==" workbookSaltValue="zJEtignzrvx+N5fLNxwBhg==" workbookSpinCount="100000" lockStructure="1"/>
  <bookViews>
    <workbookView xWindow="28680" yWindow="-120" windowWidth="29040" windowHeight="15720" tabRatio="791" firstSheet="2" activeTab="2" xr2:uid="{BACA70DA-DCB6-4F97-88DF-892684683889}"/>
  </bookViews>
  <sheets>
    <sheet name="Hinweise" sheetId="57" state="hidden" r:id="rId1"/>
    <sheet name="Input_Zuschlagszahlungen_KAT" sheetId="61" state="hidden" r:id="rId2"/>
    <sheet name="Anlage 1a_Zuschlagszahlungen_NB" sheetId="46" r:id="rId3"/>
    <sheet name="Anlage 1b_Abzüge, Pflicht, Boni" sheetId="36" r:id="rId4"/>
    <sheet name="Anlage 1c_Korrekturen_NB" sheetId="47" r:id="rId5"/>
    <sheet name="Anlage 1d_Pönalen" sheetId="50" r:id="rId6"/>
    <sheet name="Anlage 1e_WKNS" sheetId="54" r:id="rId7"/>
    <sheet name="Anlage 1f_ZuschlagszahlungenKAT" sheetId="52" r:id="rId8"/>
    <sheet name="Anlage 1g_Korrekturen_KG" sheetId="58" r:id="rId9"/>
    <sheet name="Anlage 2a_Letztverbrauch" sheetId="19" r:id="rId10"/>
    <sheet name="Anlage 2b_Korrekturen" sheetId="35" r:id="rId11"/>
    <sheet name="Anlage 2c_Korrekturen_JA" sheetId="59" r:id="rId12"/>
    <sheet name="Anlage 3a_Zusammenfassung_KWKG" sheetId="21" r:id="rId13"/>
    <sheet name="Anlage 3b_Zusammenfassung ONU" sheetId="55" r:id="rId14"/>
    <sheet name="LV Testat" sheetId="60" state="hidden" r:id="rId15"/>
    <sheet name="LV-Schlüssel" sheetId="56" state="hidden" r:id="rId16"/>
  </sheet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FALSE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'Anlage 1a_Zuschlagszahlungen_NB'!$A$1:$F$1687</definedName>
    <definedName name="_xlnm._FilterDatabase" localSheetId="4" hidden="1">'Anlage 1c_Korrekturen_NB'!$A$475:$L$599</definedName>
    <definedName name="_xlnm._FilterDatabase" localSheetId="8" hidden="1">'Anlage 1g_Korrekturen_KG'!$B$68:$L$68</definedName>
    <definedName name="_xlnm._FilterDatabase" localSheetId="10" hidden="1">'Anlage 2b_Korrekturen'!$A$6:$O$6</definedName>
    <definedName name="_xlnm._FilterDatabase" localSheetId="11" hidden="1">'Anlage 2c_Korrekturen_JA'!#REF!</definedName>
    <definedName name="_xlnm._FilterDatabase" localSheetId="12" hidden="1">'Anlage 3a_Zusammenfassung_KWKG'!$A$1742:$G$1915</definedName>
    <definedName name="_xlnm._FilterDatabase" localSheetId="13" hidden="1">'Anlage 3b_Zusammenfassung ONU'!$A$6:$H$924</definedName>
    <definedName name="Auswahlliste">#REF!</definedName>
    <definedName name="_xlnm.Print_Area" localSheetId="2">'Anlage 1a_Zuschlagszahlungen_NB'!$A$1:$E$1680</definedName>
    <definedName name="_xlnm.Print_Area" localSheetId="10">'Anlage 2b_Korrekturen'!$A$1:$F$1532</definedName>
    <definedName name="_xlnm.Print_Area" localSheetId="11">'Anlage 2c_Korrekturen_JA'!$A$1:$K$26</definedName>
    <definedName name="Print_Area" localSheetId="9">'Anlage 2a_Letztverbrauch'!$A$1:$H$1845</definedName>
    <definedName name="RiskAfterRecalcMacro" hidden="1">"NachIteration"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0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2000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24" i="19" l="1"/>
  <c r="C2924" i="19"/>
  <c r="B2926" i="19"/>
  <c r="C2926" i="19"/>
  <c r="E928" i="46"/>
  <c r="O397" i="47" l="1"/>
  <c r="O398" i="47"/>
  <c r="O399" i="47"/>
  <c r="O400" i="47"/>
  <c r="O401" i="47"/>
  <c r="O402" i="47"/>
  <c r="O403" i="47"/>
  <c r="O404" i="47"/>
  <c r="O405" i="47"/>
  <c r="O406" i="47"/>
  <c r="O407" i="47"/>
  <c r="O408" i="47"/>
  <c r="O409" i="47"/>
  <c r="O410" i="47"/>
  <c r="O411" i="47"/>
  <c r="O412" i="47"/>
  <c r="O413" i="47"/>
  <c r="O414" i="47"/>
  <c r="D1161" i="35"/>
  <c r="C3379" i="21"/>
  <c r="C3252" i="21"/>
  <c r="C3443" i="21"/>
  <c r="D3443" i="21" s="1"/>
  <c r="C3442" i="21"/>
  <c r="D3442" i="21" s="1"/>
  <c r="I783" i="19"/>
  <c r="B1706" i="55" s="1"/>
  <c r="I782" i="19"/>
  <c r="B1705" i="55" s="1"/>
  <c r="F1497" i="35"/>
  <c r="E1497" i="35"/>
  <c r="F1406" i="35"/>
  <c r="E1406" i="35"/>
  <c r="F783" i="55"/>
  <c r="G783" i="55" s="1"/>
  <c r="F784" i="55"/>
  <c r="G784" i="55" s="1"/>
  <c r="F2519" i="21"/>
  <c r="G2519" i="21" s="1"/>
  <c r="F2520" i="21"/>
  <c r="G2520" i="21" s="1"/>
  <c r="F2153" i="21"/>
  <c r="F2154" i="21"/>
  <c r="F2155" i="21"/>
  <c r="F2156" i="21"/>
  <c r="F2157" i="21"/>
  <c r="F2158" i="21"/>
  <c r="F2159" i="21"/>
  <c r="F2160" i="21"/>
  <c r="F2161" i="21"/>
  <c r="F2162" i="21"/>
  <c r="F2163" i="21"/>
  <c r="F2164" i="21"/>
  <c r="F2165" i="21"/>
  <c r="F2166" i="21"/>
  <c r="F2167" i="21"/>
  <c r="F2168" i="21"/>
  <c r="F2169" i="21"/>
  <c r="F2170" i="21"/>
  <c r="F2171" i="21"/>
  <c r="F2172" i="21"/>
  <c r="F2173" i="21"/>
  <c r="F2174" i="21"/>
  <c r="F2175" i="21"/>
  <c r="F2176" i="21"/>
  <c r="F2177" i="21"/>
  <c r="F2178" i="21"/>
  <c r="F2179" i="21"/>
  <c r="F2180" i="21"/>
  <c r="F2181" i="21"/>
  <c r="F2182" i="21"/>
  <c r="F2183" i="21"/>
  <c r="F2184" i="21"/>
  <c r="F2185" i="21"/>
  <c r="F2186" i="21"/>
  <c r="F2187" i="21"/>
  <c r="F2188" i="21"/>
  <c r="F2189" i="21"/>
  <c r="F2190" i="21"/>
  <c r="F2191" i="21"/>
  <c r="F2192" i="21"/>
  <c r="F2193" i="21"/>
  <c r="F2194" i="21"/>
  <c r="F2195" i="21"/>
  <c r="F2196" i="21"/>
  <c r="F2197" i="21"/>
  <c r="F2198" i="21"/>
  <c r="F2199" i="21"/>
  <c r="F2200" i="21"/>
  <c r="F2201" i="21"/>
  <c r="F2202" i="21"/>
  <c r="F2203" i="21"/>
  <c r="F2204" i="21"/>
  <c r="F2205" i="21"/>
  <c r="F2206" i="21"/>
  <c r="F2207" i="21"/>
  <c r="F2208" i="21"/>
  <c r="F2209" i="21"/>
  <c r="F2210" i="21"/>
  <c r="F2211" i="21"/>
  <c r="F2212" i="21"/>
  <c r="F2213" i="21"/>
  <c r="F2214" i="21"/>
  <c r="F2215" i="21"/>
  <c r="F2216" i="21"/>
  <c r="F2217" i="21"/>
  <c r="F2218" i="21"/>
  <c r="F2219" i="21"/>
  <c r="F2220" i="21"/>
  <c r="F2221" i="21"/>
  <c r="F2222" i="21"/>
  <c r="F2223" i="21"/>
  <c r="F2224" i="21"/>
  <c r="F2225" i="21"/>
  <c r="F2226" i="21"/>
  <c r="F2227" i="21"/>
  <c r="F2228" i="21"/>
  <c r="F2229" i="21"/>
  <c r="F2230" i="21"/>
  <c r="F2231" i="21"/>
  <c r="F2232" i="21"/>
  <c r="F2233" i="21"/>
  <c r="F2234" i="21"/>
  <c r="F2235" i="21"/>
  <c r="F2236" i="21"/>
  <c r="F2237" i="21"/>
  <c r="F2238" i="21"/>
  <c r="F2239" i="21"/>
  <c r="F2240" i="21"/>
  <c r="F2241" i="21"/>
  <c r="F2242" i="21"/>
  <c r="F2243" i="21"/>
  <c r="F2244" i="21"/>
  <c r="F2245" i="21"/>
  <c r="F2246" i="21"/>
  <c r="F2247" i="21"/>
  <c r="F2248" i="21"/>
  <c r="F2249" i="21"/>
  <c r="F2250" i="21"/>
  <c r="F2251" i="21"/>
  <c r="F2252" i="21"/>
  <c r="F2253" i="21"/>
  <c r="F2254" i="21"/>
  <c r="F2255" i="21"/>
  <c r="F2256" i="21"/>
  <c r="F2257" i="21"/>
  <c r="F2258" i="21"/>
  <c r="F2259" i="21"/>
  <c r="F2260" i="21"/>
  <c r="F2261" i="21"/>
  <c r="F2262" i="21"/>
  <c r="F2263" i="21"/>
  <c r="F2264" i="21"/>
  <c r="F2265" i="21"/>
  <c r="F2266" i="21"/>
  <c r="F2267" i="21"/>
  <c r="F2268" i="21"/>
  <c r="F2269" i="21"/>
  <c r="F2270" i="21"/>
  <c r="F2271" i="21"/>
  <c r="F2272" i="21"/>
  <c r="F2273" i="21"/>
  <c r="F2274" i="21"/>
  <c r="F2275" i="21"/>
  <c r="F2276" i="21"/>
  <c r="F2277" i="21"/>
  <c r="F2278" i="21"/>
  <c r="F2279" i="21"/>
  <c r="F2280" i="21"/>
  <c r="F2281" i="21"/>
  <c r="F2282" i="21"/>
  <c r="F2283" i="21"/>
  <c r="F2284" i="21"/>
  <c r="F2285" i="21"/>
  <c r="F2286" i="21"/>
  <c r="F2287" i="21"/>
  <c r="F2288" i="21"/>
  <c r="F2289" i="21"/>
  <c r="F2290" i="21"/>
  <c r="F2291" i="21"/>
  <c r="F2292" i="21"/>
  <c r="F2293" i="21"/>
  <c r="F2294" i="21"/>
  <c r="F2295" i="21"/>
  <c r="F2296" i="21"/>
  <c r="F2297" i="21"/>
  <c r="F2298" i="21"/>
  <c r="F2299" i="21"/>
  <c r="F2300" i="21"/>
  <c r="F2301" i="21"/>
  <c r="F2302" i="21"/>
  <c r="F2303" i="21"/>
  <c r="F2304" i="21"/>
  <c r="F2305" i="21"/>
  <c r="F2306" i="21"/>
  <c r="F2307" i="21"/>
  <c r="F2308" i="21"/>
  <c r="F2309" i="21"/>
  <c r="F2310" i="21"/>
  <c r="F2311" i="21"/>
  <c r="F2312" i="21"/>
  <c r="F2313" i="21"/>
  <c r="F2314" i="21"/>
  <c r="F2315" i="21"/>
  <c r="F2316" i="21"/>
  <c r="F2317" i="21"/>
  <c r="F2318" i="21"/>
  <c r="F2319" i="21"/>
  <c r="F2320" i="21"/>
  <c r="F2321" i="21"/>
  <c r="F2322" i="21"/>
  <c r="F2323" i="21"/>
  <c r="F2324" i="21"/>
  <c r="F2325" i="21"/>
  <c r="F2326" i="21"/>
  <c r="F2327" i="21"/>
  <c r="F2328" i="21"/>
  <c r="F2329" i="21"/>
  <c r="F2330" i="21"/>
  <c r="F2331" i="21"/>
  <c r="F2332" i="21"/>
  <c r="F2333" i="21"/>
  <c r="F2334" i="21"/>
  <c r="F2335" i="21"/>
  <c r="F2336" i="21"/>
  <c r="F2337" i="21"/>
  <c r="F2338" i="21"/>
  <c r="F2339" i="21"/>
  <c r="F2340" i="21"/>
  <c r="F2341" i="21"/>
  <c r="F2342" i="21"/>
  <c r="F2343" i="21"/>
  <c r="F2344" i="21"/>
  <c r="F2345" i="21"/>
  <c r="F2346" i="21"/>
  <c r="F2347" i="21"/>
  <c r="F2348" i="21"/>
  <c r="F2349" i="21"/>
  <c r="F2350" i="21"/>
  <c r="F2351" i="21"/>
  <c r="F2352" i="21"/>
  <c r="F2353" i="21"/>
  <c r="F2354" i="21"/>
  <c r="F2355" i="21"/>
  <c r="F2356" i="21"/>
  <c r="F2357" i="21"/>
  <c r="F2358" i="21"/>
  <c r="F2359" i="21"/>
  <c r="F2360" i="21"/>
  <c r="F2361" i="21"/>
  <c r="F2362" i="21"/>
  <c r="F2363" i="21"/>
  <c r="F2364" i="21"/>
  <c r="F2365" i="21"/>
  <c r="F2366" i="21"/>
  <c r="F2367" i="21"/>
  <c r="F2368" i="21"/>
  <c r="F2369" i="21"/>
  <c r="F2370" i="21"/>
  <c r="F2371" i="21"/>
  <c r="F2372" i="21"/>
  <c r="F2373" i="21"/>
  <c r="F2374" i="21"/>
  <c r="F2375" i="21"/>
  <c r="F2376" i="21"/>
  <c r="F2377" i="21"/>
  <c r="F2378" i="21"/>
  <c r="F2379" i="21"/>
  <c r="F2380" i="21"/>
  <c r="F2381" i="21"/>
  <c r="F2382" i="21"/>
  <c r="F2383" i="21"/>
  <c r="F2384" i="21"/>
  <c r="F2385" i="21"/>
  <c r="F2386" i="21"/>
  <c r="F2387" i="21"/>
  <c r="F2388" i="21"/>
  <c r="F2389" i="21"/>
  <c r="F2390" i="21"/>
  <c r="F2391" i="21"/>
  <c r="F2392" i="21"/>
  <c r="F2393" i="21"/>
  <c r="F2394" i="21"/>
  <c r="F2395" i="21"/>
  <c r="F2396" i="21"/>
  <c r="F2397" i="21"/>
  <c r="F2398" i="21"/>
  <c r="F2399" i="21"/>
  <c r="F2400" i="21"/>
  <c r="F2401" i="21"/>
  <c r="F2402" i="21"/>
  <c r="F2403" i="21"/>
  <c r="F2404" i="21"/>
  <c r="F2405" i="21"/>
  <c r="F2406" i="21"/>
  <c r="F2407" i="21"/>
  <c r="F2408" i="21"/>
  <c r="F2409" i="21"/>
  <c r="F2410" i="21"/>
  <c r="F2411" i="21"/>
  <c r="F2412" i="21"/>
  <c r="F2413" i="21"/>
  <c r="F2414" i="21"/>
  <c r="F2415" i="21"/>
  <c r="F2416" i="21"/>
  <c r="F2417" i="21"/>
  <c r="F2418" i="21"/>
  <c r="F2419" i="21"/>
  <c r="F2420" i="21"/>
  <c r="F2421" i="21"/>
  <c r="F2422" i="21"/>
  <c r="F2423" i="21"/>
  <c r="F2424" i="21"/>
  <c r="F2425" i="21"/>
  <c r="F2426" i="21"/>
  <c r="F2427" i="21"/>
  <c r="F2428" i="21"/>
  <c r="F2429" i="21"/>
  <c r="F2430" i="21"/>
  <c r="F2431" i="21"/>
  <c r="F2432" i="21"/>
  <c r="F2433" i="21"/>
  <c r="F2434" i="21"/>
  <c r="F2435" i="21"/>
  <c r="F2436" i="21"/>
  <c r="F2437" i="21"/>
  <c r="F2438" i="21"/>
  <c r="F2439" i="21"/>
  <c r="F2440" i="21"/>
  <c r="F2441" i="21"/>
  <c r="F2442" i="21"/>
  <c r="F2443" i="21"/>
  <c r="F2444" i="21"/>
  <c r="F2445" i="21"/>
  <c r="F2446" i="21"/>
  <c r="F2447" i="21"/>
  <c r="F2448" i="21"/>
  <c r="F2449" i="21"/>
  <c r="F2450" i="21"/>
  <c r="F2451" i="21"/>
  <c r="F2452" i="21"/>
  <c r="F2453" i="21"/>
  <c r="F2454" i="21"/>
  <c r="F2455" i="21"/>
  <c r="F2456" i="21"/>
  <c r="F2457" i="21"/>
  <c r="F2458" i="21"/>
  <c r="F2459" i="21"/>
  <c r="F2460" i="21"/>
  <c r="F2461" i="21"/>
  <c r="F2462" i="21"/>
  <c r="F2463" i="21"/>
  <c r="F2464" i="21"/>
  <c r="F2465" i="21"/>
  <c r="F2466" i="21"/>
  <c r="F2467" i="21"/>
  <c r="F2468" i="21"/>
  <c r="F2469" i="21"/>
  <c r="F2470" i="21"/>
  <c r="F2471" i="21"/>
  <c r="F2472" i="21"/>
  <c r="F2473" i="21"/>
  <c r="F2474" i="21"/>
  <c r="F2475" i="21"/>
  <c r="F2476" i="21"/>
  <c r="F2477" i="21"/>
  <c r="F2478" i="21"/>
  <c r="F2479" i="21"/>
  <c r="F2480" i="21"/>
  <c r="F2481" i="21"/>
  <c r="F2482" i="21"/>
  <c r="F2483" i="21"/>
  <c r="F2484" i="21"/>
  <c r="F2485" i="21"/>
  <c r="F2486" i="21"/>
  <c r="F2487" i="21"/>
  <c r="F2488" i="21"/>
  <c r="F2489" i="21"/>
  <c r="F2490" i="21"/>
  <c r="F2491" i="21"/>
  <c r="F2492" i="21"/>
  <c r="F2493" i="21"/>
  <c r="F2494" i="21"/>
  <c r="F2495" i="21"/>
  <c r="F2496" i="21"/>
  <c r="F2497" i="21"/>
  <c r="F2498" i="21"/>
  <c r="F2499" i="21"/>
  <c r="F2500" i="21"/>
  <c r="F2501" i="21"/>
  <c r="F2502" i="21"/>
  <c r="F2503" i="21"/>
  <c r="F2504" i="21"/>
  <c r="F2505" i="21"/>
  <c r="F2506" i="21"/>
  <c r="F2507" i="21"/>
  <c r="F2508" i="21"/>
  <c r="F2509" i="21"/>
  <c r="F2510" i="21"/>
  <c r="F2511" i="21"/>
  <c r="F2512" i="21"/>
  <c r="F2513" i="21"/>
  <c r="F2514" i="21"/>
  <c r="F2515" i="21"/>
  <c r="F2516" i="21"/>
  <c r="F2517" i="21"/>
  <c r="F2518" i="21"/>
  <c r="F2152" i="21"/>
  <c r="F227" i="35"/>
  <c r="F1912" i="21"/>
  <c r="F1913" i="21"/>
  <c r="F1766" i="21"/>
  <c r="F1767" i="21"/>
  <c r="F1765" i="21"/>
  <c r="F1745" i="21"/>
  <c r="E227" i="35"/>
  <c r="E694" i="35"/>
  <c r="F2151" i="21" l="1"/>
  <c r="C1706" i="55"/>
  <c r="D1706" i="55" s="1"/>
  <c r="C1705" i="55"/>
  <c r="D1705" i="55" s="1"/>
  <c r="B1269" i="21"/>
  <c r="P161" i="61" l="1"/>
  <c r="H725" i="21" l="1"/>
  <c r="H726" i="21"/>
  <c r="H727" i="21"/>
  <c r="H728" i="21"/>
  <c r="H729" i="21"/>
  <c r="H730" i="21"/>
  <c r="H731" i="21"/>
  <c r="G725" i="21"/>
  <c r="G726" i="21"/>
  <c r="G727" i="21"/>
  <c r="G728" i="21"/>
  <c r="G729" i="21"/>
  <c r="G730" i="21"/>
  <c r="G731" i="21"/>
  <c r="D1270" i="21"/>
  <c r="C403" i="21" l="1"/>
  <c r="H403" i="21"/>
  <c r="E403" i="21"/>
  <c r="D403" i="21"/>
  <c r="G2796" i="19"/>
  <c r="F2796" i="19"/>
  <c r="E2796" i="19"/>
  <c r="D227" i="35"/>
  <c r="D1384" i="35" l="1"/>
  <c r="J89" i="58"/>
  <c r="B2887" i="19"/>
  <c r="B2876" i="19"/>
  <c r="F694" i="35"/>
  <c r="B10" i="56" l="1"/>
  <c r="H741" i="21"/>
  <c r="D11" i="54"/>
  <c r="N153" i="61" l="1"/>
  <c r="C1854" i="55" l="1"/>
  <c r="D180" i="55"/>
  <c r="C1098" i="55"/>
  <c r="D8" i="55"/>
  <c r="A178" i="55"/>
  <c r="F178" i="55" s="1"/>
  <c r="A179" i="55"/>
  <c r="F179" i="55" s="1"/>
  <c r="A164" i="55"/>
  <c r="F164" i="55" s="1"/>
  <c r="A165" i="55"/>
  <c r="F165" i="55" s="1"/>
  <c r="A166" i="55"/>
  <c r="F166" i="55" s="1"/>
  <c r="A167" i="55"/>
  <c r="A168" i="55"/>
  <c r="A169" i="55"/>
  <c r="F169" i="55" s="1"/>
  <c r="A170" i="55"/>
  <c r="A171" i="55"/>
  <c r="F171" i="55" s="1"/>
  <c r="A172" i="55"/>
  <c r="F172" i="55" s="1"/>
  <c r="A173" i="55"/>
  <c r="F173" i="55" s="1"/>
  <c r="A174" i="55"/>
  <c r="A175" i="55"/>
  <c r="F175" i="55" s="1"/>
  <c r="A176" i="55"/>
  <c r="F176" i="55" s="1"/>
  <c r="A177" i="55"/>
  <c r="F177" i="55" s="1"/>
  <c r="C2852" i="19"/>
  <c r="C3590" i="21" s="1"/>
  <c r="A2669" i="21"/>
  <c r="C2669" i="21" s="1"/>
  <c r="C932" i="55" s="1"/>
  <c r="A2670" i="21"/>
  <c r="C2670" i="21" s="1"/>
  <c r="C933" i="55" s="1"/>
  <c r="A2671" i="21"/>
  <c r="A934" i="55" s="1"/>
  <c r="A2672" i="21"/>
  <c r="C2672" i="21" s="1"/>
  <c r="A2673" i="21"/>
  <c r="A936" i="55" s="1"/>
  <c r="A2674" i="21"/>
  <c r="A937" i="55" s="1"/>
  <c r="A2675" i="21"/>
  <c r="A938" i="55" s="1"/>
  <c r="A2676" i="21"/>
  <c r="A2677" i="21"/>
  <c r="A2678" i="21"/>
  <c r="C2678" i="21" s="1"/>
  <c r="C941" i="55" s="1"/>
  <c r="A2679" i="21"/>
  <c r="C2679" i="21" s="1"/>
  <c r="C942" i="55" s="1"/>
  <c r="A2680" i="21"/>
  <c r="A943" i="55" s="1"/>
  <c r="A2681" i="21"/>
  <c r="C2681" i="21" s="1"/>
  <c r="C944" i="55" s="1"/>
  <c r="A2682" i="21"/>
  <c r="A945" i="55" s="1"/>
  <c r="A2683" i="21"/>
  <c r="A946" i="55" s="1"/>
  <c r="A2684" i="21"/>
  <c r="A947" i="55" s="1"/>
  <c r="A2685" i="21"/>
  <c r="A948" i="55" s="1"/>
  <c r="A2686" i="21"/>
  <c r="A949" i="55" s="1"/>
  <c r="A2687" i="21"/>
  <c r="C2687" i="21" s="1"/>
  <c r="C950" i="55" s="1"/>
  <c r="A2688" i="21"/>
  <c r="A951" i="55" s="1"/>
  <c r="A2689" i="21"/>
  <c r="C2689" i="21" s="1"/>
  <c r="A2690" i="21"/>
  <c r="A2691" i="21"/>
  <c r="A2692" i="21"/>
  <c r="A2693" i="21"/>
  <c r="A956" i="55" s="1"/>
  <c r="A2694" i="21"/>
  <c r="A957" i="55" s="1"/>
  <c r="A2695" i="21"/>
  <c r="C2695" i="21" s="1"/>
  <c r="C958" i="55" s="1"/>
  <c r="A2696" i="21"/>
  <c r="C2696" i="21" s="1"/>
  <c r="C959" i="55" s="1"/>
  <c r="A2697" i="21"/>
  <c r="A960" i="55" s="1"/>
  <c r="A2698" i="21"/>
  <c r="A961" i="55" s="1"/>
  <c r="A2699" i="21"/>
  <c r="A962" i="55" s="1"/>
  <c r="A2700" i="21"/>
  <c r="C2700" i="21" s="1"/>
  <c r="A2701" i="21"/>
  <c r="A964" i="55" s="1"/>
  <c r="A2702" i="21"/>
  <c r="C2702" i="21" s="1"/>
  <c r="C965" i="55" s="1"/>
  <c r="A2703" i="21"/>
  <c r="A966" i="55" s="1"/>
  <c r="A2704" i="21"/>
  <c r="A2705" i="21"/>
  <c r="A2706" i="21"/>
  <c r="A2707" i="21"/>
  <c r="A2708" i="21"/>
  <c r="C2708" i="21" s="1"/>
  <c r="C971" i="55" s="1"/>
  <c r="A2709" i="21"/>
  <c r="C2709" i="21" s="1"/>
  <c r="C972" i="55" s="1"/>
  <c r="A2710" i="21"/>
  <c r="A973" i="55" s="1"/>
  <c r="A2711" i="21"/>
  <c r="C2711" i="21" s="1"/>
  <c r="C974" i="55" s="1"/>
  <c r="A2712" i="21"/>
  <c r="A975" i="55" s="1"/>
  <c r="A2713" i="21"/>
  <c r="A976" i="55" s="1"/>
  <c r="A2714" i="21"/>
  <c r="C2714" i="21" s="1"/>
  <c r="C977" i="55" s="1"/>
  <c r="A2715" i="21"/>
  <c r="A978" i="55" s="1"/>
  <c r="A2716" i="21"/>
  <c r="C2716" i="21" s="1"/>
  <c r="C979" i="55" s="1"/>
  <c r="A2717" i="21"/>
  <c r="A980" i="55" s="1"/>
  <c r="A2718" i="21"/>
  <c r="C2718" i="21" s="1"/>
  <c r="A2719" i="21"/>
  <c r="A982" i="55" s="1"/>
  <c r="A2720" i="21"/>
  <c r="A2721" i="21"/>
  <c r="C2721" i="21" s="1"/>
  <c r="C984" i="55" s="1"/>
  <c r="A2722" i="21"/>
  <c r="A985" i="55" s="1"/>
  <c r="A2723" i="21"/>
  <c r="C2723" i="21" s="1"/>
  <c r="A2724" i="21"/>
  <c r="A987" i="55" s="1"/>
  <c r="A2725" i="21"/>
  <c r="C2725" i="21" s="1"/>
  <c r="C988" i="55" s="1"/>
  <c r="A2726" i="21"/>
  <c r="A989" i="55" s="1"/>
  <c r="A2727" i="21"/>
  <c r="C2727" i="21" s="1"/>
  <c r="C990" i="55" s="1"/>
  <c r="A2728" i="21"/>
  <c r="A991" i="55" s="1"/>
  <c r="A2729" i="21"/>
  <c r="A992" i="55" s="1"/>
  <c r="A2730" i="21"/>
  <c r="C2730" i="21" s="1"/>
  <c r="C993" i="55" s="1"/>
  <c r="A2731" i="21"/>
  <c r="A994" i="55" s="1"/>
  <c r="A2732" i="21"/>
  <c r="A2733" i="21"/>
  <c r="A2734" i="21"/>
  <c r="C2734" i="21" s="1"/>
  <c r="C997" i="55" s="1"/>
  <c r="A2735" i="21"/>
  <c r="A998" i="55" s="1"/>
  <c r="A2736" i="21"/>
  <c r="A999" i="55" s="1"/>
  <c r="A2737" i="21"/>
  <c r="A1000" i="55" s="1"/>
  <c r="A2738" i="21"/>
  <c r="C2738" i="21" s="1"/>
  <c r="A2739" i="21"/>
  <c r="A1002" i="55" s="1"/>
  <c r="A2740" i="21"/>
  <c r="C2740" i="21" s="1"/>
  <c r="C1003" i="55" s="1"/>
  <c r="A2741" i="21"/>
  <c r="A1004" i="55" s="1"/>
  <c r="A2742" i="21"/>
  <c r="C2742" i="21" s="1"/>
  <c r="C1005" i="55" s="1"/>
  <c r="A2743" i="21"/>
  <c r="A1006" i="55" s="1"/>
  <c r="A2744" i="21"/>
  <c r="A1007" i="55" s="1"/>
  <c r="A2745" i="21"/>
  <c r="C2745" i="21" s="1"/>
  <c r="C1008" i="55" s="1"/>
  <c r="A2746" i="21"/>
  <c r="A2747" i="21"/>
  <c r="A2748" i="21"/>
  <c r="A2749" i="21"/>
  <c r="A2750" i="21"/>
  <c r="C2750" i="21" s="1"/>
  <c r="C1013" i="55" s="1"/>
  <c r="A2751" i="21"/>
  <c r="A1014" i="55" s="1"/>
  <c r="A2752" i="21"/>
  <c r="C2752" i="21" s="1"/>
  <c r="C1015" i="55" s="1"/>
  <c r="A2753" i="21"/>
  <c r="A1016" i="55" s="1"/>
  <c r="A2754" i="21"/>
  <c r="A1017" i="55" s="1"/>
  <c r="A2755" i="21"/>
  <c r="C2755" i="21" s="1"/>
  <c r="A2756" i="21"/>
  <c r="A1019" i="55" s="1"/>
  <c r="A2757" i="21"/>
  <c r="A1020" i="55" s="1"/>
  <c r="A2758" i="21"/>
  <c r="C2758" i="21" s="1"/>
  <c r="C1021" i="55" s="1"/>
  <c r="A2759" i="21"/>
  <c r="A1022" i="55" s="1"/>
  <c r="A2760" i="21"/>
  <c r="A2761" i="21"/>
  <c r="A2762" i="21"/>
  <c r="A2763" i="21"/>
  <c r="C2763" i="21" s="1"/>
  <c r="C1026" i="55" s="1"/>
  <c r="A2764" i="21"/>
  <c r="A1027" i="55" s="1"/>
  <c r="A2765" i="21"/>
  <c r="A1028" i="55" s="1"/>
  <c r="A2766" i="21"/>
  <c r="A1029" i="55" s="1"/>
  <c r="A2767" i="21"/>
  <c r="A1030" i="55" s="1"/>
  <c r="A2768" i="21"/>
  <c r="C2768" i="21" s="1"/>
  <c r="C1031" i="55" s="1"/>
  <c r="A2769" i="21"/>
  <c r="A1032" i="55" s="1"/>
  <c r="A2770" i="21"/>
  <c r="A1033" i="55" s="1"/>
  <c r="A2771" i="21"/>
  <c r="C2771" i="21" s="1"/>
  <c r="C1034" i="55" s="1"/>
  <c r="A2772" i="21"/>
  <c r="A1035" i="55" s="1"/>
  <c r="A2773" i="21"/>
  <c r="A1036" i="55" s="1"/>
  <c r="A2774" i="21"/>
  <c r="C2774" i="21" s="1"/>
  <c r="A2775" i="21"/>
  <c r="A1038" i="55" s="1"/>
  <c r="A2776" i="21"/>
  <c r="A2777" i="21"/>
  <c r="A2778" i="21"/>
  <c r="A1041" i="55" s="1"/>
  <c r="A2779" i="21"/>
  <c r="A1042" i="55" s="1"/>
  <c r="A2780" i="21"/>
  <c r="C2780" i="21" s="1"/>
  <c r="A2781" i="21"/>
  <c r="A1044" i="55" s="1"/>
  <c r="A2782" i="21"/>
  <c r="A1045" i="55" s="1"/>
  <c r="A2783" i="21"/>
  <c r="A1046" i="55" s="1"/>
  <c r="A2784" i="21"/>
  <c r="A1047" i="55" s="1"/>
  <c r="A2785" i="21"/>
  <c r="C2785" i="21" s="1"/>
  <c r="A2786" i="21"/>
  <c r="C2786" i="21" s="1"/>
  <c r="A2787" i="21"/>
  <c r="A1050" i="55" s="1"/>
  <c r="A2788" i="21"/>
  <c r="A2789" i="21"/>
  <c r="A2790" i="21"/>
  <c r="C2790" i="21" s="1"/>
  <c r="C1053" i="55" s="1"/>
  <c r="A2791" i="21"/>
  <c r="A1054" i="55" s="1"/>
  <c r="A2792" i="21"/>
  <c r="A1055" i="55" s="1"/>
  <c r="A2793" i="21"/>
  <c r="C2793" i="21" s="1"/>
  <c r="A2794" i="21"/>
  <c r="C2794" i="21" s="1"/>
  <c r="C1057" i="55" s="1"/>
  <c r="A2795" i="21"/>
  <c r="A1058" i="55" s="1"/>
  <c r="A2796" i="21"/>
  <c r="A1059" i="55" s="1"/>
  <c r="A2797" i="21"/>
  <c r="C2797" i="21" s="1"/>
  <c r="A2798" i="21"/>
  <c r="A1061" i="55" s="1"/>
  <c r="A2799" i="21"/>
  <c r="C2799" i="21" s="1"/>
  <c r="C1062" i="55" s="1"/>
  <c r="A2800" i="21"/>
  <c r="A1063" i="55" s="1"/>
  <c r="A2801" i="21"/>
  <c r="A1064" i="55" s="1"/>
  <c r="A2802" i="21"/>
  <c r="A2803" i="21"/>
  <c r="A2804" i="21"/>
  <c r="A2805" i="21"/>
  <c r="A2806" i="21"/>
  <c r="C2806" i="21" s="1"/>
  <c r="C1069" i="55" s="1"/>
  <c r="A2807" i="21"/>
  <c r="C2807" i="21" s="1"/>
  <c r="C1070" i="55" s="1"/>
  <c r="A2808" i="21"/>
  <c r="A1071" i="55" s="1"/>
  <c r="A2809" i="21"/>
  <c r="C2809" i="21" s="1"/>
  <c r="A2810" i="21"/>
  <c r="C2810" i="21" s="1"/>
  <c r="A2811" i="21"/>
  <c r="C2811" i="21" s="1"/>
  <c r="C1074" i="55" s="1"/>
  <c r="A2812" i="21"/>
  <c r="C2812" i="21" s="1"/>
  <c r="A2813" i="21"/>
  <c r="C2813" i="21" s="1"/>
  <c r="A2814" i="21"/>
  <c r="C2814" i="21" s="1"/>
  <c r="A2815" i="21"/>
  <c r="C2815" i="21" s="1"/>
  <c r="C1078" i="55" s="1"/>
  <c r="A2816" i="21"/>
  <c r="A2817" i="21"/>
  <c r="A2818" i="21"/>
  <c r="A2819" i="21"/>
  <c r="C2819" i="21" s="1"/>
  <c r="A2820" i="21"/>
  <c r="C2820" i="21" s="1"/>
  <c r="C1083" i="55" s="1"/>
  <c r="A2821" i="21"/>
  <c r="C2821" i="21" s="1"/>
  <c r="A2822" i="21"/>
  <c r="A1085" i="55" s="1"/>
  <c r="A2823" i="21"/>
  <c r="C2823" i="21" s="1"/>
  <c r="C1086" i="55" s="1"/>
  <c r="A2824" i="21"/>
  <c r="C2824" i="21" s="1"/>
  <c r="A2825" i="21"/>
  <c r="A1088" i="55" s="1"/>
  <c r="A2826" i="21"/>
  <c r="C2826" i="21" s="1"/>
  <c r="C1089" i="55" s="1"/>
  <c r="A2827" i="21"/>
  <c r="C2827" i="21" s="1"/>
  <c r="A2828" i="21"/>
  <c r="A1091" i="55" s="1"/>
  <c r="A2829" i="21"/>
  <c r="C2829" i="21" s="1"/>
  <c r="C1092" i="55" s="1"/>
  <c r="A2830" i="21"/>
  <c r="C2830" i="21" s="1"/>
  <c r="C1093" i="55" s="1"/>
  <c r="A2831" i="21"/>
  <c r="A1094" i="55" s="1"/>
  <c r="A2832" i="21"/>
  <c r="C2832" i="21"/>
  <c r="C1095" i="55" s="1"/>
  <c r="A2833" i="21"/>
  <c r="C2833" i="21" s="1"/>
  <c r="C1096" i="55" s="1"/>
  <c r="A2834" i="21"/>
  <c r="C2834" i="21" s="1"/>
  <c r="C1097" i="55" s="1"/>
  <c r="A2835" i="21"/>
  <c r="A1098" i="55" s="1"/>
  <c r="A2836" i="21"/>
  <c r="C2836" i="21" s="1"/>
  <c r="C1099" i="55" s="1"/>
  <c r="A2837" i="21"/>
  <c r="C2837" i="21" s="1"/>
  <c r="C1100" i="55" s="1"/>
  <c r="A2838" i="21"/>
  <c r="A1101" i="55" s="1"/>
  <c r="A2668" i="21"/>
  <c r="A931" i="55" s="1"/>
  <c r="B2839" i="21"/>
  <c r="C1900" i="21"/>
  <c r="F1900" i="21"/>
  <c r="C1901" i="21"/>
  <c r="F1901" i="21"/>
  <c r="C1902" i="21"/>
  <c r="F1902" i="21"/>
  <c r="C1903" i="21"/>
  <c r="F1903" i="21"/>
  <c r="C1904" i="21"/>
  <c r="F1904" i="21"/>
  <c r="C1905" i="21"/>
  <c r="F1905" i="21"/>
  <c r="C1906" i="21"/>
  <c r="F1906" i="21"/>
  <c r="C1907" i="21"/>
  <c r="F1907" i="21"/>
  <c r="C1908" i="21"/>
  <c r="F1908" i="21"/>
  <c r="C1909" i="21"/>
  <c r="F1909" i="21"/>
  <c r="C1910" i="21"/>
  <c r="F1910" i="21"/>
  <c r="C1911" i="21"/>
  <c r="F1911" i="21"/>
  <c r="C1912" i="21"/>
  <c r="C1913" i="21"/>
  <c r="C1914" i="21"/>
  <c r="F1914" i="21"/>
  <c r="C1915" i="21"/>
  <c r="F1915" i="21"/>
  <c r="A1916" i="21"/>
  <c r="H9" i="35"/>
  <c r="H10" i="35" s="1"/>
  <c r="H11" i="35" s="1"/>
  <c r="H12" i="35" s="1"/>
  <c r="H13" i="35" s="1"/>
  <c r="H14" i="35" s="1"/>
  <c r="H15" i="35" s="1"/>
  <c r="H16" i="35" s="1"/>
  <c r="H17" i="35" s="1"/>
  <c r="H18" i="35" s="1"/>
  <c r="H19" i="35" s="1"/>
  <c r="H20" i="35" s="1"/>
  <c r="H21" i="35" s="1"/>
  <c r="H22" i="35" s="1"/>
  <c r="H23" i="35" s="1"/>
  <c r="H24" i="35" s="1"/>
  <c r="H25" i="35" s="1"/>
  <c r="H26" i="35" s="1"/>
  <c r="H27" i="35" s="1"/>
  <c r="H28" i="35" s="1"/>
  <c r="H29" i="35" s="1"/>
  <c r="H30" i="35" s="1"/>
  <c r="H31" i="35" s="1"/>
  <c r="H32" i="35" s="1"/>
  <c r="H33" i="35" s="1"/>
  <c r="H34" i="35" s="1"/>
  <c r="H35" i="35" s="1"/>
  <c r="H36" i="35" s="1"/>
  <c r="H37" i="35" s="1"/>
  <c r="H38" i="35" s="1"/>
  <c r="H39" i="35" s="1"/>
  <c r="H40" i="35" s="1"/>
  <c r="H41" i="35" s="1"/>
  <c r="H42" i="35" s="1"/>
  <c r="H43" i="35" s="1"/>
  <c r="H44" i="35" s="1"/>
  <c r="H45" i="35" s="1"/>
  <c r="H46" i="35" s="1"/>
  <c r="H47" i="35" s="1"/>
  <c r="H48" i="35" s="1"/>
  <c r="H49" i="35" s="1"/>
  <c r="H50" i="35" s="1"/>
  <c r="H51" i="35" s="1"/>
  <c r="H52" i="35" s="1"/>
  <c r="H53" i="35" s="1"/>
  <c r="H54" i="35" s="1"/>
  <c r="H55" i="35" s="1"/>
  <c r="H56" i="35" s="1"/>
  <c r="H57" i="35" s="1"/>
  <c r="H58" i="35" s="1"/>
  <c r="H59" i="35" s="1"/>
  <c r="H60" i="35" s="1"/>
  <c r="H61" i="35" s="1"/>
  <c r="H62" i="35" s="1"/>
  <c r="H63" i="35" s="1"/>
  <c r="H64" i="35" s="1"/>
  <c r="H65" i="35" s="1"/>
  <c r="H66" i="35" s="1"/>
  <c r="H67" i="35" s="1"/>
  <c r="A1095" i="55"/>
  <c r="F2831" i="19"/>
  <c r="G2831" i="19"/>
  <c r="E2831" i="19"/>
  <c r="C2831" i="19"/>
  <c r="D2831" i="19"/>
  <c r="B2831" i="19"/>
  <c r="I2016" i="19"/>
  <c r="I2017" i="19"/>
  <c r="I2018" i="19"/>
  <c r="I2019" i="19"/>
  <c r="B175" i="55"/>
  <c r="I2020" i="19"/>
  <c r="I2021" i="19"/>
  <c r="I2022" i="19"/>
  <c r="I2023" i="19"/>
  <c r="B1852" i="19"/>
  <c r="I174" i="19"/>
  <c r="B2834" i="21" s="1"/>
  <c r="I175" i="19"/>
  <c r="B2835" i="21" s="1"/>
  <c r="I176" i="19"/>
  <c r="B2836" i="21" s="1"/>
  <c r="I177" i="19"/>
  <c r="B2837" i="21" s="1"/>
  <c r="I178" i="19"/>
  <c r="B2838" i="21" s="1"/>
  <c r="I1094" i="19"/>
  <c r="B1907" i="21"/>
  <c r="I1095" i="19"/>
  <c r="B1908" i="21" s="1"/>
  <c r="I1096" i="19"/>
  <c r="B1909" i="21" s="1"/>
  <c r="I1097" i="19"/>
  <c r="B1910" i="21" s="1"/>
  <c r="I1098" i="19"/>
  <c r="B1911" i="21" s="1"/>
  <c r="I1099" i="19"/>
  <c r="B1912" i="21" s="1"/>
  <c r="I1100" i="19"/>
  <c r="B1913" i="21"/>
  <c r="I1101" i="19"/>
  <c r="B1914" i="21" s="1"/>
  <c r="I1102" i="19"/>
  <c r="B1915" i="21"/>
  <c r="B180" i="19"/>
  <c r="I9" i="60" s="1"/>
  <c r="C180" i="19"/>
  <c r="D180" i="19"/>
  <c r="E180" i="19"/>
  <c r="F180" i="19"/>
  <c r="G180" i="19"/>
  <c r="H180" i="19"/>
  <c r="H1103" i="19" s="1"/>
  <c r="G76" i="60"/>
  <c r="F76" i="60"/>
  <c r="G75" i="60"/>
  <c r="F75" i="60"/>
  <c r="G74" i="60"/>
  <c r="F74" i="60"/>
  <c r="L55" i="58"/>
  <c r="L56" i="58"/>
  <c r="L57" i="58"/>
  <c r="L58" i="58"/>
  <c r="L59" i="58"/>
  <c r="L60" i="58"/>
  <c r="L61" i="58"/>
  <c r="L62" i="58"/>
  <c r="L63" i="58"/>
  <c r="L64" i="58"/>
  <c r="L65" i="58"/>
  <c r="L66" i="58"/>
  <c r="L67" i="58"/>
  <c r="L68" i="58"/>
  <c r="L69" i="58"/>
  <c r="L70" i="58"/>
  <c r="L71" i="58"/>
  <c r="L72" i="58"/>
  <c r="L73" i="58"/>
  <c r="L74" i="58"/>
  <c r="L75" i="58"/>
  <c r="L76" i="58"/>
  <c r="L77" i="58"/>
  <c r="L78" i="58"/>
  <c r="L79" i="58"/>
  <c r="L80" i="58"/>
  <c r="L81" i="58"/>
  <c r="L82" i="58"/>
  <c r="L27" i="58"/>
  <c r="L28" i="58"/>
  <c r="L29" i="58"/>
  <c r="L30" i="58"/>
  <c r="L31" i="58"/>
  <c r="L32" i="58"/>
  <c r="L34" i="58"/>
  <c r="L35" i="58"/>
  <c r="L36" i="58"/>
  <c r="L37" i="58"/>
  <c r="L38" i="58"/>
  <c r="L39" i="58"/>
  <c r="L40" i="58"/>
  <c r="L41" i="58"/>
  <c r="L42" i="58"/>
  <c r="L43" i="58"/>
  <c r="L44" i="58"/>
  <c r="L45" i="58"/>
  <c r="L46" i="58"/>
  <c r="L47" i="58"/>
  <c r="L48" i="58"/>
  <c r="L49" i="58"/>
  <c r="L50" i="58"/>
  <c r="L51" i="58"/>
  <c r="L52" i="58"/>
  <c r="L53" i="58"/>
  <c r="L54" i="58"/>
  <c r="C1111" i="55"/>
  <c r="C1279" i="55"/>
  <c r="C1280" i="55"/>
  <c r="B1103" i="55"/>
  <c r="B1104" i="55"/>
  <c r="B1105" i="55"/>
  <c r="B1106" i="55"/>
  <c r="B1107" i="55"/>
  <c r="B1108" i="55"/>
  <c r="B1109" i="55"/>
  <c r="B1110" i="55"/>
  <c r="B1111" i="55"/>
  <c r="D1111" i="55" s="1"/>
  <c r="B1112" i="55"/>
  <c r="B1113" i="55"/>
  <c r="B1114" i="55"/>
  <c r="B1115" i="55"/>
  <c r="B1116" i="55"/>
  <c r="B1117" i="55"/>
  <c r="B1118" i="55"/>
  <c r="B1119" i="55"/>
  <c r="B1120" i="55"/>
  <c r="B1121" i="55"/>
  <c r="B1122" i="55"/>
  <c r="B1123" i="55"/>
  <c r="B1124" i="55"/>
  <c r="B1125" i="55"/>
  <c r="B1126" i="55"/>
  <c r="B1127" i="55"/>
  <c r="B1128" i="55"/>
  <c r="B1129" i="55"/>
  <c r="B1130" i="55"/>
  <c r="B1131" i="55"/>
  <c r="B1132" i="55"/>
  <c r="B1133" i="55"/>
  <c r="B1134" i="55"/>
  <c r="B1135" i="55"/>
  <c r="B1136" i="55"/>
  <c r="B1137" i="55"/>
  <c r="B1138" i="55"/>
  <c r="B1139" i="55"/>
  <c r="B1140" i="55"/>
  <c r="B1141" i="55"/>
  <c r="B1142" i="55"/>
  <c r="B1143" i="55"/>
  <c r="B1144" i="55"/>
  <c r="B1145" i="55"/>
  <c r="B1146" i="55"/>
  <c r="B1147" i="55"/>
  <c r="B1148" i="55"/>
  <c r="B1149" i="55"/>
  <c r="B1150" i="55"/>
  <c r="B1151" i="55"/>
  <c r="B1152" i="55"/>
  <c r="B1153" i="55"/>
  <c r="B1154" i="55"/>
  <c r="B1155" i="55"/>
  <c r="B1156" i="55"/>
  <c r="B1157" i="55"/>
  <c r="B1158" i="55"/>
  <c r="B1159" i="55"/>
  <c r="B1160" i="55"/>
  <c r="B1161" i="55"/>
  <c r="B1162" i="55"/>
  <c r="B1163" i="55"/>
  <c r="B1164" i="55"/>
  <c r="B1165" i="55"/>
  <c r="B1166" i="55"/>
  <c r="B1167" i="55"/>
  <c r="B1168" i="55"/>
  <c r="B1169" i="55"/>
  <c r="B1170" i="55"/>
  <c r="B1171" i="55"/>
  <c r="B1172" i="55"/>
  <c r="B1173" i="55"/>
  <c r="B1174" i="55"/>
  <c r="B1175" i="55"/>
  <c r="B1176" i="55"/>
  <c r="B1177" i="55"/>
  <c r="B1178" i="55"/>
  <c r="B1179" i="55"/>
  <c r="B1180" i="55"/>
  <c r="B1181" i="55"/>
  <c r="B1182" i="55"/>
  <c r="B1183" i="55"/>
  <c r="B1184" i="55"/>
  <c r="B1185" i="55"/>
  <c r="B1186" i="55"/>
  <c r="B1187" i="55"/>
  <c r="B1188" i="55"/>
  <c r="B1189" i="55"/>
  <c r="B1190" i="55"/>
  <c r="B1191" i="55"/>
  <c r="B1192" i="55"/>
  <c r="B1193" i="55"/>
  <c r="B1194" i="55"/>
  <c r="B1195" i="55"/>
  <c r="B1196" i="55"/>
  <c r="B1197" i="55"/>
  <c r="B1198" i="55"/>
  <c r="B1199" i="55"/>
  <c r="B1200" i="55"/>
  <c r="B1201" i="55"/>
  <c r="B1202" i="55"/>
  <c r="B1203" i="55"/>
  <c r="B1204" i="55"/>
  <c r="B1205" i="55"/>
  <c r="B1206" i="55"/>
  <c r="B1207" i="55"/>
  <c r="B1208" i="55"/>
  <c r="B1209" i="55"/>
  <c r="B1210" i="55"/>
  <c r="B1211" i="55"/>
  <c r="B1212" i="55"/>
  <c r="B1213" i="55"/>
  <c r="B1214" i="55"/>
  <c r="B1215" i="55"/>
  <c r="B1216" i="55"/>
  <c r="B1217" i="55"/>
  <c r="B1218" i="55"/>
  <c r="B1219" i="55"/>
  <c r="B1220" i="55"/>
  <c r="B1221" i="55"/>
  <c r="B1222" i="55"/>
  <c r="B1223" i="55"/>
  <c r="B1224" i="55"/>
  <c r="B1225" i="55"/>
  <c r="B1226" i="55"/>
  <c r="B1227" i="55"/>
  <c r="B1228" i="55"/>
  <c r="B1229" i="55"/>
  <c r="B1230" i="55"/>
  <c r="B1231" i="55"/>
  <c r="B1232" i="55"/>
  <c r="B1233" i="55"/>
  <c r="B1234" i="55"/>
  <c r="B1235" i="55"/>
  <c r="B1236" i="55"/>
  <c r="B1237" i="55"/>
  <c r="B1238" i="55"/>
  <c r="B1239" i="55"/>
  <c r="B1240" i="55"/>
  <c r="B1241" i="55"/>
  <c r="B1242" i="55"/>
  <c r="B1243" i="55"/>
  <c r="B1244" i="55"/>
  <c r="B1245" i="55"/>
  <c r="B1246" i="55"/>
  <c r="B1247" i="55"/>
  <c r="B1248" i="55"/>
  <c r="B1249" i="55"/>
  <c r="B1250" i="55"/>
  <c r="B1251" i="55"/>
  <c r="B1252" i="55"/>
  <c r="B1253" i="55"/>
  <c r="B1254" i="55"/>
  <c r="B1255" i="55"/>
  <c r="B1256" i="55"/>
  <c r="B1257" i="55"/>
  <c r="B1258" i="55"/>
  <c r="B1259" i="55"/>
  <c r="B1260" i="55"/>
  <c r="B1261" i="55"/>
  <c r="B1262" i="55"/>
  <c r="B1263" i="55"/>
  <c r="B1264" i="55"/>
  <c r="B1265" i="55"/>
  <c r="B1266" i="55"/>
  <c r="B1267" i="55"/>
  <c r="B1268" i="55"/>
  <c r="B1269" i="55"/>
  <c r="B1270" i="55"/>
  <c r="B1271" i="55"/>
  <c r="B1272" i="55"/>
  <c r="B1273" i="55"/>
  <c r="B1274" i="55"/>
  <c r="B1275" i="55"/>
  <c r="B1276" i="55"/>
  <c r="B1277" i="55"/>
  <c r="B1278" i="55"/>
  <c r="B1279" i="55"/>
  <c r="B1280" i="55"/>
  <c r="B1281" i="55"/>
  <c r="B1282" i="55"/>
  <c r="B1283" i="55"/>
  <c r="B1284" i="55"/>
  <c r="B1285" i="55"/>
  <c r="B1286" i="55"/>
  <c r="B1287" i="55"/>
  <c r="B1288" i="55"/>
  <c r="B1289" i="55"/>
  <c r="B1290" i="55"/>
  <c r="B1291" i="55"/>
  <c r="B1292" i="55"/>
  <c r="B1293" i="55"/>
  <c r="B1294" i="55"/>
  <c r="B1295" i="55"/>
  <c r="B1296" i="55"/>
  <c r="B1297" i="55"/>
  <c r="B1298" i="55"/>
  <c r="B1299" i="55"/>
  <c r="B1300" i="55"/>
  <c r="B1301" i="55"/>
  <c r="B1302" i="55"/>
  <c r="B1303" i="55"/>
  <c r="B1304" i="55"/>
  <c r="B1305" i="55"/>
  <c r="B1306" i="55"/>
  <c r="B1307" i="55"/>
  <c r="B1308" i="55"/>
  <c r="B1309" i="55"/>
  <c r="B1310" i="55"/>
  <c r="B1311" i="55"/>
  <c r="B1312" i="55"/>
  <c r="B1313" i="55"/>
  <c r="B1314" i="55"/>
  <c r="B1315" i="55"/>
  <c r="B1316" i="55"/>
  <c r="B1317" i="55"/>
  <c r="B1318" i="55"/>
  <c r="B1319" i="55"/>
  <c r="B1320" i="55"/>
  <c r="B1321" i="55"/>
  <c r="B1322" i="55"/>
  <c r="B1323" i="55"/>
  <c r="B1324" i="55"/>
  <c r="B1325" i="55"/>
  <c r="B1326" i="55"/>
  <c r="B1327" i="55"/>
  <c r="B1328" i="55"/>
  <c r="B1329" i="55"/>
  <c r="B1330" i="55"/>
  <c r="B1331" i="55"/>
  <c r="B1332" i="55"/>
  <c r="B1333" i="55"/>
  <c r="B1334" i="55"/>
  <c r="B1335" i="55"/>
  <c r="B1336" i="55"/>
  <c r="F182" i="55"/>
  <c r="F183" i="55"/>
  <c r="F184" i="55"/>
  <c r="F185" i="55"/>
  <c r="F186" i="55"/>
  <c r="F187" i="55"/>
  <c r="F188" i="55"/>
  <c r="F189" i="55"/>
  <c r="F190" i="55"/>
  <c r="F191" i="55"/>
  <c r="F192" i="55"/>
  <c r="F193" i="55"/>
  <c r="F194" i="55"/>
  <c r="F195" i="55"/>
  <c r="F196" i="55"/>
  <c r="F197" i="55"/>
  <c r="F198" i="55"/>
  <c r="F199" i="55"/>
  <c r="F200" i="55"/>
  <c r="F201" i="55"/>
  <c r="F202" i="55"/>
  <c r="F203" i="55"/>
  <c r="F204" i="55"/>
  <c r="F205" i="55"/>
  <c r="F206" i="55"/>
  <c r="F207" i="55"/>
  <c r="F208" i="55"/>
  <c r="F209" i="55"/>
  <c r="F210" i="55"/>
  <c r="F211" i="55"/>
  <c r="F212" i="55"/>
  <c r="F213" i="55"/>
  <c r="F214" i="55"/>
  <c r="F215" i="55"/>
  <c r="F216" i="55"/>
  <c r="F217" i="55"/>
  <c r="F218" i="55"/>
  <c r="F219" i="55"/>
  <c r="F220" i="55"/>
  <c r="F221" i="55"/>
  <c r="F222" i="55"/>
  <c r="F223" i="55"/>
  <c r="F224" i="55"/>
  <c r="F225" i="55"/>
  <c r="F226" i="55"/>
  <c r="F227" i="55"/>
  <c r="F228" i="55"/>
  <c r="F229" i="55"/>
  <c r="F230" i="55"/>
  <c r="F231" i="55"/>
  <c r="F232" i="55"/>
  <c r="F233" i="55"/>
  <c r="F234" i="55"/>
  <c r="F235" i="55"/>
  <c r="F236" i="55"/>
  <c r="F237" i="55"/>
  <c r="F238" i="55"/>
  <c r="F239" i="55"/>
  <c r="F240" i="55"/>
  <c r="F241" i="55"/>
  <c r="F242" i="55"/>
  <c r="F243" i="55"/>
  <c r="F244" i="55"/>
  <c r="F245" i="55"/>
  <c r="F246" i="55"/>
  <c r="F247" i="55"/>
  <c r="F248" i="55"/>
  <c r="F249" i="55"/>
  <c r="F250" i="55"/>
  <c r="F251" i="55"/>
  <c r="F252" i="55"/>
  <c r="F253" i="55"/>
  <c r="F254" i="55"/>
  <c r="F255" i="55"/>
  <c r="F256" i="55"/>
  <c r="F257" i="55"/>
  <c r="F258" i="55"/>
  <c r="F259" i="55"/>
  <c r="F260" i="55"/>
  <c r="F261" i="55"/>
  <c r="F262" i="55"/>
  <c r="F263" i="55"/>
  <c r="F264" i="55"/>
  <c r="F265" i="55"/>
  <c r="F266" i="55"/>
  <c r="F267" i="55"/>
  <c r="F268" i="55"/>
  <c r="F269" i="55"/>
  <c r="F270" i="55"/>
  <c r="F271" i="55"/>
  <c r="F272" i="55"/>
  <c r="F273" i="55"/>
  <c r="F274" i="55"/>
  <c r="F275" i="55"/>
  <c r="F276" i="55"/>
  <c r="F277" i="55"/>
  <c r="F278" i="55"/>
  <c r="F279" i="55"/>
  <c r="F280" i="55"/>
  <c r="F281" i="55"/>
  <c r="F282" i="55"/>
  <c r="F283" i="55"/>
  <c r="F284" i="55"/>
  <c r="F285" i="55"/>
  <c r="F286" i="55"/>
  <c r="F287" i="55"/>
  <c r="F288" i="55"/>
  <c r="F289" i="55"/>
  <c r="F290" i="55"/>
  <c r="F291" i="55"/>
  <c r="F292" i="55"/>
  <c r="F293" i="55"/>
  <c r="F294" i="55"/>
  <c r="F295" i="55"/>
  <c r="F296" i="55"/>
  <c r="F297" i="55"/>
  <c r="F298" i="55"/>
  <c r="F299" i="55"/>
  <c r="F300" i="55"/>
  <c r="F301" i="55"/>
  <c r="F302" i="55"/>
  <c r="F303" i="55"/>
  <c r="F304" i="55"/>
  <c r="F305" i="55"/>
  <c r="F306" i="55"/>
  <c r="F307" i="55"/>
  <c r="F308" i="55"/>
  <c r="F309" i="55"/>
  <c r="F310" i="55"/>
  <c r="F311" i="55"/>
  <c r="F312" i="55"/>
  <c r="F313" i="55"/>
  <c r="F314" i="55"/>
  <c r="F315" i="55"/>
  <c r="F316" i="55"/>
  <c r="F317" i="55"/>
  <c r="F318" i="55"/>
  <c r="F319" i="55"/>
  <c r="F320" i="55"/>
  <c r="F321" i="55"/>
  <c r="F322" i="55"/>
  <c r="F323" i="55"/>
  <c r="F324" i="55"/>
  <c r="F325" i="55"/>
  <c r="F326" i="55"/>
  <c r="F327" i="55"/>
  <c r="F328" i="55"/>
  <c r="F329" i="55"/>
  <c r="F330" i="55"/>
  <c r="F331" i="55"/>
  <c r="F332" i="55"/>
  <c r="F333" i="55"/>
  <c r="F334" i="55"/>
  <c r="F335" i="55"/>
  <c r="F336" i="55"/>
  <c r="F337" i="55"/>
  <c r="F338" i="55"/>
  <c r="F339" i="55"/>
  <c r="F340" i="55"/>
  <c r="F341" i="55"/>
  <c r="F342" i="55"/>
  <c r="F343" i="55"/>
  <c r="F344" i="55"/>
  <c r="F345" i="55"/>
  <c r="F346" i="55"/>
  <c r="F347" i="55"/>
  <c r="F348" i="55"/>
  <c r="F349" i="55"/>
  <c r="F350" i="55"/>
  <c r="F351" i="55"/>
  <c r="F352" i="55"/>
  <c r="F353" i="55"/>
  <c r="F354" i="55"/>
  <c r="F355" i="55"/>
  <c r="F356" i="55"/>
  <c r="F359" i="55"/>
  <c r="F360" i="55"/>
  <c r="F361" i="55"/>
  <c r="F362" i="55"/>
  <c r="F363" i="55"/>
  <c r="F364" i="55"/>
  <c r="F365" i="55"/>
  <c r="F366" i="55"/>
  <c r="F367" i="55"/>
  <c r="F368" i="55"/>
  <c r="F369" i="55"/>
  <c r="F370" i="55"/>
  <c r="F371" i="55"/>
  <c r="F372" i="55"/>
  <c r="F373" i="55"/>
  <c r="F374" i="55"/>
  <c r="F375" i="55"/>
  <c r="F376" i="55"/>
  <c r="F377" i="55"/>
  <c r="F378" i="55"/>
  <c r="F379" i="55"/>
  <c r="F380" i="55"/>
  <c r="F381" i="55"/>
  <c r="F382" i="55"/>
  <c r="F383" i="55"/>
  <c r="F384" i="55"/>
  <c r="F385" i="55"/>
  <c r="F386" i="55"/>
  <c r="F387" i="55"/>
  <c r="F388" i="55"/>
  <c r="F389" i="55"/>
  <c r="F390" i="55"/>
  <c r="F391" i="55"/>
  <c r="F392" i="55"/>
  <c r="F395" i="55"/>
  <c r="F396" i="55"/>
  <c r="F397" i="55"/>
  <c r="F398" i="55"/>
  <c r="F399" i="55"/>
  <c r="F400" i="55"/>
  <c r="F401" i="55"/>
  <c r="F402" i="55"/>
  <c r="F403" i="55"/>
  <c r="F404" i="55"/>
  <c r="F405" i="55"/>
  <c r="F406" i="55"/>
  <c r="F407" i="55"/>
  <c r="F408" i="55"/>
  <c r="F409" i="55"/>
  <c r="F410" i="55"/>
  <c r="F411" i="55"/>
  <c r="F412" i="55"/>
  <c r="F413" i="55"/>
  <c r="F414" i="55"/>
  <c r="F181" i="55"/>
  <c r="C190" i="55"/>
  <c r="C191" i="55"/>
  <c r="C192" i="55"/>
  <c r="C193" i="55"/>
  <c r="C194" i="55"/>
  <c r="C195" i="55"/>
  <c r="C196" i="55"/>
  <c r="C197" i="55"/>
  <c r="C198" i="55"/>
  <c r="C199" i="55"/>
  <c r="C200" i="55"/>
  <c r="C201" i="55"/>
  <c r="C202" i="55"/>
  <c r="C203" i="55"/>
  <c r="C204" i="55"/>
  <c r="C205" i="55"/>
  <c r="C206" i="55"/>
  <c r="C207" i="55"/>
  <c r="C208" i="55"/>
  <c r="C209" i="55"/>
  <c r="C210" i="55"/>
  <c r="C211" i="55"/>
  <c r="C212" i="55"/>
  <c r="C213" i="55"/>
  <c r="C214" i="55"/>
  <c r="C215" i="55"/>
  <c r="C216" i="55"/>
  <c r="C217" i="55"/>
  <c r="C218" i="55"/>
  <c r="C219" i="55"/>
  <c r="C220" i="55"/>
  <c r="C221" i="55"/>
  <c r="C222" i="55"/>
  <c r="C223" i="55"/>
  <c r="C224" i="55"/>
  <c r="C225" i="55"/>
  <c r="C226" i="55"/>
  <c r="C227" i="55"/>
  <c r="C228" i="55"/>
  <c r="C229" i="55"/>
  <c r="C230" i="55"/>
  <c r="C231" i="55"/>
  <c r="C232" i="55"/>
  <c r="C233" i="55"/>
  <c r="C234" i="55"/>
  <c r="C235" i="55"/>
  <c r="C236" i="55"/>
  <c r="C237" i="55"/>
  <c r="C238" i="55"/>
  <c r="C239" i="55"/>
  <c r="C240" i="55"/>
  <c r="C241" i="55"/>
  <c r="C242" i="55"/>
  <c r="C243" i="55"/>
  <c r="C244" i="55"/>
  <c r="C245" i="55"/>
  <c r="C246" i="55"/>
  <c r="C247" i="55"/>
  <c r="C248" i="55"/>
  <c r="C249" i="55"/>
  <c r="C250" i="55"/>
  <c r="C251" i="55"/>
  <c r="C252" i="55"/>
  <c r="C253" i="55"/>
  <c r="C254" i="55"/>
  <c r="C255" i="55"/>
  <c r="C256" i="55"/>
  <c r="C257" i="55"/>
  <c r="C258" i="55"/>
  <c r="C259" i="55"/>
  <c r="C260" i="55"/>
  <c r="C261" i="55"/>
  <c r="C262" i="55"/>
  <c r="C263" i="55"/>
  <c r="C264" i="55"/>
  <c r="C265" i="55"/>
  <c r="C266" i="55"/>
  <c r="C267" i="55"/>
  <c r="C268" i="55"/>
  <c r="C269" i="55"/>
  <c r="C270" i="55"/>
  <c r="C271" i="55"/>
  <c r="C272" i="55"/>
  <c r="E272" i="55" s="1"/>
  <c r="C273" i="55"/>
  <c r="C274" i="55"/>
  <c r="C275" i="55"/>
  <c r="C276" i="55"/>
  <c r="C277" i="55"/>
  <c r="C278" i="55"/>
  <c r="C279" i="55"/>
  <c r="C280" i="55"/>
  <c r="C281" i="55"/>
  <c r="C282" i="55"/>
  <c r="C283" i="55"/>
  <c r="C284" i="55"/>
  <c r="C285" i="55"/>
  <c r="C286" i="55"/>
  <c r="C287" i="55"/>
  <c r="C288" i="55"/>
  <c r="C289" i="55"/>
  <c r="C290" i="55"/>
  <c r="C291" i="55"/>
  <c r="C292" i="55"/>
  <c r="C293" i="55"/>
  <c r="C294" i="55"/>
  <c r="C295" i="55"/>
  <c r="C296" i="55"/>
  <c r="C297" i="55"/>
  <c r="C298" i="55"/>
  <c r="C299" i="55"/>
  <c r="C300" i="55"/>
  <c r="C301" i="55"/>
  <c r="C302" i="55"/>
  <c r="C303" i="55"/>
  <c r="C304" i="55"/>
  <c r="C305" i="55"/>
  <c r="C306" i="55"/>
  <c r="C307" i="55"/>
  <c r="C308" i="55"/>
  <c r="C309" i="55"/>
  <c r="C310" i="55"/>
  <c r="C311" i="55"/>
  <c r="C312" i="55"/>
  <c r="C313" i="55"/>
  <c r="C314" i="55"/>
  <c r="C315" i="55"/>
  <c r="C316" i="55"/>
  <c r="C317" i="55"/>
  <c r="C318" i="55"/>
  <c r="C319" i="55"/>
  <c r="C320" i="55"/>
  <c r="C321" i="55"/>
  <c r="C322" i="55"/>
  <c r="C323" i="55"/>
  <c r="C324" i="55"/>
  <c r="C325" i="55"/>
  <c r="C326" i="55"/>
  <c r="C327" i="55"/>
  <c r="C328" i="55"/>
  <c r="C329" i="55"/>
  <c r="C330" i="55"/>
  <c r="C331" i="55"/>
  <c r="C332" i="55"/>
  <c r="C333" i="55"/>
  <c r="C334" i="55"/>
  <c r="C335" i="55"/>
  <c r="C336" i="55"/>
  <c r="C337" i="55"/>
  <c r="C338" i="55"/>
  <c r="C339" i="55"/>
  <c r="C340" i="55"/>
  <c r="C341" i="55"/>
  <c r="C342" i="55"/>
  <c r="C343" i="55"/>
  <c r="C344" i="55"/>
  <c r="C345" i="55"/>
  <c r="C346" i="55"/>
  <c r="C347" i="55"/>
  <c r="C348" i="55"/>
  <c r="C349" i="55"/>
  <c r="C350" i="55"/>
  <c r="C351" i="55"/>
  <c r="C352" i="55"/>
  <c r="C353" i="55"/>
  <c r="C354" i="55"/>
  <c r="C355" i="55"/>
  <c r="C356" i="55"/>
  <c r="C357" i="55"/>
  <c r="C358" i="55"/>
  <c r="E358" i="55" s="1"/>
  <c r="G358" i="55" s="1"/>
  <c r="C359" i="55"/>
  <c r="C360" i="55"/>
  <c r="C361" i="55"/>
  <c r="C362" i="55"/>
  <c r="C363" i="55"/>
  <c r="C364" i="55"/>
  <c r="C365" i="55"/>
  <c r="C366" i="55"/>
  <c r="C367" i="55"/>
  <c r="C368" i="55"/>
  <c r="C369" i="55"/>
  <c r="C370" i="55"/>
  <c r="C371" i="55"/>
  <c r="C372" i="55"/>
  <c r="C373" i="55"/>
  <c r="C374" i="55"/>
  <c r="C375" i="55"/>
  <c r="C376" i="55"/>
  <c r="C377" i="55"/>
  <c r="C378" i="55"/>
  <c r="C379" i="55"/>
  <c r="C380" i="55"/>
  <c r="C381" i="55"/>
  <c r="C382" i="55"/>
  <c r="C383" i="55"/>
  <c r="C384" i="55"/>
  <c r="C385" i="55"/>
  <c r="C386" i="55"/>
  <c r="C387" i="55"/>
  <c r="C388" i="55"/>
  <c r="C389" i="55"/>
  <c r="C390" i="55"/>
  <c r="C391" i="55"/>
  <c r="C392" i="55"/>
  <c r="C393" i="55"/>
  <c r="E393" i="55" s="1"/>
  <c r="G393" i="55" s="1"/>
  <c r="C394" i="55"/>
  <c r="E394" i="55" s="1"/>
  <c r="G394" i="55" s="1"/>
  <c r="C395" i="55"/>
  <c r="C396" i="55"/>
  <c r="C397" i="55"/>
  <c r="C398" i="55"/>
  <c r="C399" i="55"/>
  <c r="C400" i="55"/>
  <c r="C401" i="55"/>
  <c r="C402" i="55"/>
  <c r="C403" i="55"/>
  <c r="E403" i="55" s="1"/>
  <c r="C404" i="55"/>
  <c r="E404" i="55" s="1"/>
  <c r="C405" i="55"/>
  <c r="C406" i="55"/>
  <c r="C407" i="55"/>
  <c r="C408" i="55"/>
  <c r="C409" i="55"/>
  <c r="C410" i="55"/>
  <c r="C411" i="55"/>
  <c r="C412" i="55"/>
  <c r="C413" i="55"/>
  <c r="C414" i="55"/>
  <c r="E414" i="55" s="1"/>
  <c r="C181" i="55"/>
  <c r="C182" i="55"/>
  <c r="C183" i="55"/>
  <c r="C184" i="55"/>
  <c r="C185" i="55"/>
  <c r="C186" i="55"/>
  <c r="C187" i="55"/>
  <c r="C188" i="55"/>
  <c r="C189" i="55"/>
  <c r="C402" i="21"/>
  <c r="D402" i="21"/>
  <c r="E402" i="21"/>
  <c r="H402" i="21"/>
  <c r="B1268" i="21"/>
  <c r="C1268" i="21"/>
  <c r="J1035" i="21"/>
  <c r="J1036" i="21"/>
  <c r="J1037" i="21"/>
  <c r="J1038" i="21"/>
  <c r="J1039" i="21"/>
  <c r="J1040" i="21"/>
  <c r="J1041" i="21"/>
  <c r="J1042" i="21"/>
  <c r="J1043" i="21"/>
  <c r="J1044" i="21"/>
  <c r="J1045" i="21"/>
  <c r="J1046" i="21"/>
  <c r="J1047" i="21"/>
  <c r="J1048" i="21"/>
  <c r="J1049" i="21"/>
  <c r="J1050" i="21"/>
  <c r="J1051" i="21"/>
  <c r="J1052" i="21"/>
  <c r="J1053" i="21"/>
  <c r="J1054" i="21"/>
  <c r="J1055" i="21"/>
  <c r="J1056" i="21"/>
  <c r="J1057" i="21"/>
  <c r="J1058" i="21"/>
  <c r="J1059" i="21"/>
  <c r="J1060" i="21"/>
  <c r="J1061" i="21"/>
  <c r="J1062" i="21"/>
  <c r="J1063" i="21"/>
  <c r="J1064" i="21"/>
  <c r="J1065" i="21"/>
  <c r="J1066" i="21"/>
  <c r="J1067" i="21"/>
  <c r="J1068" i="21"/>
  <c r="J1069" i="21"/>
  <c r="J1070" i="21"/>
  <c r="J1071" i="21"/>
  <c r="J1072" i="21"/>
  <c r="J1073" i="21"/>
  <c r="J1074" i="21"/>
  <c r="J1075" i="21"/>
  <c r="J1076" i="21"/>
  <c r="J1077" i="21"/>
  <c r="J1078" i="21"/>
  <c r="J1079" i="21"/>
  <c r="J1080" i="21"/>
  <c r="J1081" i="21"/>
  <c r="J1082" i="21"/>
  <c r="J1083" i="21"/>
  <c r="J1084" i="21"/>
  <c r="J1085" i="21"/>
  <c r="J1086" i="21"/>
  <c r="J1087" i="21"/>
  <c r="J1088" i="21"/>
  <c r="J1089" i="21"/>
  <c r="J1090" i="21"/>
  <c r="J1091" i="21"/>
  <c r="J1092" i="21"/>
  <c r="J1093" i="21"/>
  <c r="J1094" i="21"/>
  <c r="J1095" i="21"/>
  <c r="J1096" i="21"/>
  <c r="J1097" i="21"/>
  <c r="J1098" i="21"/>
  <c r="J1099" i="21"/>
  <c r="J1100" i="21"/>
  <c r="J1101" i="21"/>
  <c r="J1102" i="21"/>
  <c r="J1103" i="21"/>
  <c r="J1104" i="21"/>
  <c r="J1105" i="21"/>
  <c r="J1106" i="21"/>
  <c r="J1107" i="21"/>
  <c r="J1108" i="21"/>
  <c r="J1109" i="21"/>
  <c r="J1110" i="21"/>
  <c r="J1111" i="21"/>
  <c r="J1112" i="21"/>
  <c r="J1113" i="21"/>
  <c r="J1114" i="21"/>
  <c r="J1115" i="21"/>
  <c r="J1116" i="21"/>
  <c r="J1117" i="21"/>
  <c r="J1118" i="21"/>
  <c r="J1119" i="21"/>
  <c r="J1120" i="21"/>
  <c r="J1121" i="21"/>
  <c r="J1122" i="21"/>
  <c r="J1123" i="21"/>
  <c r="J1124" i="21"/>
  <c r="J1125" i="21"/>
  <c r="J1126" i="21"/>
  <c r="J1127" i="21"/>
  <c r="J1128" i="21"/>
  <c r="J1129" i="21"/>
  <c r="J1130" i="21"/>
  <c r="J1131" i="21"/>
  <c r="J1132" i="21"/>
  <c r="J1133" i="21"/>
  <c r="J1134" i="21"/>
  <c r="J1135" i="21"/>
  <c r="J1136" i="21"/>
  <c r="J1137" i="21"/>
  <c r="J1138" i="21"/>
  <c r="J1139" i="21"/>
  <c r="J1140" i="21"/>
  <c r="J1141" i="21"/>
  <c r="J1142" i="21"/>
  <c r="J1143" i="21"/>
  <c r="J1144" i="21"/>
  <c r="J1145" i="21"/>
  <c r="J1146" i="21"/>
  <c r="J1147" i="21"/>
  <c r="J1148" i="21"/>
  <c r="J1149" i="21"/>
  <c r="J1150" i="21"/>
  <c r="J1151" i="21"/>
  <c r="J1152" i="21"/>
  <c r="J1153" i="21"/>
  <c r="J1154" i="21"/>
  <c r="J1155" i="21"/>
  <c r="J1156" i="21"/>
  <c r="J1157" i="21"/>
  <c r="J1158" i="21"/>
  <c r="J1159" i="21"/>
  <c r="J1160" i="21"/>
  <c r="J1161" i="21"/>
  <c r="J1162" i="21"/>
  <c r="J1163" i="21"/>
  <c r="J1164" i="21"/>
  <c r="J1165" i="21"/>
  <c r="J1166" i="21"/>
  <c r="J1167" i="21"/>
  <c r="J1168" i="21"/>
  <c r="J1169" i="21"/>
  <c r="J1170" i="21"/>
  <c r="J1171" i="21"/>
  <c r="J1172" i="21"/>
  <c r="J1173" i="21"/>
  <c r="J1174" i="21"/>
  <c r="J1175" i="21"/>
  <c r="J1176" i="21"/>
  <c r="J1177" i="21"/>
  <c r="J1178" i="21"/>
  <c r="J1179" i="21"/>
  <c r="J1180" i="21"/>
  <c r="J1181" i="21"/>
  <c r="J1182" i="21"/>
  <c r="J1183" i="21"/>
  <c r="J1184" i="21"/>
  <c r="J1185" i="21"/>
  <c r="J1186" i="21"/>
  <c r="J1187" i="21"/>
  <c r="J1188" i="21"/>
  <c r="J1189" i="21"/>
  <c r="J1190" i="21"/>
  <c r="J1191" i="21"/>
  <c r="J1192" i="21"/>
  <c r="J1193" i="21"/>
  <c r="J1194" i="21"/>
  <c r="J1195" i="21"/>
  <c r="J1196" i="21"/>
  <c r="J1197" i="21"/>
  <c r="J1198" i="21"/>
  <c r="J1199" i="21"/>
  <c r="J1200" i="21"/>
  <c r="J1201" i="21"/>
  <c r="J1202" i="21"/>
  <c r="J1203" i="21"/>
  <c r="J1204" i="21"/>
  <c r="J1205" i="21"/>
  <c r="J1206" i="21"/>
  <c r="J1207" i="21"/>
  <c r="J1208" i="21"/>
  <c r="J1209" i="21"/>
  <c r="J1210" i="21"/>
  <c r="J1211" i="21"/>
  <c r="J1212" i="21"/>
  <c r="J1213" i="21"/>
  <c r="J1214" i="21"/>
  <c r="J1215" i="21"/>
  <c r="J1216" i="21"/>
  <c r="J1217" i="21"/>
  <c r="J1218" i="21"/>
  <c r="J1219" i="21"/>
  <c r="J1220" i="21"/>
  <c r="J1221" i="21"/>
  <c r="J1222" i="21"/>
  <c r="J1223" i="21"/>
  <c r="J1224" i="21"/>
  <c r="J1225" i="21"/>
  <c r="J1226" i="21"/>
  <c r="J1227" i="21"/>
  <c r="J1228" i="21"/>
  <c r="J1229" i="21"/>
  <c r="J1230" i="21"/>
  <c r="J1231" i="21"/>
  <c r="J1232" i="21"/>
  <c r="J1233" i="21"/>
  <c r="J1234" i="21"/>
  <c r="J1235" i="21"/>
  <c r="J1236" i="21"/>
  <c r="J1237" i="21"/>
  <c r="J1238" i="21"/>
  <c r="J1239" i="21"/>
  <c r="J1240" i="21"/>
  <c r="J1241" i="21"/>
  <c r="J1242" i="21"/>
  <c r="J1243" i="21"/>
  <c r="J1244" i="21"/>
  <c r="J1245" i="21"/>
  <c r="J1246" i="21"/>
  <c r="J1247" i="21"/>
  <c r="J1248" i="21"/>
  <c r="J1249" i="21"/>
  <c r="J1250" i="21"/>
  <c r="J1251" i="21"/>
  <c r="J1252" i="21"/>
  <c r="J1253" i="21"/>
  <c r="J1254" i="21"/>
  <c r="J1255" i="21"/>
  <c r="J1256" i="21"/>
  <c r="J1257" i="21"/>
  <c r="J1258" i="21"/>
  <c r="J1259" i="21"/>
  <c r="J1260" i="21"/>
  <c r="J1261" i="21"/>
  <c r="J1262" i="21"/>
  <c r="J1263" i="21"/>
  <c r="J1264" i="21"/>
  <c r="J1265" i="21"/>
  <c r="J1266" i="21"/>
  <c r="J1267" i="21"/>
  <c r="J1034" i="21"/>
  <c r="A1035" i="21"/>
  <c r="C1035" i="21" s="1"/>
  <c r="A1036" i="21"/>
  <c r="C1036" i="21" s="1"/>
  <c r="A1037" i="21"/>
  <c r="C1037" i="21" s="1"/>
  <c r="A1038" i="21"/>
  <c r="C1038" i="21" s="1"/>
  <c r="A1039" i="21"/>
  <c r="C1039" i="21" s="1"/>
  <c r="A1040" i="21"/>
  <c r="A1041" i="21"/>
  <c r="A1042" i="21"/>
  <c r="A1043" i="21"/>
  <c r="C1043" i="21" s="1"/>
  <c r="A1044" i="21"/>
  <c r="A1045" i="21"/>
  <c r="C1045" i="21" s="1"/>
  <c r="A1046" i="21"/>
  <c r="C1046" i="21" s="1"/>
  <c r="A1047" i="21"/>
  <c r="C1047" i="21" s="1"/>
  <c r="A1048" i="21"/>
  <c r="C1048" i="21" s="1"/>
  <c r="A1049" i="21"/>
  <c r="C1049" i="21" s="1"/>
  <c r="A1050" i="21"/>
  <c r="C1050" i="21" s="1"/>
  <c r="A1051" i="21"/>
  <c r="C1051" i="21" s="1"/>
  <c r="A1052" i="21"/>
  <c r="A1053" i="21"/>
  <c r="C1053" i="21" s="1"/>
  <c r="A1054" i="21"/>
  <c r="A1055" i="21"/>
  <c r="A1056" i="21"/>
  <c r="C1056" i="21" s="1"/>
  <c r="A1057" i="21"/>
  <c r="A1058" i="21"/>
  <c r="C1058" i="21" s="1"/>
  <c r="A1059" i="21"/>
  <c r="C1059" i="21" s="1"/>
  <c r="A1060" i="21"/>
  <c r="C1060" i="21" s="1"/>
  <c r="A1061" i="21"/>
  <c r="C1061" i="21" s="1"/>
  <c r="A1062" i="21"/>
  <c r="C1062" i="21" s="1"/>
  <c r="A1063" i="21"/>
  <c r="C1063" i="21" s="1"/>
  <c r="A1064" i="21"/>
  <c r="C1064" i="21" s="1"/>
  <c r="A1065" i="21"/>
  <c r="C1065" i="21" s="1"/>
  <c r="A1066" i="21"/>
  <c r="C1066" i="21" s="1"/>
  <c r="A1067" i="21"/>
  <c r="C1067" i="21" s="1"/>
  <c r="A1068" i="21"/>
  <c r="A1069" i="21"/>
  <c r="C1069" i="21" s="1"/>
  <c r="A1070" i="21"/>
  <c r="A1071" i="21"/>
  <c r="C1071" i="21" s="1"/>
  <c r="A1072" i="21"/>
  <c r="C1072" i="21" s="1"/>
  <c r="A1073" i="21"/>
  <c r="C1073" i="21" s="1"/>
  <c r="A1074" i="21"/>
  <c r="A1075" i="21"/>
  <c r="C1075" i="21" s="1"/>
  <c r="A1076" i="21"/>
  <c r="A1077" i="21"/>
  <c r="C1077" i="21" s="1"/>
  <c r="A1078" i="21"/>
  <c r="C1078" i="21" s="1"/>
  <c r="A1079" i="21"/>
  <c r="C1079" i="21" s="1"/>
  <c r="A1080" i="21"/>
  <c r="C1080" i="21" s="1"/>
  <c r="A1081" i="21"/>
  <c r="C1081" i="21" s="1"/>
  <c r="A1082" i="21"/>
  <c r="A1083" i="21"/>
  <c r="C1083" i="21" s="1"/>
  <c r="A1084" i="21"/>
  <c r="A1085" i="21"/>
  <c r="C1085" i="21" s="1"/>
  <c r="A1086" i="21"/>
  <c r="C1086" i="21" s="1"/>
  <c r="A1087" i="21"/>
  <c r="C1087" i="21" s="1"/>
  <c r="A1088" i="21"/>
  <c r="C1088" i="21" s="1"/>
  <c r="A1089" i="21"/>
  <c r="A1090" i="21"/>
  <c r="C1090" i="21" s="1"/>
  <c r="A1091" i="21"/>
  <c r="C1091" i="21" s="1"/>
  <c r="A1092" i="21"/>
  <c r="C1092" i="21" s="1"/>
  <c r="A1093" i="21"/>
  <c r="C1093" i="21" s="1"/>
  <c r="A1094" i="21"/>
  <c r="C1094" i="21" s="1"/>
  <c r="A1095" i="21"/>
  <c r="A1096" i="21"/>
  <c r="A1097" i="21"/>
  <c r="A1098" i="21"/>
  <c r="A1099" i="21"/>
  <c r="C1099" i="21" s="1"/>
  <c r="A1100" i="21"/>
  <c r="A1101" i="21"/>
  <c r="C1101" i="21" s="1"/>
  <c r="A1102" i="21"/>
  <c r="C1102" i="21" s="1"/>
  <c r="A1103" i="21"/>
  <c r="C1103" i="21" s="1"/>
  <c r="A1104" i="21"/>
  <c r="C1104" i="21" s="1"/>
  <c r="A1105" i="21"/>
  <c r="C1105" i="21" s="1"/>
  <c r="A1106" i="21"/>
  <c r="C1106" i="21" s="1"/>
  <c r="A1107" i="21"/>
  <c r="C1107" i="21" s="1"/>
  <c r="A1108" i="21"/>
  <c r="A1109" i="21"/>
  <c r="C1109" i="21" s="1"/>
  <c r="A1110" i="21"/>
  <c r="A1111" i="21"/>
  <c r="A1112" i="21"/>
  <c r="C1112" i="21" s="1"/>
  <c r="A1113" i="21"/>
  <c r="A1114" i="21"/>
  <c r="A1115" i="21"/>
  <c r="C1115" i="21" s="1"/>
  <c r="A1116" i="21"/>
  <c r="C1116" i="21" s="1"/>
  <c r="A1117" i="21"/>
  <c r="C1117" i="21" s="1"/>
  <c r="A1118" i="21"/>
  <c r="A1119" i="21"/>
  <c r="C1119" i="21" s="1"/>
  <c r="A1120" i="21"/>
  <c r="C1120" i="21" s="1"/>
  <c r="A1121" i="21"/>
  <c r="C1121" i="21" s="1"/>
  <c r="A1122" i="21"/>
  <c r="C1122" i="21" s="1"/>
  <c r="A1123" i="21"/>
  <c r="C1123" i="21" s="1"/>
  <c r="A1124" i="21"/>
  <c r="A1125" i="21"/>
  <c r="C1125" i="21" s="1"/>
  <c r="A1126" i="21"/>
  <c r="A1127" i="21"/>
  <c r="C1127" i="21" s="1"/>
  <c r="A1128" i="21"/>
  <c r="C1128" i="21" s="1"/>
  <c r="A1129" i="21"/>
  <c r="C1129" i="21" s="1"/>
  <c r="A1130" i="21"/>
  <c r="A1131" i="21"/>
  <c r="C1131" i="21" s="1"/>
  <c r="A1132" i="21"/>
  <c r="C1132" i="21" s="1"/>
  <c r="A1133" i="21"/>
  <c r="C1133" i="21" s="1"/>
  <c r="A1134" i="21"/>
  <c r="C1134" i="21" s="1"/>
  <c r="A1135" i="21"/>
  <c r="C1135" i="21" s="1"/>
  <c r="A1136" i="21"/>
  <c r="C1136" i="21" s="1"/>
  <c r="A1137" i="21"/>
  <c r="C1137" i="21" s="1"/>
  <c r="A1138" i="21"/>
  <c r="A1139" i="21"/>
  <c r="C1139" i="21" s="1"/>
  <c r="A1140" i="21"/>
  <c r="A1141" i="21"/>
  <c r="C1141" i="21" s="1"/>
  <c r="A1142" i="21"/>
  <c r="C1142" i="21" s="1"/>
  <c r="A1143" i="21"/>
  <c r="C1143" i="21" s="1"/>
  <c r="A1144" i="21"/>
  <c r="C1144" i="21" s="1"/>
  <c r="A1145" i="21"/>
  <c r="C1145" i="21" s="1"/>
  <c r="A1146" i="21"/>
  <c r="C1146" i="21" s="1"/>
  <c r="A1147" i="21"/>
  <c r="C1147" i="21" s="1"/>
  <c r="A1148" i="21"/>
  <c r="A1149" i="21"/>
  <c r="C1149" i="21" s="1"/>
  <c r="A1150" i="21"/>
  <c r="C1150" i="21" s="1"/>
  <c r="A1151" i="21"/>
  <c r="C1151" i="21" s="1"/>
  <c r="A1152" i="21"/>
  <c r="C1152" i="21" s="1"/>
  <c r="A1153" i="21"/>
  <c r="A1154" i="21"/>
  <c r="A1155" i="21"/>
  <c r="C1155" i="21" s="1"/>
  <c r="A1156" i="21"/>
  <c r="C1156" i="21" s="1"/>
  <c r="A1157" i="21"/>
  <c r="C1157" i="21" s="1"/>
  <c r="A1158" i="21"/>
  <c r="C1158" i="21" s="1"/>
  <c r="A1159" i="21"/>
  <c r="C1159" i="21" s="1"/>
  <c r="A1160" i="21"/>
  <c r="C1160" i="21" s="1"/>
  <c r="A1161" i="21"/>
  <c r="C1161" i="21" s="1"/>
  <c r="A1162" i="21"/>
  <c r="C1162" i="21" s="1"/>
  <c r="A1163" i="21"/>
  <c r="C1163" i="21" s="1"/>
  <c r="A1164" i="21"/>
  <c r="A1165" i="21"/>
  <c r="C1165" i="21" s="1"/>
  <c r="A1166" i="21"/>
  <c r="A1167" i="21"/>
  <c r="A1168" i="21"/>
  <c r="C1168" i="21" s="1"/>
  <c r="A1169" i="21"/>
  <c r="A1170" i="21"/>
  <c r="C1170" i="21" s="1"/>
  <c r="A1171" i="21"/>
  <c r="C1171" i="21" s="1"/>
  <c r="A1172" i="21"/>
  <c r="C1172" i="21" s="1"/>
  <c r="A1173" i="21"/>
  <c r="C1173" i="21" s="1"/>
  <c r="A1174" i="21"/>
  <c r="C1174" i="21" s="1"/>
  <c r="A1175" i="21"/>
  <c r="C1175" i="21" s="1"/>
  <c r="A1176" i="21"/>
  <c r="C1176" i="21" s="1"/>
  <c r="A1177" i="21"/>
  <c r="C1177" i="21" s="1"/>
  <c r="A1178" i="21"/>
  <c r="C1178" i="21" s="1"/>
  <c r="A1179" i="21"/>
  <c r="C1179" i="21" s="1"/>
  <c r="A1180" i="21"/>
  <c r="C1180" i="21" s="1"/>
  <c r="A1181" i="21"/>
  <c r="C1181" i="21" s="1"/>
  <c r="A1182" i="21"/>
  <c r="A1183" i="21"/>
  <c r="C1183" i="21" s="1"/>
  <c r="A1184" i="21"/>
  <c r="C1184" i="21" s="1"/>
  <c r="A1185" i="21"/>
  <c r="C1185" i="21" s="1"/>
  <c r="A1186" i="21"/>
  <c r="A1187" i="21"/>
  <c r="C1187" i="21" s="1"/>
  <c r="A1188" i="21"/>
  <c r="C1188" i="21" s="1"/>
  <c r="A1189" i="21"/>
  <c r="C1189" i="21" s="1"/>
  <c r="A1190" i="21"/>
  <c r="C1190" i="21" s="1"/>
  <c r="A1191" i="21"/>
  <c r="C1191" i="21" s="1"/>
  <c r="A1192" i="21"/>
  <c r="C1192" i="21" s="1"/>
  <c r="A1193" i="21"/>
  <c r="C1193" i="21" s="1"/>
  <c r="A1194" i="21"/>
  <c r="A1195" i="21"/>
  <c r="C1195" i="21" s="1"/>
  <c r="A1196" i="21"/>
  <c r="A1197" i="21"/>
  <c r="C1197" i="21" s="1"/>
  <c r="A1198" i="21"/>
  <c r="C1198" i="21" s="1"/>
  <c r="A1199" i="21"/>
  <c r="C1199" i="21" s="1"/>
  <c r="A1200" i="21"/>
  <c r="C1200" i="21" s="1"/>
  <c r="A1201" i="21"/>
  <c r="C1201" i="21" s="1"/>
  <c r="A1202" i="21"/>
  <c r="C1202" i="21" s="1"/>
  <c r="A1203" i="21"/>
  <c r="C1203" i="21" s="1"/>
  <c r="A1204" i="21"/>
  <c r="A1205" i="21"/>
  <c r="C1205" i="21" s="1"/>
  <c r="A1206" i="21"/>
  <c r="C1206" i="21" s="1"/>
  <c r="A1207" i="21"/>
  <c r="C1207" i="21" s="1"/>
  <c r="A1208" i="21"/>
  <c r="C1208" i="21" s="1"/>
  <c r="A1209" i="21"/>
  <c r="A1210" i="21"/>
  <c r="A1211" i="21"/>
  <c r="C1211" i="21" s="1"/>
  <c r="A1212" i="21"/>
  <c r="A1213" i="21"/>
  <c r="C1213" i="21" s="1"/>
  <c r="A1214" i="21"/>
  <c r="A1215" i="21"/>
  <c r="A1216" i="21"/>
  <c r="C1216" i="21" s="1"/>
  <c r="A1217" i="21"/>
  <c r="C1217" i="21" s="1"/>
  <c r="A1218" i="21"/>
  <c r="C1218" i="21" s="1"/>
  <c r="A1219" i="21"/>
  <c r="C1219" i="21" s="1"/>
  <c r="A1220" i="21"/>
  <c r="A1221" i="21"/>
  <c r="C1221" i="21" s="1"/>
  <c r="A1222" i="21"/>
  <c r="A1223" i="21"/>
  <c r="A1224" i="21"/>
  <c r="C1224" i="21" s="1"/>
  <c r="A1225" i="21"/>
  <c r="C1225" i="21" s="1"/>
  <c r="A1226" i="21"/>
  <c r="C1226" i="21" s="1"/>
  <c r="A1227" i="21"/>
  <c r="C1227" i="21" s="1"/>
  <c r="A1228" i="21"/>
  <c r="A1229" i="21"/>
  <c r="C1229" i="21" s="1"/>
  <c r="A1230" i="21"/>
  <c r="C1230" i="21" s="1"/>
  <c r="A1231" i="21"/>
  <c r="C1231" i="21" s="1"/>
  <c r="A1232" i="21"/>
  <c r="C1232" i="21" s="1"/>
  <c r="A1233" i="21"/>
  <c r="C1233" i="21" s="1"/>
  <c r="A1234" i="21"/>
  <c r="C1234" i="21" s="1"/>
  <c r="A1235" i="21"/>
  <c r="C1235" i="21" s="1"/>
  <c r="A1236" i="21"/>
  <c r="A1237" i="21"/>
  <c r="C1237" i="21" s="1"/>
  <c r="A1238" i="21"/>
  <c r="C1238" i="21" s="1"/>
  <c r="A1239" i="21"/>
  <c r="C1239" i="21" s="1"/>
  <c r="A1240" i="21"/>
  <c r="C1240" i="21" s="1"/>
  <c r="A1241" i="21"/>
  <c r="C1241" i="21" s="1"/>
  <c r="A1242" i="21"/>
  <c r="C1242" i="21" s="1"/>
  <c r="A1243" i="21"/>
  <c r="C1243" i="21" s="1"/>
  <c r="A1244" i="21"/>
  <c r="A1245" i="21"/>
  <c r="C1245" i="21" s="1"/>
  <c r="A1246" i="21"/>
  <c r="C1246" i="21" s="1"/>
  <c r="A1247" i="21"/>
  <c r="C1247" i="21" s="1"/>
  <c r="A1248" i="21"/>
  <c r="C1248" i="21" s="1"/>
  <c r="A1249" i="21"/>
  <c r="C1249" i="21" s="1"/>
  <c r="A1250" i="21"/>
  <c r="A1251" i="21"/>
  <c r="C1251" i="21" s="1"/>
  <c r="A1252" i="21"/>
  <c r="C1252" i="21" s="1"/>
  <c r="A1253" i="21"/>
  <c r="C1253" i="21" s="1"/>
  <c r="A1254" i="21"/>
  <c r="C1254" i="21" s="1"/>
  <c r="A1255" i="21"/>
  <c r="C1255" i="21" s="1"/>
  <c r="A1256" i="21"/>
  <c r="C1256" i="21" s="1"/>
  <c r="A1257" i="21"/>
  <c r="C1257" i="21" s="1"/>
  <c r="A1258" i="21"/>
  <c r="C1258" i="21" s="1"/>
  <c r="A1259" i="21"/>
  <c r="C1259" i="21" s="1"/>
  <c r="A1260" i="21"/>
  <c r="A1261" i="21"/>
  <c r="C1261" i="21" s="1"/>
  <c r="A1262" i="21"/>
  <c r="C1262" i="21" s="1"/>
  <c r="A1263" i="21"/>
  <c r="C1263" i="21" s="1"/>
  <c r="A1264" i="21"/>
  <c r="C1264" i="21" s="1"/>
  <c r="A1265" i="21"/>
  <c r="A1266" i="21"/>
  <c r="A1267" i="21"/>
  <c r="C1267" i="21" s="1"/>
  <c r="A1034" i="21"/>
  <c r="C168" i="21"/>
  <c r="J2841" i="21"/>
  <c r="I1104" i="55" s="1"/>
  <c r="J2842" i="21"/>
  <c r="I1105" i="55" s="1"/>
  <c r="J2843" i="21"/>
  <c r="I1106" i="55" s="1"/>
  <c r="J2844" i="21"/>
  <c r="I1107" i="55" s="1"/>
  <c r="J2845" i="21"/>
  <c r="I1108" i="55" s="1"/>
  <c r="J2846" i="21"/>
  <c r="I1109" i="55" s="1"/>
  <c r="J2847" i="21"/>
  <c r="I1110" i="55" s="1"/>
  <c r="J2848" i="21"/>
  <c r="I1111" i="55" s="1"/>
  <c r="J2849" i="21"/>
  <c r="I1112" i="55" s="1"/>
  <c r="J2850" i="21"/>
  <c r="I1113" i="55" s="1"/>
  <c r="J2851" i="21"/>
  <c r="I1114" i="55" s="1"/>
  <c r="J2852" i="21"/>
  <c r="I1115" i="55" s="1"/>
  <c r="J2853" i="21"/>
  <c r="I1116" i="55" s="1"/>
  <c r="J2854" i="21"/>
  <c r="I1117" i="55" s="1"/>
  <c r="J2855" i="21"/>
  <c r="I1118" i="55" s="1"/>
  <c r="J2856" i="21"/>
  <c r="I1119" i="55" s="1"/>
  <c r="J2857" i="21"/>
  <c r="I1120" i="55" s="1"/>
  <c r="J2858" i="21"/>
  <c r="I1121" i="55" s="1"/>
  <c r="J2859" i="21"/>
  <c r="I1122" i="55" s="1"/>
  <c r="J2860" i="21"/>
  <c r="I1123" i="55" s="1"/>
  <c r="J2861" i="21"/>
  <c r="I1124" i="55" s="1"/>
  <c r="J2862" i="21"/>
  <c r="I1125" i="55" s="1"/>
  <c r="J2863" i="21"/>
  <c r="I1126" i="55" s="1"/>
  <c r="J2864" i="21"/>
  <c r="I1127" i="55" s="1"/>
  <c r="J2865" i="21"/>
  <c r="I1128" i="55" s="1"/>
  <c r="J2866" i="21"/>
  <c r="I1129" i="55" s="1"/>
  <c r="J2867" i="21"/>
  <c r="I1130" i="55" s="1"/>
  <c r="J2868" i="21"/>
  <c r="I1131" i="55" s="1"/>
  <c r="J2869" i="21"/>
  <c r="I1132" i="55" s="1"/>
  <c r="J2870" i="21"/>
  <c r="I1133" i="55" s="1"/>
  <c r="J2871" i="21"/>
  <c r="I1134" i="55" s="1"/>
  <c r="J2872" i="21"/>
  <c r="I1135" i="55" s="1"/>
  <c r="J2873" i="21"/>
  <c r="I1136" i="55" s="1"/>
  <c r="J2874" i="21"/>
  <c r="I1137" i="55" s="1"/>
  <c r="J2875" i="21"/>
  <c r="I1138" i="55" s="1"/>
  <c r="J2876" i="21"/>
  <c r="I1139" i="55" s="1"/>
  <c r="J2877" i="21"/>
  <c r="I1140" i="55" s="1"/>
  <c r="J2878" i="21"/>
  <c r="I1141" i="55" s="1"/>
  <c r="J2879" i="21"/>
  <c r="I1142" i="55" s="1"/>
  <c r="J2880" i="21"/>
  <c r="I1143" i="55" s="1"/>
  <c r="J2881" i="21"/>
  <c r="I1144" i="55" s="1"/>
  <c r="J2882" i="21"/>
  <c r="I1145" i="55" s="1"/>
  <c r="J2883" i="21"/>
  <c r="I1146" i="55" s="1"/>
  <c r="J2884" i="21"/>
  <c r="I1147" i="55" s="1"/>
  <c r="J2885" i="21"/>
  <c r="I1148" i="55" s="1"/>
  <c r="J2886" i="21"/>
  <c r="I1149" i="55" s="1"/>
  <c r="J2887" i="21"/>
  <c r="I1150" i="55" s="1"/>
  <c r="J2888" i="21"/>
  <c r="I1151" i="55" s="1"/>
  <c r="J2889" i="21"/>
  <c r="I1152" i="55" s="1"/>
  <c r="J2890" i="21"/>
  <c r="I1153" i="55" s="1"/>
  <c r="J2891" i="21"/>
  <c r="I1154" i="55" s="1"/>
  <c r="J2892" i="21"/>
  <c r="I1155" i="55" s="1"/>
  <c r="J2893" i="21"/>
  <c r="I1156" i="55" s="1"/>
  <c r="J2894" i="21"/>
  <c r="I1157" i="55" s="1"/>
  <c r="J2895" i="21"/>
  <c r="I1158" i="55" s="1"/>
  <c r="J2896" i="21"/>
  <c r="I1159" i="55" s="1"/>
  <c r="J2897" i="21"/>
  <c r="I1160" i="55" s="1"/>
  <c r="J2898" i="21"/>
  <c r="I1161" i="55" s="1"/>
  <c r="J2899" i="21"/>
  <c r="I1162" i="55" s="1"/>
  <c r="J2900" i="21"/>
  <c r="I1163" i="55" s="1"/>
  <c r="J2901" i="21"/>
  <c r="I1164" i="55" s="1"/>
  <c r="J2902" i="21"/>
  <c r="I1165" i="55" s="1"/>
  <c r="J2903" i="21"/>
  <c r="I1166" i="55" s="1"/>
  <c r="J2904" i="21"/>
  <c r="I1167" i="55" s="1"/>
  <c r="J2905" i="21"/>
  <c r="I1168" i="55" s="1"/>
  <c r="J2906" i="21"/>
  <c r="I1169" i="55" s="1"/>
  <c r="J2907" i="21"/>
  <c r="I1170" i="55" s="1"/>
  <c r="J2908" i="21"/>
  <c r="I1171" i="55" s="1"/>
  <c r="J2909" i="21"/>
  <c r="I1172" i="55" s="1"/>
  <c r="J2910" i="21"/>
  <c r="I1173" i="55" s="1"/>
  <c r="J2911" i="21"/>
  <c r="I1174" i="55" s="1"/>
  <c r="J2912" i="21"/>
  <c r="I1175" i="55" s="1"/>
  <c r="J2913" i="21"/>
  <c r="I1176" i="55" s="1"/>
  <c r="J2914" i="21"/>
  <c r="I1177" i="55" s="1"/>
  <c r="J2915" i="21"/>
  <c r="I1178" i="55" s="1"/>
  <c r="J2916" i="21"/>
  <c r="I1179" i="55" s="1"/>
  <c r="J2917" i="21"/>
  <c r="I1180" i="55" s="1"/>
  <c r="J2918" i="21"/>
  <c r="I1181" i="55" s="1"/>
  <c r="J2919" i="21"/>
  <c r="I1182" i="55" s="1"/>
  <c r="J2920" i="21"/>
  <c r="I1183" i="55" s="1"/>
  <c r="J2921" i="21"/>
  <c r="I1184" i="55" s="1"/>
  <c r="J2922" i="21"/>
  <c r="I1185" i="55" s="1"/>
  <c r="J2923" i="21"/>
  <c r="I1186" i="55" s="1"/>
  <c r="J2924" i="21"/>
  <c r="I1187" i="55" s="1"/>
  <c r="J2925" i="21"/>
  <c r="I1188" i="55" s="1"/>
  <c r="J2926" i="21"/>
  <c r="I1189" i="55" s="1"/>
  <c r="J2927" i="21"/>
  <c r="I1190" i="55" s="1"/>
  <c r="J2928" i="21"/>
  <c r="I1191" i="55" s="1"/>
  <c r="J2929" i="21"/>
  <c r="I1192" i="55" s="1"/>
  <c r="J2930" i="21"/>
  <c r="I1193" i="55" s="1"/>
  <c r="J2931" i="21"/>
  <c r="I1194" i="55" s="1"/>
  <c r="J2932" i="21"/>
  <c r="I1195" i="55" s="1"/>
  <c r="J2933" i="21"/>
  <c r="I1196" i="55" s="1"/>
  <c r="J2934" i="21"/>
  <c r="I1197" i="55" s="1"/>
  <c r="J2935" i="21"/>
  <c r="I1198" i="55" s="1"/>
  <c r="J2936" i="21"/>
  <c r="I1199" i="55" s="1"/>
  <c r="J2937" i="21"/>
  <c r="I1200" i="55" s="1"/>
  <c r="J2938" i="21"/>
  <c r="I1201" i="55" s="1"/>
  <c r="J2939" i="21"/>
  <c r="I1202" i="55" s="1"/>
  <c r="J2940" i="21"/>
  <c r="I1203" i="55" s="1"/>
  <c r="J2941" i="21"/>
  <c r="I1204" i="55" s="1"/>
  <c r="J2942" i="21"/>
  <c r="I1205" i="55" s="1"/>
  <c r="J2943" i="21"/>
  <c r="I1206" i="55" s="1"/>
  <c r="J2944" i="21"/>
  <c r="I1207" i="55" s="1"/>
  <c r="J2945" i="21"/>
  <c r="I1208" i="55" s="1"/>
  <c r="J2946" i="21"/>
  <c r="I1209" i="55" s="1"/>
  <c r="J2947" i="21"/>
  <c r="I1210" i="55" s="1"/>
  <c r="J2948" i="21"/>
  <c r="I1211" i="55" s="1"/>
  <c r="J2949" i="21"/>
  <c r="I1212" i="55" s="1"/>
  <c r="J2950" i="21"/>
  <c r="I1213" i="55" s="1"/>
  <c r="J2951" i="21"/>
  <c r="I1214" i="55" s="1"/>
  <c r="J2952" i="21"/>
  <c r="I1215" i="55" s="1"/>
  <c r="J2953" i="21"/>
  <c r="I1216" i="55" s="1"/>
  <c r="J2954" i="21"/>
  <c r="I1217" i="55" s="1"/>
  <c r="J2955" i="21"/>
  <c r="I1218" i="55" s="1"/>
  <c r="J2956" i="21"/>
  <c r="I1219" i="55" s="1"/>
  <c r="J2957" i="21"/>
  <c r="I1220" i="55" s="1"/>
  <c r="J2958" i="21"/>
  <c r="I1221" i="55" s="1"/>
  <c r="J2959" i="21"/>
  <c r="I1222" i="55" s="1"/>
  <c r="J2960" i="21"/>
  <c r="I1223" i="55" s="1"/>
  <c r="J2961" i="21"/>
  <c r="I1224" i="55" s="1"/>
  <c r="J2962" i="21"/>
  <c r="I1225" i="55" s="1"/>
  <c r="J2963" i="21"/>
  <c r="I1226" i="55" s="1"/>
  <c r="J2964" i="21"/>
  <c r="I1227" i="55" s="1"/>
  <c r="J2965" i="21"/>
  <c r="I1228" i="55" s="1"/>
  <c r="J2966" i="21"/>
  <c r="I1229" i="55" s="1"/>
  <c r="J2967" i="21"/>
  <c r="I1230" i="55" s="1"/>
  <c r="J2968" i="21"/>
  <c r="I1231" i="55" s="1"/>
  <c r="J2969" i="21"/>
  <c r="I1232" i="55" s="1"/>
  <c r="J2970" i="21"/>
  <c r="I1233" i="55" s="1"/>
  <c r="J2971" i="21"/>
  <c r="I1234" i="55" s="1"/>
  <c r="J2972" i="21"/>
  <c r="I1235" i="55" s="1"/>
  <c r="J2973" i="21"/>
  <c r="I1236" i="55" s="1"/>
  <c r="J2974" i="21"/>
  <c r="I1237" i="55" s="1"/>
  <c r="J2975" i="21"/>
  <c r="I1238" i="55" s="1"/>
  <c r="J2976" i="21"/>
  <c r="I1239" i="55" s="1"/>
  <c r="J2977" i="21"/>
  <c r="I1240" i="55" s="1"/>
  <c r="J2978" i="21"/>
  <c r="I1241" i="55" s="1"/>
  <c r="J2979" i="21"/>
  <c r="I1242" i="55" s="1"/>
  <c r="J2980" i="21"/>
  <c r="I1243" i="55" s="1"/>
  <c r="J2981" i="21"/>
  <c r="I1244" i="55" s="1"/>
  <c r="J2982" i="21"/>
  <c r="I1245" i="55" s="1"/>
  <c r="J2983" i="21"/>
  <c r="I1246" i="55" s="1"/>
  <c r="J2984" i="21"/>
  <c r="I1247" i="55" s="1"/>
  <c r="J2985" i="21"/>
  <c r="I1248" i="55" s="1"/>
  <c r="J2986" i="21"/>
  <c r="I1249" i="55" s="1"/>
  <c r="J2987" i="21"/>
  <c r="I1250" i="55" s="1"/>
  <c r="J2988" i="21"/>
  <c r="I1251" i="55" s="1"/>
  <c r="J2989" i="21"/>
  <c r="I1252" i="55" s="1"/>
  <c r="J2990" i="21"/>
  <c r="I1253" i="55" s="1"/>
  <c r="J2991" i="21"/>
  <c r="I1254" i="55" s="1"/>
  <c r="J2992" i="21"/>
  <c r="I1255" i="55" s="1"/>
  <c r="J2993" i="21"/>
  <c r="I1256" i="55" s="1"/>
  <c r="J2994" i="21"/>
  <c r="I1257" i="55" s="1"/>
  <c r="J2995" i="21"/>
  <c r="I1258" i="55" s="1"/>
  <c r="J2996" i="21"/>
  <c r="I1259" i="55" s="1"/>
  <c r="J2997" i="21"/>
  <c r="I1260" i="55" s="1"/>
  <c r="J2998" i="21"/>
  <c r="I1261" i="55" s="1"/>
  <c r="J2999" i="21"/>
  <c r="I1262" i="55" s="1"/>
  <c r="J3000" i="21"/>
  <c r="I1263" i="55" s="1"/>
  <c r="J3001" i="21"/>
  <c r="I1264" i="55" s="1"/>
  <c r="J3002" i="21"/>
  <c r="I1265" i="55" s="1"/>
  <c r="J3003" i="21"/>
  <c r="I1266" i="55" s="1"/>
  <c r="J3004" i="21"/>
  <c r="I1267" i="55" s="1"/>
  <c r="J3005" i="21"/>
  <c r="I1268" i="55" s="1"/>
  <c r="J3006" i="21"/>
  <c r="I1269" i="55" s="1"/>
  <c r="J3007" i="21"/>
  <c r="I1270" i="55" s="1"/>
  <c r="J3008" i="21"/>
  <c r="I1271" i="55" s="1"/>
  <c r="J3009" i="21"/>
  <c r="I1272" i="55" s="1"/>
  <c r="J3010" i="21"/>
  <c r="I1273" i="55" s="1"/>
  <c r="J3011" i="21"/>
  <c r="I1274" i="55" s="1"/>
  <c r="J3012" i="21"/>
  <c r="I1275" i="55" s="1"/>
  <c r="J3013" i="21"/>
  <c r="I1276" i="55" s="1"/>
  <c r="J3014" i="21"/>
  <c r="I1277" i="55" s="1"/>
  <c r="J3015" i="21"/>
  <c r="I1278" i="55" s="1"/>
  <c r="J3016" i="21"/>
  <c r="I1279" i="55" s="1"/>
  <c r="J3017" i="21"/>
  <c r="I1280" i="55" s="1"/>
  <c r="J3018" i="21"/>
  <c r="I1281" i="55" s="1"/>
  <c r="J3019" i="21"/>
  <c r="I1282" i="55" s="1"/>
  <c r="J3020" i="21"/>
  <c r="I1283" i="55" s="1"/>
  <c r="J3021" i="21"/>
  <c r="I1284" i="55" s="1"/>
  <c r="J3022" i="21"/>
  <c r="I1285" i="55" s="1"/>
  <c r="J3023" i="21"/>
  <c r="I1286" i="55" s="1"/>
  <c r="J3024" i="21"/>
  <c r="I1287" i="55" s="1"/>
  <c r="J3025" i="21"/>
  <c r="I1288" i="55" s="1"/>
  <c r="J3026" i="21"/>
  <c r="I1289" i="55" s="1"/>
  <c r="J3027" i="21"/>
  <c r="I1290" i="55" s="1"/>
  <c r="J3028" i="21"/>
  <c r="I1291" i="55" s="1"/>
  <c r="J3029" i="21"/>
  <c r="I1292" i="55" s="1"/>
  <c r="J3030" i="21"/>
  <c r="I1293" i="55" s="1"/>
  <c r="J3031" i="21"/>
  <c r="I1294" i="55" s="1"/>
  <c r="J3032" i="21"/>
  <c r="I1295" i="55" s="1"/>
  <c r="J3033" i="21"/>
  <c r="I1296" i="55" s="1"/>
  <c r="J3034" i="21"/>
  <c r="I1297" i="55" s="1"/>
  <c r="J3035" i="21"/>
  <c r="I1298" i="55" s="1"/>
  <c r="J3036" i="21"/>
  <c r="I1299" i="55" s="1"/>
  <c r="J3037" i="21"/>
  <c r="I1300" i="55" s="1"/>
  <c r="J3038" i="21"/>
  <c r="I1301" i="55" s="1"/>
  <c r="J3039" i="21"/>
  <c r="I1302" i="55" s="1"/>
  <c r="J3040" i="21"/>
  <c r="I1303" i="55" s="1"/>
  <c r="J3041" i="21"/>
  <c r="I1304" i="55" s="1"/>
  <c r="J3042" i="21"/>
  <c r="I1305" i="55" s="1"/>
  <c r="J3043" i="21"/>
  <c r="I1306" i="55" s="1"/>
  <c r="J3044" i="21"/>
  <c r="I1307" i="55" s="1"/>
  <c r="J3045" i="21"/>
  <c r="I1308" i="55" s="1"/>
  <c r="J3046" i="21"/>
  <c r="I1309" i="55" s="1"/>
  <c r="J3047" i="21"/>
  <c r="I1310" i="55" s="1"/>
  <c r="J3048" i="21"/>
  <c r="I1311" i="55" s="1"/>
  <c r="J3049" i="21"/>
  <c r="I1312" i="55" s="1"/>
  <c r="J3050" i="21"/>
  <c r="I1313" i="55" s="1"/>
  <c r="J3051" i="21"/>
  <c r="I1314" i="55" s="1"/>
  <c r="J3052" i="21"/>
  <c r="I1315" i="55" s="1"/>
  <c r="J3053" i="21"/>
  <c r="I1316" i="55" s="1"/>
  <c r="J3054" i="21"/>
  <c r="I1317" i="55" s="1"/>
  <c r="J3055" i="21"/>
  <c r="I1318" i="55" s="1"/>
  <c r="J3056" i="21"/>
  <c r="I1319" i="55" s="1"/>
  <c r="J3057" i="21"/>
  <c r="I1320" i="55" s="1"/>
  <c r="J3058" i="21"/>
  <c r="I1321" i="55" s="1"/>
  <c r="J3059" i="21"/>
  <c r="I1322" i="55" s="1"/>
  <c r="J3060" i="21"/>
  <c r="I1323" i="55" s="1"/>
  <c r="J3061" i="21"/>
  <c r="I1324" i="55" s="1"/>
  <c r="J3062" i="21"/>
  <c r="I1325" i="55" s="1"/>
  <c r="J3063" i="21"/>
  <c r="I1326" i="55" s="1"/>
  <c r="J3064" i="21"/>
  <c r="I1327" i="55" s="1"/>
  <c r="J3065" i="21"/>
  <c r="I1328" i="55" s="1"/>
  <c r="J3066" i="21"/>
  <c r="I1329" i="55" s="1"/>
  <c r="J3067" i="21"/>
  <c r="I1330" i="55" s="1"/>
  <c r="J3068" i="21"/>
  <c r="I1331" i="55" s="1"/>
  <c r="J3069" i="21"/>
  <c r="I1332" i="55" s="1"/>
  <c r="J3070" i="21"/>
  <c r="I1333" i="55" s="1"/>
  <c r="J3071" i="21"/>
  <c r="I1334" i="55" s="1"/>
  <c r="J3072" i="21"/>
  <c r="I1335" i="55" s="1"/>
  <c r="J3073" i="21"/>
  <c r="I1336" i="55" s="1"/>
  <c r="J2840" i="21"/>
  <c r="I1103" i="55" s="1"/>
  <c r="A2841" i="21"/>
  <c r="C2841" i="21" s="1"/>
  <c r="A2842" i="21"/>
  <c r="C2842" i="21" s="1"/>
  <c r="C1105" i="55" s="1"/>
  <c r="A2843" i="21"/>
  <c r="C2843" i="21" s="1"/>
  <c r="A2844" i="21"/>
  <c r="C2844" i="21" s="1"/>
  <c r="A2845" i="21"/>
  <c r="C2845" i="21" s="1"/>
  <c r="A2846" i="21"/>
  <c r="C2846" i="21" s="1"/>
  <c r="A2847" i="21"/>
  <c r="C2847" i="21" s="1"/>
  <c r="A2848" i="21"/>
  <c r="A2849" i="21"/>
  <c r="C2849" i="21" s="1"/>
  <c r="A2850" i="21"/>
  <c r="C2850" i="21" s="1"/>
  <c r="D2850" i="21" s="1"/>
  <c r="A2851" i="21"/>
  <c r="C2851" i="21" s="1"/>
  <c r="A2852" i="21"/>
  <c r="C2852" i="21" s="1"/>
  <c r="A2853" i="21"/>
  <c r="C2853" i="21" s="1"/>
  <c r="A2854" i="21"/>
  <c r="C2854" i="21" s="1"/>
  <c r="A2855" i="21"/>
  <c r="C2855" i="21" s="1"/>
  <c r="A2856" i="21"/>
  <c r="C2856" i="21" s="1"/>
  <c r="A2857" i="21"/>
  <c r="C2857" i="21" s="1"/>
  <c r="A2858" i="21"/>
  <c r="C2858" i="21" s="1"/>
  <c r="A2859" i="21"/>
  <c r="C2859" i="21" s="1"/>
  <c r="A2860" i="21"/>
  <c r="C2860" i="21" s="1"/>
  <c r="C1123" i="55" s="1"/>
  <c r="A2861" i="21"/>
  <c r="C2861" i="21" s="1"/>
  <c r="C1124" i="55" s="1"/>
  <c r="D1124" i="55" s="1"/>
  <c r="A2862" i="21"/>
  <c r="C2862" i="21" s="1"/>
  <c r="A2863" i="21"/>
  <c r="C2863" i="21" s="1"/>
  <c r="C1126" i="55" s="1"/>
  <c r="A2864" i="21"/>
  <c r="C2864" i="21" s="1"/>
  <c r="C1127" i="55" s="1"/>
  <c r="A2865" i="21"/>
  <c r="C2865" i="21" s="1"/>
  <c r="C1128" i="55" s="1"/>
  <c r="A2866" i="21"/>
  <c r="C2866" i="21" s="1"/>
  <c r="C1129" i="55" s="1"/>
  <c r="A2867" i="21"/>
  <c r="C2867" i="21" s="1"/>
  <c r="C1130" i="55" s="1"/>
  <c r="A2868" i="21"/>
  <c r="C2868" i="21" s="1"/>
  <c r="A2869" i="21"/>
  <c r="C2869" i="21" s="1"/>
  <c r="A2870" i="21"/>
  <c r="C2870" i="21" s="1"/>
  <c r="C1133" i="55" s="1"/>
  <c r="A2871" i="21"/>
  <c r="C2871" i="21" s="1"/>
  <c r="C1134" i="55" s="1"/>
  <c r="A2872" i="21"/>
  <c r="C2872" i="21" s="1"/>
  <c r="C1135" i="55" s="1"/>
  <c r="A2873" i="21"/>
  <c r="C2873" i="21" s="1"/>
  <c r="A2874" i="21"/>
  <c r="C2874" i="21" s="1"/>
  <c r="A2875" i="21"/>
  <c r="C2875" i="21" s="1"/>
  <c r="C1138" i="55" s="1"/>
  <c r="A2876" i="21"/>
  <c r="C2876" i="21" s="1"/>
  <c r="C1139" i="55" s="1"/>
  <c r="A2877" i="21"/>
  <c r="C2877" i="21" s="1"/>
  <c r="A2878" i="21"/>
  <c r="C2878" i="21" s="1"/>
  <c r="C1141" i="55" s="1"/>
  <c r="A2879" i="21"/>
  <c r="C2879" i="21" s="1"/>
  <c r="C1142" i="55" s="1"/>
  <c r="A2880" i="21"/>
  <c r="C2880" i="21" s="1"/>
  <c r="C1143" i="55" s="1"/>
  <c r="A2881" i="21"/>
  <c r="C2881" i="21" s="1"/>
  <c r="C1144" i="55" s="1"/>
  <c r="A2882" i="21"/>
  <c r="C2882" i="21" s="1"/>
  <c r="D2882" i="21" s="1"/>
  <c r="A2883" i="21"/>
  <c r="C2883" i="21" s="1"/>
  <c r="A2884" i="21"/>
  <c r="C2884" i="21" s="1"/>
  <c r="A2885" i="21"/>
  <c r="C2885" i="21" s="1"/>
  <c r="A2886" i="21"/>
  <c r="C2886" i="21" s="1"/>
  <c r="A2887" i="21"/>
  <c r="C2887" i="21" s="1"/>
  <c r="C1150" i="55" s="1"/>
  <c r="A2888" i="21"/>
  <c r="C2888" i="21" s="1"/>
  <c r="C1151" i="55" s="1"/>
  <c r="A2889" i="21"/>
  <c r="C2889" i="21" s="1"/>
  <c r="C1152" i="55" s="1"/>
  <c r="A2890" i="21"/>
  <c r="C2890" i="21" s="1"/>
  <c r="D2890" i="21" s="1"/>
  <c r="A2891" i="21"/>
  <c r="C2891" i="21" s="1"/>
  <c r="C1154" i="55" s="1"/>
  <c r="A2892" i="21"/>
  <c r="C2892" i="21" s="1"/>
  <c r="A2893" i="21"/>
  <c r="C2893" i="21" s="1"/>
  <c r="A2894" i="21"/>
  <c r="C2894" i="21" s="1"/>
  <c r="C1157" i="55" s="1"/>
  <c r="A2895" i="21"/>
  <c r="C2895" i="21" s="1"/>
  <c r="C1158" i="55" s="1"/>
  <c r="A2896" i="21"/>
  <c r="C2896" i="21" s="1"/>
  <c r="C1159" i="55" s="1"/>
  <c r="A2897" i="21"/>
  <c r="C2897" i="21" s="1"/>
  <c r="C1160" i="55" s="1"/>
  <c r="A2898" i="21"/>
  <c r="C2898" i="21" s="1"/>
  <c r="D2898" i="21" s="1"/>
  <c r="A2899" i="21"/>
  <c r="C2899" i="21" s="1"/>
  <c r="C1162" i="55" s="1"/>
  <c r="A2900" i="21"/>
  <c r="C2900" i="21" s="1"/>
  <c r="A2901" i="21"/>
  <c r="C2901" i="21" s="1"/>
  <c r="A2902" i="21"/>
  <c r="C2902" i="21" s="1"/>
  <c r="A2903" i="21"/>
  <c r="C2903" i="21" s="1"/>
  <c r="C1166" i="55" s="1"/>
  <c r="A2904" i="21"/>
  <c r="C2904" i="21" s="1"/>
  <c r="C1167" i="55" s="1"/>
  <c r="D1167" i="55" s="1"/>
  <c r="A2905" i="21"/>
  <c r="C2905" i="21" s="1"/>
  <c r="C1168" i="55" s="1"/>
  <c r="A2906" i="21"/>
  <c r="C2906" i="21" s="1"/>
  <c r="C1169" i="55" s="1"/>
  <c r="A2907" i="21"/>
  <c r="C2907" i="21" s="1"/>
  <c r="C1170" i="55" s="1"/>
  <c r="A2908" i="21"/>
  <c r="C2908" i="21" s="1"/>
  <c r="A2909" i="21"/>
  <c r="C2909" i="21" s="1"/>
  <c r="A2910" i="21"/>
  <c r="C2910" i="21" s="1"/>
  <c r="C1173" i="55" s="1"/>
  <c r="A2911" i="21"/>
  <c r="C2911" i="21" s="1"/>
  <c r="C1174" i="55" s="1"/>
  <c r="A2912" i="21"/>
  <c r="C2912" i="21" s="1"/>
  <c r="C1175" i="55" s="1"/>
  <c r="A2913" i="21"/>
  <c r="C2913" i="21" s="1"/>
  <c r="C1176" i="55" s="1"/>
  <c r="A2914" i="21"/>
  <c r="C2914" i="21" s="1"/>
  <c r="A2915" i="21"/>
  <c r="C2915" i="21" s="1"/>
  <c r="C1178" i="55" s="1"/>
  <c r="A2916" i="21"/>
  <c r="C2916" i="21" s="1"/>
  <c r="C1179" i="55" s="1"/>
  <c r="A2917" i="21"/>
  <c r="C2917" i="21" s="1"/>
  <c r="A2918" i="21"/>
  <c r="C2918" i="21" s="1"/>
  <c r="C1181" i="55" s="1"/>
  <c r="D1181" i="55" s="1"/>
  <c r="A2919" i="21"/>
  <c r="C2919" i="21" s="1"/>
  <c r="C1182" i="55" s="1"/>
  <c r="A2920" i="21"/>
  <c r="C2920" i="21" s="1"/>
  <c r="C1183" i="55" s="1"/>
  <c r="A2921" i="21"/>
  <c r="C2921" i="21" s="1"/>
  <c r="C1184" i="55" s="1"/>
  <c r="A2922" i="21"/>
  <c r="C2922" i="21" s="1"/>
  <c r="A2923" i="21"/>
  <c r="C2923" i="21" s="1"/>
  <c r="C1186" i="55" s="1"/>
  <c r="A2924" i="21"/>
  <c r="C2924" i="21" s="1"/>
  <c r="A2925" i="21"/>
  <c r="C2925" i="21" s="1"/>
  <c r="A2926" i="21"/>
  <c r="C2926" i="21" s="1"/>
  <c r="C1189" i="55" s="1"/>
  <c r="A2927" i="21"/>
  <c r="C2927" i="21" s="1"/>
  <c r="C1190" i="55" s="1"/>
  <c r="A2928" i="21"/>
  <c r="C2928" i="21" s="1"/>
  <c r="C1191" i="55" s="1"/>
  <c r="A2929" i="21"/>
  <c r="C2929" i="21" s="1"/>
  <c r="A2930" i="21"/>
  <c r="C2930" i="21" s="1"/>
  <c r="C1193" i="55" s="1"/>
  <c r="A2931" i="21"/>
  <c r="C2931" i="21" s="1"/>
  <c r="C1194" i="55" s="1"/>
  <c r="A2932" i="21"/>
  <c r="C2932" i="21" s="1"/>
  <c r="A2933" i="21"/>
  <c r="C2933" i="21" s="1"/>
  <c r="A2934" i="21"/>
  <c r="C2934" i="21" s="1"/>
  <c r="A2935" i="21"/>
  <c r="C2935" i="21" s="1"/>
  <c r="C1198" i="55" s="1"/>
  <c r="A2936" i="21"/>
  <c r="C2936" i="21" s="1"/>
  <c r="C1199" i="55" s="1"/>
  <c r="A2937" i="21"/>
  <c r="C2937" i="21" s="1"/>
  <c r="C1200" i="55" s="1"/>
  <c r="A2938" i="21"/>
  <c r="C2938" i="21" s="1"/>
  <c r="C1201" i="55" s="1"/>
  <c r="A2939" i="21"/>
  <c r="C2939" i="21" s="1"/>
  <c r="A2940" i="21"/>
  <c r="C2940" i="21" s="1"/>
  <c r="A2941" i="21"/>
  <c r="C2941" i="21" s="1"/>
  <c r="A2942" i="21"/>
  <c r="C2942" i="21" s="1"/>
  <c r="A2943" i="21"/>
  <c r="C2943" i="21" s="1"/>
  <c r="C1206" i="55" s="1"/>
  <c r="A2944" i="21"/>
  <c r="C2944" i="21" s="1"/>
  <c r="A2945" i="21"/>
  <c r="C2945" i="21" s="1"/>
  <c r="A2946" i="21"/>
  <c r="C2946" i="21" s="1"/>
  <c r="C1209" i="55" s="1"/>
  <c r="A2947" i="21"/>
  <c r="C2947" i="21" s="1"/>
  <c r="C1210" i="55" s="1"/>
  <c r="A2948" i="21"/>
  <c r="C2948" i="21" s="1"/>
  <c r="C1211" i="55" s="1"/>
  <c r="A2949" i="21"/>
  <c r="C2949" i="21" s="1"/>
  <c r="A2950" i="21"/>
  <c r="C2950" i="21" s="1"/>
  <c r="A2951" i="21"/>
  <c r="C2951" i="21" s="1"/>
  <c r="C1214" i="55" s="1"/>
  <c r="A2952" i="21"/>
  <c r="C2952" i="21" s="1"/>
  <c r="C1215" i="55" s="1"/>
  <c r="A2953" i="21"/>
  <c r="C2953" i="21" s="1"/>
  <c r="C1216" i="55" s="1"/>
  <c r="A2954" i="21"/>
  <c r="C2954" i="21" s="1"/>
  <c r="D2954" i="21" s="1"/>
  <c r="A2955" i="21"/>
  <c r="C2955" i="21" s="1"/>
  <c r="A2956" i="21"/>
  <c r="C2956" i="21" s="1"/>
  <c r="A2957" i="21"/>
  <c r="C2957" i="21" s="1"/>
  <c r="A2958" i="21"/>
  <c r="C2958" i="21" s="1"/>
  <c r="A2959" i="21"/>
  <c r="C2959" i="21" s="1"/>
  <c r="C1222" i="55" s="1"/>
  <c r="A2960" i="21"/>
  <c r="C2960" i="21" s="1"/>
  <c r="A2961" i="21"/>
  <c r="C2961" i="21" s="1"/>
  <c r="C1224" i="55" s="1"/>
  <c r="A2962" i="21"/>
  <c r="C2962" i="21" s="1"/>
  <c r="C1225" i="55" s="1"/>
  <c r="A2963" i="21"/>
  <c r="C2963" i="21" s="1"/>
  <c r="C1226" i="55" s="1"/>
  <c r="A2964" i="21"/>
  <c r="C2964" i="21" s="1"/>
  <c r="C1227" i="55" s="1"/>
  <c r="A2965" i="21"/>
  <c r="C2965" i="21" s="1"/>
  <c r="A2966" i="21"/>
  <c r="C2966" i="21" s="1"/>
  <c r="A2967" i="21"/>
  <c r="C2967" i="21" s="1"/>
  <c r="C1230" i="55" s="1"/>
  <c r="A2968" i="21"/>
  <c r="C2968" i="21" s="1"/>
  <c r="C1231" i="55" s="1"/>
  <c r="A2969" i="21"/>
  <c r="C2969" i="21" s="1"/>
  <c r="C1232" i="55" s="1"/>
  <c r="A2970" i="21"/>
  <c r="C2970" i="21" s="1"/>
  <c r="A2971" i="21"/>
  <c r="C2971" i="21" s="1"/>
  <c r="A2972" i="21"/>
  <c r="C2972" i="21" s="1"/>
  <c r="A2973" i="21"/>
  <c r="C2973" i="21" s="1"/>
  <c r="A2974" i="21"/>
  <c r="C2974" i="21" s="1"/>
  <c r="C1237" i="55" s="1"/>
  <c r="D1237" i="55" s="1"/>
  <c r="A2975" i="21"/>
  <c r="C2975" i="21" s="1"/>
  <c r="A2976" i="21"/>
  <c r="C2976" i="21" s="1"/>
  <c r="A2977" i="21"/>
  <c r="C2977" i="21" s="1"/>
  <c r="C1240" i="55" s="1"/>
  <c r="A2978" i="21"/>
  <c r="C2978" i="21" s="1"/>
  <c r="C1241" i="55" s="1"/>
  <c r="A2979" i="21"/>
  <c r="C2979" i="21" s="1"/>
  <c r="C1242" i="55" s="1"/>
  <c r="A2980" i="21"/>
  <c r="C2980" i="21" s="1"/>
  <c r="C1243" i="55" s="1"/>
  <c r="A2981" i="21"/>
  <c r="C2981" i="21" s="1"/>
  <c r="A2982" i="21"/>
  <c r="C2982" i="21" s="1"/>
  <c r="A2983" i="21"/>
  <c r="C2983" i="21" s="1"/>
  <c r="C1246" i="55" s="1"/>
  <c r="A2984" i="21"/>
  <c r="C2984" i="21" s="1"/>
  <c r="C1247" i="55" s="1"/>
  <c r="A2985" i="21"/>
  <c r="C2985" i="21" s="1"/>
  <c r="C1248" i="55" s="1"/>
  <c r="D1248" i="55" s="1"/>
  <c r="A2986" i="21"/>
  <c r="C2986" i="21" s="1"/>
  <c r="A2987" i="21"/>
  <c r="C2987" i="21" s="1"/>
  <c r="A2988" i="21"/>
  <c r="C2988" i="21" s="1"/>
  <c r="A2989" i="21"/>
  <c r="C2989" i="21" s="1"/>
  <c r="C1252" i="55" s="1"/>
  <c r="A2990" i="21"/>
  <c r="C2990" i="21" s="1"/>
  <c r="A2991" i="21"/>
  <c r="C2991" i="21" s="1"/>
  <c r="A2992" i="21"/>
  <c r="C2992" i="21" s="1"/>
  <c r="A2993" i="21"/>
  <c r="C2993" i="21" s="1"/>
  <c r="C1256" i="55" s="1"/>
  <c r="A2994" i="21"/>
  <c r="C2994" i="21" s="1"/>
  <c r="C1257" i="55" s="1"/>
  <c r="A2995" i="21"/>
  <c r="C2995" i="21" s="1"/>
  <c r="C1258" i="55" s="1"/>
  <c r="A2996" i="21"/>
  <c r="C2996" i="21" s="1"/>
  <c r="C1259" i="55" s="1"/>
  <c r="A2997" i="21"/>
  <c r="C2997" i="21" s="1"/>
  <c r="A2998" i="21"/>
  <c r="C2998" i="21" s="1"/>
  <c r="A2999" i="21"/>
  <c r="C2999" i="21" s="1"/>
  <c r="C1262" i="55" s="1"/>
  <c r="A3000" i="21"/>
  <c r="C3000" i="21" s="1"/>
  <c r="C1263" i="55" s="1"/>
  <c r="D1263" i="55" s="1"/>
  <c r="A3001" i="21"/>
  <c r="C3001" i="21" s="1"/>
  <c r="C1264" i="55" s="1"/>
  <c r="D1264" i="55" s="1"/>
  <c r="A3002" i="21"/>
  <c r="C3002" i="21" s="1"/>
  <c r="A3003" i="21"/>
  <c r="C3003" i="21" s="1"/>
  <c r="C1266" i="55" s="1"/>
  <c r="A3004" i="21"/>
  <c r="C3004" i="21" s="1"/>
  <c r="C1267" i="55" s="1"/>
  <c r="A3005" i="21"/>
  <c r="C3005" i="21" s="1"/>
  <c r="A3006" i="21"/>
  <c r="C3006" i="21" s="1"/>
  <c r="A3007" i="21"/>
  <c r="C3007" i="21" s="1"/>
  <c r="C1270" i="55" s="1"/>
  <c r="A3008" i="21"/>
  <c r="C3008" i="21" s="1"/>
  <c r="C1271" i="55" s="1"/>
  <c r="A3009" i="21"/>
  <c r="C3009" i="21" s="1"/>
  <c r="C1272" i="55" s="1"/>
  <c r="A3010" i="21"/>
  <c r="C3010" i="21" s="1"/>
  <c r="C1273" i="55" s="1"/>
  <c r="A3011" i="21"/>
  <c r="C3011" i="21" s="1"/>
  <c r="C1274" i="55" s="1"/>
  <c r="A3012" i="21"/>
  <c r="C3012" i="21" s="1"/>
  <c r="A3013" i="21"/>
  <c r="C3013" i="21" s="1"/>
  <c r="A3014" i="21"/>
  <c r="C3014" i="21" s="1"/>
  <c r="C1277" i="55" s="1"/>
  <c r="D1277" i="55" s="1"/>
  <c r="A3015" i="21"/>
  <c r="C3015" i="21" s="1"/>
  <c r="C1278" i="55" s="1"/>
  <c r="A3016" i="21"/>
  <c r="A3017" i="21"/>
  <c r="A3018" i="21"/>
  <c r="C3018" i="21" s="1"/>
  <c r="C1281" i="55" s="1"/>
  <c r="A3019" i="21"/>
  <c r="C3019" i="21" s="1"/>
  <c r="C1282" i="55" s="1"/>
  <c r="A3020" i="21"/>
  <c r="C3020" i="21" s="1"/>
  <c r="C1283" i="55" s="1"/>
  <c r="A3021" i="21"/>
  <c r="C3021" i="21" s="1"/>
  <c r="C1284" i="55" s="1"/>
  <c r="A3022" i="21"/>
  <c r="C3022" i="21" s="1"/>
  <c r="D3022" i="21" s="1"/>
  <c r="A3023" i="21"/>
  <c r="C3023" i="21" s="1"/>
  <c r="A3024" i="21"/>
  <c r="C3024" i="21" s="1"/>
  <c r="C1287" i="55" s="1"/>
  <c r="A3025" i="21"/>
  <c r="C3025" i="21" s="1"/>
  <c r="A3026" i="21"/>
  <c r="C3026" i="21" s="1"/>
  <c r="C1289" i="55" s="1"/>
  <c r="A3027" i="21"/>
  <c r="C3027" i="21" s="1"/>
  <c r="C1290" i="55" s="1"/>
  <c r="D1290" i="55" s="1"/>
  <c r="A3028" i="21"/>
  <c r="C3028" i="21" s="1"/>
  <c r="A3029" i="21"/>
  <c r="C3029" i="21" s="1"/>
  <c r="C1292" i="55" s="1"/>
  <c r="D1292" i="55" s="1"/>
  <c r="A3030" i="21"/>
  <c r="C3030" i="21" s="1"/>
  <c r="C1293" i="55" s="1"/>
  <c r="D1293" i="55" s="1"/>
  <c r="A3031" i="21"/>
  <c r="C3031" i="21" s="1"/>
  <c r="A3032" i="21"/>
  <c r="C3032" i="21" s="1"/>
  <c r="C1295" i="55" s="1"/>
  <c r="A3033" i="21"/>
  <c r="C3033" i="21" s="1"/>
  <c r="C1296" i="55" s="1"/>
  <c r="A3034" i="21"/>
  <c r="C3034" i="21" s="1"/>
  <c r="A3035" i="21"/>
  <c r="C3035" i="21" s="1"/>
  <c r="C1298" i="55" s="1"/>
  <c r="A3036" i="21"/>
  <c r="C3036" i="21" s="1"/>
  <c r="C1299" i="55" s="1"/>
  <c r="A3037" i="21"/>
  <c r="C3037" i="21" s="1"/>
  <c r="C1300" i="55" s="1"/>
  <c r="A3038" i="21"/>
  <c r="C3038" i="21" s="1"/>
  <c r="D3038" i="21" s="1"/>
  <c r="A3039" i="21"/>
  <c r="C3039" i="21" s="1"/>
  <c r="A3040" i="21"/>
  <c r="C3040" i="21" s="1"/>
  <c r="A3041" i="21"/>
  <c r="C3041" i="21" s="1"/>
  <c r="C1304" i="55" s="1"/>
  <c r="D1304" i="55" s="1"/>
  <c r="A3042" i="21"/>
  <c r="C3042" i="21" s="1"/>
  <c r="C1305" i="55" s="1"/>
  <c r="A3043" i="21"/>
  <c r="C3043" i="21" s="1"/>
  <c r="C1306" i="55" s="1"/>
  <c r="D1306" i="55" s="1"/>
  <c r="A3044" i="21"/>
  <c r="C3044" i="21" s="1"/>
  <c r="C1307" i="55" s="1"/>
  <c r="D1307" i="55" s="1"/>
  <c r="A3045" i="21"/>
  <c r="C3045" i="21" s="1"/>
  <c r="C1308" i="55" s="1"/>
  <c r="A3046" i="21"/>
  <c r="C3046" i="21" s="1"/>
  <c r="D3046" i="21" s="1"/>
  <c r="A3047" i="21"/>
  <c r="C3047" i="21" s="1"/>
  <c r="A3048" i="21"/>
  <c r="C3048" i="21" s="1"/>
  <c r="C1311" i="55" s="1"/>
  <c r="A3049" i="21"/>
  <c r="C3049" i="21" s="1"/>
  <c r="A3050" i="21"/>
  <c r="C3050" i="21" s="1"/>
  <c r="C1313" i="55" s="1"/>
  <c r="A3051" i="21"/>
  <c r="C3051" i="21" s="1"/>
  <c r="C1314" i="55" s="1"/>
  <c r="A3052" i="21"/>
  <c r="C3052" i="21" s="1"/>
  <c r="C1315" i="55" s="1"/>
  <c r="A3053" i="21"/>
  <c r="C3053" i="21" s="1"/>
  <c r="C1316" i="55" s="1"/>
  <c r="A3054" i="21"/>
  <c r="C3054" i="21" s="1"/>
  <c r="A3055" i="21"/>
  <c r="C3055" i="21" s="1"/>
  <c r="C1318" i="55" s="1"/>
  <c r="A3056" i="21"/>
  <c r="C3056" i="21" s="1"/>
  <c r="C1319" i="55" s="1"/>
  <c r="D1319" i="55" s="1"/>
  <c r="A3057" i="21"/>
  <c r="C3057" i="21" s="1"/>
  <c r="C1320" i="55" s="1"/>
  <c r="D1320" i="55" s="1"/>
  <c r="A3058" i="21"/>
  <c r="C3058" i="21" s="1"/>
  <c r="C1321" i="55" s="1"/>
  <c r="A3059" i="21"/>
  <c r="C3059" i="21" s="1"/>
  <c r="C1322" i="55" s="1"/>
  <c r="A3060" i="21"/>
  <c r="C3060" i="21" s="1"/>
  <c r="A3061" i="21"/>
  <c r="C3061" i="21" s="1"/>
  <c r="C1324" i="55" s="1"/>
  <c r="A3062" i="21"/>
  <c r="C3062" i="21" s="1"/>
  <c r="D3062" i="21" s="1"/>
  <c r="A3063" i="21"/>
  <c r="C3063" i="21" s="1"/>
  <c r="A3064" i="21"/>
  <c r="C3064" i="21" s="1"/>
  <c r="A3065" i="21"/>
  <c r="C3065" i="21" s="1"/>
  <c r="C1328" i="55" s="1"/>
  <c r="A3066" i="21"/>
  <c r="C3066" i="21" s="1"/>
  <c r="A3067" i="21"/>
  <c r="C3067" i="21" s="1"/>
  <c r="C1330" i="55" s="1"/>
  <c r="A3068" i="21"/>
  <c r="C3068" i="21" s="1"/>
  <c r="C1331" i="55" s="1"/>
  <c r="A3069" i="21"/>
  <c r="C3069" i="21" s="1"/>
  <c r="C1332" i="55" s="1"/>
  <c r="D1332" i="55" s="1"/>
  <c r="A3070" i="21"/>
  <c r="C3070" i="21" s="1"/>
  <c r="C1333" i="55" s="1"/>
  <c r="D1333" i="55" s="1"/>
  <c r="A3071" i="21"/>
  <c r="C3071" i="21" s="1"/>
  <c r="A3072" i="21"/>
  <c r="C3072" i="21" s="1"/>
  <c r="A3073" i="21"/>
  <c r="C3073" i="21" s="1"/>
  <c r="A2840" i="21"/>
  <c r="C2840" i="21" s="1"/>
  <c r="F1918" i="21"/>
  <c r="F1919" i="21"/>
  <c r="F1920" i="21"/>
  <c r="F1921" i="21"/>
  <c r="F1922" i="21"/>
  <c r="F1923" i="21"/>
  <c r="F1924" i="21"/>
  <c r="F1925" i="21"/>
  <c r="F1926" i="21"/>
  <c r="F1927" i="21"/>
  <c r="F1928" i="21"/>
  <c r="F1929" i="21"/>
  <c r="F1930" i="21"/>
  <c r="F1931" i="21"/>
  <c r="F1932" i="21"/>
  <c r="F1933" i="21"/>
  <c r="F1934" i="21"/>
  <c r="F1935" i="21"/>
  <c r="F1936" i="21"/>
  <c r="F1937" i="21"/>
  <c r="F1938" i="21"/>
  <c r="F1939" i="21"/>
  <c r="F1940" i="21"/>
  <c r="F1941" i="21"/>
  <c r="F1942" i="21"/>
  <c r="F1943" i="21"/>
  <c r="F1944" i="21"/>
  <c r="F1945" i="21"/>
  <c r="F1946" i="21"/>
  <c r="F1947" i="21"/>
  <c r="F1948" i="21"/>
  <c r="F1949" i="21"/>
  <c r="F1950" i="21"/>
  <c r="F1951" i="21"/>
  <c r="F1952" i="21"/>
  <c r="F1953" i="21"/>
  <c r="F1954" i="21"/>
  <c r="F1955" i="21"/>
  <c r="F1956" i="21"/>
  <c r="F1957" i="21"/>
  <c r="F1958" i="21"/>
  <c r="F1959" i="21"/>
  <c r="F1960" i="21"/>
  <c r="F1961" i="21"/>
  <c r="F1962" i="21"/>
  <c r="F1963" i="21"/>
  <c r="F1964" i="21"/>
  <c r="F1965" i="21"/>
  <c r="F1966" i="21"/>
  <c r="F1967" i="21"/>
  <c r="F1968" i="21"/>
  <c r="F1969" i="21"/>
  <c r="F1970" i="21"/>
  <c r="F1971" i="21"/>
  <c r="F1972" i="21"/>
  <c r="F1973" i="21"/>
  <c r="F1974" i="21"/>
  <c r="F1975" i="21"/>
  <c r="F1976" i="21"/>
  <c r="F1977" i="21"/>
  <c r="F1978" i="21"/>
  <c r="F1979" i="21"/>
  <c r="F1980" i="21"/>
  <c r="F1981" i="21"/>
  <c r="F1982" i="21"/>
  <c r="F1983" i="21"/>
  <c r="F1984" i="21"/>
  <c r="F1985" i="21"/>
  <c r="F1986" i="21"/>
  <c r="F1987" i="21"/>
  <c r="F1988" i="21"/>
  <c r="F1989" i="21"/>
  <c r="F1990" i="21"/>
  <c r="F1991" i="21"/>
  <c r="F1992" i="21"/>
  <c r="F1993" i="21"/>
  <c r="F1994" i="21"/>
  <c r="F1995" i="21"/>
  <c r="F1996" i="21"/>
  <c r="F1997" i="21"/>
  <c r="F1998" i="21"/>
  <c r="F1999" i="21"/>
  <c r="F2000" i="21"/>
  <c r="F2001" i="21"/>
  <c r="F2002" i="21"/>
  <c r="F2003" i="21"/>
  <c r="F2004" i="21"/>
  <c r="F2005" i="21"/>
  <c r="F2006" i="21"/>
  <c r="F2007" i="21"/>
  <c r="F2008" i="21"/>
  <c r="F2009" i="21"/>
  <c r="F2010" i="21"/>
  <c r="F2011" i="21"/>
  <c r="F2012" i="21"/>
  <c r="F2013" i="21"/>
  <c r="F2014" i="21"/>
  <c r="F2015" i="21"/>
  <c r="F2016" i="21"/>
  <c r="F2017" i="21"/>
  <c r="F2018" i="21"/>
  <c r="F2019" i="21"/>
  <c r="F2020" i="21"/>
  <c r="F2021" i="21"/>
  <c r="F2022" i="21"/>
  <c r="F2023" i="21"/>
  <c r="F2024" i="21"/>
  <c r="F2025" i="21"/>
  <c r="F2026" i="21"/>
  <c r="F2027" i="21"/>
  <c r="F2028" i="21"/>
  <c r="F2029" i="21"/>
  <c r="F2030" i="21"/>
  <c r="F2031" i="21"/>
  <c r="F2032" i="21"/>
  <c r="F2033" i="21"/>
  <c r="F2034" i="21"/>
  <c r="F2035" i="21"/>
  <c r="F2036" i="21"/>
  <c r="F2037" i="21"/>
  <c r="F2038" i="21"/>
  <c r="F2039" i="21"/>
  <c r="F2040" i="21"/>
  <c r="F2041" i="21"/>
  <c r="F2042" i="21"/>
  <c r="F2043" i="21"/>
  <c r="F2044" i="21"/>
  <c r="F2045" i="21"/>
  <c r="F2046" i="21"/>
  <c r="F2047" i="21"/>
  <c r="F2048" i="21"/>
  <c r="F2049" i="21"/>
  <c r="F2050" i="21"/>
  <c r="F2051" i="21"/>
  <c r="F2052" i="21"/>
  <c r="F2053" i="21"/>
  <c r="F2054" i="21"/>
  <c r="F2055" i="21"/>
  <c r="F2056" i="21"/>
  <c r="F2057" i="21"/>
  <c r="F2058" i="21"/>
  <c r="F2059" i="21"/>
  <c r="F2060" i="21"/>
  <c r="F2061" i="21"/>
  <c r="F2062" i="21"/>
  <c r="F2063" i="21"/>
  <c r="F2064" i="21"/>
  <c r="F2065" i="21"/>
  <c r="F2066" i="21"/>
  <c r="F2067" i="21"/>
  <c r="F2068" i="21"/>
  <c r="F2069" i="21"/>
  <c r="F2070" i="21"/>
  <c r="F2071" i="21"/>
  <c r="F2072" i="21"/>
  <c r="F2073" i="21"/>
  <c r="F2074" i="21"/>
  <c r="F2075" i="21"/>
  <c r="F2076" i="21"/>
  <c r="F2077" i="21"/>
  <c r="F2078" i="21"/>
  <c r="F2079" i="21"/>
  <c r="F2080" i="21"/>
  <c r="F2081" i="21"/>
  <c r="F2082" i="21"/>
  <c r="F2083" i="21"/>
  <c r="F2084" i="21"/>
  <c r="F2085" i="21"/>
  <c r="F2086" i="21"/>
  <c r="F2087" i="21"/>
  <c r="F2088" i="21"/>
  <c r="F2089" i="21"/>
  <c r="F2090" i="21"/>
  <c r="F2091" i="21"/>
  <c r="F2092" i="21"/>
  <c r="F2095" i="21"/>
  <c r="F2096" i="21"/>
  <c r="F2097" i="21"/>
  <c r="F2098" i="21"/>
  <c r="F2099" i="21"/>
  <c r="F2100" i="21"/>
  <c r="F2101" i="21"/>
  <c r="F2102" i="21"/>
  <c r="F2103" i="21"/>
  <c r="F2104" i="21"/>
  <c r="F2105" i="21"/>
  <c r="F2106" i="21"/>
  <c r="F2107" i="21"/>
  <c r="F2108" i="21"/>
  <c r="F2109" i="21"/>
  <c r="F2110" i="21"/>
  <c r="F2111" i="21"/>
  <c r="F2112" i="21"/>
  <c r="F2113" i="21"/>
  <c r="F2114" i="21"/>
  <c r="F2115" i="21"/>
  <c r="F2116" i="21"/>
  <c r="F2117" i="21"/>
  <c r="F2118" i="21"/>
  <c r="F2119" i="21"/>
  <c r="F2120" i="21"/>
  <c r="F2121" i="21"/>
  <c r="F2122" i="21"/>
  <c r="F2123" i="21"/>
  <c r="F2124" i="21"/>
  <c r="F2125" i="21"/>
  <c r="F2126" i="21"/>
  <c r="F2127" i="21"/>
  <c r="F2128" i="21"/>
  <c r="F2131" i="21"/>
  <c r="F2132" i="21"/>
  <c r="F2133" i="21"/>
  <c r="F2134" i="21"/>
  <c r="F2135" i="21"/>
  <c r="F2136" i="21"/>
  <c r="F2137" i="21"/>
  <c r="F2138" i="21"/>
  <c r="F2139" i="21"/>
  <c r="F2140" i="21"/>
  <c r="F2141" i="21"/>
  <c r="F2142" i="21"/>
  <c r="F2143" i="21"/>
  <c r="F2144" i="21"/>
  <c r="F2145" i="21"/>
  <c r="F2146" i="21"/>
  <c r="F2147" i="21"/>
  <c r="F2148" i="21"/>
  <c r="F2149" i="21"/>
  <c r="F2150" i="21"/>
  <c r="F1917" i="21"/>
  <c r="C1917" i="21"/>
  <c r="C1918" i="21"/>
  <c r="C1919" i="21"/>
  <c r="C1920" i="21"/>
  <c r="C1921" i="21"/>
  <c r="C1922" i="21"/>
  <c r="C1923" i="21"/>
  <c r="C1924" i="21"/>
  <c r="C1925" i="21"/>
  <c r="C1926" i="21"/>
  <c r="C1927" i="21"/>
  <c r="C1928" i="21"/>
  <c r="C1929" i="21"/>
  <c r="C1930" i="21"/>
  <c r="C1931" i="21"/>
  <c r="C1932" i="21"/>
  <c r="C1933" i="21"/>
  <c r="C1934" i="21"/>
  <c r="C1935" i="21"/>
  <c r="C1936" i="21"/>
  <c r="C1937" i="21"/>
  <c r="C1938" i="21"/>
  <c r="C1939" i="21"/>
  <c r="C1940" i="21"/>
  <c r="C1941" i="21"/>
  <c r="C1942" i="21"/>
  <c r="C1943" i="21"/>
  <c r="C1944" i="21"/>
  <c r="C1945" i="21"/>
  <c r="C1946" i="21"/>
  <c r="C1947" i="21"/>
  <c r="C1948" i="21"/>
  <c r="C1949" i="21"/>
  <c r="C1950" i="21"/>
  <c r="C1951" i="21"/>
  <c r="C1952" i="21"/>
  <c r="C1953" i="21"/>
  <c r="C1954" i="21"/>
  <c r="C1955" i="21"/>
  <c r="C1956" i="21"/>
  <c r="C1957" i="21"/>
  <c r="C1958" i="21"/>
  <c r="C1959" i="21"/>
  <c r="C1960" i="21"/>
  <c r="C1961" i="21"/>
  <c r="C1962" i="21"/>
  <c r="C1963" i="21"/>
  <c r="C1964" i="21"/>
  <c r="C1965" i="21"/>
  <c r="C1966" i="21"/>
  <c r="C1967" i="21"/>
  <c r="C1968" i="21"/>
  <c r="C1969" i="21"/>
  <c r="C1970" i="21"/>
  <c r="C1971" i="21"/>
  <c r="C1972" i="21"/>
  <c r="C1973" i="21"/>
  <c r="C1974" i="21"/>
  <c r="C1975" i="21"/>
  <c r="C1976" i="21"/>
  <c r="C1977" i="21"/>
  <c r="C1978" i="21"/>
  <c r="C1979" i="21"/>
  <c r="C1980" i="21"/>
  <c r="C1981" i="21"/>
  <c r="C1982" i="21"/>
  <c r="C1983" i="21"/>
  <c r="C1984" i="21"/>
  <c r="C1985" i="21"/>
  <c r="C1986" i="21"/>
  <c r="C1987" i="21"/>
  <c r="C1988" i="21"/>
  <c r="C1989" i="21"/>
  <c r="C1990" i="21"/>
  <c r="C1991" i="21"/>
  <c r="C1992" i="21"/>
  <c r="C1993" i="21"/>
  <c r="C1994" i="21"/>
  <c r="C1995" i="21"/>
  <c r="C1996" i="21"/>
  <c r="C1997" i="21"/>
  <c r="C1998" i="21"/>
  <c r="C1999" i="21"/>
  <c r="C2000" i="21"/>
  <c r="C2001" i="21"/>
  <c r="C2002" i="21"/>
  <c r="C2003" i="21"/>
  <c r="C2004" i="21"/>
  <c r="C2005" i="21"/>
  <c r="C2006" i="21"/>
  <c r="C2007" i="21"/>
  <c r="C2008" i="21"/>
  <c r="E2008" i="21" s="1"/>
  <c r="C2009" i="21"/>
  <c r="C2010" i="21"/>
  <c r="C2011" i="21"/>
  <c r="C2012" i="21"/>
  <c r="C2013" i="21"/>
  <c r="C2014" i="21"/>
  <c r="C2015" i="21"/>
  <c r="C2016" i="21"/>
  <c r="C2017" i="21"/>
  <c r="C2018" i="21"/>
  <c r="C2019" i="21"/>
  <c r="C2020" i="21"/>
  <c r="C2021" i="21"/>
  <c r="C2022" i="21"/>
  <c r="C2023" i="21"/>
  <c r="C2024" i="21"/>
  <c r="C2025" i="21"/>
  <c r="C2026" i="21"/>
  <c r="C2027" i="21"/>
  <c r="C2028" i="21"/>
  <c r="C2029" i="21"/>
  <c r="C2030" i="21"/>
  <c r="C2031" i="21"/>
  <c r="C2032" i="21"/>
  <c r="C2033" i="21"/>
  <c r="C2034" i="21"/>
  <c r="C2035" i="21"/>
  <c r="C2036" i="21"/>
  <c r="C2037" i="21"/>
  <c r="C2038" i="21"/>
  <c r="C2039" i="21"/>
  <c r="C2040" i="21"/>
  <c r="C2041" i="21"/>
  <c r="C2042" i="21"/>
  <c r="C2043" i="21"/>
  <c r="C2044" i="21"/>
  <c r="C2045" i="21"/>
  <c r="C2046" i="21"/>
  <c r="C2047" i="21"/>
  <c r="C2048" i="21"/>
  <c r="C2049" i="21"/>
  <c r="C2050" i="21"/>
  <c r="C2051" i="21"/>
  <c r="C2052" i="21"/>
  <c r="C2053" i="21"/>
  <c r="C2054" i="21"/>
  <c r="C2055" i="21"/>
  <c r="C2056" i="21"/>
  <c r="C2057" i="21"/>
  <c r="C2058" i="21"/>
  <c r="C2059" i="21"/>
  <c r="C2060" i="21"/>
  <c r="C2061" i="21"/>
  <c r="C2062" i="21"/>
  <c r="C2063" i="21"/>
  <c r="C2064" i="21"/>
  <c r="C2065" i="21"/>
  <c r="C2066" i="21"/>
  <c r="C2067" i="21"/>
  <c r="C2068" i="21"/>
  <c r="C2069" i="21"/>
  <c r="C2070" i="21"/>
  <c r="C2071" i="21"/>
  <c r="C2072" i="21"/>
  <c r="C2073" i="21"/>
  <c r="C2074" i="21"/>
  <c r="C2075" i="21"/>
  <c r="C2076" i="21"/>
  <c r="C2077" i="21"/>
  <c r="C2078" i="21"/>
  <c r="C2079" i="21"/>
  <c r="C2080" i="21"/>
  <c r="C2081" i="21"/>
  <c r="C2082" i="21"/>
  <c r="C2083" i="21"/>
  <c r="C2084" i="21"/>
  <c r="C2085" i="21"/>
  <c r="C2086" i="21"/>
  <c r="C2087" i="21"/>
  <c r="C2088" i="21"/>
  <c r="C2089" i="21"/>
  <c r="C2090" i="21"/>
  <c r="C2091" i="21"/>
  <c r="C2092" i="21"/>
  <c r="C2093" i="21"/>
  <c r="E2093" i="21" s="1"/>
  <c r="G2093" i="21" s="1"/>
  <c r="C2094" i="21"/>
  <c r="E2094" i="21" s="1"/>
  <c r="G2094" i="21" s="1"/>
  <c r="C2095" i="21"/>
  <c r="C2096" i="21"/>
  <c r="C2097" i="21"/>
  <c r="C2098" i="21"/>
  <c r="C2099" i="21"/>
  <c r="C2100" i="21"/>
  <c r="C2101" i="21"/>
  <c r="C2102" i="21"/>
  <c r="C2103" i="21"/>
  <c r="C2104" i="21"/>
  <c r="C2105" i="21"/>
  <c r="C2106" i="21"/>
  <c r="C2107" i="21"/>
  <c r="C2108" i="21"/>
  <c r="C2109" i="21"/>
  <c r="C2110" i="21"/>
  <c r="C2111" i="21"/>
  <c r="C2112" i="21"/>
  <c r="C2113" i="21"/>
  <c r="C2114" i="21"/>
  <c r="C2115" i="21"/>
  <c r="C2116" i="21"/>
  <c r="C2117" i="21"/>
  <c r="C2118" i="21"/>
  <c r="C2119" i="21"/>
  <c r="C2120" i="21"/>
  <c r="C2121" i="21"/>
  <c r="C2122" i="21"/>
  <c r="C2123" i="21"/>
  <c r="C2124" i="21"/>
  <c r="C2125" i="21"/>
  <c r="C2126" i="21"/>
  <c r="C2127" i="21"/>
  <c r="C2128" i="21"/>
  <c r="C2129" i="21"/>
  <c r="E2129" i="21" s="1"/>
  <c r="G2129" i="21" s="1"/>
  <c r="C2130" i="21"/>
  <c r="E2130" i="21" s="1"/>
  <c r="G2130" i="21" s="1"/>
  <c r="C2131" i="21"/>
  <c r="C2132" i="21"/>
  <c r="C2133" i="21"/>
  <c r="C2134" i="21"/>
  <c r="C2135" i="21"/>
  <c r="E2135" i="21" s="1"/>
  <c r="C2136" i="21"/>
  <c r="C2137" i="21"/>
  <c r="C2138" i="21"/>
  <c r="C2139" i="21"/>
  <c r="E2139" i="21" s="1"/>
  <c r="C2140" i="21"/>
  <c r="E2140" i="21" s="1"/>
  <c r="C2141" i="21"/>
  <c r="C2142" i="21"/>
  <c r="C2143" i="21"/>
  <c r="C2144" i="21"/>
  <c r="C2145" i="21"/>
  <c r="C2146" i="21"/>
  <c r="C2147" i="21"/>
  <c r="C2148" i="21"/>
  <c r="C2149" i="21"/>
  <c r="D1396" i="35"/>
  <c r="E1854" i="55" s="1"/>
  <c r="F1396" i="35"/>
  <c r="E1396" i="35"/>
  <c r="F3591" i="21" s="1"/>
  <c r="E1405" i="35"/>
  <c r="F3592" i="21" s="1"/>
  <c r="D1491" i="35"/>
  <c r="D3601" i="21" s="1"/>
  <c r="B2885" i="19"/>
  <c r="D694" i="35"/>
  <c r="L142" i="47"/>
  <c r="D9" i="54"/>
  <c r="E1009" i="46"/>
  <c r="B169" i="21" s="1"/>
  <c r="E1010" i="46"/>
  <c r="B170" i="21" s="1"/>
  <c r="E1011" i="46"/>
  <c r="B171" i="21" s="1"/>
  <c r="E1012" i="46"/>
  <c r="B172" i="21" s="1"/>
  <c r="E1013" i="46"/>
  <c r="B173" i="21" s="1"/>
  <c r="E1014" i="46"/>
  <c r="B174" i="21" s="1"/>
  <c r="E1015" i="46"/>
  <c r="B175" i="21" s="1"/>
  <c r="E1016" i="46"/>
  <c r="B176" i="21" s="1"/>
  <c r="E1017" i="46"/>
  <c r="B177" i="21" s="1"/>
  <c r="E1018" i="46"/>
  <c r="B178" i="21" s="1"/>
  <c r="E1019" i="46"/>
  <c r="B179" i="21" s="1"/>
  <c r="E1020" i="46"/>
  <c r="B180" i="21" s="1"/>
  <c r="E1021" i="46"/>
  <c r="B181" i="21" s="1"/>
  <c r="E1022" i="46"/>
  <c r="B182" i="21" s="1"/>
  <c r="E1023" i="46"/>
  <c r="B183" i="21" s="1"/>
  <c r="E1024" i="46"/>
  <c r="B184" i="21" s="1"/>
  <c r="E1025" i="46"/>
  <c r="B185" i="21" s="1"/>
  <c r="E1026" i="46"/>
  <c r="B186" i="21" s="1"/>
  <c r="E1027" i="46"/>
  <c r="B187" i="21" s="1"/>
  <c r="E1028" i="46"/>
  <c r="B188" i="21" s="1"/>
  <c r="E1029" i="46"/>
  <c r="B189" i="21" s="1"/>
  <c r="E1030" i="46"/>
  <c r="B190" i="21" s="1"/>
  <c r="E1031" i="46"/>
  <c r="B191" i="21" s="1"/>
  <c r="E1032" i="46"/>
  <c r="B192" i="21" s="1"/>
  <c r="E1033" i="46"/>
  <c r="B193" i="21" s="1"/>
  <c r="E1034" i="46"/>
  <c r="B194" i="21" s="1"/>
  <c r="E1035" i="46"/>
  <c r="B195" i="21" s="1"/>
  <c r="E1036" i="46"/>
  <c r="B196" i="21" s="1"/>
  <c r="E1037" i="46"/>
  <c r="B197" i="21" s="1"/>
  <c r="E1038" i="46"/>
  <c r="B198" i="21" s="1"/>
  <c r="E1039" i="46"/>
  <c r="B199" i="21" s="1"/>
  <c r="E1040" i="46"/>
  <c r="B200" i="21" s="1"/>
  <c r="E1041" i="46"/>
  <c r="B201" i="21" s="1"/>
  <c r="E1042" i="46"/>
  <c r="B202" i="21" s="1"/>
  <c r="E1043" i="46"/>
  <c r="B203" i="21" s="1"/>
  <c r="E1044" i="46"/>
  <c r="B204" i="21" s="1"/>
  <c r="E1045" i="46"/>
  <c r="B205" i="21" s="1"/>
  <c r="E1046" i="46"/>
  <c r="B206" i="21" s="1"/>
  <c r="E1047" i="46"/>
  <c r="B207" i="21" s="1"/>
  <c r="E1048" i="46"/>
  <c r="B208" i="21" s="1"/>
  <c r="E1049" i="46"/>
  <c r="B209" i="21" s="1"/>
  <c r="E1050" i="46"/>
  <c r="B210" i="21" s="1"/>
  <c r="E1051" i="46"/>
  <c r="B211" i="21" s="1"/>
  <c r="E1052" i="46"/>
  <c r="B212" i="21" s="1"/>
  <c r="E1053" i="46"/>
  <c r="B213" i="21" s="1"/>
  <c r="E1054" i="46"/>
  <c r="B214" i="21" s="1"/>
  <c r="E1055" i="46"/>
  <c r="B215" i="21" s="1"/>
  <c r="E1056" i="46"/>
  <c r="B216" i="21" s="1"/>
  <c r="E1057" i="46"/>
  <c r="B217" i="21" s="1"/>
  <c r="E1058" i="46"/>
  <c r="B218" i="21" s="1"/>
  <c r="E1059" i="46"/>
  <c r="B219" i="21" s="1"/>
  <c r="E1060" i="46"/>
  <c r="B220" i="21" s="1"/>
  <c r="E1061" i="46"/>
  <c r="B221" i="21" s="1"/>
  <c r="E1062" i="46"/>
  <c r="B222" i="21" s="1"/>
  <c r="E1063" i="46"/>
  <c r="B223" i="21" s="1"/>
  <c r="E1064" i="46"/>
  <c r="B224" i="21" s="1"/>
  <c r="E1065" i="46"/>
  <c r="B225" i="21" s="1"/>
  <c r="E1066" i="46"/>
  <c r="B226" i="21" s="1"/>
  <c r="E1067" i="46"/>
  <c r="B227" i="21" s="1"/>
  <c r="E1068" i="46"/>
  <c r="B228" i="21" s="1"/>
  <c r="E1069" i="46"/>
  <c r="B229" i="21" s="1"/>
  <c r="E1070" i="46"/>
  <c r="B230" i="21" s="1"/>
  <c r="E1071" i="46"/>
  <c r="B231" i="21" s="1"/>
  <c r="E1072" i="46"/>
  <c r="B232" i="21" s="1"/>
  <c r="E1073" i="46"/>
  <c r="B233" i="21" s="1"/>
  <c r="E1074" i="46"/>
  <c r="B234" i="21" s="1"/>
  <c r="E1075" i="46"/>
  <c r="B235" i="21" s="1"/>
  <c r="E1076" i="46"/>
  <c r="B236" i="21" s="1"/>
  <c r="E1077" i="46"/>
  <c r="B237" i="21" s="1"/>
  <c r="E1078" i="46"/>
  <c r="B238" i="21" s="1"/>
  <c r="E1079" i="46"/>
  <c r="B239" i="21" s="1"/>
  <c r="E1080" i="46"/>
  <c r="B240" i="21" s="1"/>
  <c r="E1081" i="46"/>
  <c r="B241" i="21" s="1"/>
  <c r="E1082" i="46"/>
  <c r="B242" i="21" s="1"/>
  <c r="E1083" i="46"/>
  <c r="B243" i="21" s="1"/>
  <c r="E1084" i="46"/>
  <c r="B244" i="21" s="1"/>
  <c r="E1085" i="46"/>
  <c r="B245" i="21" s="1"/>
  <c r="E1086" i="46"/>
  <c r="B246" i="21" s="1"/>
  <c r="E1087" i="46"/>
  <c r="B247" i="21" s="1"/>
  <c r="E1088" i="46"/>
  <c r="B248" i="21" s="1"/>
  <c r="E1089" i="46"/>
  <c r="B249" i="21" s="1"/>
  <c r="E1090" i="46"/>
  <c r="B250" i="21" s="1"/>
  <c r="E1091" i="46"/>
  <c r="B251" i="21" s="1"/>
  <c r="E1092" i="46"/>
  <c r="B252" i="21" s="1"/>
  <c r="E1093" i="46"/>
  <c r="B253" i="21" s="1"/>
  <c r="E1094" i="46"/>
  <c r="B254" i="21" s="1"/>
  <c r="E1095" i="46"/>
  <c r="B255" i="21" s="1"/>
  <c r="E1096" i="46"/>
  <c r="B256" i="21" s="1"/>
  <c r="E1097" i="46"/>
  <c r="B257" i="21" s="1"/>
  <c r="E1098" i="46"/>
  <c r="B258" i="21" s="1"/>
  <c r="E1099" i="46"/>
  <c r="B259" i="21" s="1"/>
  <c r="E1100" i="46"/>
  <c r="B260" i="21" s="1"/>
  <c r="E1101" i="46"/>
  <c r="B261" i="21" s="1"/>
  <c r="E1102" i="46"/>
  <c r="B262" i="21" s="1"/>
  <c r="E1103" i="46"/>
  <c r="B263" i="21" s="1"/>
  <c r="E1104" i="46"/>
  <c r="B264" i="21" s="1"/>
  <c r="E1105" i="46"/>
  <c r="B265" i="21" s="1"/>
  <c r="E1106" i="46"/>
  <c r="B266" i="21" s="1"/>
  <c r="E1107" i="46"/>
  <c r="B267" i="21" s="1"/>
  <c r="E1108" i="46"/>
  <c r="B268" i="21" s="1"/>
  <c r="E1109" i="46"/>
  <c r="B269" i="21" s="1"/>
  <c r="E1110" i="46"/>
  <c r="B270" i="21" s="1"/>
  <c r="E1111" i="46"/>
  <c r="B271" i="21" s="1"/>
  <c r="E1112" i="46"/>
  <c r="B272" i="21" s="1"/>
  <c r="E1113" i="46"/>
  <c r="B273" i="21" s="1"/>
  <c r="E1114" i="46"/>
  <c r="B274" i="21" s="1"/>
  <c r="E1115" i="46"/>
  <c r="B275" i="21" s="1"/>
  <c r="E1116" i="46"/>
  <c r="B276" i="21" s="1"/>
  <c r="E1117" i="46"/>
  <c r="B277" i="21" s="1"/>
  <c r="E1118" i="46"/>
  <c r="B278" i="21" s="1"/>
  <c r="E1119" i="46"/>
  <c r="B279" i="21" s="1"/>
  <c r="E1120" i="46"/>
  <c r="B280" i="21" s="1"/>
  <c r="E1121" i="46"/>
  <c r="B281" i="21" s="1"/>
  <c r="E1122" i="46"/>
  <c r="B282" i="21" s="1"/>
  <c r="E1123" i="46"/>
  <c r="B283" i="21" s="1"/>
  <c r="E1124" i="46"/>
  <c r="B284" i="21" s="1"/>
  <c r="E1125" i="46"/>
  <c r="B285" i="21" s="1"/>
  <c r="E1126" i="46"/>
  <c r="B286" i="21" s="1"/>
  <c r="E1127" i="46"/>
  <c r="B287" i="21" s="1"/>
  <c r="E1128" i="46"/>
  <c r="B288" i="21" s="1"/>
  <c r="E1129" i="46"/>
  <c r="B289" i="21" s="1"/>
  <c r="E1130" i="46"/>
  <c r="B290" i="21" s="1"/>
  <c r="E1131" i="46"/>
  <c r="B291" i="21" s="1"/>
  <c r="E1132" i="46"/>
  <c r="B292" i="21" s="1"/>
  <c r="E1133" i="46"/>
  <c r="B293" i="21" s="1"/>
  <c r="E1134" i="46"/>
  <c r="B294" i="21" s="1"/>
  <c r="E1135" i="46"/>
  <c r="B295" i="21" s="1"/>
  <c r="E1136" i="46"/>
  <c r="B296" i="21" s="1"/>
  <c r="E1137" i="46"/>
  <c r="B297" i="21" s="1"/>
  <c r="E1138" i="46"/>
  <c r="B298" i="21" s="1"/>
  <c r="E1139" i="46"/>
  <c r="B299" i="21" s="1"/>
  <c r="E1140" i="46"/>
  <c r="B300" i="21" s="1"/>
  <c r="E1141" i="46"/>
  <c r="B301" i="21" s="1"/>
  <c r="E1142" i="46"/>
  <c r="B302" i="21" s="1"/>
  <c r="E1143" i="46"/>
  <c r="B303" i="21" s="1"/>
  <c r="E1144" i="46"/>
  <c r="B304" i="21" s="1"/>
  <c r="E1145" i="46"/>
  <c r="B305" i="21" s="1"/>
  <c r="E1146" i="46"/>
  <c r="B306" i="21" s="1"/>
  <c r="E1147" i="46"/>
  <c r="B307" i="21" s="1"/>
  <c r="E1148" i="46"/>
  <c r="B308" i="21" s="1"/>
  <c r="E1149" i="46"/>
  <c r="B309" i="21" s="1"/>
  <c r="E1150" i="46"/>
  <c r="B310" i="21" s="1"/>
  <c r="E1151" i="46"/>
  <c r="B311" i="21" s="1"/>
  <c r="E1152" i="46"/>
  <c r="B312" i="21" s="1"/>
  <c r="E1153" i="46"/>
  <c r="B313" i="21" s="1"/>
  <c r="E1154" i="46"/>
  <c r="B314" i="21" s="1"/>
  <c r="E1155" i="46"/>
  <c r="B315" i="21" s="1"/>
  <c r="E1156" i="46"/>
  <c r="B316" i="21" s="1"/>
  <c r="E1157" i="46"/>
  <c r="B317" i="21" s="1"/>
  <c r="E1158" i="46"/>
  <c r="B318" i="21" s="1"/>
  <c r="E1159" i="46"/>
  <c r="B319" i="21" s="1"/>
  <c r="E1160" i="46"/>
  <c r="B320" i="21" s="1"/>
  <c r="E1161" i="46"/>
  <c r="B321" i="21" s="1"/>
  <c r="E1162" i="46"/>
  <c r="B322" i="21" s="1"/>
  <c r="E1163" i="46"/>
  <c r="B323" i="21" s="1"/>
  <c r="E1164" i="46"/>
  <c r="B324" i="21" s="1"/>
  <c r="E1165" i="46"/>
  <c r="B325" i="21" s="1"/>
  <c r="E1166" i="46"/>
  <c r="B326" i="21" s="1"/>
  <c r="E1167" i="46"/>
  <c r="B327" i="21" s="1"/>
  <c r="E1168" i="46"/>
  <c r="B328" i="21" s="1"/>
  <c r="E1169" i="46"/>
  <c r="B329" i="21" s="1"/>
  <c r="E1170" i="46"/>
  <c r="B330" i="21" s="1"/>
  <c r="E1171" i="46"/>
  <c r="B331" i="21" s="1"/>
  <c r="E1172" i="46"/>
  <c r="B332" i="21" s="1"/>
  <c r="E1173" i="46"/>
  <c r="B333" i="21" s="1"/>
  <c r="E1174" i="46"/>
  <c r="B334" i="21" s="1"/>
  <c r="E1175" i="46"/>
  <c r="B335" i="21" s="1"/>
  <c r="E1176" i="46"/>
  <c r="B336" i="21" s="1"/>
  <c r="E1177" i="46"/>
  <c r="B337" i="21" s="1"/>
  <c r="E1178" i="46"/>
  <c r="B338" i="21" s="1"/>
  <c r="E1179" i="46"/>
  <c r="B339" i="21" s="1"/>
  <c r="E1180" i="46"/>
  <c r="B340" i="21" s="1"/>
  <c r="E1181" i="46"/>
  <c r="B341" i="21" s="1"/>
  <c r="E1182" i="46"/>
  <c r="B342" i="21" s="1"/>
  <c r="E1183" i="46"/>
  <c r="B343" i="21" s="1"/>
  <c r="E1184" i="46"/>
  <c r="B344" i="21" s="1"/>
  <c r="E1185" i="46"/>
  <c r="B345" i="21" s="1"/>
  <c r="E1186" i="46"/>
  <c r="B346" i="21" s="1"/>
  <c r="E1187" i="46"/>
  <c r="B347" i="21" s="1"/>
  <c r="E1188" i="46"/>
  <c r="B348" i="21" s="1"/>
  <c r="E1189" i="46"/>
  <c r="B349" i="21" s="1"/>
  <c r="E1190" i="46"/>
  <c r="B350" i="21" s="1"/>
  <c r="E1191" i="46"/>
  <c r="B351" i="21" s="1"/>
  <c r="E1192" i="46"/>
  <c r="B352" i="21" s="1"/>
  <c r="E1193" i="46"/>
  <c r="B353" i="21" s="1"/>
  <c r="E1194" i="46"/>
  <c r="B354" i="21" s="1"/>
  <c r="E1195" i="46"/>
  <c r="B355" i="21" s="1"/>
  <c r="E1196" i="46"/>
  <c r="B356" i="21" s="1"/>
  <c r="E1197" i="46"/>
  <c r="B357" i="21" s="1"/>
  <c r="E1198" i="46"/>
  <c r="B358" i="21" s="1"/>
  <c r="E1199" i="46"/>
  <c r="B359" i="21" s="1"/>
  <c r="E1200" i="46"/>
  <c r="B360" i="21" s="1"/>
  <c r="E1201" i="46"/>
  <c r="B361" i="21" s="1"/>
  <c r="E1202" i="46"/>
  <c r="B362" i="21" s="1"/>
  <c r="E1203" i="46"/>
  <c r="B363" i="21" s="1"/>
  <c r="E1204" i="46"/>
  <c r="B364" i="21" s="1"/>
  <c r="E1205" i="46"/>
  <c r="B365" i="21" s="1"/>
  <c r="E1206" i="46"/>
  <c r="B366" i="21" s="1"/>
  <c r="E1207" i="46"/>
  <c r="B367" i="21" s="1"/>
  <c r="E1208" i="46"/>
  <c r="B368" i="21" s="1"/>
  <c r="E1209" i="46"/>
  <c r="B369" i="21" s="1"/>
  <c r="E1210" i="46"/>
  <c r="B370" i="21" s="1"/>
  <c r="E1211" i="46"/>
  <c r="B371" i="21" s="1"/>
  <c r="E1212" i="46"/>
  <c r="B372" i="21" s="1"/>
  <c r="E1213" i="46"/>
  <c r="B373" i="21" s="1"/>
  <c r="E1214" i="46"/>
  <c r="B374" i="21" s="1"/>
  <c r="E1215" i="46"/>
  <c r="B375" i="21" s="1"/>
  <c r="E1216" i="46"/>
  <c r="B376" i="21" s="1"/>
  <c r="E1217" i="46"/>
  <c r="B377" i="21" s="1"/>
  <c r="E1218" i="46"/>
  <c r="B378" i="21" s="1"/>
  <c r="E1219" i="46"/>
  <c r="B379" i="21" s="1"/>
  <c r="E1220" i="46"/>
  <c r="B380" i="21" s="1"/>
  <c r="E1221" i="46"/>
  <c r="B381" i="21" s="1"/>
  <c r="E1222" i="46"/>
  <c r="B382" i="21" s="1"/>
  <c r="E1223" i="46"/>
  <c r="B383" i="21" s="1"/>
  <c r="E1224" i="46"/>
  <c r="B384" i="21" s="1"/>
  <c r="E1225" i="46"/>
  <c r="B385" i="21" s="1"/>
  <c r="E1226" i="46"/>
  <c r="B386" i="21" s="1"/>
  <c r="E1227" i="46"/>
  <c r="B387" i="21" s="1"/>
  <c r="E1228" i="46"/>
  <c r="B388" i="21" s="1"/>
  <c r="E1229" i="46"/>
  <c r="B389" i="21" s="1"/>
  <c r="E1230" i="46"/>
  <c r="B390" i="21" s="1"/>
  <c r="E1231" i="46"/>
  <c r="B391" i="21" s="1"/>
  <c r="E1232" i="46"/>
  <c r="B392" i="21" s="1"/>
  <c r="E1233" i="46"/>
  <c r="B393" i="21" s="1"/>
  <c r="E1234" i="46"/>
  <c r="B394" i="21" s="1"/>
  <c r="E1235" i="46"/>
  <c r="B395" i="21" s="1"/>
  <c r="E1236" i="46"/>
  <c r="B396" i="21" s="1"/>
  <c r="E1237" i="46"/>
  <c r="B397" i="21" s="1"/>
  <c r="E1238" i="46"/>
  <c r="B398" i="21" s="1"/>
  <c r="E1239" i="46"/>
  <c r="B399" i="21" s="1"/>
  <c r="E1240" i="46"/>
  <c r="B400" i="21" s="1"/>
  <c r="E1241" i="46"/>
  <c r="B401" i="21" s="1"/>
  <c r="E1008" i="46"/>
  <c r="B168" i="21" s="1"/>
  <c r="E170" i="46"/>
  <c r="E171" i="46"/>
  <c r="E172" i="46"/>
  <c r="E173" i="46"/>
  <c r="E174" i="46"/>
  <c r="E175" i="46"/>
  <c r="E176" i="46"/>
  <c r="E177" i="46"/>
  <c r="B1042" i="21" s="1"/>
  <c r="E178" i="46"/>
  <c r="E179" i="46"/>
  <c r="E180" i="46"/>
  <c r="E181" i="46"/>
  <c r="E182" i="46"/>
  <c r="E183" i="46"/>
  <c r="E184" i="46"/>
  <c r="E185" i="46"/>
  <c r="E186" i="46"/>
  <c r="E187" i="46"/>
  <c r="E188" i="46"/>
  <c r="E189" i="46"/>
  <c r="B1054" i="21" s="1"/>
  <c r="E190" i="46"/>
  <c r="B1055" i="21" s="1"/>
  <c r="E191" i="46"/>
  <c r="E192" i="46"/>
  <c r="E193" i="46"/>
  <c r="E194" i="46"/>
  <c r="E195" i="46"/>
  <c r="E196" i="46"/>
  <c r="E197" i="46"/>
  <c r="E198" i="46"/>
  <c r="E199" i="46"/>
  <c r="E200" i="46"/>
  <c r="E201" i="46"/>
  <c r="E202" i="46"/>
  <c r="E203" i="46"/>
  <c r="E204" i="46"/>
  <c r="E205" i="46"/>
  <c r="B1070" i="21" s="1"/>
  <c r="E206" i="46"/>
  <c r="E207" i="46"/>
  <c r="E208" i="46"/>
  <c r="E209" i="46"/>
  <c r="E210" i="46"/>
  <c r="E211" i="46"/>
  <c r="E212" i="46"/>
  <c r="E213" i="46"/>
  <c r="E214" i="46"/>
  <c r="E215" i="46"/>
  <c r="E216" i="46"/>
  <c r="E217" i="46"/>
  <c r="B1082" i="21" s="1"/>
  <c r="E218" i="46"/>
  <c r="E219" i="46"/>
  <c r="E220" i="46"/>
  <c r="E221" i="46"/>
  <c r="E222" i="46"/>
  <c r="E223" i="46"/>
  <c r="E224" i="46"/>
  <c r="E225" i="46"/>
  <c r="E226" i="46"/>
  <c r="E227" i="46"/>
  <c r="E228" i="46"/>
  <c r="E229" i="46"/>
  <c r="E230" i="46"/>
  <c r="E231" i="46"/>
  <c r="E232" i="46"/>
  <c r="E233" i="46"/>
  <c r="E234" i="46"/>
  <c r="E235" i="46"/>
  <c r="E236" i="46"/>
  <c r="E237" i="46"/>
  <c r="B1102" i="21" s="1"/>
  <c r="E238" i="46"/>
  <c r="E239" i="46"/>
  <c r="E240" i="46"/>
  <c r="E241" i="46"/>
  <c r="E242" i="46"/>
  <c r="E243" i="46"/>
  <c r="E244" i="46"/>
  <c r="E245" i="46"/>
  <c r="B1110" i="21" s="1"/>
  <c r="E246" i="46"/>
  <c r="B1111" i="21" s="1"/>
  <c r="E247" i="46"/>
  <c r="E248" i="46"/>
  <c r="E249" i="46"/>
  <c r="E250" i="46"/>
  <c r="E251" i="46"/>
  <c r="E252" i="46"/>
  <c r="E253" i="46"/>
  <c r="E254" i="46"/>
  <c r="E255" i="46"/>
  <c r="E256" i="46"/>
  <c r="E257" i="46"/>
  <c r="E258" i="46"/>
  <c r="E259" i="46"/>
  <c r="E260" i="46"/>
  <c r="E261" i="46"/>
  <c r="B1126" i="21" s="1"/>
  <c r="E262" i="46"/>
  <c r="E263" i="46"/>
  <c r="E264" i="46"/>
  <c r="E265" i="46"/>
  <c r="E266" i="46"/>
  <c r="E267" i="46"/>
  <c r="E268" i="46"/>
  <c r="E269" i="46"/>
  <c r="E270" i="46"/>
  <c r="E271" i="46"/>
  <c r="E272" i="46"/>
  <c r="E273" i="46"/>
  <c r="E274" i="46"/>
  <c r="E275" i="46"/>
  <c r="E276" i="46"/>
  <c r="E277" i="46"/>
  <c r="E278" i="46"/>
  <c r="E279" i="46"/>
  <c r="E280" i="46"/>
  <c r="E281" i="46"/>
  <c r="E282" i="46"/>
  <c r="E283" i="46"/>
  <c r="E284" i="46"/>
  <c r="E285" i="46"/>
  <c r="E286" i="46"/>
  <c r="E287" i="46"/>
  <c r="E288" i="46"/>
  <c r="E289" i="46"/>
  <c r="E290" i="46"/>
  <c r="E291" i="46"/>
  <c r="E292" i="46"/>
  <c r="E293" i="46"/>
  <c r="E294" i="46"/>
  <c r="E295" i="46"/>
  <c r="E296" i="46"/>
  <c r="E297" i="46"/>
  <c r="E298" i="46"/>
  <c r="E299" i="46"/>
  <c r="E300" i="46"/>
  <c r="E301" i="46"/>
  <c r="B1166" i="21" s="1"/>
  <c r="E302" i="46"/>
  <c r="E303" i="46"/>
  <c r="E304" i="46"/>
  <c r="E305" i="46"/>
  <c r="E306" i="46"/>
  <c r="E307" i="46"/>
  <c r="E308" i="46"/>
  <c r="E309" i="46"/>
  <c r="E310" i="46"/>
  <c r="E311" i="46"/>
  <c r="E312" i="46"/>
  <c r="E313" i="46"/>
  <c r="E314" i="46"/>
  <c r="E315" i="46"/>
  <c r="E316" i="46"/>
  <c r="E317" i="46"/>
  <c r="B1182" i="21" s="1"/>
  <c r="E318" i="46"/>
  <c r="E319" i="46"/>
  <c r="E320" i="46"/>
  <c r="E321" i="46"/>
  <c r="E322" i="46"/>
  <c r="E323" i="46"/>
  <c r="E324" i="46"/>
  <c r="E325" i="46"/>
  <c r="E326" i="46"/>
  <c r="E327" i="46"/>
  <c r="E328" i="46"/>
  <c r="E329" i="46"/>
  <c r="E330" i="46"/>
  <c r="E331" i="46"/>
  <c r="E332" i="46"/>
  <c r="E333" i="46"/>
  <c r="E334" i="46"/>
  <c r="E335" i="46"/>
  <c r="E336" i="46"/>
  <c r="E337" i="46"/>
  <c r="E338" i="46"/>
  <c r="E339" i="46"/>
  <c r="E340" i="46"/>
  <c r="E341" i="46"/>
  <c r="E342" i="46"/>
  <c r="E343" i="46"/>
  <c r="E344" i="46"/>
  <c r="E345" i="46"/>
  <c r="E346" i="46"/>
  <c r="E347" i="46"/>
  <c r="E348" i="46"/>
  <c r="E349" i="46"/>
  <c r="E350" i="46"/>
  <c r="E351" i="46"/>
  <c r="E352" i="46"/>
  <c r="E353" i="46"/>
  <c r="E354" i="46"/>
  <c r="E355" i="46"/>
  <c r="E356" i="46"/>
  <c r="E357" i="46"/>
  <c r="B1222" i="21" s="1"/>
  <c r="E358" i="46"/>
  <c r="E359" i="46"/>
  <c r="E360" i="46"/>
  <c r="E361" i="46"/>
  <c r="E362" i="46"/>
  <c r="E363" i="46"/>
  <c r="E364" i="46"/>
  <c r="E365" i="46"/>
  <c r="E366" i="46"/>
  <c r="E367" i="46"/>
  <c r="E368" i="46"/>
  <c r="E369" i="46"/>
  <c r="E370" i="46"/>
  <c r="E371" i="46"/>
  <c r="E372" i="46"/>
  <c r="E373" i="46"/>
  <c r="B1238" i="21" s="1"/>
  <c r="E374" i="46"/>
  <c r="E375" i="46"/>
  <c r="E376" i="46"/>
  <c r="E377" i="46"/>
  <c r="E378" i="46"/>
  <c r="E379" i="46"/>
  <c r="E380" i="46"/>
  <c r="E381" i="46"/>
  <c r="E382" i="46"/>
  <c r="E383" i="46"/>
  <c r="E384" i="46"/>
  <c r="E385" i="46"/>
  <c r="E386" i="46"/>
  <c r="E387" i="46"/>
  <c r="E388" i="46"/>
  <c r="E389" i="46"/>
  <c r="E390" i="46"/>
  <c r="E391" i="46"/>
  <c r="E392" i="46"/>
  <c r="E393" i="46"/>
  <c r="E394" i="46"/>
  <c r="E395" i="46"/>
  <c r="E396" i="46"/>
  <c r="E397" i="46"/>
  <c r="E398" i="46"/>
  <c r="E399" i="46"/>
  <c r="E400" i="46"/>
  <c r="E401" i="46"/>
  <c r="E402" i="46"/>
  <c r="E169" i="46"/>
  <c r="O628" i="47"/>
  <c r="O633" i="47"/>
  <c r="O634" i="47"/>
  <c r="O635" i="47"/>
  <c r="O636" i="47"/>
  <c r="O637" i="47"/>
  <c r="O638" i="47"/>
  <c r="D630" i="47"/>
  <c r="L43" i="52"/>
  <c r="J43" i="52"/>
  <c r="H43" i="52"/>
  <c r="F43" i="52"/>
  <c r="L398" i="47"/>
  <c r="L399" i="47"/>
  <c r="L400" i="47"/>
  <c r="L401" i="47"/>
  <c r="L402" i="47"/>
  <c r="L403" i="47"/>
  <c r="L404" i="47"/>
  <c r="L405" i="47"/>
  <c r="I442" i="21" s="1"/>
  <c r="L406" i="47"/>
  <c r="L407" i="47"/>
  <c r="L408" i="47"/>
  <c r="L409" i="47"/>
  <c r="L410" i="47"/>
  <c r="L411" i="47"/>
  <c r="I421" i="21" s="1"/>
  <c r="L412" i="47"/>
  <c r="L413" i="47"/>
  <c r="L414" i="47"/>
  <c r="L397" i="47"/>
  <c r="B2884" i="19"/>
  <c r="B2873" i="19"/>
  <c r="D2852" i="19"/>
  <c r="F44" i="60" s="1"/>
  <c r="B2552" i="19"/>
  <c r="B2291" i="19"/>
  <c r="I2291" i="19" s="1"/>
  <c r="B448" i="55" s="1"/>
  <c r="B1370" i="19"/>
  <c r="B1337" i="19" s="1"/>
  <c r="B708" i="19"/>
  <c r="I708" i="19" s="1"/>
  <c r="B1631" i="55" s="1"/>
  <c r="C708" i="19"/>
  <c r="C414" i="19" s="1"/>
  <c r="B1631" i="19"/>
  <c r="B447" i="19"/>
  <c r="I447" i="19" s="1"/>
  <c r="B1370" i="55" s="1"/>
  <c r="B2862" i="19"/>
  <c r="I2862" i="19" s="1"/>
  <c r="J11" i="47"/>
  <c r="K11" i="47"/>
  <c r="D11" i="47"/>
  <c r="E11" i="47"/>
  <c r="F11" i="47"/>
  <c r="G11" i="47"/>
  <c r="H11" i="47"/>
  <c r="I11" i="47"/>
  <c r="L12" i="47"/>
  <c r="O12" i="47"/>
  <c r="L13" i="47"/>
  <c r="O13" i="47"/>
  <c r="G77" i="58" s="1"/>
  <c r="L14" i="47"/>
  <c r="G16" i="21" s="1"/>
  <c r="O14" i="47"/>
  <c r="L15" i="47"/>
  <c r="O15" i="47"/>
  <c r="L16" i="47"/>
  <c r="O16" i="47"/>
  <c r="L17" i="47"/>
  <c r="O17" i="47"/>
  <c r="L18" i="47"/>
  <c r="O18" i="47"/>
  <c r="L19" i="47"/>
  <c r="G23" i="21" s="1"/>
  <c r="O19" i="47"/>
  <c r="L20" i="47"/>
  <c r="O20" i="47"/>
  <c r="L21" i="47"/>
  <c r="O21" i="47"/>
  <c r="L22" i="47"/>
  <c r="O22" i="47"/>
  <c r="L81" i="47"/>
  <c r="O81" i="47"/>
  <c r="L82" i="47"/>
  <c r="O82" i="47"/>
  <c r="L83" i="47"/>
  <c r="O83" i="47"/>
  <c r="L84" i="47"/>
  <c r="O84" i="47"/>
  <c r="L85" i="47"/>
  <c r="O85" i="47"/>
  <c r="L86" i="47"/>
  <c r="O86" i="47"/>
  <c r="L87" i="47"/>
  <c r="O87" i="47"/>
  <c r="L88" i="47"/>
  <c r="O88" i="47"/>
  <c r="L89" i="47"/>
  <c r="O89" i="47"/>
  <c r="L90" i="47"/>
  <c r="O90" i="47"/>
  <c r="L91" i="47"/>
  <c r="O91" i="47"/>
  <c r="L92" i="47"/>
  <c r="O92" i="47"/>
  <c r="L93" i="47"/>
  <c r="O93" i="47"/>
  <c r="L94" i="47"/>
  <c r="O94" i="47"/>
  <c r="D9" i="36"/>
  <c r="C9" i="36"/>
  <c r="D7" i="21" s="1"/>
  <c r="B9" i="36"/>
  <c r="C7" i="21" s="1"/>
  <c r="Y642" i="60"/>
  <c r="V642" i="60"/>
  <c r="N642" i="60"/>
  <c r="K642" i="60"/>
  <c r="H642" i="60"/>
  <c r="E642" i="60"/>
  <c r="Y626" i="60"/>
  <c r="V626" i="60"/>
  <c r="N626" i="60"/>
  <c r="K626" i="60"/>
  <c r="H626" i="60"/>
  <c r="E626" i="60"/>
  <c r="Y610" i="60"/>
  <c r="V610" i="60"/>
  <c r="N610" i="60"/>
  <c r="K610" i="60"/>
  <c r="H610" i="60"/>
  <c r="E610" i="60"/>
  <c r="N594" i="60"/>
  <c r="K594" i="60"/>
  <c r="H594" i="60"/>
  <c r="E594" i="60"/>
  <c r="Y594" i="60"/>
  <c r="V594" i="60"/>
  <c r="AE531" i="60"/>
  <c r="AB531" i="60"/>
  <c r="Y531" i="60"/>
  <c r="V531" i="60"/>
  <c r="AE468" i="60"/>
  <c r="AB468" i="60"/>
  <c r="Y468" i="60"/>
  <c r="V468" i="60"/>
  <c r="B1711" i="55"/>
  <c r="B1712" i="55"/>
  <c r="B1713" i="55"/>
  <c r="B1714" i="55"/>
  <c r="B1715" i="55"/>
  <c r="B1716" i="55"/>
  <c r="B1717" i="55"/>
  <c r="B1718" i="55"/>
  <c r="B1719" i="55"/>
  <c r="B1720" i="55"/>
  <c r="B1721" i="55"/>
  <c r="B1722" i="55"/>
  <c r="B1723" i="55"/>
  <c r="B1724" i="55"/>
  <c r="B1725" i="55"/>
  <c r="B1726" i="55"/>
  <c r="B1727" i="55"/>
  <c r="B1728" i="55"/>
  <c r="B1729" i="55"/>
  <c r="B1730" i="55"/>
  <c r="B1731" i="55"/>
  <c r="B1732" i="55"/>
  <c r="B1733" i="55"/>
  <c r="B1734" i="55"/>
  <c r="B1735" i="55"/>
  <c r="B1736" i="55"/>
  <c r="B1737" i="55"/>
  <c r="B1738" i="55"/>
  <c r="B1739" i="55"/>
  <c r="B1740" i="55"/>
  <c r="B1741" i="55"/>
  <c r="B1742" i="55"/>
  <c r="B1743" i="55"/>
  <c r="B1744" i="55"/>
  <c r="B1745" i="55"/>
  <c r="B1746" i="55"/>
  <c r="B1747" i="55"/>
  <c r="B1748" i="55"/>
  <c r="B1749" i="55"/>
  <c r="B1750" i="55"/>
  <c r="B1751" i="55"/>
  <c r="B1752" i="55"/>
  <c r="B1753" i="55"/>
  <c r="B1754" i="55"/>
  <c r="B1755" i="55"/>
  <c r="B1756" i="55"/>
  <c r="B1757" i="55"/>
  <c r="B1758" i="55"/>
  <c r="B1759" i="55"/>
  <c r="B1760" i="55"/>
  <c r="B1761" i="55"/>
  <c r="B1762" i="55"/>
  <c r="B1763" i="55"/>
  <c r="B1764" i="55"/>
  <c r="B1765" i="55"/>
  <c r="B1766" i="55"/>
  <c r="B1767" i="55"/>
  <c r="B1768" i="55"/>
  <c r="B1769" i="55"/>
  <c r="B1770" i="55"/>
  <c r="B1771" i="55"/>
  <c r="B1772" i="55"/>
  <c r="B1773" i="55"/>
  <c r="B1774" i="55"/>
  <c r="B1775" i="55"/>
  <c r="B1776" i="55"/>
  <c r="B1777" i="55"/>
  <c r="B1778" i="55"/>
  <c r="B1779" i="55"/>
  <c r="B1780" i="55"/>
  <c r="B1781" i="55"/>
  <c r="B1782" i="55"/>
  <c r="B1783" i="55"/>
  <c r="B1784" i="55"/>
  <c r="B1785" i="55"/>
  <c r="B1786" i="55"/>
  <c r="B1787" i="55"/>
  <c r="B1788" i="55"/>
  <c r="B1789" i="55"/>
  <c r="B1790" i="55"/>
  <c r="B1791" i="55"/>
  <c r="B1792" i="55"/>
  <c r="B1793" i="55"/>
  <c r="B1794" i="55"/>
  <c r="B1795" i="55"/>
  <c r="B1796" i="55"/>
  <c r="B1797" i="55"/>
  <c r="B1798" i="55"/>
  <c r="B1799" i="55"/>
  <c r="B1800" i="55"/>
  <c r="B1801" i="55"/>
  <c r="B1802" i="55"/>
  <c r="B1803" i="55"/>
  <c r="B1804" i="55"/>
  <c r="B1805" i="55"/>
  <c r="B1806" i="55"/>
  <c r="B1807" i="55"/>
  <c r="B1808" i="55"/>
  <c r="B1809" i="55"/>
  <c r="B1810" i="55"/>
  <c r="B1811" i="55"/>
  <c r="B1812" i="55"/>
  <c r="B1813" i="55"/>
  <c r="B1814" i="55"/>
  <c r="B1815" i="55"/>
  <c r="B1816" i="55"/>
  <c r="B1817" i="55"/>
  <c r="B1818" i="55"/>
  <c r="B1819" i="55"/>
  <c r="B1820" i="55"/>
  <c r="B1821" i="55"/>
  <c r="B1822" i="55"/>
  <c r="B1823" i="55"/>
  <c r="B1824" i="55"/>
  <c r="B1825" i="55"/>
  <c r="B1826" i="55"/>
  <c r="B1827" i="55"/>
  <c r="B1828" i="55"/>
  <c r="B1829" i="55"/>
  <c r="B1830" i="55"/>
  <c r="B1831" i="55"/>
  <c r="B1832" i="55"/>
  <c r="B1833" i="55"/>
  <c r="B1834" i="55"/>
  <c r="B1835" i="55"/>
  <c r="B1836" i="55"/>
  <c r="B1837" i="55"/>
  <c r="B1838" i="55"/>
  <c r="B1839" i="55"/>
  <c r="B1840" i="55"/>
  <c r="B1841" i="55"/>
  <c r="B1842" i="55"/>
  <c r="B1843" i="55"/>
  <c r="B1844" i="55"/>
  <c r="B1709" i="55"/>
  <c r="B1710" i="55"/>
  <c r="B1708" i="55"/>
  <c r="D785" i="55"/>
  <c r="D415" i="55"/>
  <c r="C2153" i="21"/>
  <c r="C2154" i="21"/>
  <c r="C2155" i="21"/>
  <c r="C2156" i="21"/>
  <c r="C2157" i="21"/>
  <c r="C2158" i="21"/>
  <c r="C2159" i="21"/>
  <c r="C2160" i="21"/>
  <c r="C2161" i="21"/>
  <c r="C2162" i="21"/>
  <c r="C2163" i="21"/>
  <c r="C2164" i="21"/>
  <c r="C2165" i="21"/>
  <c r="C2166" i="21"/>
  <c r="C2167" i="21"/>
  <c r="C2168" i="21"/>
  <c r="C2169" i="21"/>
  <c r="C2170" i="21"/>
  <c r="C2171" i="21"/>
  <c r="C2172" i="21"/>
  <c r="C2173" i="21"/>
  <c r="C2174" i="21"/>
  <c r="C2175" i="21"/>
  <c r="C2176" i="21"/>
  <c r="C2177" i="21"/>
  <c r="C2178" i="21"/>
  <c r="C2179" i="21"/>
  <c r="C2180" i="21"/>
  <c r="C2181" i="21"/>
  <c r="C2182" i="21"/>
  <c r="C2183" i="21"/>
  <c r="C2184" i="21"/>
  <c r="C2185" i="21"/>
  <c r="C2186" i="21"/>
  <c r="C2187" i="21"/>
  <c r="C2188" i="21"/>
  <c r="C2189" i="21"/>
  <c r="C2190" i="21"/>
  <c r="C2191" i="21"/>
  <c r="C2192" i="21"/>
  <c r="C2193" i="21"/>
  <c r="C2194" i="21"/>
  <c r="C2195" i="21"/>
  <c r="C2196" i="21"/>
  <c r="C2197" i="21"/>
  <c r="C2198" i="21"/>
  <c r="C2199" i="21"/>
  <c r="C2200" i="21"/>
  <c r="C2201" i="21"/>
  <c r="C2202" i="21"/>
  <c r="C2203" i="21"/>
  <c r="C2204" i="21"/>
  <c r="C2205" i="21"/>
  <c r="C2206" i="21"/>
  <c r="C2207" i="21"/>
  <c r="C2208" i="21"/>
  <c r="C2209" i="21"/>
  <c r="C2210" i="21"/>
  <c r="C2211" i="21"/>
  <c r="C2212" i="21"/>
  <c r="C2213" i="21"/>
  <c r="C2214" i="21"/>
  <c r="C2215" i="21"/>
  <c r="C2216" i="21"/>
  <c r="C2217" i="21"/>
  <c r="C2218" i="21"/>
  <c r="C2219" i="21"/>
  <c r="C2220" i="21"/>
  <c r="C2221" i="21"/>
  <c r="C2222" i="21"/>
  <c r="C2223" i="21"/>
  <c r="C2224" i="21"/>
  <c r="C2225" i="21"/>
  <c r="C2226" i="21"/>
  <c r="C2227" i="21"/>
  <c r="C2228" i="21"/>
  <c r="C2229" i="21"/>
  <c r="C2230" i="21"/>
  <c r="C2231" i="21"/>
  <c r="C2232" i="21"/>
  <c r="C2233" i="21"/>
  <c r="C2234" i="21"/>
  <c r="C2235" i="21"/>
  <c r="C2236" i="21"/>
  <c r="C2237" i="21"/>
  <c r="C2238" i="21"/>
  <c r="C2239" i="21"/>
  <c r="C2240" i="21"/>
  <c r="C2241" i="21"/>
  <c r="C2242" i="21"/>
  <c r="C2243" i="21"/>
  <c r="C2244" i="21"/>
  <c r="C2245" i="21"/>
  <c r="C2246" i="21"/>
  <c r="C2247" i="21"/>
  <c r="C2248" i="21"/>
  <c r="C2249" i="21"/>
  <c r="C2250" i="21"/>
  <c r="C2251" i="21"/>
  <c r="C2252" i="21"/>
  <c r="C2253" i="21"/>
  <c r="C2254" i="21"/>
  <c r="C2255" i="21"/>
  <c r="C2256" i="21"/>
  <c r="C2257" i="21"/>
  <c r="C2258" i="21"/>
  <c r="C2259" i="21"/>
  <c r="C2260" i="21"/>
  <c r="C2261" i="21"/>
  <c r="C2262" i="21"/>
  <c r="C2263" i="21"/>
  <c r="C2264" i="21"/>
  <c r="C2266" i="21"/>
  <c r="C2267" i="21"/>
  <c r="C2268" i="21"/>
  <c r="C2269" i="21"/>
  <c r="C2270" i="21"/>
  <c r="C2271" i="21"/>
  <c r="C2272" i="21"/>
  <c r="C2273" i="21"/>
  <c r="C2274" i="21"/>
  <c r="C2275" i="21"/>
  <c r="C2276" i="21"/>
  <c r="C2277" i="21"/>
  <c r="C2278" i="21"/>
  <c r="C2279" i="21"/>
  <c r="C2280" i="21"/>
  <c r="C2281" i="21"/>
  <c r="C2282" i="21"/>
  <c r="C2283" i="21"/>
  <c r="C2284" i="21"/>
  <c r="C2285" i="21"/>
  <c r="C2286" i="21"/>
  <c r="C2287" i="21"/>
  <c r="C2288" i="21"/>
  <c r="C2289" i="21"/>
  <c r="C2290" i="21"/>
  <c r="C2291" i="21"/>
  <c r="C2292" i="21"/>
  <c r="C2293" i="21"/>
  <c r="C2294" i="21"/>
  <c r="C2295" i="21"/>
  <c r="C2296" i="21"/>
  <c r="C2297" i="21"/>
  <c r="C2298" i="21"/>
  <c r="C2299" i="21"/>
  <c r="C2300" i="21"/>
  <c r="C2301" i="21"/>
  <c r="C2302" i="21"/>
  <c r="C2303" i="21"/>
  <c r="C2304" i="21"/>
  <c r="C2305" i="21"/>
  <c r="C2306" i="21"/>
  <c r="C2307" i="21"/>
  <c r="C2308" i="21"/>
  <c r="C2309" i="21"/>
  <c r="C2310" i="21"/>
  <c r="C2311" i="21"/>
  <c r="C2312" i="21"/>
  <c r="C2313" i="21"/>
  <c r="C2314" i="21"/>
  <c r="C2315" i="21"/>
  <c r="C2316" i="21"/>
  <c r="C2317" i="21"/>
  <c r="C2318" i="21"/>
  <c r="C2319" i="21"/>
  <c r="C2320" i="21"/>
  <c r="C2321" i="21"/>
  <c r="C2322" i="21"/>
  <c r="C2323" i="21"/>
  <c r="C2324" i="21"/>
  <c r="C2325" i="21"/>
  <c r="C2326" i="21"/>
  <c r="C2327" i="21"/>
  <c r="C2328" i="21"/>
  <c r="C2329" i="21"/>
  <c r="C2330" i="21"/>
  <c r="C2331" i="21"/>
  <c r="C2332" i="21"/>
  <c r="C2333" i="21"/>
  <c r="C2334" i="21"/>
  <c r="C2335" i="21"/>
  <c r="C2336" i="21"/>
  <c r="C2337" i="21"/>
  <c r="C2338" i="21"/>
  <c r="C2339" i="21"/>
  <c r="C2340" i="21"/>
  <c r="C2341" i="21"/>
  <c r="C2342" i="21"/>
  <c r="C2343" i="21"/>
  <c r="C2344" i="21"/>
  <c r="C2345" i="21"/>
  <c r="C2346" i="21"/>
  <c r="C2347" i="21"/>
  <c r="C2348" i="21"/>
  <c r="C2349" i="21"/>
  <c r="C2350" i="21"/>
  <c r="C2351" i="21"/>
  <c r="C2352" i="21"/>
  <c r="C2353" i="21"/>
  <c r="C2354" i="21"/>
  <c r="C2355" i="21"/>
  <c r="C2356" i="21"/>
  <c r="C2357" i="21"/>
  <c r="C2358" i="21"/>
  <c r="C2359" i="21"/>
  <c r="C2360" i="21"/>
  <c r="C2361" i="21"/>
  <c r="C2362" i="21"/>
  <c r="C2363" i="21"/>
  <c r="C2364" i="21"/>
  <c r="C2365" i="21"/>
  <c r="C2366" i="21"/>
  <c r="C2367" i="21"/>
  <c r="C2368" i="21"/>
  <c r="C2369" i="21"/>
  <c r="C2370" i="21"/>
  <c r="C2371" i="21"/>
  <c r="C2372" i="21"/>
  <c r="C2373" i="21"/>
  <c r="C2374" i="21"/>
  <c r="C2375" i="21"/>
  <c r="C2376" i="21"/>
  <c r="C2377" i="21"/>
  <c r="C2378" i="21"/>
  <c r="C2379" i="21"/>
  <c r="C2380" i="21"/>
  <c r="C2381" i="21"/>
  <c r="C2382" i="21"/>
  <c r="C2383" i="21"/>
  <c r="C2384" i="21"/>
  <c r="C2385" i="21"/>
  <c r="C2386" i="21"/>
  <c r="C2387" i="21"/>
  <c r="C2388" i="21"/>
  <c r="C2389" i="21"/>
  <c r="C2390" i="21"/>
  <c r="C2391" i="21"/>
  <c r="C2392" i="21"/>
  <c r="C2393" i="21"/>
  <c r="C2394" i="21"/>
  <c r="C2395" i="21"/>
  <c r="C2396" i="21"/>
  <c r="C2397" i="21"/>
  <c r="C2398" i="21"/>
  <c r="C2399" i="21"/>
  <c r="C2400" i="21"/>
  <c r="C2401" i="21"/>
  <c r="C2402" i="21"/>
  <c r="C2403" i="21"/>
  <c r="C2404" i="21"/>
  <c r="C2405" i="21"/>
  <c r="C2406" i="21"/>
  <c r="C2407" i="21"/>
  <c r="C2408" i="21"/>
  <c r="C2409" i="21"/>
  <c r="C2410" i="21"/>
  <c r="C2411" i="21"/>
  <c r="C2412" i="21"/>
  <c r="C2413" i="21"/>
  <c r="C2414" i="21"/>
  <c r="C2415" i="21"/>
  <c r="C2416" i="21"/>
  <c r="C2417" i="21"/>
  <c r="C2418" i="21"/>
  <c r="C2419" i="21"/>
  <c r="C2420" i="21"/>
  <c r="C2421" i="21"/>
  <c r="C2422" i="21"/>
  <c r="C2423" i="21"/>
  <c r="C2424" i="21"/>
  <c r="C2425" i="21"/>
  <c r="C2426" i="21"/>
  <c r="C2427" i="21"/>
  <c r="C2428" i="21"/>
  <c r="C2429" i="21"/>
  <c r="C2430" i="21"/>
  <c r="C2431" i="21"/>
  <c r="C2432" i="21"/>
  <c r="C2433" i="21"/>
  <c r="C2434" i="21"/>
  <c r="C2435" i="21"/>
  <c r="C2436" i="21"/>
  <c r="C2437" i="21"/>
  <c r="C2438" i="21"/>
  <c r="C2439" i="21"/>
  <c r="C2440" i="21"/>
  <c r="C2441" i="21"/>
  <c r="C2442" i="21"/>
  <c r="C2443" i="21"/>
  <c r="C2444" i="21"/>
  <c r="C2445" i="21"/>
  <c r="C2446" i="21"/>
  <c r="C2447" i="21"/>
  <c r="C2448" i="21"/>
  <c r="C2449" i="21"/>
  <c r="C2450" i="21"/>
  <c r="C2451" i="21"/>
  <c r="C2452" i="21"/>
  <c r="C2453" i="21"/>
  <c r="C2454" i="21"/>
  <c r="C2455" i="21"/>
  <c r="C2456" i="21"/>
  <c r="C2457" i="21"/>
  <c r="C2458" i="21"/>
  <c r="C2459" i="21"/>
  <c r="C2460" i="21"/>
  <c r="C2461" i="21"/>
  <c r="C2462" i="21"/>
  <c r="C2463" i="21"/>
  <c r="C2464" i="21"/>
  <c r="C2465" i="21"/>
  <c r="C2466" i="21"/>
  <c r="C2467" i="21"/>
  <c r="C2468" i="21"/>
  <c r="C2469" i="21"/>
  <c r="C2470" i="21"/>
  <c r="C2471" i="21"/>
  <c r="C2472" i="21"/>
  <c r="C2473" i="21"/>
  <c r="C2474" i="21"/>
  <c r="C2475" i="21"/>
  <c r="C2476" i="21"/>
  <c r="C2477" i="21"/>
  <c r="C2478" i="21"/>
  <c r="C2479" i="21"/>
  <c r="C2480" i="21"/>
  <c r="C2481" i="21"/>
  <c r="C2482" i="21"/>
  <c r="C2483" i="21"/>
  <c r="C2484" i="21"/>
  <c r="C2485" i="21"/>
  <c r="C2486" i="21"/>
  <c r="C2487" i="21"/>
  <c r="C2488" i="21"/>
  <c r="C2489" i="21"/>
  <c r="C2490" i="21"/>
  <c r="C2491" i="21"/>
  <c r="C2492" i="21"/>
  <c r="C2493" i="21"/>
  <c r="C2494" i="21"/>
  <c r="C2495" i="21"/>
  <c r="C2496" i="21"/>
  <c r="C2497" i="21"/>
  <c r="C2498" i="21"/>
  <c r="C2499" i="21"/>
  <c r="C2500" i="21"/>
  <c r="C2501" i="21"/>
  <c r="C2502" i="21"/>
  <c r="C2503" i="21"/>
  <c r="C2504" i="21"/>
  <c r="C2505" i="21"/>
  <c r="C2506" i="21"/>
  <c r="C2507" i="21"/>
  <c r="C2508" i="21"/>
  <c r="C2509" i="21"/>
  <c r="C2510" i="21"/>
  <c r="C2511" i="21"/>
  <c r="C2512" i="21"/>
  <c r="C2513" i="21"/>
  <c r="C2514" i="21"/>
  <c r="C2515" i="21"/>
  <c r="C2516" i="21"/>
  <c r="C2517" i="21"/>
  <c r="C2518" i="21"/>
  <c r="C2152" i="21"/>
  <c r="C621" i="55"/>
  <c r="C622" i="55"/>
  <c r="C623" i="55"/>
  <c r="C624" i="55"/>
  <c r="C625" i="55"/>
  <c r="C626" i="55"/>
  <c r="C627" i="55"/>
  <c r="C628" i="55"/>
  <c r="C629" i="55"/>
  <c r="C630" i="55"/>
  <c r="C631" i="55"/>
  <c r="C632" i="55"/>
  <c r="C633" i="55"/>
  <c r="C634" i="55"/>
  <c r="C635" i="55"/>
  <c r="C636" i="55"/>
  <c r="C637" i="55"/>
  <c r="C638" i="55"/>
  <c r="C639" i="55"/>
  <c r="C640" i="55"/>
  <c r="C641" i="55"/>
  <c r="C642" i="55"/>
  <c r="C643" i="55"/>
  <c r="C644" i="55"/>
  <c r="C645" i="55"/>
  <c r="C646" i="55"/>
  <c r="C647" i="55"/>
  <c r="C648" i="55"/>
  <c r="C649" i="55"/>
  <c r="C650" i="55"/>
  <c r="C651" i="55"/>
  <c r="C652" i="55"/>
  <c r="C653" i="55"/>
  <c r="C654" i="55"/>
  <c r="C655" i="55"/>
  <c r="C656" i="55"/>
  <c r="C657" i="55"/>
  <c r="C658" i="55"/>
  <c r="C659" i="55"/>
  <c r="C660" i="55"/>
  <c r="C661" i="55"/>
  <c r="C662" i="55"/>
  <c r="C663" i="55"/>
  <c r="C664" i="55"/>
  <c r="C665" i="55"/>
  <c r="C666" i="55"/>
  <c r="C667" i="55"/>
  <c r="C668" i="55"/>
  <c r="C669" i="55"/>
  <c r="C670" i="55"/>
  <c r="C671" i="55"/>
  <c r="C672" i="55"/>
  <c r="C673" i="55"/>
  <c r="C674" i="55"/>
  <c r="C675" i="55"/>
  <c r="C676" i="55"/>
  <c r="C677" i="55"/>
  <c r="C678" i="55"/>
  <c r="C679" i="55"/>
  <c r="C680" i="55"/>
  <c r="C681" i="55"/>
  <c r="C682" i="55"/>
  <c r="C683" i="55"/>
  <c r="C684" i="55"/>
  <c r="C685" i="55"/>
  <c r="C686" i="55"/>
  <c r="C687" i="55"/>
  <c r="C688" i="55"/>
  <c r="C689" i="55"/>
  <c r="C690" i="55"/>
  <c r="C691" i="55"/>
  <c r="C692" i="55"/>
  <c r="C693" i="55"/>
  <c r="C694" i="55"/>
  <c r="C695" i="55"/>
  <c r="C696" i="55"/>
  <c r="C697" i="55"/>
  <c r="C698" i="55"/>
  <c r="C699" i="55"/>
  <c r="C700" i="55"/>
  <c r="C701" i="55"/>
  <c r="C702" i="55"/>
  <c r="C703" i="55"/>
  <c r="C704" i="55"/>
  <c r="C705" i="55"/>
  <c r="C706" i="55"/>
  <c r="C707" i="55"/>
  <c r="C708" i="55"/>
  <c r="C709" i="55"/>
  <c r="C710" i="55"/>
  <c r="C711" i="55"/>
  <c r="C712" i="55"/>
  <c r="C713" i="55"/>
  <c r="C714" i="55"/>
  <c r="C715" i="55"/>
  <c r="C716" i="55"/>
  <c r="C717" i="55"/>
  <c r="C718" i="55"/>
  <c r="C719" i="55"/>
  <c r="C720" i="55"/>
  <c r="C721" i="55"/>
  <c r="C722" i="55"/>
  <c r="C723" i="55"/>
  <c r="C724" i="55"/>
  <c r="C725" i="55"/>
  <c r="C726" i="55"/>
  <c r="C727" i="55"/>
  <c r="C728" i="55"/>
  <c r="C729" i="55"/>
  <c r="C730" i="55"/>
  <c r="C731" i="55"/>
  <c r="C732" i="55"/>
  <c r="C733" i="55"/>
  <c r="C734" i="55"/>
  <c r="C735" i="55"/>
  <c r="C736" i="55"/>
  <c r="C737" i="55"/>
  <c r="C738" i="55"/>
  <c r="C739" i="55"/>
  <c r="C740" i="55"/>
  <c r="C741" i="55"/>
  <c r="C742" i="55"/>
  <c r="C743" i="55"/>
  <c r="C744" i="55"/>
  <c r="C745" i="55"/>
  <c r="C746" i="55"/>
  <c r="C747" i="55"/>
  <c r="C748" i="55"/>
  <c r="C749" i="55"/>
  <c r="C750" i="55"/>
  <c r="C751" i="55"/>
  <c r="C752" i="55"/>
  <c r="C753" i="55"/>
  <c r="C754" i="55"/>
  <c r="C755" i="55"/>
  <c r="C756" i="55"/>
  <c r="C757" i="55"/>
  <c r="C758" i="55"/>
  <c r="C759" i="55"/>
  <c r="C760" i="55"/>
  <c r="C761" i="55"/>
  <c r="C762" i="55"/>
  <c r="C763" i="55"/>
  <c r="C764" i="55"/>
  <c r="C765" i="55"/>
  <c r="C766" i="55"/>
  <c r="C767" i="55"/>
  <c r="C768" i="55"/>
  <c r="C769" i="55"/>
  <c r="C770" i="55"/>
  <c r="C771" i="55"/>
  <c r="C772" i="55"/>
  <c r="C773" i="55"/>
  <c r="C774" i="55"/>
  <c r="C775" i="55"/>
  <c r="C776" i="55"/>
  <c r="C777" i="55"/>
  <c r="C778" i="55"/>
  <c r="C779" i="55"/>
  <c r="C780" i="55"/>
  <c r="C781" i="55"/>
  <c r="C782" i="55"/>
  <c r="C417" i="55"/>
  <c r="C418" i="55"/>
  <c r="C419" i="55"/>
  <c r="C420" i="55"/>
  <c r="C421" i="55"/>
  <c r="C422" i="55"/>
  <c r="C423" i="55"/>
  <c r="C424" i="55"/>
  <c r="C425" i="55"/>
  <c r="C426" i="55"/>
  <c r="C427" i="55"/>
  <c r="C428" i="55"/>
  <c r="C429" i="55"/>
  <c r="C430" i="55"/>
  <c r="C431" i="55"/>
  <c r="C432" i="55"/>
  <c r="C433" i="55"/>
  <c r="C434" i="55"/>
  <c r="C435" i="55"/>
  <c r="C436" i="55"/>
  <c r="C437" i="55"/>
  <c r="C438" i="55"/>
  <c r="C439" i="55"/>
  <c r="C440" i="55"/>
  <c r="C441" i="55"/>
  <c r="C442" i="55"/>
  <c r="C443" i="55"/>
  <c r="C444" i="55"/>
  <c r="C445" i="55"/>
  <c r="C446" i="55"/>
  <c r="C447" i="55"/>
  <c r="C448" i="55"/>
  <c r="C449" i="55"/>
  <c r="C450" i="55"/>
  <c r="C451" i="55"/>
  <c r="C452" i="55"/>
  <c r="C453" i="55"/>
  <c r="C454" i="55"/>
  <c r="C455" i="55"/>
  <c r="C456" i="55"/>
  <c r="C457" i="55"/>
  <c r="C458" i="55"/>
  <c r="C459" i="55"/>
  <c r="C460" i="55"/>
  <c r="C461" i="55"/>
  <c r="C462" i="55"/>
  <c r="C463" i="55"/>
  <c r="C464" i="55"/>
  <c r="C465" i="55"/>
  <c r="C466" i="55"/>
  <c r="C467" i="55"/>
  <c r="C468" i="55"/>
  <c r="C469" i="55"/>
  <c r="C470" i="55"/>
  <c r="C471" i="55"/>
  <c r="C472" i="55"/>
  <c r="C473" i="55"/>
  <c r="C474" i="55"/>
  <c r="C475" i="55"/>
  <c r="C476" i="55"/>
  <c r="C477" i="55"/>
  <c r="C478" i="55"/>
  <c r="C479" i="55"/>
  <c r="C480" i="55"/>
  <c r="C481" i="55"/>
  <c r="C482" i="55"/>
  <c r="C483" i="55"/>
  <c r="C484" i="55"/>
  <c r="C485" i="55"/>
  <c r="C486" i="55"/>
  <c r="C487" i="55"/>
  <c r="C488" i="55"/>
  <c r="C489" i="55"/>
  <c r="C490" i="55"/>
  <c r="C491" i="55"/>
  <c r="C492" i="55"/>
  <c r="C493" i="55"/>
  <c r="C494" i="55"/>
  <c r="C495" i="55"/>
  <c r="C496" i="55"/>
  <c r="C497" i="55"/>
  <c r="C498" i="55"/>
  <c r="C499" i="55"/>
  <c r="C500" i="55"/>
  <c r="C501" i="55"/>
  <c r="C502" i="55"/>
  <c r="C503" i="55"/>
  <c r="C504" i="55"/>
  <c r="C505" i="55"/>
  <c r="C506" i="55"/>
  <c r="C507" i="55"/>
  <c r="C508" i="55"/>
  <c r="C509" i="55"/>
  <c r="C510" i="55"/>
  <c r="C511" i="55"/>
  <c r="C512" i="55"/>
  <c r="C513" i="55"/>
  <c r="C514" i="55"/>
  <c r="C515" i="55"/>
  <c r="C516" i="55"/>
  <c r="C517" i="55"/>
  <c r="C518" i="55"/>
  <c r="C519" i="55"/>
  <c r="C520" i="55"/>
  <c r="C521" i="55"/>
  <c r="C522" i="55"/>
  <c r="C523" i="55"/>
  <c r="C524" i="55"/>
  <c r="C525" i="55"/>
  <c r="C526" i="55"/>
  <c r="C527" i="55"/>
  <c r="C528" i="55"/>
  <c r="C530" i="55"/>
  <c r="C531" i="55"/>
  <c r="C532" i="55"/>
  <c r="C533" i="55"/>
  <c r="C534" i="55"/>
  <c r="C535" i="55"/>
  <c r="C536" i="55"/>
  <c r="C537" i="55"/>
  <c r="C538" i="55"/>
  <c r="C539" i="55"/>
  <c r="C540" i="55"/>
  <c r="C541" i="55"/>
  <c r="C542" i="55"/>
  <c r="C543" i="55"/>
  <c r="C544" i="55"/>
  <c r="C545" i="55"/>
  <c r="C546" i="55"/>
  <c r="C547" i="55"/>
  <c r="C548" i="55"/>
  <c r="C549" i="55"/>
  <c r="C550" i="55"/>
  <c r="C551" i="55"/>
  <c r="C552" i="55"/>
  <c r="C553" i="55"/>
  <c r="C554" i="55"/>
  <c r="C555" i="55"/>
  <c r="C556" i="55"/>
  <c r="C557" i="55"/>
  <c r="C558" i="55"/>
  <c r="C559" i="55"/>
  <c r="C560" i="55"/>
  <c r="C561" i="55"/>
  <c r="C562" i="55"/>
  <c r="C563" i="55"/>
  <c r="C564" i="55"/>
  <c r="C565" i="55"/>
  <c r="C566" i="55"/>
  <c r="C567" i="55"/>
  <c r="C568" i="55"/>
  <c r="C569" i="55"/>
  <c r="C570" i="55"/>
  <c r="C571" i="55"/>
  <c r="C572" i="55"/>
  <c r="C573" i="55"/>
  <c r="C574" i="55"/>
  <c r="C575" i="55"/>
  <c r="C576" i="55"/>
  <c r="C577" i="55"/>
  <c r="C578" i="55"/>
  <c r="C579" i="55"/>
  <c r="C580" i="55"/>
  <c r="C581" i="55"/>
  <c r="C582" i="55"/>
  <c r="C583" i="55"/>
  <c r="C584" i="55"/>
  <c r="C585" i="55"/>
  <c r="C586" i="55"/>
  <c r="C587" i="55"/>
  <c r="C588" i="55"/>
  <c r="C589" i="55"/>
  <c r="C590" i="55"/>
  <c r="C591" i="55"/>
  <c r="C592" i="55"/>
  <c r="C593" i="55"/>
  <c r="C594" i="55"/>
  <c r="C595" i="55"/>
  <c r="C596" i="55"/>
  <c r="C597" i="55"/>
  <c r="C598" i="55"/>
  <c r="C599" i="55"/>
  <c r="C600" i="55"/>
  <c r="C601" i="55"/>
  <c r="C602" i="55"/>
  <c r="C603" i="55"/>
  <c r="C604" i="55"/>
  <c r="C605" i="55"/>
  <c r="C606" i="55"/>
  <c r="C607" i="55"/>
  <c r="C608" i="55"/>
  <c r="C609" i="55"/>
  <c r="C610" i="55"/>
  <c r="C611" i="55"/>
  <c r="C612" i="55"/>
  <c r="C613" i="55"/>
  <c r="C614" i="55"/>
  <c r="C615" i="55"/>
  <c r="C616" i="55"/>
  <c r="C617" i="55"/>
  <c r="C618" i="55"/>
  <c r="C619" i="55"/>
  <c r="C620" i="55"/>
  <c r="C416" i="55"/>
  <c r="A1487" i="35"/>
  <c r="A1488" i="35" s="1"/>
  <c r="A1489" i="35" s="1"/>
  <c r="A1490" i="35" s="1"/>
  <c r="E569" i="60"/>
  <c r="H569" i="60"/>
  <c r="K569" i="60"/>
  <c r="N569" i="60"/>
  <c r="E531" i="60"/>
  <c r="H531" i="60"/>
  <c r="K531" i="60"/>
  <c r="N531" i="60"/>
  <c r="E1481" i="35"/>
  <c r="A1482" i="35"/>
  <c r="A1483" i="35" s="1"/>
  <c r="A1484" i="35" s="1"/>
  <c r="A1485" i="35" s="1"/>
  <c r="E506" i="60"/>
  <c r="H506" i="60"/>
  <c r="K506" i="60"/>
  <c r="N506" i="60"/>
  <c r="E468" i="60"/>
  <c r="H468" i="60"/>
  <c r="K468" i="60"/>
  <c r="N468" i="60"/>
  <c r="C3314" i="21"/>
  <c r="D3314" i="21" s="1"/>
  <c r="C3371" i="21"/>
  <c r="C1634" i="55" s="1"/>
  <c r="F1515" i="35"/>
  <c r="F1532" i="35" s="1"/>
  <c r="E1866" i="55" s="1"/>
  <c r="E1515" i="35"/>
  <c r="E1532" i="35" s="1"/>
  <c r="E3603" i="21" s="1"/>
  <c r="A1393" i="35"/>
  <c r="A1397" i="35" s="1"/>
  <c r="A1406" i="35" s="1"/>
  <c r="A1410" i="35"/>
  <c r="A1421" i="35"/>
  <c r="A1428" i="35" s="1"/>
  <c r="A1394" i="35"/>
  <c r="A1398" i="35" s="1"/>
  <c r="A1407" i="35" s="1"/>
  <c r="B2927" i="19"/>
  <c r="C2839" i="19"/>
  <c r="D2839" i="19"/>
  <c r="E2839" i="19"/>
  <c r="F2839" i="19"/>
  <c r="G2839" i="19"/>
  <c r="B2839" i="19"/>
  <c r="C784" i="19"/>
  <c r="B784" i="19"/>
  <c r="O9" i="60" s="1"/>
  <c r="A118" i="58"/>
  <c r="A119" i="58" s="1"/>
  <c r="A120" i="58" s="1"/>
  <c r="A121" i="58" s="1"/>
  <c r="A122" i="58" s="1"/>
  <c r="A123" i="58" s="1"/>
  <c r="O645" i="47"/>
  <c r="O644" i="47"/>
  <c r="O643" i="47"/>
  <c r="O642" i="47"/>
  <c r="O641" i="47"/>
  <c r="O640" i="47"/>
  <c r="D639" i="47"/>
  <c r="O591" i="47"/>
  <c r="O592" i="47"/>
  <c r="O593" i="47"/>
  <c r="O594" i="47"/>
  <c r="O595" i="47"/>
  <c r="O596" i="47"/>
  <c r="L592" i="47"/>
  <c r="L593" i="47"/>
  <c r="L594" i="47"/>
  <c r="L595" i="47"/>
  <c r="L596" i="47"/>
  <c r="O580" i="47"/>
  <c r="O581" i="47"/>
  <c r="O582" i="47"/>
  <c r="O583" i="47"/>
  <c r="O584" i="47"/>
  <c r="O585" i="47"/>
  <c r="O586" i="47"/>
  <c r="O587" i="47"/>
  <c r="O588" i="47"/>
  <c r="O589" i="47"/>
  <c r="L580" i="47"/>
  <c r="L581" i="47"/>
  <c r="L582" i="47"/>
  <c r="L583" i="47"/>
  <c r="L584" i="47"/>
  <c r="L585" i="47"/>
  <c r="L586" i="47"/>
  <c r="L587" i="47"/>
  <c r="L588" i="47"/>
  <c r="L589" i="47"/>
  <c r="L578" i="47"/>
  <c r="L579" i="47"/>
  <c r="O578" i="47"/>
  <c r="O579" i="47"/>
  <c r="E1161" i="35"/>
  <c r="F1161" i="35"/>
  <c r="I2864" i="19"/>
  <c r="B3602" i="21" s="1"/>
  <c r="A2817" i="19"/>
  <c r="F1405" i="35"/>
  <c r="F1855" i="55" s="1"/>
  <c r="H1401" i="35"/>
  <c r="H1400" i="35"/>
  <c r="H1399" i="35"/>
  <c r="F1476" i="35"/>
  <c r="E1476" i="35"/>
  <c r="F1466" i="35"/>
  <c r="E1466" i="35"/>
  <c r="E1456" i="35"/>
  <c r="F1456" i="35"/>
  <c r="F1449" i="35"/>
  <c r="E1449" i="35"/>
  <c r="C2927" i="19"/>
  <c r="B2874" i="19"/>
  <c r="I2874" i="19" s="1"/>
  <c r="A51" i="54"/>
  <c r="D56" i="54"/>
  <c r="D33" i="58"/>
  <c r="D57" i="54"/>
  <c r="D60" i="54" s="1"/>
  <c r="D58" i="54"/>
  <c r="H33" i="58"/>
  <c r="D59" i="54"/>
  <c r="J33" i="58" s="1"/>
  <c r="B60" i="54"/>
  <c r="C60" i="54"/>
  <c r="Q158" i="61"/>
  <c r="O160" i="61"/>
  <c r="N160" i="61"/>
  <c r="P160" i="61"/>
  <c r="P159" i="61"/>
  <c r="P153" i="61"/>
  <c r="P154" i="61"/>
  <c r="P162" i="61" s="1"/>
  <c r="P163" i="61" s="1"/>
  <c r="P155" i="61"/>
  <c r="P156" i="61"/>
  <c r="P157" i="61"/>
  <c r="P158" i="61"/>
  <c r="P152" i="61"/>
  <c r="O152" i="61"/>
  <c r="O153" i="61"/>
  <c r="Q153" i="61"/>
  <c r="O154" i="61"/>
  <c r="Q154" i="61"/>
  <c r="O155" i="61"/>
  <c r="Q155" i="61"/>
  <c r="O156" i="61"/>
  <c r="Q156" i="61"/>
  <c r="O158" i="61"/>
  <c r="O159" i="61"/>
  <c r="Q159" i="61"/>
  <c r="Q160" i="61"/>
  <c r="Q152" i="61"/>
  <c r="N152" i="61"/>
  <c r="N158" i="61"/>
  <c r="N159" i="61"/>
  <c r="N156" i="61"/>
  <c r="N155" i="61"/>
  <c r="N154" i="61"/>
  <c r="L150" i="61"/>
  <c r="L41" i="52"/>
  <c r="J41" i="52"/>
  <c r="H41" i="52"/>
  <c r="L35" i="52"/>
  <c r="L34" i="52"/>
  <c r="L33" i="52"/>
  <c r="L32" i="52"/>
  <c r="L31" i="52"/>
  <c r="L30" i="52"/>
  <c r="L29" i="52"/>
  <c r="L28" i="52"/>
  <c r="K28" i="52"/>
  <c r="L27" i="52"/>
  <c r="K27" i="52"/>
  <c r="L26" i="52"/>
  <c r="K26" i="52"/>
  <c r="L25" i="52"/>
  <c r="K25" i="52"/>
  <c r="L24" i="52"/>
  <c r="K24" i="52"/>
  <c r="L23" i="52"/>
  <c r="K23" i="52"/>
  <c r="L22" i="52"/>
  <c r="K22" i="52"/>
  <c r="L21" i="52"/>
  <c r="K21" i="52"/>
  <c r="L20" i="52"/>
  <c r="K20" i="52"/>
  <c r="L19" i="52"/>
  <c r="K19" i="52"/>
  <c r="L18" i="52"/>
  <c r="K18" i="52"/>
  <c r="L17" i="52"/>
  <c r="K17" i="52"/>
  <c r="L16" i="52"/>
  <c r="K16" i="52"/>
  <c r="L15" i="52"/>
  <c r="K15" i="52"/>
  <c r="L14" i="52"/>
  <c r="K14" i="52"/>
  <c r="L13" i="52"/>
  <c r="K13" i="52"/>
  <c r="L12" i="52"/>
  <c r="K12" i="52"/>
  <c r="J35" i="52"/>
  <c r="J34" i="52"/>
  <c r="J33" i="52"/>
  <c r="J32" i="52"/>
  <c r="J31" i="52"/>
  <c r="J39" i="52" s="1"/>
  <c r="J30" i="52"/>
  <c r="J29" i="52"/>
  <c r="J28" i="52"/>
  <c r="I28" i="52"/>
  <c r="J27" i="52"/>
  <c r="I27" i="52"/>
  <c r="J26" i="52"/>
  <c r="I26" i="52"/>
  <c r="J25" i="52"/>
  <c r="I25" i="52"/>
  <c r="J24" i="52"/>
  <c r="I24" i="52"/>
  <c r="J23" i="52"/>
  <c r="I23" i="52"/>
  <c r="J22" i="52"/>
  <c r="I22" i="52"/>
  <c r="J21" i="52"/>
  <c r="I21" i="52"/>
  <c r="J20" i="52"/>
  <c r="I20" i="52"/>
  <c r="J19" i="52"/>
  <c r="I19" i="52"/>
  <c r="J18" i="52"/>
  <c r="I18" i="52"/>
  <c r="J17" i="52"/>
  <c r="I17" i="52"/>
  <c r="J16" i="52"/>
  <c r="I16" i="52"/>
  <c r="J15" i="52"/>
  <c r="I15" i="52"/>
  <c r="J14" i="52"/>
  <c r="I14" i="52"/>
  <c r="J13" i="52"/>
  <c r="I13" i="52"/>
  <c r="I36" i="52" s="1"/>
  <c r="J12" i="52"/>
  <c r="I12" i="52"/>
  <c r="H35" i="52"/>
  <c r="H34" i="52"/>
  <c r="H33" i="52"/>
  <c r="H32" i="52"/>
  <c r="H31" i="52"/>
  <c r="H30" i="52"/>
  <c r="H29" i="52"/>
  <c r="H28" i="52"/>
  <c r="G28" i="52"/>
  <c r="H27" i="52"/>
  <c r="G27" i="52"/>
  <c r="H26" i="52"/>
  <c r="G26" i="52"/>
  <c r="H25" i="52"/>
  <c r="G25" i="52"/>
  <c r="H24" i="52"/>
  <c r="G24" i="52"/>
  <c r="H23" i="52"/>
  <c r="G23" i="52"/>
  <c r="G38" i="52" s="1"/>
  <c r="H22" i="52"/>
  <c r="G22" i="52"/>
  <c r="H21" i="52"/>
  <c r="G21" i="52"/>
  <c r="H20" i="52"/>
  <c r="G20" i="52"/>
  <c r="C20" i="52" s="1"/>
  <c r="H19" i="52"/>
  <c r="G19" i="52"/>
  <c r="H18" i="52"/>
  <c r="G18" i="52"/>
  <c r="C18" i="52" s="1"/>
  <c r="H17" i="52"/>
  <c r="G17" i="52"/>
  <c r="C17" i="52" s="1"/>
  <c r="H16" i="52"/>
  <c r="G16" i="52"/>
  <c r="C16" i="52" s="1"/>
  <c r="H15" i="52"/>
  <c r="G15" i="52"/>
  <c r="G36" i="52" s="1"/>
  <c r="H14" i="52"/>
  <c r="G14" i="52"/>
  <c r="H13" i="52"/>
  <c r="G13" i="52"/>
  <c r="H12" i="52"/>
  <c r="G12" i="52"/>
  <c r="F41" i="52"/>
  <c r="F34" i="52"/>
  <c r="D34" i="52" s="1"/>
  <c r="F35" i="52"/>
  <c r="F40" i="52" s="1"/>
  <c r="F29" i="52"/>
  <c r="F30" i="52"/>
  <c r="F31" i="52"/>
  <c r="F32" i="52"/>
  <c r="F33" i="52"/>
  <c r="E13" i="52"/>
  <c r="F13" i="52"/>
  <c r="E14" i="52"/>
  <c r="F14" i="52"/>
  <c r="E15" i="52"/>
  <c r="F15" i="52"/>
  <c r="E16" i="52"/>
  <c r="F16" i="52"/>
  <c r="E17" i="52"/>
  <c r="F17" i="52"/>
  <c r="E18" i="52"/>
  <c r="F18" i="52"/>
  <c r="E19" i="52"/>
  <c r="F19" i="52"/>
  <c r="E20" i="52"/>
  <c r="F20" i="52"/>
  <c r="E21" i="52"/>
  <c r="F21" i="52"/>
  <c r="E22" i="52"/>
  <c r="F22" i="52"/>
  <c r="D22" i="52" s="1"/>
  <c r="E23" i="52"/>
  <c r="F23" i="52"/>
  <c r="E24" i="52"/>
  <c r="F24" i="52"/>
  <c r="E25" i="52"/>
  <c r="F25" i="52"/>
  <c r="E26" i="52"/>
  <c r="F26" i="52"/>
  <c r="E27" i="52"/>
  <c r="F27" i="52"/>
  <c r="E28" i="52"/>
  <c r="F28" i="52"/>
  <c r="F12" i="52"/>
  <c r="E12" i="52"/>
  <c r="O16" i="60"/>
  <c r="L16" i="60"/>
  <c r="I16" i="60"/>
  <c r="F16" i="60"/>
  <c r="N17" i="60"/>
  <c r="E10" i="56" s="1"/>
  <c r="F10" i="56" s="1"/>
  <c r="K17" i="60"/>
  <c r="E9" i="56" s="1"/>
  <c r="F9" i="56" s="1"/>
  <c r="H17" i="60"/>
  <c r="E8" i="56" s="1"/>
  <c r="F8" i="56" s="1"/>
  <c r="E17" i="60"/>
  <c r="E7" i="56" s="1"/>
  <c r="F7" i="56" s="1"/>
  <c r="P76" i="60"/>
  <c r="O76" i="60"/>
  <c r="N76" i="60"/>
  <c r="M76" i="60"/>
  <c r="L76" i="60"/>
  <c r="K76" i="60"/>
  <c r="J76" i="60"/>
  <c r="I76" i="60"/>
  <c r="H76" i="60"/>
  <c r="E76" i="60"/>
  <c r="P75" i="60"/>
  <c r="O75" i="60"/>
  <c r="N75" i="60"/>
  <c r="M75" i="60"/>
  <c r="L75" i="60"/>
  <c r="K75" i="60"/>
  <c r="J75" i="60"/>
  <c r="I75" i="60"/>
  <c r="H75" i="60"/>
  <c r="E75" i="60"/>
  <c r="P74" i="60"/>
  <c r="O74" i="60"/>
  <c r="N74" i="60"/>
  <c r="M74" i="60"/>
  <c r="L74" i="60"/>
  <c r="K74" i="60"/>
  <c r="J74" i="60"/>
  <c r="I74" i="60"/>
  <c r="H74" i="60"/>
  <c r="E74" i="60"/>
  <c r="O58" i="60"/>
  <c r="L58" i="60"/>
  <c r="I58" i="60"/>
  <c r="F58" i="60"/>
  <c r="P54" i="60"/>
  <c r="O54" i="60"/>
  <c r="N54" i="60"/>
  <c r="M54" i="60"/>
  <c r="L54" i="60"/>
  <c r="K54" i="60"/>
  <c r="J54" i="60"/>
  <c r="I54" i="60"/>
  <c r="H54" i="60"/>
  <c r="G54" i="60"/>
  <c r="F54" i="60"/>
  <c r="E54" i="60"/>
  <c r="P53" i="60"/>
  <c r="O53" i="60"/>
  <c r="N53" i="60"/>
  <c r="M53" i="60"/>
  <c r="L53" i="60"/>
  <c r="K53" i="60"/>
  <c r="J53" i="60"/>
  <c r="I53" i="60"/>
  <c r="H53" i="60"/>
  <c r="G53" i="60"/>
  <c r="F53" i="60"/>
  <c r="E53" i="60"/>
  <c r="O44" i="60"/>
  <c r="L44" i="60"/>
  <c r="I44" i="60"/>
  <c r="O43" i="60"/>
  <c r="L43" i="60"/>
  <c r="I43" i="60"/>
  <c r="O42" i="60"/>
  <c r="L42" i="60"/>
  <c r="I42" i="60"/>
  <c r="F42" i="60"/>
  <c r="N443" i="60"/>
  <c r="K443" i="60"/>
  <c r="H443" i="60"/>
  <c r="E443" i="60"/>
  <c r="N405" i="60"/>
  <c r="K405" i="60"/>
  <c r="H405" i="60"/>
  <c r="E405" i="60"/>
  <c r="N380" i="60"/>
  <c r="K380" i="60"/>
  <c r="H380" i="60"/>
  <c r="E380" i="60"/>
  <c r="N342" i="60"/>
  <c r="K342" i="60"/>
  <c r="H342" i="60"/>
  <c r="E342" i="60"/>
  <c r="N317" i="60"/>
  <c r="K317" i="60"/>
  <c r="H317" i="60"/>
  <c r="E317" i="60"/>
  <c r="N279" i="60"/>
  <c r="K279" i="60"/>
  <c r="H279" i="60"/>
  <c r="E279" i="60"/>
  <c r="N254" i="60"/>
  <c r="K254" i="60"/>
  <c r="H254" i="60"/>
  <c r="E254" i="60"/>
  <c r="N216" i="60"/>
  <c r="K216" i="60"/>
  <c r="H216" i="60"/>
  <c r="E216" i="60"/>
  <c r="N191" i="60"/>
  <c r="K191" i="60"/>
  <c r="H191" i="60"/>
  <c r="E191" i="60"/>
  <c r="N153" i="60"/>
  <c r="K153" i="60"/>
  <c r="H153" i="60"/>
  <c r="E153" i="60"/>
  <c r="N128" i="60"/>
  <c r="K128" i="60"/>
  <c r="H128" i="60"/>
  <c r="E128" i="60"/>
  <c r="N90" i="60"/>
  <c r="K90" i="60"/>
  <c r="H90" i="60"/>
  <c r="E90" i="60"/>
  <c r="N65" i="60"/>
  <c r="K65" i="60"/>
  <c r="H65" i="60"/>
  <c r="E65" i="60"/>
  <c r="C59" i="60"/>
  <c r="F59" i="60" s="1"/>
  <c r="N45" i="60"/>
  <c r="K45" i="60"/>
  <c r="H45" i="60"/>
  <c r="E45" i="60"/>
  <c r="C10" i="60"/>
  <c r="A5" i="52"/>
  <c r="C3262" i="21"/>
  <c r="C1525" i="55" s="1"/>
  <c r="C3402" i="21"/>
  <c r="D3402" i="21" s="1"/>
  <c r="F2521" i="21"/>
  <c r="I1853" i="19"/>
  <c r="I1854" i="19"/>
  <c r="I1855" i="19"/>
  <c r="I1856" i="19"/>
  <c r="I1857" i="19"/>
  <c r="I1858" i="19"/>
  <c r="I1859" i="19"/>
  <c r="I1860" i="19"/>
  <c r="I1861" i="19"/>
  <c r="I1862" i="19"/>
  <c r="I1863" i="19"/>
  <c r="I1864" i="19"/>
  <c r="I1865" i="19"/>
  <c r="I1866" i="19"/>
  <c r="I1867" i="19"/>
  <c r="I1868" i="19"/>
  <c r="I1869" i="19"/>
  <c r="I1870" i="19"/>
  <c r="I1871" i="19"/>
  <c r="I1872" i="19"/>
  <c r="I1873" i="19"/>
  <c r="I1874" i="19"/>
  <c r="I1875" i="19"/>
  <c r="I1876" i="19"/>
  <c r="I1877" i="19"/>
  <c r="I1878" i="19"/>
  <c r="I1879" i="19"/>
  <c r="I1880" i="19"/>
  <c r="I1881" i="19"/>
  <c r="I1882" i="19"/>
  <c r="I1883" i="19"/>
  <c r="I1884" i="19"/>
  <c r="I1885" i="19"/>
  <c r="I1886" i="19"/>
  <c r="I1887" i="19"/>
  <c r="I1888" i="19"/>
  <c r="I1889" i="19"/>
  <c r="I1890" i="19"/>
  <c r="I1891" i="19"/>
  <c r="I1892" i="19"/>
  <c r="I1893" i="19"/>
  <c r="I1894" i="19"/>
  <c r="I1895" i="19"/>
  <c r="I1896" i="19"/>
  <c r="I1897" i="19"/>
  <c r="I1898" i="19"/>
  <c r="I1899" i="19"/>
  <c r="I1900" i="19"/>
  <c r="I1901" i="19"/>
  <c r="I1902" i="19"/>
  <c r="I1903" i="19"/>
  <c r="I1904" i="19"/>
  <c r="I1905" i="19"/>
  <c r="I1906" i="19"/>
  <c r="I1907" i="19"/>
  <c r="I1908" i="19"/>
  <c r="I1909" i="19"/>
  <c r="I1910" i="19"/>
  <c r="I1911" i="19"/>
  <c r="I1912" i="19"/>
  <c r="I1913" i="19"/>
  <c r="I1914" i="19"/>
  <c r="I1915" i="19"/>
  <c r="I1916" i="19"/>
  <c r="I1917" i="19"/>
  <c r="I1918" i="19"/>
  <c r="I1919" i="19"/>
  <c r="I1920" i="19"/>
  <c r="I1921" i="19"/>
  <c r="I1922" i="19"/>
  <c r="I1923" i="19"/>
  <c r="I1924" i="19"/>
  <c r="I1925" i="19"/>
  <c r="I1926" i="19"/>
  <c r="I1927" i="19"/>
  <c r="I1928" i="19"/>
  <c r="I1929" i="19"/>
  <c r="I1930" i="19"/>
  <c r="I1931" i="19"/>
  <c r="I1932" i="19"/>
  <c r="I1933" i="19"/>
  <c r="I1934" i="19"/>
  <c r="I1935" i="19"/>
  <c r="I1936" i="19"/>
  <c r="I1937" i="19"/>
  <c r="I1938" i="19"/>
  <c r="I1939" i="19"/>
  <c r="I1940" i="19"/>
  <c r="I1941" i="19"/>
  <c r="I1942" i="19"/>
  <c r="I1943" i="19"/>
  <c r="I1944" i="19"/>
  <c r="I1945" i="19"/>
  <c r="I1946" i="19"/>
  <c r="I1947" i="19"/>
  <c r="I1948" i="19"/>
  <c r="I1949" i="19"/>
  <c r="I1950" i="19"/>
  <c r="I1951" i="19"/>
  <c r="I1952" i="19"/>
  <c r="I1953" i="19"/>
  <c r="I1954" i="19"/>
  <c r="I1955" i="19"/>
  <c r="I1956" i="19"/>
  <c r="I1957" i="19"/>
  <c r="I1958" i="19"/>
  <c r="I1959" i="19"/>
  <c r="I1960" i="19"/>
  <c r="I1961" i="19"/>
  <c r="I1962" i="19"/>
  <c r="I1963" i="19"/>
  <c r="I1964" i="19"/>
  <c r="I1965" i="19"/>
  <c r="I1966" i="19"/>
  <c r="I1967" i="19"/>
  <c r="I1968" i="19"/>
  <c r="I1969" i="19"/>
  <c r="I1970" i="19"/>
  <c r="I1971" i="19"/>
  <c r="I1972" i="19"/>
  <c r="I1973" i="19"/>
  <c r="I1974" i="19"/>
  <c r="I1975" i="19"/>
  <c r="I1976" i="19"/>
  <c r="I1977" i="19"/>
  <c r="I1978" i="19"/>
  <c r="I1979" i="19"/>
  <c r="I1980" i="19"/>
  <c r="I1981" i="19"/>
  <c r="I1982" i="19"/>
  <c r="I1983" i="19"/>
  <c r="I1984" i="19"/>
  <c r="I1985" i="19"/>
  <c r="I1986" i="19"/>
  <c r="I1987" i="19"/>
  <c r="I1988" i="19"/>
  <c r="I1989" i="19"/>
  <c r="I1990" i="19"/>
  <c r="I1991" i="19"/>
  <c r="I1992" i="19"/>
  <c r="I1993" i="19"/>
  <c r="I1994" i="19"/>
  <c r="I1995" i="19"/>
  <c r="I1996" i="19"/>
  <c r="I1997" i="19"/>
  <c r="I1998" i="19"/>
  <c r="I1999" i="19"/>
  <c r="I2000" i="19"/>
  <c r="I2001" i="19"/>
  <c r="I2002" i="19"/>
  <c r="I2003" i="19"/>
  <c r="I2004" i="19"/>
  <c r="I2005" i="19"/>
  <c r="I2006" i="19"/>
  <c r="I2007" i="19"/>
  <c r="I2008" i="19"/>
  <c r="B164" i="55" s="1"/>
  <c r="I2009" i="19"/>
  <c r="I2010" i="19"/>
  <c r="I2011" i="19"/>
  <c r="I2012" i="19"/>
  <c r="I2013" i="19"/>
  <c r="I2014" i="19"/>
  <c r="I2015" i="19"/>
  <c r="O577" i="47"/>
  <c r="O590" i="47"/>
  <c r="O597" i="47"/>
  <c r="O598" i="47"/>
  <c r="O599" i="47"/>
  <c r="O546" i="47"/>
  <c r="O547" i="47"/>
  <c r="O548" i="47"/>
  <c r="O549" i="47"/>
  <c r="O550" i="47"/>
  <c r="O551" i="47"/>
  <c r="O552" i="47"/>
  <c r="O553" i="47"/>
  <c r="O554" i="47"/>
  <c r="O555" i="47"/>
  <c r="O556" i="47"/>
  <c r="O557" i="47"/>
  <c r="O558" i="47"/>
  <c r="O559" i="47"/>
  <c r="O560" i="47"/>
  <c r="O561" i="47"/>
  <c r="O562" i="47"/>
  <c r="O563" i="47"/>
  <c r="O564" i="47"/>
  <c r="O565" i="47"/>
  <c r="O566" i="47"/>
  <c r="O567" i="47"/>
  <c r="O568" i="47"/>
  <c r="O569" i="47"/>
  <c r="O570" i="47"/>
  <c r="O571" i="47"/>
  <c r="O572" i="47"/>
  <c r="O573" i="47"/>
  <c r="O574" i="47"/>
  <c r="O575" i="47"/>
  <c r="O576" i="47"/>
  <c r="O527" i="47"/>
  <c r="O528" i="47"/>
  <c r="O529" i="47"/>
  <c r="O530" i="47"/>
  <c r="O531" i="47"/>
  <c r="O532" i="47"/>
  <c r="O533" i="47"/>
  <c r="O534" i="47"/>
  <c r="O535" i="47"/>
  <c r="O536" i="47"/>
  <c r="O537" i="47"/>
  <c r="O538" i="47"/>
  <c r="O539" i="47"/>
  <c r="O540" i="47"/>
  <c r="O541" i="47"/>
  <c r="O542" i="47"/>
  <c r="O543" i="47"/>
  <c r="O544" i="47"/>
  <c r="O545" i="47"/>
  <c r="O511" i="47"/>
  <c r="O512" i="47"/>
  <c r="O513" i="47"/>
  <c r="O514" i="47"/>
  <c r="O515" i="47"/>
  <c r="O516" i="47"/>
  <c r="O517" i="47"/>
  <c r="O518" i="47"/>
  <c r="O519" i="47"/>
  <c r="O520" i="47"/>
  <c r="O521" i="47"/>
  <c r="O522" i="47"/>
  <c r="O523" i="47"/>
  <c r="O524" i="47"/>
  <c r="O525" i="47"/>
  <c r="O526" i="47"/>
  <c r="O493" i="47"/>
  <c r="O494" i="47"/>
  <c r="O495" i="47"/>
  <c r="O496" i="47"/>
  <c r="O497" i="47"/>
  <c r="O498" i="47"/>
  <c r="O499" i="47"/>
  <c r="O500" i="47"/>
  <c r="O501" i="47"/>
  <c r="O502" i="47"/>
  <c r="O503" i="47"/>
  <c r="O504" i="47"/>
  <c r="O505" i="47"/>
  <c r="O506" i="47"/>
  <c r="G81" i="58" s="1"/>
  <c r="O507" i="47"/>
  <c r="O508" i="47"/>
  <c r="O509" i="47"/>
  <c r="O510" i="47"/>
  <c r="O476" i="47"/>
  <c r="O477" i="47"/>
  <c r="O478" i="47"/>
  <c r="O479" i="47"/>
  <c r="O480" i="47"/>
  <c r="O481" i="47"/>
  <c r="O482" i="47"/>
  <c r="O483" i="47"/>
  <c r="O484" i="47"/>
  <c r="O485" i="47"/>
  <c r="O486" i="47"/>
  <c r="O487" i="47"/>
  <c r="O488" i="47"/>
  <c r="O489" i="47"/>
  <c r="O490" i="47"/>
  <c r="O491" i="47"/>
  <c r="O492" i="47"/>
  <c r="O475" i="47"/>
  <c r="L554" i="47"/>
  <c r="L555" i="47"/>
  <c r="L556" i="47"/>
  <c r="L557" i="47"/>
  <c r="L558" i="47"/>
  <c r="L559" i="47"/>
  <c r="L560" i="47"/>
  <c r="L561" i="47"/>
  <c r="L562" i="47"/>
  <c r="L563" i="47"/>
  <c r="L564" i="47"/>
  <c r="L565" i="47"/>
  <c r="L566" i="47"/>
  <c r="L567" i="47"/>
  <c r="L568" i="47"/>
  <c r="L569" i="47"/>
  <c r="L570" i="47"/>
  <c r="L571" i="47"/>
  <c r="L572" i="47"/>
  <c r="L573" i="47"/>
  <c r="L574" i="47"/>
  <c r="L575" i="47"/>
  <c r="L576" i="47"/>
  <c r="L577" i="47"/>
  <c r="L590" i="47"/>
  <c r="L591" i="47"/>
  <c r="L597" i="47"/>
  <c r="L598" i="47"/>
  <c r="L599" i="47"/>
  <c r="L522" i="47"/>
  <c r="L523" i="47"/>
  <c r="L524" i="47"/>
  <c r="L525" i="47"/>
  <c r="L526" i="47"/>
  <c r="L527" i="47"/>
  <c r="L528" i="47"/>
  <c r="L529" i="47"/>
  <c r="L530" i="47"/>
  <c r="L531" i="47"/>
  <c r="L532" i="47"/>
  <c r="L533" i="47"/>
  <c r="L534" i="47"/>
  <c r="L535" i="47"/>
  <c r="L536" i="47"/>
  <c r="L537" i="47"/>
  <c r="L538" i="47"/>
  <c r="L539" i="47"/>
  <c r="L540" i="47"/>
  <c r="L541" i="47"/>
  <c r="L542" i="47"/>
  <c r="L543" i="47"/>
  <c r="L544" i="47"/>
  <c r="L545" i="47"/>
  <c r="L546" i="47"/>
  <c r="L547" i="47"/>
  <c r="L548" i="47"/>
  <c r="L549" i="47"/>
  <c r="L550" i="47"/>
  <c r="L551" i="47"/>
  <c r="L552" i="47"/>
  <c r="L553" i="47"/>
  <c r="L492" i="47"/>
  <c r="L493" i="47"/>
  <c r="L494" i="47"/>
  <c r="L495" i="47"/>
  <c r="L496" i="47"/>
  <c r="L497" i="47"/>
  <c r="L498" i="47"/>
  <c r="L499" i="47"/>
  <c r="L500" i="47"/>
  <c r="L501" i="47"/>
  <c r="L502" i="47"/>
  <c r="L503" i="47"/>
  <c r="L504" i="47"/>
  <c r="L505" i="47"/>
  <c r="L506" i="47"/>
  <c r="L507" i="47"/>
  <c r="L508" i="47"/>
  <c r="L509" i="47"/>
  <c r="L510" i="47"/>
  <c r="L511" i="47"/>
  <c r="L512" i="47"/>
  <c r="L513" i="47"/>
  <c r="L514" i="47"/>
  <c r="L515" i="47"/>
  <c r="L516" i="47"/>
  <c r="L517" i="47"/>
  <c r="L518" i="47"/>
  <c r="L519" i="47"/>
  <c r="L520" i="47"/>
  <c r="L521" i="47"/>
  <c r="L476" i="47"/>
  <c r="L477" i="47"/>
  <c r="L478" i="47"/>
  <c r="L479" i="47"/>
  <c r="L480" i="47"/>
  <c r="L481" i="47"/>
  <c r="L482" i="47"/>
  <c r="L483" i="47"/>
  <c r="L484" i="47"/>
  <c r="L485" i="47"/>
  <c r="L486" i="47"/>
  <c r="L487" i="47"/>
  <c r="L488" i="47"/>
  <c r="L489" i="47"/>
  <c r="L490" i="47"/>
  <c r="L491" i="47"/>
  <c r="L475" i="47"/>
  <c r="L46" i="52"/>
  <c r="L45" i="52"/>
  <c r="C47" i="36"/>
  <c r="C3444" i="21"/>
  <c r="C1707" i="55" s="1"/>
  <c r="B1558" i="46"/>
  <c r="C1709" i="55"/>
  <c r="C1710" i="55"/>
  <c r="C1711" i="55"/>
  <c r="C1712" i="55"/>
  <c r="C1713" i="55"/>
  <c r="C1714" i="55"/>
  <c r="C1715" i="55"/>
  <c r="C1708" i="55"/>
  <c r="B2900" i="19"/>
  <c r="F1384" i="35"/>
  <c r="E1384" i="35"/>
  <c r="F722" i="55"/>
  <c r="F539" i="55"/>
  <c r="F434" i="55"/>
  <c r="H1402" i="35"/>
  <c r="H1398" i="35"/>
  <c r="F439" i="55"/>
  <c r="F443" i="55"/>
  <c r="F524" i="55"/>
  <c r="F534" i="55"/>
  <c r="F562" i="55"/>
  <c r="F570" i="55"/>
  <c r="F592" i="55"/>
  <c r="F621" i="55"/>
  <c r="F631" i="55"/>
  <c r="F633" i="55"/>
  <c r="F643" i="55"/>
  <c r="F648" i="55"/>
  <c r="F656" i="55"/>
  <c r="F657" i="55"/>
  <c r="F660" i="55"/>
  <c r="F680" i="55"/>
  <c r="F690" i="55"/>
  <c r="F700" i="55"/>
  <c r="F714" i="55"/>
  <c r="F715" i="55"/>
  <c r="F739" i="55"/>
  <c r="F749" i="55"/>
  <c r="F753" i="55"/>
  <c r="F754" i="55"/>
  <c r="F757" i="55"/>
  <c r="F765" i="55"/>
  <c r="F458" i="55"/>
  <c r="F459" i="55"/>
  <c r="F466" i="55"/>
  <c r="F501" i="55"/>
  <c r="F526" i="55"/>
  <c r="F573" i="55"/>
  <c r="F585" i="55"/>
  <c r="F661" i="55"/>
  <c r="F709" i="55"/>
  <c r="F782" i="55"/>
  <c r="F490" i="55"/>
  <c r="F565" i="55"/>
  <c r="F652" i="55"/>
  <c r="F781" i="55"/>
  <c r="B1591" i="21"/>
  <c r="C3076" i="21"/>
  <c r="C3077" i="21"/>
  <c r="C1340" i="55" s="1"/>
  <c r="C3078" i="21"/>
  <c r="D3078" i="21" s="1"/>
  <c r="C3079" i="21"/>
  <c r="C1342" i="55" s="1"/>
  <c r="C3080" i="21"/>
  <c r="C1343" i="55" s="1"/>
  <c r="C3081" i="21"/>
  <c r="D3081" i="21" s="1"/>
  <c r="C3082" i="21"/>
  <c r="D3082" i="21" s="1"/>
  <c r="C3083" i="21"/>
  <c r="C1346" i="55" s="1"/>
  <c r="C3084" i="21"/>
  <c r="D3084" i="21" s="1"/>
  <c r="C3085" i="21"/>
  <c r="C1348" i="55" s="1"/>
  <c r="C3086" i="21"/>
  <c r="D3086" i="21" s="1"/>
  <c r="C3087" i="21"/>
  <c r="C1350" i="55" s="1"/>
  <c r="C3088" i="21"/>
  <c r="D3088" i="21" s="1"/>
  <c r="C3089" i="21"/>
  <c r="D3089" i="21" s="1"/>
  <c r="C3090" i="21"/>
  <c r="C1353" i="55" s="1"/>
  <c r="C3091" i="21"/>
  <c r="C1354" i="55" s="1"/>
  <c r="C3092" i="21"/>
  <c r="D3092" i="21" s="1"/>
  <c r="C3093" i="21"/>
  <c r="C1356" i="55" s="1"/>
  <c r="C3094" i="21"/>
  <c r="D3094" i="21" s="1"/>
  <c r="C3095" i="21"/>
  <c r="D3095" i="21" s="1"/>
  <c r="C3096" i="21"/>
  <c r="D3096" i="21" s="1"/>
  <c r="C3097" i="21"/>
  <c r="C1360" i="55" s="1"/>
  <c r="C3098" i="21"/>
  <c r="D3098" i="21" s="1"/>
  <c r="C3099" i="21"/>
  <c r="C1362" i="55" s="1"/>
  <c r="C3100" i="21"/>
  <c r="C1363" i="55" s="1"/>
  <c r="C3101" i="21"/>
  <c r="C1364" i="55" s="1"/>
  <c r="C3102" i="21"/>
  <c r="C1365" i="55" s="1"/>
  <c r="C3103" i="21"/>
  <c r="D3103" i="21" s="1"/>
  <c r="C3104" i="21"/>
  <c r="D3104" i="21" s="1"/>
  <c r="C3105" i="21"/>
  <c r="D3105" i="21" s="1"/>
  <c r="C3106" i="21"/>
  <c r="C1369" i="55" s="1"/>
  <c r="C3107" i="21"/>
  <c r="C1370" i="55" s="1"/>
  <c r="C3108" i="21"/>
  <c r="D3108" i="21" s="1"/>
  <c r="C3109" i="21"/>
  <c r="D3109" i="21" s="1"/>
  <c r="C3110" i="21"/>
  <c r="D3110" i="21" s="1"/>
  <c r="C3111" i="21"/>
  <c r="C1374" i="55" s="1"/>
  <c r="C3112" i="21"/>
  <c r="C1375" i="55" s="1"/>
  <c r="C3113" i="21"/>
  <c r="C3114" i="21"/>
  <c r="D3114" i="21" s="1"/>
  <c r="C3115" i="21"/>
  <c r="C1378" i="55" s="1"/>
  <c r="C3116" i="21"/>
  <c r="C1379" i="55" s="1"/>
  <c r="C3117" i="21"/>
  <c r="C1380" i="55" s="1"/>
  <c r="C3118" i="21"/>
  <c r="D3118" i="21" s="1"/>
  <c r="C3119" i="21"/>
  <c r="C3120" i="21"/>
  <c r="C1383" i="55" s="1"/>
  <c r="C3121" i="21"/>
  <c r="C1384" i="55" s="1"/>
  <c r="C3122" i="21"/>
  <c r="D3122" i="21" s="1"/>
  <c r="C3123" i="21"/>
  <c r="C1386" i="55" s="1"/>
  <c r="C3124" i="21"/>
  <c r="C1387" i="55" s="1"/>
  <c r="C3125" i="21"/>
  <c r="C1388" i="55" s="1"/>
  <c r="C3126" i="21"/>
  <c r="D3126" i="21" s="1"/>
  <c r="C3127" i="21"/>
  <c r="C1390" i="55" s="1"/>
  <c r="C3128" i="21"/>
  <c r="C1391" i="55" s="1"/>
  <c r="C3129" i="21"/>
  <c r="D3129" i="21" s="1"/>
  <c r="C3130" i="21"/>
  <c r="D3130" i="21" s="1"/>
  <c r="C3131" i="21"/>
  <c r="D3131" i="21" s="1"/>
  <c r="C3132" i="21"/>
  <c r="D3132" i="21" s="1"/>
  <c r="C3133" i="21"/>
  <c r="C1396" i="55" s="1"/>
  <c r="C3134" i="21"/>
  <c r="D3134" i="21" s="1"/>
  <c r="C3135" i="21"/>
  <c r="C1398" i="55" s="1"/>
  <c r="C3136" i="21"/>
  <c r="D3136" i="21" s="1"/>
  <c r="C3137" i="21"/>
  <c r="D3137" i="21" s="1"/>
  <c r="C3138" i="21"/>
  <c r="D3138" i="21" s="1"/>
  <c r="C3139" i="21"/>
  <c r="D3139" i="21" s="1"/>
  <c r="C3140" i="21"/>
  <c r="C1403" i="55" s="1"/>
  <c r="C3141" i="21"/>
  <c r="C1404" i="55" s="1"/>
  <c r="C3142" i="21"/>
  <c r="D3142" i="21" s="1"/>
  <c r="C3143" i="21"/>
  <c r="C1406" i="55" s="1"/>
  <c r="C3144" i="21"/>
  <c r="C3145" i="21"/>
  <c r="C1408" i="55" s="1"/>
  <c r="C3146" i="21"/>
  <c r="C1409" i="55" s="1"/>
  <c r="C3147" i="21"/>
  <c r="C1410" i="55" s="1"/>
  <c r="C3148" i="21"/>
  <c r="C1411" i="55" s="1"/>
  <c r="C3149" i="21"/>
  <c r="C1412" i="55" s="1"/>
  <c r="C3150" i="21"/>
  <c r="C1413" i="55" s="1"/>
  <c r="C3151" i="21"/>
  <c r="C1414" i="55" s="1"/>
  <c r="C3152" i="21"/>
  <c r="D3152" i="21" s="1"/>
  <c r="C3153" i="21"/>
  <c r="C1416" i="55" s="1"/>
  <c r="C3154" i="21"/>
  <c r="D3154" i="21" s="1"/>
  <c r="C3155" i="21"/>
  <c r="D3155" i="21" s="1"/>
  <c r="C3156" i="21"/>
  <c r="C1419" i="55" s="1"/>
  <c r="C3157" i="21"/>
  <c r="D3157" i="21" s="1"/>
  <c r="C3158" i="21"/>
  <c r="D3158" i="21" s="1"/>
  <c r="C3159" i="21"/>
  <c r="C1422" i="55" s="1"/>
  <c r="C3160" i="21"/>
  <c r="C1423" i="55" s="1"/>
  <c r="C3161" i="21"/>
  <c r="C3162" i="21"/>
  <c r="D3162" i="21" s="1"/>
  <c r="C3163" i="21"/>
  <c r="D3163" i="21" s="1"/>
  <c r="C3164" i="21"/>
  <c r="C1427" i="55" s="1"/>
  <c r="C3165" i="21"/>
  <c r="D3165" i="21" s="1"/>
  <c r="C3166" i="21"/>
  <c r="C1429" i="55" s="1"/>
  <c r="C3167" i="21"/>
  <c r="D3167" i="21" s="1"/>
  <c r="C3168" i="21"/>
  <c r="D3168" i="21" s="1"/>
  <c r="C3169" i="21"/>
  <c r="D3169" i="21" s="1"/>
  <c r="C3170" i="21"/>
  <c r="D3170" i="21" s="1"/>
  <c r="C3171" i="21"/>
  <c r="C3172" i="21"/>
  <c r="C1435" i="55" s="1"/>
  <c r="C3173" i="21"/>
  <c r="D3173" i="21" s="1"/>
  <c r="C3174" i="21"/>
  <c r="D3174" i="21" s="1"/>
  <c r="C3175" i="21"/>
  <c r="C1438" i="55" s="1"/>
  <c r="C3176" i="21"/>
  <c r="D3176" i="21" s="1"/>
  <c r="C3177" i="21"/>
  <c r="D3177" i="21" s="1"/>
  <c r="C3178" i="21"/>
  <c r="D3178" i="21" s="1"/>
  <c r="C3179" i="21"/>
  <c r="C1442" i="55" s="1"/>
  <c r="C3180" i="21"/>
  <c r="C1443" i="55" s="1"/>
  <c r="C3181" i="21"/>
  <c r="D3181" i="21" s="1"/>
  <c r="C3182" i="21"/>
  <c r="D3182" i="21" s="1"/>
  <c r="C3183" i="21"/>
  <c r="C1446" i="55" s="1"/>
  <c r="C3184" i="21"/>
  <c r="C1447" i="55" s="1"/>
  <c r="C3185" i="21"/>
  <c r="D3185" i="21" s="1"/>
  <c r="C3186" i="21"/>
  <c r="C3187" i="21"/>
  <c r="C1450" i="55" s="1"/>
  <c r="C3188" i="21"/>
  <c r="D3188" i="21" s="1"/>
  <c r="C3189" i="21"/>
  <c r="C1452" i="55" s="1"/>
  <c r="C3190" i="21"/>
  <c r="D3190" i="21" s="1"/>
  <c r="C3191" i="21"/>
  <c r="D3191" i="21" s="1"/>
  <c r="C3192" i="21"/>
  <c r="D3192" i="21" s="1"/>
  <c r="C3193" i="21"/>
  <c r="D3193" i="21" s="1"/>
  <c r="C3194" i="21"/>
  <c r="C1457" i="55" s="1"/>
  <c r="C3195" i="21"/>
  <c r="C1458" i="55" s="1"/>
  <c r="C3196" i="21"/>
  <c r="D3196" i="21" s="1"/>
  <c r="C3197" i="21"/>
  <c r="C1460" i="55" s="1"/>
  <c r="C3198" i="21"/>
  <c r="D3198" i="21" s="1"/>
  <c r="C3199" i="21"/>
  <c r="C3200" i="21"/>
  <c r="D3200" i="21" s="1"/>
  <c r="C3201" i="21"/>
  <c r="C1464" i="55" s="1"/>
  <c r="C3202" i="21"/>
  <c r="C1465" i="55" s="1"/>
  <c r="C3203" i="21"/>
  <c r="D3203" i="21" s="1"/>
  <c r="C3204" i="21"/>
  <c r="D3204" i="21" s="1"/>
  <c r="C3205" i="21"/>
  <c r="C3206" i="21"/>
  <c r="D3206" i="21" s="1"/>
  <c r="C3207" i="21"/>
  <c r="D3207" i="21" s="1"/>
  <c r="C3208" i="21"/>
  <c r="C1471" i="55" s="1"/>
  <c r="C3209" i="21"/>
  <c r="D3209" i="21" s="1"/>
  <c r="C3210" i="21"/>
  <c r="D3210" i="21" s="1"/>
  <c r="C3211" i="21"/>
  <c r="C1474" i="55" s="1"/>
  <c r="C3212" i="21"/>
  <c r="D3212" i="21" s="1"/>
  <c r="C3213" i="21"/>
  <c r="D3213" i="21" s="1"/>
  <c r="C3214" i="21"/>
  <c r="D3214" i="21" s="1"/>
  <c r="C3215" i="21"/>
  <c r="C1478" i="55" s="1"/>
  <c r="C3216" i="21"/>
  <c r="D3216" i="21" s="1"/>
  <c r="C3217" i="21"/>
  <c r="D3217" i="21" s="1"/>
  <c r="C3218" i="21"/>
  <c r="C1481" i="55" s="1"/>
  <c r="C3219" i="21"/>
  <c r="C1482" i="55" s="1"/>
  <c r="C3221" i="21"/>
  <c r="D3221" i="21" s="1"/>
  <c r="C3222" i="21"/>
  <c r="D3222" i="21" s="1"/>
  <c r="C3223" i="21"/>
  <c r="D3223" i="21" s="1"/>
  <c r="C3224" i="21"/>
  <c r="C1487" i="55" s="1"/>
  <c r="C3225" i="21"/>
  <c r="C1488" i="55" s="1"/>
  <c r="C3226" i="21"/>
  <c r="C1489" i="55" s="1"/>
  <c r="C3227" i="21"/>
  <c r="C1490" i="55" s="1"/>
  <c r="C3228" i="21"/>
  <c r="D3228" i="21" s="1"/>
  <c r="C3229" i="21"/>
  <c r="C1492" i="55" s="1"/>
  <c r="C3230" i="21"/>
  <c r="C1493" i="55" s="1"/>
  <c r="C3231" i="21"/>
  <c r="D3231" i="21" s="1"/>
  <c r="C3232" i="21"/>
  <c r="C1495" i="55" s="1"/>
  <c r="C3233" i="21"/>
  <c r="C1496" i="55" s="1"/>
  <c r="C3234" i="21"/>
  <c r="C1497" i="55" s="1"/>
  <c r="C3235" i="21"/>
  <c r="C1498" i="55" s="1"/>
  <c r="C3236" i="21"/>
  <c r="C1499" i="55" s="1"/>
  <c r="C3237" i="21"/>
  <c r="C1500" i="55" s="1"/>
  <c r="C3238" i="21"/>
  <c r="C3239" i="21"/>
  <c r="D3239" i="21" s="1"/>
  <c r="C3240" i="21"/>
  <c r="C1503" i="55" s="1"/>
  <c r="C3241" i="21"/>
  <c r="C1504" i="55" s="1"/>
  <c r="C3242" i="21"/>
  <c r="C1505" i="55" s="1"/>
  <c r="C3243" i="21"/>
  <c r="D3243" i="21" s="1"/>
  <c r="C3244" i="21"/>
  <c r="C1507" i="55" s="1"/>
  <c r="C3245" i="21"/>
  <c r="D3245" i="21" s="1"/>
  <c r="C3246" i="21"/>
  <c r="D3246" i="21" s="1"/>
  <c r="C3247" i="21"/>
  <c r="D3247" i="21" s="1"/>
  <c r="C3248" i="21"/>
  <c r="C1511" i="55" s="1"/>
  <c r="C3249" i="21"/>
  <c r="D3249" i="21" s="1"/>
  <c r="C3250" i="21"/>
  <c r="D3250" i="21" s="1"/>
  <c r="C3251" i="21"/>
  <c r="C1514" i="55" s="1"/>
  <c r="C1515" i="55"/>
  <c r="C3253" i="21"/>
  <c r="C1516" i="55" s="1"/>
  <c r="C3254" i="21"/>
  <c r="D3254" i="21" s="1"/>
  <c r="C3255" i="21"/>
  <c r="D3255" i="21" s="1"/>
  <c r="C3256" i="21"/>
  <c r="C1519" i="55" s="1"/>
  <c r="C3257" i="21"/>
  <c r="C1520" i="55" s="1"/>
  <c r="C3258" i="21"/>
  <c r="C1521" i="55" s="1"/>
  <c r="C3259" i="21"/>
  <c r="D3259" i="21" s="1"/>
  <c r="C3260" i="21"/>
  <c r="D3260" i="21" s="1"/>
  <c r="C3261" i="21"/>
  <c r="C1524" i="55" s="1"/>
  <c r="C3263" i="21"/>
  <c r="D3263" i="21" s="1"/>
  <c r="C3264" i="21"/>
  <c r="C1527" i="55" s="1"/>
  <c r="C3265" i="21"/>
  <c r="D3265" i="21" s="1"/>
  <c r="C3266" i="21"/>
  <c r="C1529" i="55" s="1"/>
  <c r="C3267" i="21"/>
  <c r="D3267" i="21" s="1"/>
  <c r="C3268" i="21"/>
  <c r="D3268" i="21" s="1"/>
  <c r="C3269" i="21"/>
  <c r="D3269" i="21" s="1"/>
  <c r="C3270" i="21"/>
  <c r="C1533" i="55" s="1"/>
  <c r="C3271" i="21"/>
  <c r="D3271" i="21" s="1"/>
  <c r="C3272" i="21"/>
  <c r="C1535" i="55" s="1"/>
  <c r="C3273" i="21"/>
  <c r="C1536" i="55" s="1"/>
  <c r="C3274" i="21"/>
  <c r="D3274" i="21" s="1"/>
  <c r="C3275" i="21"/>
  <c r="D3275" i="21" s="1"/>
  <c r="C3276" i="21"/>
  <c r="C1539" i="55" s="1"/>
  <c r="C3277" i="21"/>
  <c r="D3277" i="21" s="1"/>
  <c r="C3278" i="21"/>
  <c r="D3278" i="21" s="1"/>
  <c r="C3279" i="21"/>
  <c r="C1542" i="55" s="1"/>
  <c r="C3280" i="21"/>
  <c r="D3280" i="21" s="1"/>
  <c r="C3281" i="21"/>
  <c r="D3281" i="21" s="1"/>
  <c r="C3282" i="21"/>
  <c r="C1545" i="55" s="1"/>
  <c r="C3283" i="21"/>
  <c r="D3283" i="21" s="1"/>
  <c r="C3284" i="21"/>
  <c r="C3285" i="21"/>
  <c r="D3285" i="21" s="1"/>
  <c r="C3286" i="21"/>
  <c r="C1549" i="55" s="1"/>
  <c r="C3287" i="21"/>
  <c r="C1550" i="55" s="1"/>
  <c r="C3288" i="21"/>
  <c r="C1551" i="55" s="1"/>
  <c r="C3289" i="21"/>
  <c r="D3289" i="21" s="1"/>
  <c r="C3290" i="21"/>
  <c r="C3291" i="21"/>
  <c r="C1554" i="55" s="1"/>
  <c r="C3292" i="21"/>
  <c r="D3292" i="21" s="1"/>
  <c r="C3293" i="21"/>
  <c r="D3293" i="21" s="1"/>
  <c r="C3294" i="21"/>
  <c r="C1557" i="55" s="1"/>
  <c r="C3295" i="21"/>
  <c r="C1558" i="55" s="1"/>
  <c r="C3296" i="21"/>
  <c r="D3296" i="21" s="1"/>
  <c r="C3297" i="21"/>
  <c r="C1560" i="55" s="1"/>
  <c r="C3298" i="21"/>
  <c r="D3298" i="21" s="1"/>
  <c r="C3299" i="21"/>
  <c r="C1562" i="55" s="1"/>
  <c r="C3300" i="21"/>
  <c r="D3300" i="21" s="1"/>
  <c r="C3301" i="21"/>
  <c r="C1564" i="55" s="1"/>
  <c r="C3302" i="21"/>
  <c r="D3302" i="21" s="1"/>
  <c r="C3303" i="21"/>
  <c r="C3304" i="21"/>
  <c r="D3304" i="21" s="1"/>
  <c r="C3305" i="21"/>
  <c r="C1568" i="55" s="1"/>
  <c r="C3306" i="21"/>
  <c r="C1569" i="55" s="1"/>
  <c r="C3307" i="21"/>
  <c r="C1570" i="55" s="1"/>
  <c r="C3308" i="21"/>
  <c r="C1571" i="55" s="1"/>
  <c r="C3309" i="21"/>
  <c r="D3309" i="21" s="1"/>
  <c r="C3310" i="21"/>
  <c r="D3310" i="21" s="1"/>
  <c r="C3311" i="21"/>
  <c r="D3311" i="21" s="1"/>
  <c r="C3312" i="21"/>
  <c r="D3312" i="21" s="1"/>
  <c r="C3313" i="21"/>
  <c r="C1576" i="55" s="1"/>
  <c r="C3315" i="21"/>
  <c r="D3315" i="21" s="1"/>
  <c r="C3316" i="21"/>
  <c r="C1579" i="55" s="1"/>
  <c r="C3317" i="21"/>
  <c r="D3317" i="21" s="1"/>
  <c r="C3318" i="21"/>
  <c r="C1581" i="55" s="1"/>
  <c r="C3319" i="21"/>
  <c r="C1582" i="55" s="1"/>
  <c r="C3320" i="21"/>
  <c r="C3321" i="21"/>
  <c r="D3321" i="21" s="1"/>
  <c r="C3322" i="21"/>
  <c r="D3322" i="21" s="1"/>
  <c r="C3323" i="21"/>
  <c r="C1586" i="55" s="1"/>
  <c r="C3324" i="21"/>
  <c r="C1587" i="55" s="1"/>
  <c r="C3325" i="21"/>
  <c r="D3325" i="21" s="1"/>
  <c r="C3326" i="21"/>
  <c r="C1589" i="55" s="1"/>
  <c r="C3327" i="21"/>
  <c r="C1590" i="55" s="1"/>
  <c r="C3328" i="21"/>
  <c r="C1591" i="55" s="1"/>
  <c r="C3329" i="21"/>
  <c r="C1592" i="55" s="1"/>
  <c r="C3330" i="21"/>
  <c r="D3330" i="21" s="1"/>
  <c r="C3331" i="21"/>
  <c r="C1594" i="55" s="1"/>
  <c r="C3332" i="21"/>
  <c r="D3332" i="21" s="1"/>
  <c r="C3333" i="21"/>
  <c r="D3333" i="21" s="1"/>
  <c r="C3334" i="21"/>
  <c r="C1597" i="55" s="1"/>
  <c r="C3335" i="21"/>
  <c r="C1598" i="55" s="1"/>
  <c r="C3336" i="21"/>
  <c r="D3336" i="21" s="1"/>
  <c r="C3337" i="21"/>
  <c r="D3337" i="21" s="1"/>
  <c r="C3338" i="21"/>
  <c r="C1601" i="55" s="1"/>
  <c r="C3339" i="21"/>
  <c r="C1602" i="55" s="1"/>
  <c r="C3340" i="21"/>
  <c r="D3340" i="21" s="1"/>
  <c r="C3341" i="21"/>
  <c r="D3341" i="21" s="1"/>
  <c r="C3342" i="21"/>
  <c r="C1605" i="55" s="1"/>
  <c r="C3343" i="21"/>
  <c r="D3343" i="21" s="1"/>
  <c r="C3344" i="21"/>
  <c r="D3344" i="21" s="1"/>
  <c r="C3345" i="21"/>
  <c r="C3346" i="21"/>
  <c r="C1609" i="55" s="1"/>
  <c r="C3347" i="21"/>
  <c r="D3347" i="21" s="1"/>
  <c r="C3348" i="21"/>
  <c r="C1611" i="55" s="1"/>
  <c r="C3349" i="21"/>
  <c r="C3350" i="21"/>
  <c r="C1613" i="55" s="1"/>
  <c r="C3351" i="21"/>
  <c r="D3351" i="21" s="1"/>
  <c r="C3352" i="21"/>
  <c r="C1615" i="55" s="1"/>
  <c r="C3353" i="21"/>
  <c r="D3353" i="21" s="1"/>
  <c r="C3354" i="21"/>
  <c r="D3354" i="21" s="1"/>
  <c r="C3355" i="21"/>
  <c r="C1618" i="55" s="1"/>
  <c r="C3356" i="21"/>
  <c r="D3356" i="21" s="1"/>
  <c r="C3357" i="21"/>
  <c r="C3358" i="21"/>
  <c r="C1621" i="55" s="1"/>
  <c r="C3359" i="21"/>
  <c r="C1622" i="55" s="1"/>
  <c r="C3360" i="21"/>
  <c r="C1623" i="55" s="1"/>
  <c r="C3361" i="21"/>
  <c r="D3361" i="21" s="1"/>
  <c r="C3362" i="21"/>
  <c r="D3362" i="21" s="1"/>
  <c r="C3363" i="21"/>
  <c r="C1626" i="55" s="1"/>
  <c r="C3364" i="21"/>
  <c r="C1627" i="55" s="1"/>
  <c r="C3365" i="21"/>
  <c r="D3365" i="21" s="1"/>
  <c r="C3366" i="21"/>
  <c r="C1629" i="55" s="1"/>
  <c r="C3367" i="21"/>
  <c r="C1630" i="55" s="1"/>
  <c r="C3368" i="21"/>
  <c r="C1631" i="55" s="1"/>
  <c r="C3369" i="21"/>
  <c r="D3369" i="21" s="1"/>
  <c r="C3370" i="21"/>
  <c r="C1633" i="55" s="1"/>
  <c r="C3372" i="21"/>
  <c r="D3372" i="21" s="1"/>
  <c r="C3373" i="21"/>
  <c r="C1636" i="55" s="1"/>
  <c r="C3374" i="21"/>
  <c r="D3374" i="21" s="1"/>
  <c r="C3375" i="21"/>
  <c r="C1638" i="55" s="1"/>
  <c r="C3376" i="21"/>
  <c r="C3377" i="21"/>
  <c r="C1640" i="55" s="1"/>
  <c r="C3378" i="21"/>
  <c r="D3378" i="21" s="1"/>
  <c r="C1642" i="55"/>
  <c r="C3380" i="21"/>
  <c r="C1643" i="55" s="1"/>
  <c r="C3381" i="21"/>
  <c r="C3382" i="21"/>
  <c r="D3382" i="21" s="1"/>
  <c r="C3383" i="21"/>
  <c r="C1646" i="55" s="1"/>
  <c r="C3384" i="21"/>
  <c r="C1647" i="55" s="1"/>
  <c r="C3385" i="21"/>
  <c r="C1648" i="55" s="1"/>
  <c r="C3386" i="21"/>
  <c r="D3386" i="21" s="1"/>
  <c r="C3387" i="21"/>
  <c r="D3387" i="21" s="1"/>
  <c r="C3388" i="21"/>
  <c r="D3388" i="21" s="1"/>
  <c r="C3389" i="21"/>
  <c r="C1652" i="55" s="1"/>
  <c r="C3390" i="21"/>
  <c r="D3390" i="21" s="1"/>
  <c r="C3391" i="21"/>
  <c r="C1654" i="55" s="1"/>
  <c r="C3392" i="21"/>
  <c r="C1655" i="55" s="1"/>
  <c r="C3393" i="21"/>
  <c r="C1656" i="55" s="1"/>
  <c r="C3394" i="21"/>
  <c r="C1657" i="55" s="1"/>
  <c r="C3395" i="21"/>
  <c r="C1658" i="55" s="1"/>
  <c r="C3396" i="21"/>
  <c r="C1659" i="55" s="1"/>
  <c r="C3397" i="21"/>
  <c r="D3397" i="21" s="1"/>
  <c r="C3398" i="21"/>
  <c r="D3398" i="21" s="1"/>
  <c r="C3399" i="21"/>
  <c r="C3400" i="21"/>
  <c r="C1663" i="55" s="1"/>
  <c r="C3401" i="21"/>
  <c r="D3401" i="21" s="1"/>
  <c r="C3403" i="21"/>
  <c r="D3403" i="21" s="1"/>
  <c r="C3404" i="21"/>
  <c r="C1667" i="55" s="1"/>
  <c r="C3405" i="21"/>
  <c r="D3405" i="21" s="1"/>
  <c r="C3406" i="21"/>
  <c r="C1669" i="55" s="1"/>
  <c r="C3407" i="21"/>
  <c r="C1670" i="55" s="1"/>
  <c r="C3408" i="21"/>
  <c r="C1671" i="55" s="1"/>
  <c r="C3409" i="21"/>
  <c r="D3409" i="21" s="1"/>
  <c r="C3410" i="21"/>
  <c r="C1673" i="55" s="1"/>
  <c r="C3411" i="21"/>
  <c r="D3411" i="21" s="1"/>
  <c r="C3412" i="21"/>
  <c r="D3412" i="21" s="1"/>
  <c r="C3413" i="21"/>
  <c r="C3414" i="21"/>
  <c r="D3414" i="21" s="1"/>
  <c r="C3415" i="21"/>
  <c r="D3415" i="21" s="1"/>
  <c r="C3416" i="21"/>
  <c r="C1679" i="55" s="1"/>
  <c r="C3417" i="21"/>
  <c r="D3417" i="21" s="1"/>
  <c r="C3418" i="21"/>
  <c r="C1681" i="55" s="1"/>
  <c r="C3419" i="21"/>
  <c r="C1682" i="55" s="1"/>
  <c r="C3420" i="21"/>
  <c r="D3420" i="21" s="1"/>
  <c r="C3421" i="21"/>
  <c r="D3421" i="21" s="1"/>
  <c r="C3422" i="21"/>
  <c r="D3422" i="21" s="1"/>
  <c r="C3423" i="21"/>
  <c r="D3423" i="21" s="1"/>
  <c r="C3424" i="21"/>
  <c r="C1687" i="55" s="1"/>
  <c r="C3425" i="21"/>
  <c r="C1688" i="55" s="1"/>
  <c r="C3426" i="21"/>
  <c r="C1689" i="55" s="1"/>
  <c r="C3427" i="21"/>
  <c r="C1690" i="55" s="1"/>
  <c r="C3428" i="21"/>
  <c r="D3428" i="21" s="1"/>
  <c r="C3429" i="21"/>
  <c r="C1692" i="55" s="1"/>
  <c r="C3430" i="21"/>
  <c r="D3430" i="21" s="1"/>
  <c r="C3431" i="21"/>
  <c r="D3431" i="21" s="1"/>
  <c r="C3432" i="21"/>
  <c r="C3433" i="21"/>
  <c r="C1696" i="55" s="1"/>
  <c r="C3434" i="21"/>
  <c r="C1697" i="55" s="1"/>
  <c r="C3435" i="21"/>
  <c r="C1698" i="55" s="1"/>
  <c r="C3436" i="21"/>
  <c r="D3436" i="21" s="1"/>
  <c r="C3437" i="21"/>
  <c r="D3437" i="21" s="1"/>
  <c r="C3438" i="21"/>
  <c r="D3438" i="21" s="1"/>
  <c r="C3439" i="21"/>
  <c r="D3439" i="21" s="1"/>
  <c r="C3440" i="21"/>
  <c r="D3440" i="21" s="1"/>
  <c r="C3441" i="21"/>
  <c r="C1704" i="55" s="1"/>
  <c r="C3075" i="21"/>
  <c r="F778" i="55"/>
  <c r="F777" i="55"/>
  <c r="F776" i="55"/>
  <c r="F775" i="55"/>
  <c r="F774" i="55"/>
  <c r="F773" i="55"/>
  <c r="F770" i="55"/>
  <c r="F769" i="55"/>
  <c r="F766" i="55"/>
  <c r="F764" i="55"/>
  <c r="F762" i="55"/>
  <c r="F760" i="55"/>
  <c r="F758" i="55"/>
  <c r="F756" i="55"/>
  <c r="F755" i="55"/>
  <c r="F752" i="55"/>
  <c r="F751" i="55"/>
  <c r="F750" i="55"/>
  <c r="F747" i="55"/>
  <c r="F746" i="55"/>
  <c r="F745" i="55"/>
  <c r="F744" i="55"/>
  <c r="F741" i="55"/>
  <c r="F740" i="55"/>
  <c r="F738" i="55"/>
  <c r="F734" i="55"/>
  <c r="F732" i="55"/>
  <c r="F731" i="55"/>
  <c r="F730" i="55"/>
  <c r="F729" i="55"/>
  <c r="F728" i="55"/>
  <c r="F727" i="55"/>
  <c r="F726" i="55"/>
  <c r="F725" i="55"/>
  <c r="F724" i="55"/>
  <c r="F721" i="55"/>
  <c r="F720" i="55"/>
  <c r="F719" i="55"/>
  <c r="F717" i="55"/>
  <c r="F716" i="55"/>
  <c r="F713" i="55"/>
  <c r="F712" i="55"/>
  <c r="F711" i="55"/>
  <c r="F708" i="55"/>
  <c r="F707" i="55"/>
  <c r="F705" i="55"/>
  <c r="F704" i="55"/>
  <c r="F703" i="55"/>
  <c r="F702" i="55"/>
  <c r="F701" i="55"/>
  <c r="F698" i="55"/>
  <c r="F697" i="55"/>
  <c r="F694" i="55"/>
  <c r="F693" i="55"/>
  <c r="F692" i="55"/>
  <c r="F691" i="55"/>
  <c r="F688" i="55"/>
  <c r="F687" i="55"/>
  <c r="F686" i="55"/>
  <c r="F685" i="55"/>
  <c r="F682" i="55"/>
  <c r="F681" i="55"/>
  <c r="F678" i="55"/>
  <c r="F677" i="55"/>
  <c r="F674" i="55"/>
  <c r="F673" i="55"/>
  <c r="F672" i="55"/>
  <c r="F671" i="55"/>
  <c r="F670" i="55"/>
  <c r="F669" i="55"/>
  <c r="F667" i="55"/>
  <c r="F666" i="55"/>
  <c r="F665" i="55"/>
  <c r="F664" i="55"/>
  <c r="F662" i="55"/>
  <c r="F659" i="55"/>
  <c r="F658" i="55"/>
  <c r="F655" i="55"/>
  <c r="F653" i="55"/>
  <c r="F651" i="55"/>
  <c r="F646" i="55"/>
  <c r="F645" i="55"/>
  <c r="F641" i="55"/>
  <c r="F640" i="55"/>
  <c r="F639" i="55"/>
  <c r="F638" i="55"/>
  <c r="F637" i="55"/>
  <c r="F636" i="55"/>
  <c r="F635" i="55"/>
  <c r="F634" i="55"/>
  <c r="F629" i="55"/>
  <c r="F628" i="55"/>
  <c r="F627" i="55"/>
  <c r="F625" i="55"/>
  <c r="F623" i="55"/>
  <c r="F622" i="55"/>
  <c r="F620" i="55"/>
  <c r="F619" i="55"/>
  <c r="F618" i="55"/>
  <c r="F615" i="55"/>
  <c r="F614" i="55"/>
  <c r="F613" i="55"/>
  <c r="F611" i="55"/>
  <c r="F610" i="55"/>
  <c r="F609" i="55"/>
  <c r="F608" i="55"/>
  <c r="F607" i="55"/>
  <c r="F606" i="55"/>
  <c r="F605" i="55"/>
  <c r="F604" i="55"/>
  <c r="F602" i="55"/>
  <c r="F597" i="55"/>
  <c r="F595" i="55"/>
  <c r="F593" i="55"/>
  <c r="F591" i="55"/>
  <c r="F590" i="55"/>
  <c r="F587" i="55"/>
  <c r="F586" i="55"/>
  <c r="F584" i="55"/>
  <c r="F583" i="55"/>
  <c r="F581" i="55"/>
  <c r="F579" i="55"/>
  <c r="F578" i="55"/>
  <c r="F576" i="55"/>
  <c r="F574" i="55"/>
  <c r="F572" i="55"/>
  <c r="F571" i="55"/>
  <c r="F568" i="55"/>
  <c r="F566" i="55"/>
  <c r="F564" i="55"/>
  <c r="F563" i="55"/>
  <c r="F561" i="55"/>
  <c r="F560" i="55"/>
  <c r="F559" i="55"/>
  <c r="F558" i="55"/>
  <c r="F557" i="55"/>
  <c r="F556" i="55"/>
  <c r="F555" i="55"/>
  <c r="F554" i="55"/>
  <c r="F553" i="55"/>
  <c r="F551" i="55"/>
  <c r="F550" i="55"/>
  <c r="F549" i="55"/>
  <c r="F548" i="55"/>
  <c r="F547" i="55"/>
  <c r="F545" i="55"/>
  <c r="F544" i="55"/>
  <c r="F543" i="55"/>
  <c r="F542" i="55"/>
  <c r="F541" i="55"/>
  <c r="F538" i="55"/>
  <c r="F537" i="55"/>
  <c r="F536" i="55"/>
  <c r="F535" i="55"/>
  <c r="F533" i="55"/>
  <c r="F531" i="55"/>
  <c r="F528" i="55"/>
  <c r="F527" i="55"/>
  <c r="F525" i="55"/>
  <c r="F523" i="55"/>
  <c r="F522" i="55"/>
  <c r="F521" i="55"/>
  <c r="F519" i="55"/>
  <c r="F518" i="55"/>
  <c r="F517" i="55"/>
  <c r="F516" i="55"/>
  <c r="F515" i="55"/>
  <c r="F514" i="55"/>
  <c r="F513" i="55"/>
  <c r="F512" i="55"/>
  <c r="F511" i="55"/>
  <c r="F510" i="55"/>
  <c r="F509" i="55"/>
  <c r="F507" i="55"/>
  <c r="F506" i="55"/>
  <c r="F505" i="55"/>
  <c r="F503" i="55"/>
  <c r="F502" i="55"/>
  <c r="F499" i="55"/>
  <c r="F497" i="55"/>
  <c r="F495" i="55"/>
  <c r="F494" i="55"/>
  <c r="F493" i="55"/>
  <c r="F492" i="55"/>
  <c r="F491" i="55"/>
  <c r="F488" i="55"/>
  <c r="F487" i="55"/>
  <c r="F486" i="55"/>
  <c r="F484" i="55"/>
  <c r="F483" i="55"/>
  <c r="F482" i="55"/>
  <c r="F481" i="55"/>
  <c r="F480" i="55"/>
  <c r="F478" i="55"/>
  <c r="F477" i="55"/>
  <c r="F476" i="55"/>
  <c r="F474" i="55"/>
  <c r="F472" i="55"/>
  <c r="F471" i="55"/>
  <c r="F470" i="55"/>
  <c r="F469" i="55"/>
  <c r="F468" i="55"/>
  <c r="F467" i="55"/>
  <c r="F465" i="55"/>
  <c r="F464" i="55"/>
  <c r="F463" i="55"/>
  <c r="F462" i="55"/>
  <c r="F461" i="55"/>
  <c r="F457" i="55"/>
  <c r="F455" i="55"/>
  <c r="F454" i="55"/>
  <c r="F453" i="55"/>
  <c r="F452" i="55"/>
  <c r="F451" i="55"/>
  <c r="F450" i="55"/>
  <c r="F448" i="55"/>
  <c r="F446" i="55"/>
  <c r="F445" i="55"/>
  <c r="F442" i="55"/>
  <c r="F441" i="55"/>
  <c r="F438" i="55"/>
  <c r="F435" i="55"/>
  <c r="F429" i="55"/>
  <c r="F427" i="55"/>
  <c r="F426" i="55"/>
  <c r="F425" i="55"/>
  <c r="F424" i="55"/>
  <c r="F423" i="55"/>
  <c r="F422" i="55"/>
  <c r="F419" i="55"/>
  <c r="F417" i="55"/>
  <c r="F416" i="55"/>
  <c r="H417" i="55"/>
  <c r="H418" i="55"/>
  <c r="H419" i="55"/>
  <c r="H420" i="55"/>
  <c r="H421" i="55"/>
  <c r="H422" i="55"/>
  <c r="H423" i="55"/>
  <c r="H424" i="55"/>
  <c r="H425" i="55"/>
  <c r="H426" i="55"/>
  <c r="H427" i="55"/>
  <c r="H428" i="55"/>
  <c r="H429" i="55"/>
  <c r="H430" i="55"/>
  <c r="H431" i="55"/>
  <c r="H432" i="55"/>
  <c r="H433" i="55"/>
  <c r="H434" i="55"/>
  <c r="H435" i="55"/>
  <c r="H436" i="55"/>
  <c r="H437" i="55"/>
  <c r="H438" i="55"/>
  <c r="H439" i="55"/>
  <c r="H440" i="55"/>
  <c r="H441" i="55"/>
  <c r="H442" i="55"/>
  <c r="H443" i="55"/>
  <c r="H444" i="55"/>
  <c r="H445" i="55"/>
  <c r="H446" i="55"/>
  <c r="H447" i="55"/>
  <c r="H448" i="55"/>
  <c r="H449" i="55"/>
  <c r="H450" i="55"/>
  <c r="H451" i="55"/>
  <c r="H452" i="55"/>
  <c r="H453" i="55"/>
  <c r="H454" i="55"/>
  <c r="H455" i="55"/>
  <c r="H456" i="55"/>
  <c r="H457" i="55"/>
  <c r="H458" i="55"/>
  <c r="H459" i="55"/>
  <c r="H460" i="55"/>
  <c r="H461" i="55"/>
  <c r="H462" i="55"/>
  <c r="H463" i="55"/>
  <c r="H464" i="55"/>
  <c r="H465" i="55"/>
  <c r="H466" i="55"/>
  <c r="H467" i="55"/>
  <c r="H468" i="55"/>
  <c r="H469" i="55"/>
  <c r="H470" i="55"/>
  <c r="H471" i="55"/>
  <c r="H472" i="55"/>
  <c r="H473" i="55"/>
  <c r="H474" i="55"/>
  <c r="H475" i="55"/>
  <c r="H476" i="55"/>
  <c r="H477" i="55"/>
  <c r="H478" i="55"/>
  <c r="H479" i="55"/>
  <c r="H480" i="55"/>
  <c r="H481" i="55"/>
  <c r="H482" i="55"/>
  <c r="H483" i="55"/>
  <c r="H484" i="55"/>
  <c r="H485" i="55"/>
  <c r="H486" i="55"/>
  <c r="H487" i="55"/>
  <c r="H488" i="55"/>
  <c r="H489" i="55"/>
  <c r="H490" i="55"/>
  <c r="H491" i="55"/>
  <c r="H492" i="55"/>
  <c r="H493" i="55"/>
  <c r="H494" i="55"/>
  <c r="H495" i="55"/>
  <c r="H496" i="55"/>
  <c r="H497" i="55"/>
  <c r="H498" i="55"/>
  <c r="H499" i="55"/>
  <c r="H500" i="55"/>
  <c r="H501" i="55"/>
  <c r="H502" i="55"/>
  <c r="H503" i="55"/>
  <c r="H504" i="55"/>
  <c r="H505" i="55"/>
  <c r="H506" i="55"/>
  <c r="H507" i="55"/>
  <c r="H508" i="55"/>
  <c r="H509" i="55"/>
  <c r="H510" i="55"/>
  <c r="H511" i="55"/>
  <c r="H512" i="55"/>
  <c r="H513" i="55"/>
  <c r="H514" i="55"/>
  <c r="H515" i="55"/>
  <c r="H516" i="55"/>
  <c r="H517" i="55"/>
  <c r="H518" i="55"/>
  <c r="H519" i="55"/>
  <c r="H520" i="55"/>
  <c r="H521" i="55"/>
  <c r="H522" i="55"/>
  <c r="H523" i="55"/>
  <c r="H524" i="55"/>
  <c r="H525" i="55"/>
  <c r="H526" i="55"/>
  <c r="H527" i="55"/>
  <c r="H528" i="55"/>
  <c r="H529" i="55"/>
  <c r="H530" i="55"/>
  <c r="H531" i="55"/>
  <c r="H532" i="55"/>
  <c r="H533" i="55"/>
  <c r="H534" i="55"/>
  <c r="H535" i="55"/>
  <c r="H536" i="55"/>
  <c r="H537" i="55"/>
  <c r="H538" i="55"/>
  <c r="H539" i="55"/>
  <c r="H540" i="55"/>
  <c r="H541" i="55"/>
  <c r="H542" i="55"/>
  <c r="H543" i="55"/>
  <c r="H544" i="55"/>
  <c r="H545" i="55"/>
  <c r="H546" i="55"/>
  <c r="H547" i="55"/>
  <c r="H548" i="55"/>
  <c r="H549" i="55"/>
  <c r="H550" i="55"/>
  <c r="H551" i="55"/>
  <c r="H552" i="55"/>
  <c r="H553" i="55"/>
  <c r="H554" i="55"/>
  <c r="H555" i="55"/>
  <c r="H556" i="55"/>
  <c r="H557" i="55"/>
  <c r="H558" i="55"/>
  <c r="H559" i="55"/>
  <c r="H560" i="55"/>
  <c r="H561" i="55"/>
  <c r="H562" i="55"/>
  <c r="H563" i="55"/>
  <c r="H564" i="55"/>
  <c r="H565" i="55"/>
  <c r="H566" i="55"/>
  <c r="H567" i="55"/>
  <c r="H568" i="55"/>
  <c r="H569" i="55"/>
  <c r="H570" i="55"/>
  <c r="H571" i="55"/>
  <c r="H572" i="55"/>
  <c r="H573" i="55"/>
  <c r="H574" i="55"/>
  <c r="H575" i="55"/>
  <c r="H576" i="55"/>
  <c r="H577" i="55"/>
  <c r="H578" i="55"/>
  <c r="H579" i="55"/>
  <c r="H580" i="55"/>
  <c r="H581" i="55"/>
  <c r="H582" i="55"/>
  <c r="H583" i="55"/>
  <c r="H584" i="55"/>
  <c r="H585" i="55"/>
  <c r="H586" i="55"/>
  <c r="H587" i="55"/>
  <c r="H588" i="55"/>
  <c r="H589" i="55"/>
  <c r="H590" i="55"/>
  <c r="H591" i="55"/>
  <c r="H592" i="55"/>
  <c r="H593" i="55"/>
  <c r="H594" i="55"/>
  <c r="H595" i="55"/>
  <c r="H596" i="55"/>
  <c r="H597" i="55"/>
  <c r="H598" i="55"/>
  <c r="H599" i="55"/>
  <c r="H600" i="55"/>
  <c r="H601" i="55"/>
  <c r="H602" i="55"/>
  <c r="H603" i="55"/>
  <c r="H604" i="55"/>
  <c r="H605" i="55"/>
  <c r="H606" i="55"/>
  <c r="H607" i="55"/>
  <c r="H608" i="55"/>
  <c r="H609" i="55"/>
  <c r="H610" i="55"/>
  <c r="H611" i="55"/>
  <c r="H612" i="55"/>
  <c r="H613" i="55"/>
  <c r="H614" i="55"/>
  <c r="H615" i="55"/>
  <c r="H616" i="55"/>
  <c r="H617" i="55"/>
  <c r="H618" i="55"/>
  <c r="H619" i="55"/>
  <c r="H620" i="55"/>
  <c r="H621" i="55"/>
  <c r="H622" i="55"/>
  <c r="H623" i="55"/>
  <c r="H624" i="55"/>
  <c r="H625" i="55"/>
  <c r="H626" i="55"/>
  <c r="H627" i="55"/>
  <c r="H628" i="55"/>
  <c r="H629" i="55"/>
  <c r="H630" i="55"/>
  <c r="H631" i="55"/>
  <c r="H632" i="55"/>
  <c r="H633" i="55"/>
  <c r="H634" i="55"/>
  <c r="H635" i="55"/>
  <c r="H636" i="55"/>
  <c r="H637" i="55"/>
  <c r="H638" i="55"/>
  <c r="H639" i="55"/>
  <c r="H640" i="55"/>
  <c r="H641" i="55"/>
  <c r="H642" i="55"/>
  <c r="H643" i="55"/>
  <c r="H644" i="55"/>
  <c r="H645" i="55"/>
  <c r="H646" i="55"/>
  <c r="H647" i="55"/>
  <c r="H648" i="55"/>
  <c r="H649" i="55"/>
  <c r="H650" i="55"/>
  <c r="H651" i="55"/>
  <c r="H652" i="55"/>
  <c r="H653" i="55"/>
  <c r="H654" i="55"/>
  <c r="H655" i="55"/>
  <c r="H656" i="55"/>
  <c r="H657" i="55"/>
  <c r="H658" i="55"/>
  <c r="H659" i="55"/>
  <c r="H660" i="55"/>
  <c r="H661" i="55"/>
  <c r="H662" i="55"/>
  <c r="H663" i="55"/>
  <c r="H664" i="55"/>
  <c r="H665" i="55"/>
  <c r="H666" i="55"/>
  <c r="H667" i="55"/>
  <c r="H668" i="55"/>
  <c r="H669" i="55"/>
  <c r="H670" i="55"/>
  <c r="H671" i="55"/>
  <c r="H672" i="55"/>
  <c r="H673" i="55"/>
  <c r="H674" i="55"/>
  <c r="H675" i="55"/>
  <c r="H676" i="55"/>
  <c r="H677" i="55"/>
  <c r="H678" i="55"/>
  <c r="H679" i="55"/>
  <c r="H680" i="55"/>
  <c r="H681" i="55"/>
  <c r="H682" i="55"/>
  <c r="H683" i="55"/>
  <c r="H684" i="55"/>
  <c r="H685" i="55"/>
  <c r="H686" i="55"/>
  <c r="H687" i="55"/>
  <c r="H688" i="55"/>
  <c r="H689" i="55"/>
  <c r="H690" i="55"/>
  <c r="H691" i="55"/>
  <c r="H692" i="55"/>
  <c r="H693" i="55"/>
  <c r="H694" i="55"/>
  <c r="H695" i="55"/>
  <c r="H696" i="55"/>
  <c r="H697" i="55"/>
  <c r="H698" i="55"/>
  <c r="H699" i="55"/>
  <c r="H700" i="55"/>
  <c r="H701" i="55"/>
  <c r="H702" i="55"/>
  <c r="H703" i="55"/>
  <c r="H704" i="55"/>
  <c r="H705" i="55"/>
  <c r="H706" i="55"/>
  <c r="H707" i="55"/>
  <c r="H708" i="55"/>
  <c r="H709" i="55"/>
  <c r="H710" i="55"/>
  <c r="H711" i="55"/>
  <c r="H712" i="55"/>
  <c r="H713" i="55"/>
  <c r="H714" i="55"/>
  <c r="H715" i="55"/>
  <c r="H716" i="55"/>
  <c r="H717" i="55"/>
  <c r="H718" i="55"/>
  <c r="H719" i="55"/>
  <c r="H720" i="55"/>
  <c r="H721" i="55"/>
  <c r="H722" i="55"/>
  <c r="H723" i="55"/>
  <c r="H724" i="55"/>
  <c r="H725" i="55"/>
  <c r="H726" i="55"/>
  <c r="H727" i="55"/>
  <c r="H728" i="55"/>
  <c r="H729" i="55"/>
  <c r="H730" i="55"/>
  <c r="H731" i="55"/>
  <c r="H732" i="55"/>
  <c r="H733" i="55"/>
  <c r="H734" i="55"/>
  <c r="H735" i="55"/>
  <c r="H736" i="55"/>
  <c r="H737" i="55"/>
  <c r="H738" i="55"/>
  <c r="H739" i="55"/>
  <c r="H740" i="55"/>
  <c r="H741" i="55"/>
  <c r="H742" i="55"/>
  <c r="H743" i="55"/>
  <c r="H744" i="55"/>
  <c r="H745" i="55"/>
  <c r="H746" i="55"/>
  <c r="H747" i="55"/>
  <c r="H748" i="55"/>
  <c r="H749" i="55"/>
  <c r="H750" i="55"/>
  <c r="H751" i="55"/>
  <c r="H752" i="55"/>
  <c r="H753" i="55"/>
  <c r="H754" i="55"/>
  <c r="H755" i="55"/>
  <c r="H756" i="55"/>
  <c r="H757" i="55"/>
  <c r="H758" i="55"/>
  <c r="H759" i="55"/>
  <c r="H760" i="55"/>
  <c r="H761" i="55"/>
  <c r="H762" i="55"/>
  <c r="H763" i="55"/>
  <c r="H764" i="55"/>
  <c r="H765" i="55"/>
  <c r="H766" i="55"/>
  <c r="H767" i="55"/>
  <c r="H768" i="55"/>
  <c r="H769" i="55"/>
  <c r="H770" i="55"/>
  <c r="H771" i="55"/>
  <c r="H772" i="55"/>
  <c r="H773" i="55"/>
  <c r="H774" i="55"/>
  <c r="H775" i="55"/>
  <c r="H776" i="55"/>
  <c r="H777" i="55"/>
  <c r="H778" i="55"/>
  <c r="H779" i="55"/>
  <c r="H780" i="55"/>
  <c r="H781" i="55"/>
  <c r="H782" i="55"/>
  <c r="H416" i="55"/>
  <c r="I2886" i="19"/>
  <c r="C1865" i="55" s="1"/>
  <c r="C2913" i="19"/>
  <c r="D2913" i="19"/>
  <c r="E2913" i="19"/>
  <c r="F2913" i="19"/>
  <c r="G2913" i="19"/>
  <c r="B2913" i="19"/>
  <c r="B1705" i="19"/>
  <c r="E784" i="19"/>
  <c r="F784" i="19"/>
  <c r="G784" i="19"/>
  <c r="H784" i="19"/>
  <c r="C785" i="55"/>
  <c r="E785" i="55"/>
  <c r="F785" i="55"/>
  <c r="B785" i="55"/>
  <c r="G793" i="55"/>
  <c r="G794" i="55"/>
  <c r="G795" i="55"/>
  <c r="G796" i="55"/>
  <c r="G797" i="55"/>
  <c r="G798" i="55"/>
  <c r="G799" i="55"/>
  <c r="G800" i="55"/>
  <c r="G801" i="55"/>
  <c r="G802" i="55"/>
  <c r="G803" i="55"/>
  <c r="G804" i="55"/>
  <c r="G805" i="55"/>
  <c r="G806" i="55"/>
  <c r="G807" i="55"/>
  <c r="G808" i="55"/>
  <c r="G809" i="55"/>
  <c r="G810" i="55"/>
  <c r="G811" i="55"/>
  <c r="G812" i="55"/>
  <c r="G813" i="55"/>
  <c r="G814" i="55"/>
  <c r="G815" i="55"/>
  <c r="G816" i="55"/>
  <c r="G817" i="55"/>
  <c r="G818" i="55"/>
  <c r="G819" i="55"/>
  <c r="G820" i="55"/>
  <c r="G821" i="55"/>
  <c r="G822" i="55"/>
  <c r="G823" i="55"/>
  <c r="G824" i="55"/>
  <c r="G825" i="55"/>
  <c r="G826" i="55"/>
  <c r="G827" i="55"/>
  <c r="G828" i="55"/>
  <c r="G829" i="55"/>
  <c r="G830" i="55"/>
  <c r="G831" i="55"/>
  <c r="G832" i="55"/>
  <c r="G833" i="55"/>
  <c r="G834" i="55"/>
  <c r="G835" i="55"/>
  <c r="G836" i="55"/>
  <c r="G837" i="55"/>
  <c r="G838" i="55"/>
  <c r="G839" i="55"/>
  <c r="G840" i="55"/>
  <c r="G841" i="55"/>
  <c r="G842" i="55"/>
  <c r="G843" i="55"/>
  <c r="G844" i="55"/>
  <c r="G845" i="55"/>
  <c r="G846" i="55"/>
  <c r="G847" i="55"/>
  <c r="G848" i="55"/>
  <c r="G849" i="55"/>
  <c r="G850" i="55"/>
  <c r="G851" i="55"/>
  <c r="G852" i="55"/>
  <c r="G853" i="55"/>
  <c r="G854" i="55"/>
  <c r="G855" i="55"/>
  <c r="G856" i="55"/>
  <c r="G857" i="55"/>
  <c r="G858" i="55"/>
  <c r="G859" i="55"/>
  <c r="G860" i="55"/>
  <c r="G861" i="55"/>
  <c r="G862" i="55"/>
  <c r="G863" i="55"/>
  <c r="G864" i="55"/>
  <c r="G865" i="55"/>
  <c r="G866" i="55"/>
  <c r="G867" i="55"/>
  <c r="G868" i="55"/>
  <c r="G869" i="55"/>
  <c r="G870" i="55"/>
  <c r="G871" i="55"/>
  <c r="G872" i="55"/>
  <c r="G873" i="55"/>
  <c r="G874" i="55"/>
  <c r="G875" i="55"/>
  <c r="G876" i="55"/>
  <c r="G877" i="55"/>
  <c r="G878" i="55"/>
  <c r="G879" i="55"/>
  <c r="G880" i="55"/>
  <c r="G881" i="55"/>
  <c r="G882" i="55"/>
  <c r="G883" i="55"/>
  <c r="G884" i="55"/>
  <c r="G885" i="55"/>
  <c r="G886" i="55"/>
  <c r="G887" i="55"/>
  <c r="G888" i="55"/>
  <c r="G889" i="55"/>
  <c r="G890" i="55"/>
  <c r="G891" i="55"/>
  <c r="G892" i="55"/>
  <c r="G893" i="55"/>
  <c r="G894" i="55"/>
  <c r="G895" i="55"/>
  <c r="G896" i="55"/>
  <c r="G897" i="55"/>
  <c r="G898" i="55"/>
  <c r="G899" i="55"/>
  <c r="G900" i="55"/>
  <c r="G901" i="55"/>
  <c r="G902" i="55"/>
  <c r="G903" i="55"/>
  <c r="G904" i="55"/>
  <c r="G905" i="55"/>
  <c r="G906" i="55"/>
  <c r="G907" i="55"/>
  <c r="G908" i="55"/>
  <c r="G909" i="55"/>
  <c r="G910" i="55"/>
  <c r="G911" i="55"/>
  <c r="G912" i="55"/>
  <c r="G913" i="55"/>
  <c r="G914" i="55"/>
  <c r="G915" i="55"/>
  <c r="G916" i="55"/>
  <c r="G917" i="55"/>
  <c r="G918" i="55"/>
  <c r="G919" i="55"/>
  <c r="G920" i="55"/>
  <c r="G921" i="55"/>
  <c r="G922" i="55"/>
  <c r="G923" i="55"/>
  <c r="G787" i="55"/>
  <c r="G788" i="55"/>
  <c r="G789" i="55"/>
  <c r="G790" i="55"/>
  <c r="G791" i="55"/>
  <c r="G792" i="55"/>
  <c r="G786" i="55"/>
  <c r="G2524" i="21"/>
  <c r="G2525" i="21"/>
  <c r="G2526" i="21"/>
  <c r="G2527" i="21"/>
  <c r="G2528" i="21"/>
  <c r="G2529" i="21"/>
  <c r="G2530" i="21"/>
  <c r="G2531" i="21"/>
  <c r="G2532" i="21"/>
  <c r="G2533" i="21"/>
  <c r="G2534" i="21"/>
  <c r="G2535" i="21"/>
  <c r="G2536" i="21"/>
  <c r="G2537" i="21"/>
  <c r="G2538" i="21"/>
  <c r="G2539" i="21"/>
  <c r="G2540" i="21"/>
  <c r="G2541" i="21"/>
  <c r="G2542" i="21"/>
  <c r="G2543" i="21"/>
  <c r="G2544" i="21"/>
  <c r="G2545" i="21"/>
  <c r="G2546" i="21"/>
  <c r="G2547" i="21"/>
  <c r="G2548" i="21"/>
  <c r="G2549" i="21"/>
  <c r="G2550" i="21"/>
  <c r="G2551" i="21"/>
  <c r="G2552" i="21"/>
  <c r="G2553" i="21"/>
  <c r="G2554" i="21"/>
  <c r="G2555" i="21"/>
  <c r="G2556" i="21"/>
  <c r="G2557" i="21"/>
  <c r="G2558" i="21"/>
  <c r="G2559" i="21"/>
  <c r="G2560" i="21"/>
  <c r="G2561" i="21"/>
  <c r="G2562" i="21"/>
  <c r="G2563" i="21"/>
  <c r="G2564" i="21"/>
  <c r="G2565" i="21"/>
  <c r="G2566" i="21"/>
  <c r="G2567" i="21"/>
  <c r="G2568" i="21"/>
  <c r="G2569" i="21"/>
  <c r="G2570" i="21"/>
  <c r="G2571" i="21"/>
  <c r="G2572" i="21"/>
  <c r="G2573" i="21"/>
  <c r="G2574" i="21"/>
  <c r="G2575" i="21"/>
  <c r="G2576" i="21"/>
  <c r="G2577" i="21"/>
  <c r="G2578" i="21"/>
  <c r="G2579" i="21"/>
  <c r="G2580" i="21"/>
  <c r="G2581" i="21"/>
  <c r="G2582" i="21"/>
  <c r="G2583" i="21"/>
  <c r="G2584" i="21"/>
  <c r="G2585" i="21"/>
  <c r="G2586" i="21"/>
  <c r="G2587" i="21"/>
  <c r="G2588" i="21"/>
  <c r="G2589" i="21"/>
  <c r="G2590" i="21"/>
  <c r="G2591" i="21"/>
  <c r="G2592" i="21"/>
  <c r="G2593" i="21"/>
  <c r="G2594" i="21"/>
  <c r="G2595" i="21"/>
  <c r="G2596" i="21"/>
  <c r="G2597" i="21"/>
  <c r="G2598" i="21"/>
  <c r="G2599" i="21"/>
  <c r="G2600" i="21"/>
  <c r="G2601" i="21"/>
  <c r="G2602" i="21"/>
  <c r="G2603" i="21"/>
  <c r="G2604" i="21"/>
  <c r="G2605" i="21"/>
  <c r="G2606" i="21"/>
  <c r="G2607" i="21"/>
  <c r="G2608" i="21"/>
  <c r="G2609" i="21"/>
  <c r="G2610" i="21"/>
  <c r="G2611" i="21"/>
  <c r="G2612" i="21"/>
  <c r="G2613" i="21"/>
  <c r="G2614" i="21"/>
  <c r="G2615" i="21"/>
  <c r="G2616" i="21"/>
  <c r="G2617" i="21"/>
  <c r="G2618" i="21"/>
  <c r="G2619" i="21"/>
  <c r="G2620" i="21"/>
  <c r="G2621" i="21"/>
  <c r="G2622" i="21"/>
  <c r="G2623" i="21"/>
  <c r="G2624" i="21"/>
  <c r="G2625" i="21"/>
  <c r="G2626" i="21"/>
  <c r="G2627" i="21"/>
  <c r="G2628" i="21"/>
  <c r="G2629" i="21"/>
  <c r="G2630" i="21"/>
  <c r="G2631" i="21"/>
  <c r="G2632" i="21"/>
  <c r="G2633" i="21"/>
  <c r="G2634" i="21"/>
  <c r="G2635" i="21"/>
  <c r="G2636" i="21"/>
  <c r="G2637" i="21"/>
  <c r="G2638" i="21"/>
  <c r="G2639" i="21"/>
  <c r="G2640" i="21"/>
  <c r="G2641" i="21"/>
  <c r="G2642" i="21"/>
  <c r="G2643" i="21"/>
  <c r="G2644" i="21"/>
  <c r="G2645" i="21"/>
  <c r="G2646" i="21"/>
  <c r="G2647" i="21"/>
  <c r="G2648" i="21"/>
  <c r="G2649" i="21"/>
  <c r="G2650" i="21"/>
  <c r="G2651" i="21"/>
  <c r="G2652" i="21"/>
  <c r="G2653" i="21"/>
  <c r="G2654" i="21"/>
  <c r="G2655" i="21"/>
  <c r="G2656" i="21"/>
  <c r="G2657" i="21"/>
  <c r="G2658" i="21"/>
  <c r="G2659" i="21"/>
  <c r="G2523" i="21"/>
  <c r="G2522" i="21"/>
  <c r="I742" i="21"/>
  <c r="I743" i="21"/>
  <c r="I744" i="21"/>
  <c r="I745" i="21"/>
  <c r="I746" i="21"/>
  <c r="I747" i="21"/>
  <c r="I748" i="21"/>
  <c r="I749" i="21"/>
  <c r="I750" i="21"/>
  <c r="I751" i="21"/>
  <c r="I752" i="21"/>
  <c r="I753" i="21"/>
  <c r="I754" i="21"/>
  <c r="I755" i="21"/>
  <c r="I756" i="21"/>
  <c r="I757" i="21"/>
  <c r="I758" i="21"/>
  <c r="I759" i="21"/>
  <c r="I760" i="21"/>
  <c r="I761" i="21"/>
  <c r="I762" i="21"/>
  <c r="I763" i="21"/>
  <c r="I764" i="21"/>
  <c r="I765" i="21"/>
  <c r="I766" i="21"/>
  <c r="I767" i="21"/>
  <c r="I768" i="21"/>
  <c r="I769" i="21"/>
  <c r="I770" i="21"/>
  <c r="I771" i="21"/>
  <c r="I772" i="21"/>
  <c r="I773" i="21"/>
  <c r="I774" i="21"/>
  <c r="I775" i="21"/>
  <c r="I776" i="21"/>
  <c r="I777" i="21"/>
  <c r="I778" i="21"/>
  <c r="I779" i="21"/>
  <c r="I780" i="21"/>
  <c r="I781" i="21"/>
  <c r="I782" i="21"/>
  <c r="I783" i="21"/>
  <c r="I784" i="21"/>
  <c r="I785" i="21"/>
  <c r="I786" i="21"/>
  <c r="I787" i="21"/>
  <c r="I788" i="21"/>
  <c r="I789" i="21"/>
  <c r="I790" i="21"/>
  <c r="I791" i="21"/>
  <c r="I792" i="21"/>
  <c r="I793" i="21"/>
  <c r="I794" i="21"/>
  <c r="I795" i="21"/>
  <c r="I796" i="21"/>
  <c r="I797" i="21"/>
  <c r="I798" i="21"/>
  <c r="I799" i="21"/>
  <c r="I800" i="21"/>
  <c r="I801" i="21"/>
  <c r="I802" i="21"/>
  <c r="I803" i="21"/>
  <c r="I804" i="21"/>
  <c r="I805" i="21"/>
  <c r="I806" i="21"/>
  <c r="I807" i="21"/>
  <c r="I808" i="21"/>
  <c r="I809" i="21"/>
  <c r="I810" i="21"/>
  <c r="I811" i="21"/>
  <c r="I812" i="21"/>
  <c r="I813" i="21"/>
  <c r="I814" i="21"/>
  <c r="I815" i="21"/>
  <c r="I816" i="21"/>
  <c r="I817" i="21"/>
  <c r="I818" i="21"/>
  <c r="I819" i="21"/>
  <c r="I820" i="21"/>
  <c r="I821" i="21"/>
  <c r="I822" i="21"/>
  <c r="I823" i="21"/>
  <c r="I824" i="21"/>
  <c r="I825" i="21"/>
  <c r="I826" i="21"/>
  <c r="I827" i="21"/>
  <c r="I828" i="21"/>
  <c r="I829" i="21"/>
  <c r="I830" i="21"/>
  <c r="I831" i="21"/>
  <c r="I832" i="21"/>
  <c r="I833" i="21"/>
  <c r="I834" i="21"/>
  <c r="I835" i="21"/>
  <c r="I836" i="21"/>
  <c r="I837" i="21"/>
  <c r="I838" i="21"/>
  <c r="I839" i="21"/>
  <c r="I840" i="21"/>
  <c r="I841" i="21"/>
  <c r="I842" i="21"/>
  <c r="I843" i="21"/>
  <c r="I844" i="21"/>
  <c r="I845" i="21"/>
  <c r="I846" i="21"/>
  <c r="I847" i="21"/>
  <c r="I848" i="21"/>
  <c r="I849" i="21"/>
  <c r="I850" i="21"/>
  <c r="I851" i="21"/>
  <c r="I852" i="21"/>
  <c r="I853" i="21"/>
  <c r="I854" i="21"/>
  <c r="I855" i="21"/>
  <c r="I856" i="21"/>
  <c r="I857" i="21"/>
  <c r="I858" i="21"/>
  <c r="I859" i="21"/>
  <c r="I860" i="21"/>
  <c r="I861" i="21"/>
  <c r="I862" i="21"/>
  <c r="I863" i="21"/>
  <c r="I864" i="21"/>
  <c r="I865" i="21"/>
  <c r="C2817" i="19"/>
  <c r="D2817" i="19"/>
  <c r="E2817" i="19"/>
  <c r="F2817" i="19"/>
  <c r="G2817" i="19"/>
  <c r="H2817" i="19"/>
  <c r="I2817" i="19"/>
  <c r="J2817" i="19"/>
  <c r="B2817" i="19"/>
  <c r="F1705" i="19"/>
  <c r="G1705" i="19"/>
  <c r="H1705" i="19"/>
  <c r="E1337" i="19"/>
  <c r="E1705" i="19"/>
  <c r="C1705" i="19"/>
  <c r="I1708" i="19"/>
  <c r="I1709" i="19"/>
  <c r="I1710" i="19"/>
  <c r="I1711" i="19"/>
  <c r="I1712" i="19"/>
  <c r="I1713" i="19"/>
  <c r="I1714" i="19"/>
  <c r="I1715" i="19"/>
  <c r="I1716" i="19"/>
  <c r="I1717" i="19"/>
  <c r="I1718" i="19"/>
  <c r="I1719" i="19"/>
  <c r="I1720" i="19"/>
  <c r="I1721" i="19"/>
  <c r="I1722" i="19"/>
  <c r="I1723" i="19"/>
  <c r="I1724" i="19"/>
  <c r="I1725" i="19"/>
  <c r="I1726" i="19"/>
  <c r="I1727" i="19"/>
  <c r="I1728" i="19"/>
  <c r="I1729" i="19"/>
  <c r="I1730" i="19"/>
  <c r="I1731" i="19"/>
  <c r="I1732" i="19"/>
  <c r="I1733" i="19"/>
  <c r="I1734" i="19"/>
  <c r="I1735" i="19"/>
  <c r="I1736" i="19"/>
  <c r="I1737" i="19"/>
  <c r="I1738" i="19"/>
  <c r="I1739" i="19"/>
  <c r="I1740" i="19"/>
  <c r="I1741" i="19"/>
  <c r="I1742" i="19"/>
  <c r="I1743" i="19"/>
  <c r="I1744" i="19"/>
  <c r="I1745" i="19"/>
  <c r="I1746" i="19"/>
  <c r="I1747" i="19"/>
  <c r="I1748" i="19"/>
  <c r="I1749" i="19"/>
  <c r="I1750" i="19"/>
  <c r="I1751" i="19"/>
  <c r="I1752" i="19"/>
  <c r="I1753" i="19"/>
  <c r="I1754" i="19"/>
  <c r="I1755" i="19"/>
  <c r="I1756" i="19"/>
  <c r="I1757" i="19"/>
  <c r="I1758" i="19"/>
  <c r="I1759" i="19"/>
  <c r="I1760" i="19"/>
  <c r="I1761" i="19"/>
  <c r="I1762" i="19"/>
  <c r="I1763" i="19"/>
  <c r="I1764" i="19"/>
  <c r="I1765" i="19"/>
  <c r="I1766" i="19"/>
  <c r="I1767" i="19"/>
  <c r="I1768" i="19"/>
  <c r="I1769" i="19"/>
  <c r="I1770" i="19"/>
  <c r="I1771" i="19"/>
  <c r="I1772" i="19"/>
  <c r="I1773" i="19"/>
  <c r="I1774" i="19"/>
  <c r="I1775" i="19"/>
  <c r="I1776" i="19"/>
  <c r="I1777" i="19"/>
  <c r="I1778" i="19"/>
  <c r="I1779" i="19"/>
  <c r="I1780" i="19"/>
  <c r="I1781" i="19"/>
  <c r="I1782" i="19"/>
  <c r="I1783" i="19"/>
  <c r="I1784" i="19"/>
  <c r="I1785" i="19"/>
  <c r="I1786" i="19"/>
  <c r="I1787" i="19"/>
  <c r="I1788" i="19"/>
  <c r="I1789" i="19"/>
  <c r="I1790" i="19"/>
  <c r="I1791" i="19"/>
  <c r="I1792" i="19"/>
  <c r="I1793" i="19"/>
  <c r="I1794" i="19"/>
  <c r="I1795" i="19"/>
  <c r="I1796" i="19"/>
  <c r="I1797" i="19"/>
  <c r="I1798" i="19"/>
  <c r="I1799" i="19"/>
  <c r="I1800" i="19"/>
  <c r="I1801" i="19"/>
  <c r="I1802" i="19"/>
  <c r="I1803" i="19"/>
  <c r="I1804" i="19"/>
  <c r="I1805" i="19"/>
  <c r="I1806" i="19"/>
  <c r="I1807" i="19"/>
  <c r="I1808" i="19"/>
  <c r="I1809" i="19"/>
  <c r="I1810" i="19"/>
  <c r="I1811" i="19"/>
  <c r="I1812" i="19"/>
  <c r="I1813" i="19"/>
  <c r="I1814" i="19"/>
  <c r="I1815" i="19"/>
  <c r="I1816" i="19"/>
  <c r="I1817" i="19"/>
  <c r="I1818" i="19"/>
  <c r="I1819" i="19"/>
  <c r="I1820" i="19"/>
  <c r="I1821" i="19"/>
  <c r="I1822" i="19"/>
  <c r="I1823" i="19"/>
  <c r="I1824" i="19"/>
  <c r="I1825" i="19"/>
  <c r="I1826" i="19"/>
  <c r="I1827" i="19"/>
  <c r="I1828" i="19"/>
  <c r="I1829" i="19"/>
  <c r="I1830" i="19"/>
  <c r="I1831" i="19"/>
  <c r="I1832" i="19"/>
  <c r="I1833" i="19"/>
  <c r="I1834" i="19"/>
  <c r="I1835" i="19"/>
  <c r="I1836" i="19"/>
  <c r="I1837" i="19"/>
  <c r="I1838" i="19"/>
  <c r="I1839" i="19"/>
  <c r="I1840" i="19"/>
  <c r="I1841" i="19"/>
  <c r="I1842" i="19"/>
  <c r="I1843" i="19"/>
  <c r="I1707" i="19"/>
  <c r="I1706" i="19"/>
  <c r="I919" i="19"/>
  <c r="I785" i="19"/>
  <c r="I786" i="19"/>
  <c r="I787" i="19"/>
  <c r="I788" i="19"/>
  <c r="I789" i="19"/>
  <c r="I790" i="19"/>
  <c r="I791" i="19"/>
  <c r="I792" i="19"/>
  <c r="I793" i="19"/>
  <c r="I794" i="19"/>
  <c r="I795" i="19"/>
  <c r="I796" i="19"/>
  <c r="I797" i="19"/>
  <c r="I798" i="19"/>
  <c r="I799" i="19"/>
  <c r="I800" i="19"/>
  <c r="I801" i="19"/>
  <c r="I802" i="19"/>
  <c r="I803" i="19"/>
  <c r="I804" i="19"/>
  <c r="I805" i="19"/>
  <c r="I806" i="19"/>
  <c r="I807" i="19"/>
  <c r="I808" i="19"/>
  <c r="I809" i="19"/>
  <c r="I810" i="19"/>
  <c r="I811" i="19"/>
  <c r="I812" i="19"/>
  <c r="I813" i="19"/>
  <c r="I814" i="19"/>
  <c r="I815" i="19"/>
  <c r="I816" i="19"/>
  <c r="I817" i="19"/>
  <c r="I818" i="19"/>
  <c r="I819" i="19"/>
  <c r="I820" i="19"/>
  <c r="I821" i="19"/>
  <c r="I822" i="19"/>
  <c r="I823" i="19"/>
  <c r="I824" i="19"/>
  <c r="I825" i="19"/>
  <c r="I826" i="19"/>
  <c r="I827" i="19"/>
  <c r="I828" i="19"/>
  <c r="I829" i="19"/>
  <c r="I830" i="19"/>
  <c r="I831" i="19"/>
  <c r="I832" i="19"/>
  <c r="I833" i="19"/>
  <c r="I834" i="19"/>
  <c r="I835" i="19"/>
  <c r="I836" i="19"/>
  <c r="I837" i="19"/>
  <c r="I838" i="19"/>
  <c r="I839" i="19"/>
  <c r="I840" i="19"/>
  <c r="I841" i="19"/>
  <c r="I842" i="19"/>
  <c r="I843" i="19"/>
  <c r="I844" i="19"/>
  <c r="I845" i="19"/>
  <c r="I846" i="19"/>
  <c r="I847" i="19"/>
  <c r="I848" i="19"/>
  <c r="I849" i="19"/>
  <c r="I850" i="19"/>
  <c r="I851" i="19"/>
  <c r="I852" i="19"/>
  <c r="I853" i="19"/>
  <c r="I854" i="19"/>
  <c r="I855" i="19"/>
  <c r="I856" i="19"/>
  <c r="I857" i="19"/>
  <c r="I858" i="19"/>
  <c r="I859" i="19"/>
  <c r="I860" i="19"/>
  <c r="I861" i="19"/>
  <c r="I862" i="19"/>
  <c r="I863" i="19"/>
  <c r="I864" i="19"/>
  <c r="I865" i="19"/>
  <c r="I866" i="19"/>
  <c r="I867" i="19"/>
  <c r="I868" i="19"/>
  <c r="I869" i="19"/>
  <c r="I870" i="19"/>
  <c r="I871" i="19"/>
  <c r="I872" i="19"/>
  <c r="I873" i="19"/>
  <c r="I874" i="19"/>
  <c r="I875" i="19"/>
  <c r="I876" i="19"/>
  <c r="I877" i="19"/>
  <c r="I878" i="19"/>
  <c r="I879" i="19"/>
  <c r="I880" i="19"/>
  <c r="I881" i="19"/>
  <c r="I882" i="19"/>
  <c r="I883" i="19"/>
  <c r="I884" i="19"/>
  <c r="I885" i="19"/>
  <c r="I886" i="19"/>
  <c r="I887" i="19"/>
  <c r="I888" i="19"/>
  <c r="I889" i="19"/>
  <c r="I890" i="19"/>
  <c r="I891" i="19"/>
  <c r="I892" i="19"/>
  <c r="I893" i="19"/>
  <c r="I894" i="19"/>
  <c r="I895" i="19"/>
  <c r="I896" i="19"/>
  <c r="I897" i="19"/>
  <c r="I898" i="19"/>
  <c r="I899" i="19"/>
  <c r="I900" i="19"/>
  <c r="I901" i="19"/>
  <c r="I902" i="19"/>
  <c r="I903" i="19"/>
  <c r="I904" i="19"/>
  <c r="I905" i="19"/>
  <c r="I906" i="19"/>
  <c r="I907" i="19"/>
  <c r="I908" i="19"/>
  <c r="I909" i="19"/>
  <c r="I910" i="19"/>
  <c r="I911" i="19"/>
  <c r="I912" i="19"/>
  <c r="I913" i="19"/>
  <c r="I914" i="19"/>
  <c r="I915" i="19"/>
  <c r="I916" i="19"/>
  <c r="I917" i="19"/>
  <c r="I918" i="19"/>
  <c r="I920" i="19"/>
  <c r="I921" i="19"/>
  <c r="I922" i="19"/>
  <c r="D8" i="54"/>
  <c r="Q161" i="61" s="1"/>
  <c r="I2760" i="19"/>
  <c r="E2626" i="19"/>
  <c r="F1509" i="35"/>
  <c r="E1865" i="55" s="1"/>
  <c r="E1509" i="35"/>
  <c r="E3602" i="21" s="1"/>
  <c r="D1509" i="35"/>
  <c r="D1865" i="55" s="1"/>
  <c r="A10" i="55"/>
  <c r="F10" i="55" s="1"/>
  <c r="A11" i="55"/>
  <c r="F11" i="55" s="1"/>
  <c r="A12" i="55"/>
  <c r="F12" i="55" s="1"/>
  <c r="A13" i="55"/>
  <c r="F13" i="55" s="1"/>
  <c r="A14" i="55"/>
  <c r="A15" i="55"/>
  <c r="F15" i="55" s="1"/>
  <c r="A16" i="55"/>
  <c r="F16" i="55" s="1"/>
  <c r="A17" i="55"/>
  <c r="A18" i="55"/>
  <c r="F18" i="55" s="1"/>
  <c r="A19" i="55"/>
  <c r="F19" i="55" s="1"/>
  <c r="A20" i="55"/>
  <c r="A21" i="55"/>
  <c r="F21" i="55" s="1"/>
  <c r="A22" i="55"/>
  <c r="F22" i="55" s="1"/>
  <c r="A23" i="55"/>
  <c r="F23" i="55" s="1"/>
  <c r="A24" i="55"/>
  <c r="A25" i="55"/>
  <c r="F25" i="55" s="1"/>
  <c r="A26" i="55"/>
  <c r="F26" i="55" s="1"/>
  <c r="A27" i="55"/>
  <c r="F27" i="55" s="1"/>
  <c r="A28" i="55"/>
  <c r="F28" i="55" s="1"/>
  <c r="A29" i="55"/>
  <c r="A30" i="55"/>
  <c r="F30" i="55" s="1"/>
  <c r="A31" i="55"/>
  <c r="A32" i="55"/>
  <c r="F32" i="55" s="1"/>
  <c r="A33" i="55"/>
  <c r="A34" i="55"/>
  <c r="A35" i="55"/>
  <c r="A36" i="55"/>
  <c r="F36" i="55" s="1"/>
  <c r="A37" i="55"/>
  <c r="A38" i="55"/>
  <c r="F38" i="55" s="1"/>
  <c r="A39" i="55"/>
  <c r="F39" i="55" s="1"/>
  <c r="A40" i="55"/>
  <c r="A41" i="55"/>
  <c r="F41" i="55" s="1"/>
  <c r="A42" i="55"/>
  <c r="A43" i="55"/>
  <c r="F43" i="55" s="1"/>
  <c r="A44" i="55"/>
  <c r="A45" i="55"/>
  <c r="A46" i="55"/>
  <c r="A47" i="55"/>
  <c r="A48" i="55"/>
  <c r="A49" i="55"/>
  <c r="A50" i="55"/>
  <c r="F50" i="55" s="1"/>
  <c r="A51" i="55"/>
  <c r="F51" i="55" s="1"/>
  <c r="A52" i="55"/>
  <c r="F52" i="55" s="1"/>
  <c r="A53" i="55"/>
  <c r="F53" i="55" s="1"/>
  <c r="A54" i="55"/>
  <c r="C54" i="55" s="1"/>
  <c r="A55" i="55"/>
  <c r="A56" i="55"/>
  <c r="A57" i="55"/>
  <c r="F57" i="55" s="1"/>
  <c r="A58" i="55"/>
  <c r="F58" i="55" s="1"/>
  <c r="A59" i="55"/>
  <c r="F59" i="55" s="1"/>
  <c r="A60" i="55"/>
  <c r="F60" i="55" s="1"/>
  <c r="A61" i="55"/>
  <c r="F61" i="55" s="1"/>
  <c r="A62" i="55"/>
  <c r="A63" i="55"/>
  <c r="F63" i="55" s="1"/>
  <c r="A64" i="55"/>
  <c r="F64" i="55" s="1"/>
  <c r="A65" i="55"/>
  <c r="F65" i="55" s="1"/>
  <c r="A66" i="55"/>
  <c r="A67" i="55"/>
  <c r="F67" i="55" s="1"/>
  <c r="A68" i="55"/>
  <c r="F68" i="55" s="1"/>
  <c r="A69" i="55"/>
  <c r="A70" i="55"/>
  <c r="F70" i="55" s="1"/>
  <c r="A71" i="55"/>
  <c r="F71" i="55" s="1"/>
  <c r="A72" i="55"/>
  <c r="F72" i="55" s="1"/>
  <c r="A73" i="55"/>
  <c r="F73" i="55" s="1"/>
  <c r="A74" i="55"/>
  <c r="F74" i="55" s="1"/>
  <c r="A75" i="55"/>
  <c r="A76" i="55"/>
  <c r="A77" i="55"/>
  <c r="F77" i="55" s="1"/>
  <c r="A78" i="55"/>
  <c r="F78" i="55" s="1"/>
  <c r="A79" i="55"/>
  <c r="F79" i="55" s="1"/>
  <c r="A80" i="55"/>
  <c r="F80" i="55" s="1"/>
  <c r="A81" i="55"/>
  <c r="F81" i="55" s="1"/>
  <c r="A82" i="55"/>
  <c r="F82" i="55" s="1"/>
  <c r="A83" i="55"/>
  <c r="F83" i="55" s="1"/>
  <c r="A84" i="55"/>
  <c r="A85" i="55"/>
  <c r="A86" i="55"/>
  <c r="F86" i="55" s="1"/>
  <c r="A87" i="55"/>
  <c r="A88" i="55"/>
  <c r="A89" i="55"/>
  <c r="F89" i="55" s="1"/>
  <c r="A90" i="55"/>
  <c r="F90" i="55" s="1"/>
  <c r="A91" i="55"/>
  <c r="A92" i="55"/>
  <c r="F92" i="55" s="1"/>
  <c r="A93" i="55"/>
  <c r="F93" i="55" s="1"/>
  <c r="A94" i="55"/>
  <c r="F94" i="55" s="1"/>
  <c r="A95" i="55"/>
  <c r="F95" i="55" s="1"/>
  <c r="A96" i="55"/>
  <c r="A97" i="55"/>
  <c r="A98" i="55"/>
  <c r="A99" i="55"/>
  <c r="F99" i="55" s="1"/>
  <c r="A100" i="55"/>
  <c r="F100" i="55" s="1"/>
  <c r="A101" i="55"/>
  <c r="F101" i="55" s="1"/>
  <c r="A102" i="55"/>
  <c r="A103" i="55"/>
  <c r="F103" i="55" s="1"/>
  <c r="A104" i="55"/>
  <c r="A105" i="55"/>
  <c r="A106" i="55"/>
  <c r="F106" i="55" s="1"/>
  <c r="A107" i="55"/>
  <c r="F107" i="55" s="1"/>
  <c r="A108" i="55"/>
  <c r="A109" i="55"/>
  <c r="F109" i="55" s="1"/>
  <c r="A110" i="55"/>
  <c r="F110" i="55" s="1"/>
  <c r="A111" i="55"/>
  <c r="F111" i="55" s="1"/>
  <c r="A112" i="55"/>
  <c r="A113" i="55"/>
  <c r="F113" i="55" s="1"/>
  <c r="A114" i="55"/>
  <c r="A115" i="55"/>
  <c r="F115" i="55" s="1"/>
  <c r="A116" i="55"/>
  <c r="A117" i="55"/>
  <c r="A118" i="55"/>
  <c r="A119" i="55"/>
  <c r="F119" i="55" s="1"/>
  <c r="A120" i="55"/>
  <c r="F120" i="55" s="1"/>
  <c r="A121" i="55"/>
  <c r="F121" i="55" s="1"/>
  <c r="A122" i="55"/>
  <c r="F122" i="55" s="1"/>
  <c r="A123" i="55"/>
  <c r="F123" i="55" s="1"/>
  <c r="A124" i="55"/>
  <c r="F124" i="55" s="1"/>
  <c r="A125" i="55"/>
  <c r="F125" i="55" s="1"/>
  <c r="A126" i="55"/>
  <c r="A127" i="55"/>
  <c r="A128" i="55"/>
  <c r="F128" i="55" s="1"/>
  <c r="A129" i="55"/>
  <c r="F129" i="55" s="1"/>
  <c r="A130" i="55"/>
  <c r="A131" i="55"/>
  <c r="F131" i="55" s="1"/>
  <c r="A132" i="55"/>
  <c r="A133" i="55"/>
  <c r="F133" i="55" s="1"/>
  <c r="A134" i="55"/>
  <c r="F134" i="55" s="1"/>
  <c r="A135" i="55"/>
  <c r="F135" i="55" s="1"/>
  <c r="A136" i="55"/>
  <c r="F136" i="55" s="1"/>
  <c r="A137" i="55"/>
  <c r="F137" i="55" s="1"/>
  <c r="A138" i="55"/>
  <c r="F138" i="55" s="1"/>
  <c r="A139" i="55"/>
  <c r="A140" i="55"/>
  <c r="F140" i="55" s="1"/>
  <c r="A141" i="55"/>
  <c r="F141" i="55" s="1"/>
  <c r="A142" i="55"/>
  <c r="A143" i="55"/>
  <c r="F143" i="55" s="1"/>
  <c r="A144" i="55"/>
  <c r="F144" i="55" s="1"/>
  <c r="A145" i="55"/>
  <c r="A146" i="55"/>
  <c r="A147" i="55"/>
  <c r="A148" i="55"/>
  <c r="F148" i="55" s="1"/>
  <c r="A149" i="55"/>
  <c r="F149" i="55" s="1"/>
  <c r="A150" i="55"/>
  <c r="F150" i="55" s="1"/>
  <c r="A151" i="55"/>
  <c r="F151" i="55" s="1"/>
  <c r="A152" i="55"/>
  <c r="F152" i="55" s="1"/>
  <c r="A153" i="55"/>
  <c r="F153" i="55" s="1"/>
  <c r="A154" i="55"/>
  <c r="F154" i="55" s="1"/>
  <c r="A155" i="55"/>
  <c r="F155" i="55" s="1"/>
  <c r="A156" i="55"/>
  <c r="F156" i="55" s="1"/>
  <c r="A157" i="55"/>
  <c r="F157" i="55" s="1"/>
  <c r="A158" i="55"/>
  <c r="F158" i="55" s="1"/>
  <c r="A159" i="55"/>
  <c r="A160" i="55"/>
  <c r="A161" i="55"/>
  <c r="A162" i="55"/>
  <c r="F162" i="55" s="1"/>
  <c r="A163" i="55"/>
  <c r="F163" i="55" s="1"/>
  <c r="C174" i="55"/>
  <c r="C175" i="55"/>
  <c r="A9" i="55"/>
  <c r="A939" i="55"/>
  <c r="C2677" i="21"/>
  <c r="C951" i="55"/>
  <c r="A954" i="55"/>
  <c r="A955" i="55"/>
  <c r="C2693" i="21"/>
  <c r="C956" i="55" s="1"/>
  <c r="C2704" i="21"/>
  <c r="C967" i="55" s="1"/>
  <c r="A968" i="55"/>
  <c r="C2706" i="21"/>
  <c r="C969" i="55" s="1"/>
  <c r="A970" i="55"/>
  <c r="C2720" i="21"/>
  <c r="C983" i="55" s="1"/>
  <c r="C2729" i="21"/>
  <c r="C992" i="55" s="1"/>
  <c r="C2732" i="21"/>
  <c r="C995" i="55" s="1"/>
  <c r="C2733" i="21"/>
  <c r="C996" i="55" s="1"/>
  <c r="C2736" i="21"/>
  <c r="C999" i="55" s="1"/>
  <c r="C2746" i="21"/>
  <c r="C1009" i="55" s="1"/>
  <c r="A1011" i="55"/>
  <c r="C2749" i="21"/>
  <c r="A1023" i="55"/>
  <c r="A1024" i="55"/>
  <c r="A1025" i="55"/>
  <c r="A1026" i="55"/>
  <c r="A1039" i="55"/>
  <c r="A1040" i="55"/>
  <c r="C2781" i="21"/>
  <c r="C1044" i="55" s="1"/>
  <c r="A1048" i="55"/>
  <c r="A1051" i="55"/>
  <c r="C2789" i="21"/>
  <c r="C1052" i="55" s="1"/>
  <c r="A1065" i="55"/>
  <c r="A1066" i="55"/>
  <c r="A1067" i="55"/>
  <c r="A1068" i="55"/>
  <c r="A1079" i="55"/>
  <c r="C2817" i="21"/>
  <c r="C1080" i="55" s="1"/>
  <c r="C2818" i="21"/>
  <c r="C1081" i="55" s="1"/>
  <c r="A1082" i="55"/>
  <c r="C2258" i="19"/>
  <c r="D2258" i="19"/>
  <c r="E2258" i="19"/>
  <c r="F2258" i="19"/>
  <c r="G2258" i="19"/>
  <c r="H2258" i="19"/>
  <c r="F1746" i="21"/>
  <c r="F1747" i="21"/>
  <c r="F1748" i="21"/>
  <c r="F1749" i="21"/>
  <c r="F1751" i="21"/>
  <c r="F1752" i="21"/>
  <c r="F1753" i="21"/>
  <c r="F1754" i="21"/>
  <c r="F1755" i="21"/>
  <c r="F1756" i="21"/>
  <c r="F1757" i="21"/>
  <c r="F1758" i="21"/>
  <c r="F1759" i="21"/>
  <c r="F1760" i="21"/>
  <c r="F1761" i="21"/>
  <c r="F1762" i="21"/>
  <c r="F1763" i="21"/>
  <c r="F1764" i="21"/>
  <c r="F1768" i="21"/>
  <c r="F1769" i="21"/>
  <c r="F1770" i="21"/>
  <c r="F1771" i="21"/>
  <c r="F1772" i="21"/>
  <c r="F1773" i="21"/>
  <c r="F1774" i="21"/>
  <c r="F1775" i="21"/>
  <c r="F1776" i="21"/>
  <c r="F1777" i="21"/>
  <c r="F1778" i="21"/>
  <c r="F1779" i="21"/>
  <c r="F1780" i="21"/>
  <c r="F1781" i="21"/>
  <c r="F1782" i="21"/>
  <c r="F1783" i="21"/>
  <c r="F1784" i="21"/>
  <c r="F1785" i="21"/>
  <c r="F1786" i="21"/>
  <c r="F1787" i="21"/>
  <c r="F1788" i="21"/>
  <c r="F1789" i="21"/>
  <c r="F1790" i="21"/>
  <c r="F1791" i="21"/>
  <c r="F1792" i="21"/>
  <c r="F1793" i="21"/>
  <c r="F1794" i="21"/>
  <c r="F1795" i="21"/>
  <c r="F1796" i="21"/>
  <c r="F1797" i="21"/>
  <c r="F1798" i="21"/>
  <c r="F1799" i="21"/>
  <c r="F1800" i="21"/>
  <c r="F1801" i="21"/>
  <c r="F1802" i="21"/>
  <c r="F1803" i="21"/>
  <c r="F1804" i="21"/>
  <c r="F1805" i="21"/>
  <c r="F1806" i="21"/>
  <c r="F1807" i="21"/>
  <c r="F1808" i="21"/>
  <c r="F1809" i="21"/>
  <c r="F1810" i="21"/>
  <c r="F1811" i="21"/>
  <c r="F1812" i="21"/>
  <c r="F1813" i="21"/>
  <c r="F1814" i="21"/>
  <c r="F1815" i="21"/>
  <c r="F1816" i="21"/>
  <c r="F1817" i="21"/>
  <c r="F1818" i="21"/>
  <c r="F1819" i="21"/>
  <c r="F1820" i="21"/>
  <c r="F1821" i="21"/>
  <c r="F1822" i="21"/>
  <c r="F1823" i="21"/>
  <c r="F1824" i="21"/>
  <c r="F1825" i="21"/>
  <c r="F1826" i="21"/>
  <c r="F1827" i="21"/>
  <c r="F1828" i="21"/>
  <c r="F1829" i="21"/>
  <c r="F1830" i="21"/>
  <c r="F1831" i="21"/>
  <c r="F1832" i="21"/>
  <c r="F1833" i="21"/>
  <c r="F1834" i="21"/>
  <c r="F1835" i="21"/>
  <c r="F1836" i="21"/>
  <c r="F1837" i="21"/>
  <c r="F1838" i="21"/>
  <c r="F1839" i="21"/>
  <c r="F1840" i="21"/>
  <c r="F1841" i="21"/>
  <c r="F1842" i="21"/>
  <c r="F1843" i="21"/>
  <c r="F1844" i="21"/>
  <c r="F1845" i="21"/>
  <c r="F1846" i="21"/>
  <c r="F1847" i="21"/>
  <c r="F1848" i="21"/>
  <c r="F1849" i="21"/>
  <c r="F1850" i="21"/>
  <c r="F1851" i="21"/>
  <c r="F1852" i="21"/>
  <c r="F1853" i="21"/>
  <c r="F1854" i="21"/>
  <c r="F1855" i="21"/>
  <c r="F1856" i="21"/>
  <c r="F1857" i="21"/>
  <c r="F1858" i="21"/>
  <c r="F1859" i="21"/>
  <c r="F1860" i="21"/>
  <c r="F1861" i="21"/>
  <c r="F1862" i="21"/>
  <c r="F1863" i="21"/>
  <c r="F1864" i="21"/>
  <c r="F1865" i="21"/>
  <c r="F1866" i="21"/>
  <c r="F1867" i="21"/>
  <c r="F1868" i="21"/>
  <c r="F1869" i="21"/>
  <c r="F1870" i="21"/>
  <c r="F1871" i="21"/>
  <c r="F1872" i="21"/>
  <c r="F1873" i="21"/>
  <c r="F1874" i="21"/>
  <c r="F1875" i="21"/>
  <c r="F1876" i="21"/>
  <c r="F1877" i="21"/>
  <c r="F1878" i="21"/>
  <c r="F1879" i="21"/>
  <c r="F1880" i="21"/>
  <c r="F1881" i="21"/>
  <c r="F1882" i="21"/>
  <c r="F1883" i="21"/>
  <c r="F1884" i="21"/>
  <c r="F1885" i="21"/>
  <c r="F1886" i="21"/>
  <c r="F1887" i="21"/>
  <c r="F1888" i="21"/>
  <c r="F1889" i="21"/>
  <c r="F1890" i="21"/>
  <c r="F1891" i="21"/>
  <c r="F1892" i="21"/>
  <c r="F1893" i="21"/>
  <c r="F1894" i="21"/>
  <c r="F1895" i="21"/>
  <c r="F1896" i="21"/>
  <c r="F1897" i="21"/>
  <c r="F1898" i="21"/>
  <c r="F1899" i="21"/>
  <c r="I2260" i="19"/>
  <c r="B417" i="55" s="1"/>
  <c r="I2261" i="19"/>
  <c r="B418" i="55" s="1"/>
  <c r="I2262" i="19"/>
  <c r="B419" i="55" s="1"/>
  <c r="I2263" i="19"/>
  <c r="B420" i="55" s="1"/>
  <c r="I2264" i="19"/>
  <c r="B421" i="55" s="1"/>
  <c r="I2265" i="19"/>
  <c r="B422" i="55" s="1"/>
  <c r="I2266" i="19"/>
  <c r="B423" i="55" s="1"/>
  <c r="I2267" i="19"/>
  <c r="B424" i="55" s="1"/>
  <c r="I2268" i="19"/>
  <c r="B425" i="55" s="1"/>
  <c r="I2269" i="19"/>
  <c r="B426" i="55" s="1"/>
  <c r="I2270" i="19"/>
  <c r="B427" i="55" s="1"/>
  <c r="I2271" i="19"/>
  <c r="B428" i="55" s="1"/>
  <c r="I2272" i="19"/>
  <c r="B429" i="55" s="1"/>
  <c r="I2273" i="19"/>
  <c r="B430" i="55" s="1"/>
  <c r="I2274" i="19"/>
  <c r="B431" i="55" s="1"/>
  <c r="I2275" i="19"/>
  <c r="B432" i="55" s="1"/>
  <c r="I2276" i="19"/>
  <c r="B433" i="55" s="1"/>
  <c r="I2277" i="19"/>
  <c r="B434" i="55" s="1"/>
  <c r="I2278" i="19"/>
  <c r="B435" i="55" s="1"/>
  <c r="I2279" i="19"/>
  <c r="B436" i="55" s="1"/>
  <c r="I2280" i="19"/>
  <c r="B437" i="55" s="1"/>
  <c r="I2281" i="19"/>
  <c r="B438" i="55" s="1"/>
  <c r="I2282" i="19"/>
  <c r="B439" i="55"/>
  <c r="I2283" i="19"/>
  <c r="B440" i="55" s="1"/>
  <c r="I2284" i="19"/>
  <c r="B441" i="55" s="1"/>
  <c r="I2285" i="19"/>
  <c r="B442" i="55" s="1"/>
  <c r="I2286" i="19"/>
  <c r="B443" i="55" s="1"/>
  <c r="I2287" i="19"/>
  <c r="B444" i="55" s="1"/>
  <c r="I2288" i="19"/>
  <c r="B445" i="55" s="1"/>
  <c r="I2289" i="19"/>
  <c r="B446" i="55" s="1"/>
  <c r="I2290" i="19"/>
  <c r="B447" i="55" s="1"/>
  <c r="I2292" i="19"/>
  <c r="B449" i="55" s="1"/>
  <c r="I2293" i="19"/>
  <c r="B450" i="55" s="1"/>
  <c r="I2294" i="19"/>
  <c r="B451" i="55" s="1"/>
  <c r="I2295" i="19"/>
  <c r="B452" i="55" s="1"/>
  <c r="I2296" i="19"/>
  <c r="B453" i="55" s="1"/>
  <c r="I2297" i="19"/>
  <c r="B454" i="55" s="1"/>
  <c r="I2298" i="19"/>
  <c r="B455" i="55" s="1"/>
  <c r="I2299" i="19"/>
  <c r="B456" i="55" s="1"/>
  <c r="I2300" i="19"/>
  <c r="B457" i="55" s="1"/>
  <c r="I2301" i="19"/>
  <c r="B458" i="55" s="1"/>
  <c r="I2302" i="19"/>
  <c r="B459" i="55" s="1"/>
  <c r="I2303" i="19"/>
  <c r="B460" i="55" s="1"/>
  <c r="I2304" i="19"/>
  <c r="B461" i="55" s="1"/>
  <c r="I2305" i="19"/>
  <c r="B462" i="55" s="1"/>
  <c r="I2306" i="19"/>
  <c r="B463" i="55" s="1"/>
  <c r="I2307" i="19"/>
  <c r="B464" i="55" s="1"/>
  <c r="I2308" i="19"/>
  <c r="B465" i="55"/>
  <c r="I2309" i="19"/>
  <c r="B466" i="55" s="1"/>
  <c r="I2310" i="19"/>
  <c r="B467" i="55" s="1"/>
  <c r="I2311" i="19"/>
  <c r="B468" i="55" s="1"/>
  <c r="I2312" i="19"/>
  <c r="B469" i="55" s="1"/>
  <c r="I2313" i="19"/>
  <c r="B470" i="55" s="1"/>
  <c r="I2314" i="19"/>
  <c r="B471" i="55" s="1"/>
  <c r="I2315" i="19"/>
  <c r="B472" i="55" s="1"/>
  <c r="I2316" i="19"/>
  <c r="B473" i="55" s="1"/>
  <c r="I2317" i="19"/>
  <c r="B474" i="55" s="1"/>
  <c r="I2318" i="19"/>
  <c r="B475" i="55" s="1"/>
  <c r="I2319" i="19"/>
  <c r="B476" i="55" s="1"/>
  <c r="I2320" i="19"/>
  <c r="B477" i="55" s="1"/>
  <c r="I2321" i="19"/>
  <c r="B478" i="55"/>
  <c r="I2322" i="19"/>
  <c r="B479" i="55" s="1"/>
  <c r="E479" i="55" s="1"/>
  <c r="I2323" i="19"/>
  <c r="B480" i="55" s="1"/>
  <c r="E480" i="55" s="1"/>
  <c r="I2324" i="19"/>
  <c r="B481" i="55" s="1"/>
  <c r="I2325" i="19"/>
  <c r="B482" i="55" s="1"/>
  <c r="I2326" i="19"/>
  <c r="B483" i="55" s="1"/>
  <c r="I2327" i="19"/>
  <c r="B484" i="55" s="1"/>
  <c r="I2328" i="19"/>
  <c r="B485" i="55" s="1"/>
  <c r="I2329" i="19"/>
  <c r="B486" i="55" s="1"/>
  <c r="I2330" i="19"/>
  <c r="B487" i="55" s="1"/>
  <c r="I2331" i="19"/>
  <c r="B488" i="55" s="1"/>
  <c r="I2332" i="19"/>
  <c r="B489" i="55" s="1"/>
  <c r="I2333" i="19"/>
  <c r="B490" i="55" s="1"/>
  <c r="I2334" i="19"/>
  <c r="B491" i="55" s="1"/>
  <c r="I2335" i="19"/>
  <c r="B492" i="55" s="1"/>
  <c r="I2336" i="19"/>
  <c r="B493" i="55" s="1"/>
  <c r="I2337" i="19"/>
  <c r="B494" i="55" s="1"/>
  <c r="I2338" i="19"/>
  <c r="B495" i="55" s="1"/>
  <c r="I2339" i="19"/>
  <c r="B496" i="55" s="1"/>
  <c r="I2340" i="19"/>
  <c r="B497" i="55" s="1"/>
  <c r="I2341" i="19"/>
  <c r="B498" i="55" s="1"/>
  <c r="I2342" i="19"/>
  <c r="B499" i="55" s="1"/>
  <c r="I2343" i="19"/>
  <c r="B500" i="55" s="1"/>
  <c r="I2344" i="19"/>
  <c r="B501" i="55" s="1"/>
  <c r="I2345" i="19"/>
  <c r="B502" i="55" s="1"/>
  <c r="I2346" i="19"/>
  <c r="B503" i="55" s="1"/>
  <c r="I2347" i="19"/>
  <c r="B504" i="55" s="1"/>
  <c r="I2348" i="19"/>
  <c r="B505" i="55" s="1"/>
  <c r="I2349" i="19"/>
  <c r="B506" i="55" s="1"/>
  <c r="I2350" i="19"/>
  <c r="B507" i="55" s="1"/>
  <c r="I2351" i="19"/>
  <c r="B508" i="55" s="1"/>
  <c r="I2352" i="19"/>
  <c r="B509" i="55" s="1"/>
  <c r="I2353" i="19"/>
  <c r="B510" i="55" s="1"/>
  <c r="I2354" i="19"/>
  <c r="B511" i="55" s="1"/>
  <c r="I2355" i="19"/>
  <c r="B512" i="55" s="1"/>
  <c r="I2356" i="19"/>
  <c r="B513" i="55" s="1"/>
  <c r="I2357" i="19"/>
  <c r="B514" i="55" s="1"/>
  <c r="I2358" i="19"/>
  <c r="B515" i="55" s="1"/>
  <c r="I2359" i="19"/>
  <c r="B516" i="55" s="1"/>
  <c r="I2360" i="19"/>
  <c r="B517" i="55" s="1"/>
  <c r="I2361" i="19"/>
  <c r="B518" i="55" s="1"/>
  <c r="E518" i="55" s="1"/>
  <c r="I2362" i="19"/>
  <c r="B519" i="55" s="1"/>
  <c r="E519" i="55" s="1"/>
  <c r="I2363" i="19"/>
  <c r="B520" i="55" s="1"/>
  <c r="E520" i="55" s="1"/>
  <c r="I2364" i="19"/>
  <c r="B521" i="55" s="1"/>
  <c r="I2365" i="19"/>
  <c r="B522" i="55" s="1"/>
  <c r="I2366" i="19"/>
  <c r="B523" i="55" s="1"/>
  <c r="I2367" i="19"/>
  <c r="B524" i="55" s="1"/>
  <c r="I2368" i="19"/>
  <c r="B525" i="55" s="1"/>
  <c r="I2369" i="19"/>
  <c r="B526" i="55" s="1"/>
  <c r="E526" i="55" s="1"/>
  <c r="I2370" i="19"/>
  <c r="B527" i="55" s="1"/>
  <c r="I2371" i="19"/>
  <c r="B528" i="55" s="1"/>
  <c r="I2372" i="19"/>
  <c r="B529" i="55" s="1"/>
  <c r="I2373" i="19"/>
  <c r="B530" i="55" s="1"/>
  <c r="I2374" i="19"/>
  <c r="B531" i="55" s="1"/>
  <c r="I2375" i="19"/>
  <c r="B532" i="55" s="1"/>
  <c r="I2376" i="19"/>
  <c r="B533" i="55" s="1"/>
  <c r="I2377" i="19"/>
  <c r="B534" i="55" s="1"/>
  <c r="I2378" i="19"/>
  <c r="B535" i="55" s="1"/>
  <c r="I2379" i="19"/>
  <c r="B536" i="55" s="1"/>
  <c r="I2380" i="19"/>
  <c r="B537" i="55" s="1"/>
  <c r="I2381" i="19"/>
  <c r="B538" i="55" s="1"/>
  <c r="I2382" i="19"/>
  <c r="B539" i="55" s="1"/>
  <c r="I2383" i="19"/>
  <c r="B540" i="55" s="1"/>
  <c r="I2384" i="19"/>
  <c r="B541" i="55" s="1"/>
  <c r="I2385" i="19"/>
  <c r="B542" i="55" s="1"/>
  <c r="I2386" i="19"/>
  <c r="B543" i="55" s="1"/>
  <c r="I2387" i="19"/>
  <c r="B544" i="55" s="1"/>
  <c r="I2388" i="19"/>
  <c r="B545" i="55" s="1"/>
  <c r="I2389" i="19"/>
  <c r="B546" i="55" s="1"/>
  <c r="I2390" i="19"/>
  <c r="B547" i="55" s="1"/>
  <c r="I2391" i="19"/>
  <c r="B548" i="55" s="1"/>
  <c r="I2392" i="19"/>
  <c r="B549" i="55" s="1"/>
  <c r="I2393" i="19"/>
  <c r="B550" i="55" s="1"/>
  <c r="I2394" i="19"/>
  <c r="B551" i="55" s="1"/>
  <c r="E551" i="55" s="1"/>
  <c r="I2395" i="19"/>
  <c r="B552" i="55" s="1"/>
  <c r="I2396" i="19"/>
  <c r="B553" i="55" s="1"/>
  <c r="I2397" i="19"/>
  <c r="B554" i="55" s="1"/>
  <c r="I2398" i="19"/>
  <c r="B555" i="55" s="1"/>
  <c r="I2399" i="19"/>
  <c r="B556" i="55" s="1"/>
  <c r="I2400" i="19"/>
  <c r="B557" i="55" s="1"/>
  <c r="I2401" i="19"/>
  <c r="B558" i="55" s="1"/>
  <c r="I2402" i="19"/>
  <c r="B559" i="55" s="1"/>
  <c r="I2403" i="19"/>
  <c r="B560" i="55" s="1"/>
  <c r="I2404" i="19"/>
  <c r="B561" i="55" s="1"/>
  <c r="I2405" i="19"/>
  <c r="B562" i="55" s="1"/>
  <c r="I2406" i="19"/>
  <c r="B563" i="55" s="1"/>
  <c r="I2407" i="19"/>
  <c r="B564" i="55" s="1"/>
  <c r="I2408" i="19"/>
  <c r="B565" i="55" s="1"/>
  <c r="I2409" i="19"/>
  <c r="B566" i="55" s="1"/>
  <c r="I2410" i="19"/>
  <c r="B567" i="55" s="1"/>
  <c r="I2411" i="19"/>
  <c r="B568" i="55" s="1"/>
  <c r="I2412" i="19"/>
  <c r="B569" i="55" s="1"/>
  <c r="I2413" i="19"/>
  <c r="B570" i="55" s="1"/>
  <c r="I2414" i="19"/>
  <c r="B571" i="55" s="1"/>
  <c r="I2415" i="19"/>
  <c r="B572" i="55" s="1"/>
  <c r="I2416" i="19"/>
  <c r="B573" i="55" s="1"/>
  <c r="I2417" i="19"/>
  <c r="B574" i="55" s="1"/>
  <c r="I2418" i="19"/>
  <c r="B575" i="55" s="1"/>
  <c r="E575" i="55" s="1"/>
  <c r="I2419" i="19"/>
  <c r="B576" i="55" s="1"/>
  <c r="I2420" i="19"/>
  <c r="B577" i="55" s="1"/>
  <c r="I2421" i="19"/>
  <c r="B578" i="55" s="1"/>
  <c r="I2422" i="19"/>
  <c r="B579" i="55" s="1"/>
  <c r="I2423" i="19"/>
  <c r="B580" i="55" s="1"/>
  <c r="I2424" i="19"/>
  <c r="B581" i="55" s="1"/>
  <c r="I2425" i="19"/>
  <c r="B582" i="55" s="1"/>
  <c r="I2426" i="19"/>
  <c r="B583" i="55" s="1"/>
  <c r="I2427" i="19"/>
  <c r="B584" i="55" s="1"/>
  <c r="I2428" i="19"/>
  <c r="B585" i="55" s="1"/>
  <c r="I2429" i="19"/>
  <c r="B586" i="55" s="1"/>
  <c r="I2430" i="19"/>
  <c r="B587" i="55" s="1"/>
  <c r="I2431" i="19"/>
  <c r="B588" i="55" s="1"/>
  <c r="I2432" i="19"/>
  <c r="B589" i="55" s="1"/>
  <c r="I2433" i="19"/>
  <c r="B590" i="55" s="1"/>
  <c r="E590" i="55" s="1"/>
  <c r="I2434" i="19"/>
  <c r="B591" i="55" s="1"/>
  <c r="I2435" i="19"/>
  <c r="B592" i="55" s="1"/>
  <c r="I2436" i="19"/>
  <c r="B593" i="55" s="1"/>
  <c r="I2437" i="19"/>
  <c r="B594" i="55" s="1"/>
  <c r="I2438" i="19"/>
  <c r="B595" i="55" s="1"/>
  <c r="I2439" i="19"/>
  <c r="B596" i="55" s="1"/>
  <c r="I2440" i="19"/>
  <c r="B597" i="55" s="1"/>
  <c r="I2441" i="19"/>
  <c r="B598" i="55" s="1"/>
  <c r="I2442" i="19"/>
  <c r="B599" i="55" s="1"/>
  <c r="I2443" i="19"/>
  <c r="B600" i="55" s="1"/>
  <c r="I2444" i="19"/>
  <c r="B601" i="55" s="1"/>
  <c r="I2445" i="19"/>
  <c r="B602" i="55" s="1"/>
  <c r="I2446" i="19"/>
  <c r="B603" i="55" s="1"/>
  <c r="I2447" i="19"/>
  <c r="B604" i="55" s="1"/>
  <c r="I2448" i="19"/>
  <c r="B605" i="55" s="1"/>
  <c r="I2449" i="19"/>
  <c r="B606" i="55"/>
  <c r="I2450" i="19"/>
  <c r="B607" i="55" s="1"/>
  <c r="I2451" i="19"/>
  <c r="B608" i="55" s="1"/>
  <c r="I2452" i="19"/>
  <c r="B609" i="55" s="1"/>
  <c r="I2453" i="19"/>
  <c r="B610" i="55" s="1"/>
  <c r="I2454" i="19"/>
  <c r="B611" i="55" s="1"/>
  <c r="I2455" i="19"/>
  <c r="B612" i="55" s="1"/>
  <c r="I2456" i="19"/>
  <c r="B613" i="55" s="1"/>
  <c r="I2457" i="19"/>
  <c r="B614" i="55" s="1"/>
  <c r="I2458" i="19"/>
  <c r="B615" i="55" s="1"/>
  <c r="I2459" i="19"/>
  <c r="B616" i="55" s="1"/>
  <c r="I2460" i="19"/>
  <c r="B617" i="55" s="1"/>
  <c r="I2461" i="19"/>
  <c r="B618" i="55" s="1"/>
  <c r="I2462" i="19"/>
  <c r="B619" i="55" s="1"/>
  <c r="I2463" i="19"/>
  <c r="B620" i="55" s="1"/>
  <c r="I2464" i="19"/>
  <c r="B621" i="55" s="1"/>
  <c r="E621" i="55" s="1"/>
  <c r="I2465" i="19"/>
  <c r="B622" i="55" s="1"/>
  <c r="I2466" i="19"/>
  <c r="B623" i="55" s="1"/>
  <c r="I2467" i="19"/>
  <c r="B624" i="55" s="1"/>
  <c r="I2468" i="19"/>
  <c r="B625" i="55" s="1"/>
  <c r="I2469" i="19"/>
  <c r="B626" i="55" s="1"/>
  <c r="I2470" i="19"/>
  <c r="B627" i="55" s="1"/>
  <c r="I2471" i="19"/>
  <c r="B628" i="55" s="1"/>
  <c r="I2472" i="19"/>
  <c r="B629" i="55" s="1"/>
  <c r="I2473" i="19"/>
  <c r="B630" i="55" s="1"/>
  <c r="I2474" i="19"/>
  <c r="B631" i="55" s="1"/>
  <c r="I2475" i="19"/>
  <c r="B632" i="55" s="1"/>
  <c r="I2476" i="19"/>
  <c r="B633" i="55" s="1"/>
  <c r="I2477" i="19"/>
  <c r="B634" i="55" s="1"/>
  <c r="I2478" i="19"/>
  <c r="B635" i="55" s="1"/>
  <c r="I2479" i="19"/>
  <c r="B636" i="55" s="1"/>
  <c r="I2480" i="19"/>
  <c r="B637" i="55" s="1"/>
  <c r="I2481" i="19"/>
  <c r="B638" i="55" s="1"/>
  <c r="I2482" i="19"/>
  <c r="B639" i="55" s="1"/>
  <c r="I2483" i="19"/>
  <c r="B640" i="55" s="1"/>
  <c r="I2484" i="19"/>
  <c r="B641" i="55" s="1"/>
  <c r="I2485" i="19"/>
  <c r="B642" i="55" s="1"/>
  <c r="I2486" i="19"/>
  <c r="B643" i="55" s="1"/>
  <c r="I2487" i="19"/>
  <c r="B644" i="55" s="1"/>
  <c r="I2488" i="19"/>
  <c r="B645" i="55" s="1"/>
  <c r="I2489" i="19"/>
  <c r="B646" i="55" s="1"/>
  <c r="E646" i="55" s="1"/>
  <c r="I2490" i="19"/>
  <c r="B647" i="55" s="1"/>
  <c r="I2491" i="19"/>
  <c r="B648" i="55" s="1"/>
  <c r="I2492" i="19"/>
  <c r="B649" i="55" s="1"/>
  <c r="I2493" i="19"/>
  <c r="B650" i="55" s="1"/>
  <c r="I2494" i="19"/>
  <c r="B651" i="55" s="1"/>
  <c r="I2495" i="19"/>
  <c r="B652" i="55" s="1"/>
  <c r="I2496" i="19"/>
  <c r="B653" i="55" s="1"/>
  <c r="I2497" i="19"/>
  <c r="B654" i="55" s="1"/>
  <c r="I2498" i="19"/>
  <c r="B655" i="55" s="1"/>
  <c r="I2499" i="19"/>
  <c r="B656" i="55" s="1"/>
  <c r="I2500" i="19"/>
  <c r="B657" i="55" s="1"/>
  <c r="I2501" i="19"/>
  <c r="B658" i="55" s="1"/>
  <c r="I2502" i="19"/>
  <c r="B659" i="55" s="1"/>
  <c r="I2503" i="19"/>
  <c r="B660" i="55" s="1"/>
  <c r="E660" i="55" s="1"/>
  <c r="I2504" i="19"/>
  <c r="B661" i="55" s="1"/>
  <c r="I2505" i="19"/>
  <c r="B662" i="55" s="1"/>
  <c r="I2506" i="19"/>
  <c r="B663" i="55" s="1"/>
  <c r="I2507" i="19"/>
  <c r="B664" i="55" s="1"/>
  <c r="I2508" i="19"/>
  <c r="B665" i="55" s="1"/>
  <c r="I2509" i="19"/>
  <c r="B666" i="55" s="1"/>
  <c r="I2510" i="19"/>
  <c r="B667" i="55" s="1"/>
  <c r="I2511" i="19"/>
  <c r="B668" i="55" s="1"/>
  <c r="I2512" i="19"/>
  <c r="B669" i="55" s="1"/>
  <c r="I2513" i="19"/>
  <c r="B670" i="55" s="1"/>
  <c r="I2514" i="19"/>
  <c r="B671" i="55" s="1"/>
  <c r="I2515" i="19"/>
  <c r="B672" i="55" s="1"/>
  <c r="I2516" i="19"/>
  <c r="B673" i="55" s="1"/>
  <c r="I2517" i="19"/>
  <c r="B674" i="55" s="1"/>
  <c r="I2518" i="19"/>
  <c r="B675" i="55" s="1"/>
  <c r="I2519" i="19"/>
  <c r="B676" i="55" s="1"/>
  <c r="I2520" i="19"/>
  <c r="B677" i="55" s="1"/>
  <c r="I2521" i="19"/>
  <c r="B678" i="55" s="1"/>
  <c r="I2522" i="19"/>
  <c r="B679" i="55" s="1"/>
  <c r="I2523" i="19"/>
  <c r="B680" i="55" s="1"/>
  <c r="I2524" i="19"/>
  <c r="B681" i="55" s="1"/>
  <c r="I2525" i="19"/>
  <c r="B682" i="55" s="1"/>
  <c r="I2526" i="19"/>
  <c r="B683" i="55" s="1"/>
  <c r="I2527" i="19"/>
  <c r="B684" i="55" s="1"/>
  <c r="I2528" i="19"/>
  <c r="B685" i="55" s="1"/>
  <c r="I2529" i="19"/>
  <c r="B686" i="55" s="1"/>
  <c r="I2530" i="19"/>
  <c r="B687" i="55" s="1"/>
  <c r="I2531" i="19"/>
  <c r="B688" i="55" s="1"/>
  <c r="I2532" i="19"/>
  <c r="B689" i="55" s="1"/>
  <c r="I2533" i="19"/>
  <c r="B690" i="55" s="1"/>
  <c r="I2534" i="19"/>
  <c r="B691" i="55" s="1"/>
  <c r="I2535" i="19"/>
  <c r="B692" i="55" s="1"/>
  <c r="I2536" i="19"/>
  <c r="B693" i="55" s="1"/>
  <c r="I2537" i="19"/>
  <c r="B694" i="55" s="1"/>
  <c r="I2538" i="19"/>
  <c r="B695" i="55" s="1"/>
  <c r="I2539" i="19"/>
  <c r="B696" i="55" s="1"/>
  <c r="I2540" i="19"/>
  <c r="B697" i="55" s="1"/>
  <c r="I2541" i="19"/>
  <c r="B698" i="55" s="1"/>
  <c r="I2542" i="19"/>
  <c r="B699" i="55" s="1"/>
  <c r="I2543" i="19"/>
  <c r="B700" i="55" s="1"/>
  <c r="I2544" i="19"/>
  <c r="B701" i="55" s="1"/>
  <c r="I2545" i="19"/>
  <c r="B702" i="55" s="1"/>
  <c r="I2546" i="19"/>
  <c r="B703" i="55" s="1"/>
  <c r="I2547" i="19"/>
  <c r="B704" i="55" s="1"/>
  <c r="I2548" i="19"/>
  <c r="B705" i="55" s="1"/>
  <c r="I2549" i="19"/>
  <c r="B706" i="55" s="1"/>
  <c r="I2550" i="19"/>
  <c r="B707" i="55" s="1"/>
  <c r="I2551" i="19"/>
  <c r="B708" i="55" s="1"/>
  <c r="I2552" i="19"/>
  <c r="B709" i="55" s="1"/>
  <c r="I2553" i="19"/>
  <c r="B710" i="55" s="1"/>
  <c r="I2554" i="19"/>
  <c r="B711" i="55" s="1"/>
  <c r="I2555" i="19"/>
  <c r="B712" i="55" s="1"/>
  <c r="I2556" i="19"/>
  <c r="B713" i="55" s="1"/>
  <c r="I2557" i="19"/>
  <c r="B714" i="55" s="1"/>
  <c r="I2558" i="19"/>
  <c r="B715" i="55" s="1"/>
  <c r="I2559" i="19"/>
  <c r="B716" i="55" s="1"/>
  <c r="I2560" i="19"/>
  <c r="B717" i="55" s="1"/>
  <c r="I2561" i="19"/>
  <c r="B718" i="55" s="1"/>
  <c r="I2562" i="19"/>
  <c r="B719" i="55" s="1"/>
  <c r="I2563" i="19"/>
  <c r="B720" i="55" s="1"/>
  <c r="I2564" i="19"/>
  <c r="B721" i="55" s="1"/>
  <c r="I2565" i="19"/>
  <c r="B722" i="55" s="1"/>
  <c r="I2566" i="19"/>
  <c r="B723" i="55" s="1"/>
  <c r="I2567" i="19"/>
  <c r="B724" i="55" s="1"/>
  <c r="I2568" i="19"/>
  <c r="B725" i="55" s="1"/>
  <c r="I2569" i="19"/>
  <c r="B726" i="55" s="1"/>
  <c r="I2570" i="19"/>
  <c r="B727" i="55" s="1"/>
  <c r="I2571" i="19"/>
  <c r="B728" i="55" s="1"/>
  <c r="I2572" i="19"/>
  <c r="B729" i="55" s="1"/>
  <c r="I2573" i="19"/>
  <c r="B730" i="55" s="1"/>
  <c r="I2574" i="19"/>
  <c r="B731" i="55" s="1"/>
  <c r="I2575" i="19"/>
  <c r="B732" i="55" s="1"/>
  <c r="I2576" i="19"/>
  <c r="B733" i="55" s="1"/>
  <c r="I2577" i="19"/>
  <c r="B734" i="55" s="1"/>
  <c r="I2578" i="19"/>
  <c r="B735" i="55" s="1"/>
  <c r="I2579" i="19"/>
  <c r="B736" i="55" s="1"/>
  <c r="I2580" i="19"/>
  <c r="B737" i="55" s="1"/>
  <c r="I2581" i="19"/>
  <c r="B738" i="55" s="1"/>
  <c r="I2582" i="19"/>
  <c r="B739" i="55" s="1"/>
  <c r="I2583" i="19"/>
  <c r="B740" i="55" s="1"/>
  <c r="I2584" i="19"/>
  <c r="B741" i="55" s="1"/>
  <c r="I2585" i="19"/>
  <c r="B742" i="55" s="1"/>
  <c r="I2586" i="19"/>
  <c r="B743" i="55" s="1"/>
  <c r="I2587" i="19"/>
  <c r="B744" i="55" s="1"/>
  <c r="I2588" i="19"/>
  <c r="B745" i="55" s="1"/>
  <c r="I2589" i="19"/>
  <c r="B746" i="55" s="1"/>
  <c r="I2590" i="19"/>
  <c r="B747" i="55" s="1"/>
  <c r="I2591" i="19"/>
  <c r="B748" i="55" s="1"/>
  <c r="I2592" i="19"/>
  <c r="B749" i="55" s="1"/>
  <c r="I2593" i="19"/>
  <c r="B750" i="55" s="1"/>
  <c r="I2594" i="19"/>
  <c r="B751" i="55" s="1"/>
  <c r="I2595" i="19"/>
  <c r="B752" i="55" s="1"/>
  <c r="I2596" i="19"/>
  <c r="B753" i="55" s="1"/>
  <c r="I2597" i="19"/>
  <c r="B754" i="55" s="1"/>
  <c r="I2598" i="19"/>
  <c r="B755" i="55" s="1"/>
  <c r="I2599" i="19"/>
  <c r="B756" i="55" s="1"/>
  <c r="I2600" i="19"/>
  <c r="B757" i="55" s="1"/>
  <c r="I2601" i="19"/>
  <c r="B758" i="55" s="1"/>
  <c r="I2602" i="19"/>
  <c r="B759" i="55" s="1"/>
  <c r="I2603" i="19"/>
  <c r="B760" i="55" s="1"/>
  <c r="I2604" i="19"/>
  <c r="B761" i="55" s="1"/>
  <c r="I2605" i="19"/>
  <c r="B762" i="55" s="1"/>
  <c r="I2606" i="19"/>
  <c r="B763" i="55" s="1"/>
  <c r="I2607" i="19"/>
  <c r="B764" i="55" s="1"/>
  <c r="I2608" i="19"/>
  <c r="B765" i="55" s="1"/>
  <c r="I2609" i="19"/>
  <c r="B766" i="55" s="1"/>
  <c r="I2610" i="19"/>
  <c r="B767" i="55" s="1"/>
  <c r="I2611" i="19"/>
  <c r="B768" i="55" s="1"/>
  <c r="I2612" i="19"/>
  <c r="B769" i="55" s="1"/>
  <c r="I2613" i="19"/>
  <c r="B770" i="55" s="1"/>
  <c r="I2614" i="19"/>
  <c r="B771" i="55" s="1"/>
  <c r="I2615" i="19"/>
  <c r="B772" i="55" s="1"/>
  <c r="I2616" i="19"/>
  <c r="B773" i="55" s="1"/>
  <c r="I2617" i="19"/>
  <c r="B774" i="55" s="1"/>
  <c r="I2618" i="19"/>
  <c r="B775" i="55" s="1"/>
  <c r="I2619" i="19"/>
  <c r="B776" i="55" s="1"/>
  <c r="I2620" i="19"/>
  <c r="B777" i="55" s="1"/>
  <c r="I2621" i="19"/>
  <c r="B778" i="55" s="1"/>
  <c r="I2622" i="19"/>
  <c r="B779" i="55" s="1"/>
  <c r="I2623" i="19"/>
  <c r="B780" i="55" s="1"/>
  <c r="I2624" i="19"/>
  <c r="B781" i="55" s="1"/>
  <c r="E781" i="55" s="1"/>
  <c r="I2625" i="19"/>
  <c r="B782" i="55" s="1"/>
  <c r="I2259" i="19"/>
  <c r="B416" i="55" s="1"/>
  <c r="C1746" i="21"/>
  <c r="C1747" i="21"/>
  <c r="C1748" i="21"/>
  <c r="C1749" i="21"/>
  <c r="C1750" i="21"/>
  <c r="E1750" i="21" s="1"/>
  <c r="G1750" i="21" s="1"/>
  <c r="C1751" i="21"/>
  <c r="C1752" i="21"/>
  <c r="C1753" i="21"/>
  <c r="C1754" i="21"/>
  <c r="C1755" i="21"/>
  <c r="C1756" i="21"/>
  <c r="C1757" i="21"/>
  <c r="C1758" i="21"/>
  <c r="C1759" i="21"/>
  <c r="C1760" i="21"/>
  <c r="C1761" i="21"/>
  <c r="C1762" i="21"/>
  <c r="C1763" i="21"/>
  <c r="C1764" i="21"/>
  <c r="C1765" i="21"/>
  <c r="C1766" i="21"/>
  <c r="C1767" i="21"/>
  <c r="C1768" i="21"/>
  <c r="C1769" i="21"/>
  <c r="C1770" i="21"/>
  <c r="C1771" i="21"/>
  <c r="C1772" i="21"/>
  <c r="C1773" i="21"/>
  <c r="C1774" i="21"/>
  <c r="C1775" i="21"/>
  <c r="C1776" i="21"/>
  <c r="C1777" i="21"/>
  <c r="C1778" i="21"/>
  <c r="C1779" i="21"/>
  <c r="C1780" i="21"/>
  <c r="C1781" i="21"/>
  <c r="C1782" i="21"/>
  <c r="C1783" i="21"/>
  <c r="C1784" i="21"/>
  <c r="C1785" i="21"/>
  <c r="C1786" i="21"/>
  <c r="C1787" i="21"/>
  <c r="C1788" i="21"/>
  <c r="C1789" i="21"/>
  <c r="C1790" i="21"/>
  <c r="C1791" i="21"/>
  <c r="C1792" i="21"/>
  <c r="C1793" i="21"/>
  <c r="C1794" i="21"/>
  <c r="C1795" i="21"/>
  <c r="C1796" i="21"/>
  <c r="C1797" i="21"/>
  <c r="C1798" i="21"/>
  <c r="C1799" i="21"/>
  <c r="C1800" i="21"/>
  <c r="C1801" i="21"/>
  <c r="C1802" i="21"/>
  <c r="C1803" i="21"/>
  <c r="C1804" i="21"/>
  <c r="C1805" i="21"/>
  <c r="C1806" i="21"/>
  <c r="C1807" i="21"/>
  <c r="C1808" i="21"/>
  <c r="C1809" i="21"/>
  <c r="C1810" i="21"/>
  <c r="C1811" i="21"/>
  <c r="C1812" i="21"/>
  <c r="C1813" i="21"/>
  <c r="C1814" i="21"/>
  <c r="C1815" i="21"/>
  <c r="C1816" i="21"/>
  <c r="C1817" i="21"/>
  <c r="C1818" i="21"/>
  <c r="C1819" i="21"/>
  <c r="C1820" i="21"/>
  <c r="C1821" i="21"/>
  <c r="C1822" i="21"/>
  <c r="C1823" i="21"/>
  <c r="C1824" i="21"/>
  <c r="C1825" i="21"/>
  <c r="C1826" i="21"/>
  <c r="C1827" i="21"/>
  <c r="C1828" i="21"/>
  <c r="C1829" i="21"/>
  <c r="C1830" i="21"/>
  <c r="C1831" i="21"/>
  <c r="C1832" i="21"/>
  <c r="C1833" i="21"/>
  <c r="C1834" i="21"/>
  <c r="C1835" i="21"/>
  <c r="C1836" i="21"/>
  <c r="C1837" i="21"/>
  <c r="C1838" i="21"/>
  <c r="C1839" i="21"/>
  <c r="C1840" i="21"/>
  <c r="C1841" i="21"/>
  <c r="C1842" i="21"/>
  <c r="C1843" i="21"/>
  <c r="C1844" i="21"/>
  <c r="C1845" i="21"/>
  <c r="C1846" i="21"/>
  <c r="C1847" i="21"/>
  <c r="C1848" i="21"/>
  <c r="C1849" i="21"/>
  <c r="C1850" i="21"/>
  <c r="C1851" i="21"/>
  <c r="C1852" i="21"/>
  <c r="C1853" i="21"/>
  <c r="C1854" i="21"/>
  <c r="C1855" i="21"/>
  <c r="C1856" i="21"/>
  <c r="C1857" i="21"/>
  <c r="C1858" i="21"/>
  <c r="C1859" i="21"/>
  <c r="C1860" i="21"/>
  <c r="C1861" i="21"/>
  <c r="C1862" i="21"/>
  <c r="C1863" i="21"/>
  <c r="C1864" i="21"/>
  <c r="C1865" i="21"/>
  <c r="C1866" i="21"/>
  <c r="C1867" i="21"/>
  <c r="C1868" i="21"/>
  <c r="C1869" i="21"/>
  <c r="C1870" i="21"/>
  <c r="C1871" i="21"/>
  <c r="C1872" i="21"/>
  <c r="C1873" i="21"/>
  <c r="C1874" i="21"/>
  <c r="C1875" i="21"/>
  <c r="C1876" i="21"/>
  <c r="C1877" i="21"/>
  <c r="C1878" i="21"/>
  <c r="C1879" i="21"/>
  <c r="C1880" i="21"/>
  <c r="C1881" i="21"/>
  <c r="C1882" i="21"/>
  <c r="C1883" i="21"/>
  <c r="C1884" i="21"/>
  <c r="C1885" i="21"/>
  <c r="C1886" i="21"/>
  <c r="C1887" i="21"/>
  <c r="E1887" i="21" s="1"/>
  <c r="C1888" i="21"/>
  <c r="C1889" i="21"/>
  <c r="C1890" i="21"/>
  <c r="C1891" i="21"/>
  <c r="C1892" i="21"/>
  <c r="C1893" i="21"/>
  <c r="C1894" i="21"/>
  <c r="C1895" i="21"/>
  <c r="C1896" i="21"/>
  <c r="C1897" i="21"/>
  <c r="C1898" i="21"/>
  <c r="C1899" i="21"/>
  <c r="C1745" i="21"/>
  <c r="H1337" i="19"/>
  <c r="G1337" i="19"/>
  <c r="F1337" i="19"/>
  <c r="I1339" i="19"/>
  <c r="B2153" i="21" s="1"/>
  <c r="I1340" i="19"/>
  <c r="B2154" i="21" s="1"/>
  <c r="I1341" i="19"/>
  <c r="B2155" i="21" s="1"/>
  <c r="I1342" i="19"/>
  <c r="B2156" i="21" s="1"/>
  <c r="I1344" i="19"/>
  <c r="B2158" i="21" s="1"/>
  <c r="I1345" i="19"/>
  <c r="B2159" i="21" s="1"/>
  <c r="I1346" i="19"/>
  <c r="B2160" i="21" s="1"/>
  <c r="I1347" i="19"/>
  <c r="B2161" i="21" s="1"/>
  <c r="I1348" i="19"/>
  <c r="B2162" i="21" s="1"/>
  <c r="I1349" i="19"/>
  <c r="B2163" i="21" s="1"/>
  <c r="I1350" i="19"/>
  <c r="B2164" i="21" s="1"/>
  <c r="I1351" i="19"/>
  <c r="B2165" i="21" s="1"/>
  <c r="I1352" i="19"/>
  <c r="B2166" i="21" s="1"/>
  <c r="I1353" i="19"/>
  <c r="B2167" i="21" s="1"/>
  <c r="I1354" i="19"/>
  <c r="B2168" i="21" s="1"/>
  <c r="I1355" i="19"/>
  <c r="B2169" i="21" s="1"/>
  <c r="I1356" i="19"/>
  <c r="B2170" i="21" s="1"/>
  <c r="I1357" i="19"/>
  <c r="B2171" i="21" s="1"/>
  <c r="I1358" i="19"/>
  <c r="B2172" i="21" s="1"/>
  <c r="I1359" i="19"/>
  <c r="B2173" i="21" s="1"/>
  <c r="I1360" i="19"/>
  <c r="B2174" i="21" s="1"/>
  <c r="I1361" i="19"/>
  <c r="B2175" i="21" s="1"/>
  <c r="I1362" i="19"/>
  <c r="B2176" i="21" s="1"/>
  <c r="I1363" i="19"/>
  <c r="B2177" i="21" s="1"/>
  <c r="I1364" i="19"/>
  <c r="B2178" i="21" s="1"/>
  <c r="I1365" i="19"/>
  <c r="B2179" i="21" s="1"/>
  <c r="I1366" i="19"/>
  <c r="B2180" i="21" s="1"/>
  <c r="I1367" i="19"/>
  <c r="B2181" i="21" s="1"/>
  <c r="I1368" i="19"/>
  <c r="B2182" i="21" s="1"/>
  <c r="I1369" i="19"/>
  <c r="B2183" i="21" s="1"/>
  <c r="I1370" i="19"/>
  <c r="B2184" i="21" s="1"/>
  <c r="I1371" i="19"/>
  <c r="B2185" i="21" s="1"/>
  <c r="I1372" i="19"/>
  <c r="B2186" i="21" s="1"/>
  <c r="I1373" i="19"/>
  <c r="B2187" i="21" s="1"/>
  <c r="I1374" i="19"/>
  <c r="B2188" i="21" s="1"/>
  <c r="I1375" i="19"/>
  <c r="B2189" i="21" s="1"/>
  <c r="I1376" i="19"/>
  <c r="B2190" i="21" s="1"/>
  <c r="I1377" i="19"/>
  <c r="B2191" i="21" s="1"/>
  <c r="I1378" i="19"/>
  <c r="B2192" i="21" s="1"/>
  <c r="I1379" i="19"/>
  <c r="B2193" i="21" s="1"/>
  <c r="I1380" i="19"/>
  <c r="B2194" i="21" s="1"/>
  <c r="I1381" i="19"/>
  <c r="B2195" i="21" s="1"/>
  <c r="I1382" i="19"/>
  <c r="B2196" i="21" s="1"/>
  <c r="I1383" i="19"/>
  <c r="B2197" i="21" s="1"/>
  <c r="I1384" i="19"/>
  <c r="B2198" i="21" s="1"/>
  <c r="I1385" i="19"/>
  <c r="B2199" i="21" s="1"/>
  <c r="I1386" i="19"/>
  <c r="B2200" i="21" s="1"/>
  <c r="I1387" i="19"/>
  <c r="B2201" i="21" s="1"/>
  <c r="I1388" i="19"/>
  <c r="B2202" i="21" s="1"/>
  <c r="I1389" i="19"/>
  <c r="B2203" i="21" s="1"/>
  <c r="I1390" i="19"/>
  <c r="B2204" i="21" s="1"/>
  <c r="I1391" i="19"/>
  <c r="B2205" i="21" s="1"/>
  <c r="I1392" i="19"/>
  <c r="B2206" i="21" s="1"/>
  <c r="I1393" i="19"/>
  <c r="B2207" i="21" s="1"/>
  <c r="I1394" i="19"/>
  <c r="B2208" i="21" s="1"/>
  <c r="I1395" i="19"/>
  <c r="B2209" i="21" s="1"/>
  <c r="I1396" i="19"/>
  <c r="B2210" i="21" s="1"/>
  <c r="I1397" i="19"/>
  <c r="B2211" i="21" s="1"/>
  <c r="I1398" i="19"/>
  <c r="B2212" i="21" s="1"/>
  <c r="I1399" i="19"/>
  <c r="B2213" i="21" s="1"/>
  <c r="I1400" i="19"/>
  <c r="B2214" i="21" s="1"/>
  <c r="I1401" i="19"/>
  <c r="B2215" i="21" s="1"/>
  <c r="I1402" i="19"/>
  <c r="B2216" i="21" s="1"/>
  <c r="I1403" i="19"/>
  <c r="B2217" i="21" s="1"/>
  <c r="I1404" i="19"/>
  <c r="B2218" i="21" s="1"/>
  <c r="I1405" i="19"/>
  <c r="B2219" i="21" s="1"/>
  <c r="I1406" i="19"/>
  <c r="B2220" i="21" s="1"/>
  <c r="I1407" i="19"/>
  <c r="B2221" i="21" s="1"/>
  <c r="I1408" i="19"/>
  <c r="B2222" i="21" s="1"/>
  <c r="I1409" i="19"/>
  <c r="B2223" i="21" s="1"/>
  <c r="I1410" i="19"/>
  <c r="B2224" i="21" s="1"/>
  <c r="I1411" i="19"/>
  <c r="B2225" i="21" s="1"/>
  <c r="I1412" i="19"/>
  <c r="B2226" i="21" s="1"/>
  <c r="I1413" i="19"/>
  <c r="B2227" i="21" s="1"/>
  <c r="I1414" i="19"/>
  <c r="B2228" i="21" s="1"/>
  <c r="I1415" i="19"/>
  <c r="B2229" i="21" s="1"/>
  <c r="I1416" i="19"/>
  <c r="B2230" i="21" s="1"/>
  <c r="I1417" i="19"/>
  <c r="B2231" i="21" s="1"/>
  <c r="I1418" i="19"/>
  <c r="B2232" i="21" s="1"/>
  <c r="I1419" i="19"/>
  <c r="B2233" i="21" s="1"/>
  <c r="I1420" i="19"/>
  <c r="B2234" i="21" s="1"/>
  <c r="I1421" i="19"/>
  <c r="B2235" i="21" s="1"/>
  <c r="I1422" i="19"/>
  <c r="B2236" i="21" s="1"/>
  <c r="I1423" i="19"/>
  <c r="B2237" i="21" s="1"/>
  <c r="I1424" i="19"/>
  <c r="B2238" i="21" s="1"/>
  <c r="I1425" i="19"/>
  <c r="B2239" i="21" s="1"/>
  <c r="I1426" i="19"/>
  <c r="B2240" i="21" s="1"/>
  <c r="I1427" i="19"/>
  <c r="B2241" i="21" s="1"/>
  <c r="I1428" i="19"/>
  <c r="B2242" i="21" s="1"/>
  <c r="I1429" i="19"/>
  <c r="B2243" i="21" s="1"/>
  <c r="I1430" i="19"/>
  <c r="B2244" i="21" s="1"/>
  <c r="I1431" i="19"/>
  <c r="B2245" i="21" s="1"/>
  <c r="I1432" i="19"/>
  <c r="B2246" i="21" s="1"/>
  <c r="I1433" i="19"/>
  <c r="B2247" i="21" s="1"/>
  <c r="I1434" i="19"/>
  <c r="B2248" i="21" s="1"/>
  <c r="I1435" i="19"/>
  <c r="B2249" i="21" s="1"/>
  <c r="I1436" i="19"/>
  <c r="B2250" i="21" s="1"/>
  <c r="I1437" i="19"/>
  <c r="B2251" i="21" s="1"/>
  <c r="I1438" i="19"/>
  <c r="B2252" i="21" s="1"/>
  <c r="I1439" i="19"/>
  <c r="B2253" i="21" s="1"/>
  <c r="I1440" i="19"/>
  <c r="B2254" i="21" s="1"/>
  <c r="I1441" i="19"/>
  <c r="B2255" i="21" s="1"/>
  <c r="I1442" i="19"/>
  <c r="B2256" i="21" s="1"/>
  <c r="I1443" i="19"/>
  <c r="B2257" i="21" s="1"/>
  <c r="I1444" i="19"/>
  <c r="B2258" i="21" s="1"/>
  <c r="I1445" i="19"/>
  <c r="B2259" i="21" s="1"/>
  <c r="I1446" i="19"/>
  <c r="B2260" i="21" s="1"/>
  <c r="I1447" i="19"/>
  <c r="B2261" i="21" s="1"/>
  <c r="I1448" i="19"/>
  <c r="B2262" i="21" s="1"/>
  <c r="I1449" i="19"/>
  <c r="B2263" i="21" s="1"/>
  <c r="I1450" i="19"/>
  <c r="B2264" i="21" s="1"/>
  <c r="I1451" i="19"/>
  <c r="B2265" i="21" s="1"/>
  <c r="E2265" i="21" s="1"/>
  <c r="G2265" i="21" s="1"/>
  <c r="I1452" i="19"/>
  <c r="B2266" i="21" s="1"/>
  <c r="I1453" i="19"/>
  <c r="B2267" i="21" s="1"/>
  <c r="I1454" i="19"/>
  <c r="B2268" i="21" s="1"/>
  <c r="I1455" i="19"/>
  <c r="B2269" i="21" s="1"/>
  <c r="I1456" i="19"/>
  <c r="B2270" i="21" s="1"/>
  <c r="I1457" i="19"/>
  <c r="B2271" i="21" s="1"/>
  <c r="I1458" i="19"/>
  <c r="B2272" i="21" s="1"/>
  <c r="I1459" i="19"/>
  <c r="B2273" i="21" s="1"/>
  <c r="I1460" i="19"/>
  <c r="B2274" i="21" s="1"/>
  <c r="I1461" i="19"/>
  <c r="B2275" i="21" s="1"/>
  <c r="I1462" i="19"/>
  <c r="B2276" i="21" s="1"/>
  <c r="I1463" i="19"/>
  <c r="B2277" i="21" s="1"/>
  <c r="I1464" i="19"/>
  <c r="B2278" i="21" s="1"/>
  <c r="I1465" i="19"/>
  <c r="B2279" i="21" s="1"/>
  <c r="I1466" i="19"/>
  <c r="B2280" i="21" s="1"/>
  <c r="I1467" i="19"/>
  <c r="B2281" i="21" s="1"/>
  <c r="I1468" i="19"/>
  <c r="B2282" i="21" s="1"/>
  <c r="I1469" i="19"/>
  <c r="B2283" i="21" s="1"/>
  <c r="I1470" i="19"/>
  <c r="B2284" i="21" s="1"/>
  <c r="I1471" i="19"/>
  <c r="B2285" i="21" s="1"/>
  <c r="I1472" i="19"/>
  <c r="B2286" i="21" s="1"/>
  <c r="I1473" i="19"/>
  <c r="B2287" i="21" s="1"/>
  <c r="I1474" i="19"/>
  <c r="B2288" i="21"/>
  <c r="I1475" i="19"/>
  <c r="B2289" i="21" s="1"/>
  <c r="I1476" i="19"/>
  <c r="B2290" i="21" s="1"/>
  <c r="I1477" i="19"/>
  <c r="B2291" i="21" s="1"/>
  <c r="I1478" i="19"/>
  <c r="B2292" i="21" s="1"/>
  <c r="I1479" i="19"/>
  <c r="B2293" i="21" s="1"/>
  <c r="I1480" i="19"/>
  <c r="B2294" i="21" s="1"/>
  <c r="I1481" i="19"/>
  <c r="B2295" i="21" s="1"/>
  <c r="I1482" i="19"/>
  <c r="B2296" i="21" s="1"/>
  <c r="I1483" i="19"/>
  <c r="B2297" i="21" s="1"/>
  <c r="I1484" i="19"/>
  <c r="B2298" i="21" s="1"/>
  <c r="I1485" i="19"/>
  <c r="B2299" i="21" s="1"/>
  <c r="I1486" i="19"/>
  <c r="B2300" i="21" s="1"/>
  <c r="I1487" i="19"/>
  <c r="B2301" i="21" s="1"/>
  <c r="I1488" i="19"/>
  <c r="B2302" i="21" s="1"/>
  <c r="I1489" i="19"/>
  <c r="B2303" i="21" s="1"/>
  <c r="I1490" i="19"/>
  <c r="B2304" i="21" s="1"/>
  <c r="I1491" i="19"/>
  <c r="B2305" i="21" s="1"/>
  <c r="I1492" i="19"/>
  <c r="B2306" i="21" s="1"/>
  <c r="I1493" i="19"/>
  <c r="B2307" i="21" s="1"/>
  <c r="I1494" i="19"/>
  <c r="B2308" i="21" s="1"/>
  <c r="I1495" i="19"/>
  <c r="B2309" i="21" s="1"/>
  <c r="I1496" i="19"/>
  <c r="B2310" i="21" s="1"/>
  <c r="I1497" i="19"/>
  <c r="B2311" i="21" s="1"/>
  <c r="I1498" i="19"/>
  <c r="B2312" i="21" s="1"/>
  <c r="I1499" i="19"/>
  <c r="B2313" i="21" s="1"/>
  <c r="I1500" i="19"/>
  <c r="B2314" i="21" s="1"/>
  <c r="I1501" i="19"/>
  <c r="B2315" i="21" s="1"/>
  <c r="I1502" i="19"/>
  <c r="B2316" i="21" s="1"/>
  <c r="I1503" i="19"/>
  <c r="B2317" i="21" s="1"/>
  <c r="I1504" i="19"/>
  <c r="B2318" i="21" s="1"/>
  <c r="I1505" i="19"/>
  <c r="B2319" i="21" s="1"/>
  <c r="I1506" i="19"/>
  <c r="B2320" i="21" s="1"/>
  <c r="I1507" i="19"/>
  <c r="B2321" i="21" s="1"/>
  <c r="I1508" i="19"/>
  <c r="B2322" i="21" s="1"/>
  <c r="E2322" i="21" s="1"/>
  <c r="I1509" i="19"/>
  <c r="B2323" i="21" s="1"/>
  <c r="I1510" i="19"/>
  <c r="B2324" i="21" s="1"/>
  <c r="I1511" i="19"/>
  <c r="B2325" i="21" s="1"/>
  <c r="I1512" i="19"/>
  <c r="B2326" i="21" s="1"/>
  <c r="I1513" i="19"/>
  <c r="B2327" i="21" s="1"/>
  <c r="I1514" i="19"/>
  <c r="B2328" i="21" s="1"/>
  <c r="I1515" i="19"/>
  <c r="B2329" i="21" s="1"/>
  <c r="I1516" i="19"/>
  <c r="B2330" i="21" s="1"/>
  <c r="I1517" i="19"/>
  <c r="B2331" i="21" s="1"/>
  <c r="I1518" i="19"/>
  <c r="B2332" i="21" s="1"/>
  <c r="I1519" i="19"/>
  <c r="B2333" i="21" s="1"/>
  <c r="I1520" i="19"/>
  <c r="B2334" i="21" s="1"/>
  <c r="I1521" i="19"/>
  <c r="B2335" i="21" s="1"/>
  <c r="I1522" i="19"/>
  <c r="B2336" i="21" s="1"/>
  <c r="I1523" i="19"/>
  <c r="B2337" i="21" s="1"/>
  <c r="I1524" i="19"/>
  <c r="B2338" i="21" s="1"/>
  <c r="I1525" i="19"/>
  <c r="B2339" i="21" s="1"/>
  <c r="I1526" i="19"/>
  <c r="B2340" i="21" s="1"/>
  <c r="I1527" i="19"/>
  <c r="B2341" i="21" s="1"/>
  <c r="I1528" i="19"/>
  <c r="B2342" i="21" s="1"/>
  <c r="I1529" i="19"/>
  <c r="B2343" i="21" s="1"/>
  <c r="I1530" i="19"/>
  <c r="B2344" i="21" s="1"/>
  <c r="I1531" i="19"/>
  <c r="B2345" i="21" s="1"/>
  <c r="I1532" i="19"/>
  <c r="B2346" i="21" s="1"/>
  <c r="I1533" i="19"/>
  <c r="B2347" i="21" s="1"/>
  <c r="I1534" i="19"/>
  <c r="B2348" i="21" s="1"/>
  <c r="I1535" i="19"/>
  <c r="B2349" i="21" s="1"/>
  <c r="I1536" i="19"/>
  <c r="B2350" i="21" s="1"/>
  <c r="I1537" i="19"/>
  <c r="B2351" i="21" s="1"/>
  <c r="I1538" i="19"/>
  <c r="B2352" i="21" s="1"/>
  <c r="I1539" i="19"/>
  <c r="B2353" i="21" s="1"/>
  <c r="I1540" i="19"/>
  <c r="B2354" i="21" s="1"/>
  <c r="I1541" i="19"/>
  <c r="B2355" i="21" s="1"/>
  <c r="I1542" i="19"/>
  <c r="B2356" i="21" s="1"/>
  <c r="I1543" i="19"/>
  <c r="B2357" i="21" s="1"/>
  <c r="I1544" i="19"/>
  <c r="B2358" i="21" s="1"/>
  <c r="I1545" i="19"/>
  <c r="B2359" i="21" s="1"/>
  <c r="I1546" i="19"/>
  <c r="B2360" i="21" s="1"/>
  <c r="I1547" i="19"/>
  <c r="B2361" i="21" s="1"/>
  <c r="I1548" i="19"/>
  <c r="B2362" i="21" s="1"/>
  <c r="I1549" i="19"/>
  <c r="B2363" i="21" s="1"/>
  <c r="I1550" i="19"/>
  <c r="B2364" i="21"/>
  <c r="I1551" i="19"/>
  <c r="B2365" i="21" s="1"/>
  <c r="I1552" i="19"/>
  <c r="B2366" i="21" s="1"/>
  <c r="I1553" i="19"/>
  <c r="B2367" i="21" s="1"/>
  <c r="I1554" i="19"/>
  <c r="B2368" i="21" s="1"/>
  <c r="I1555" i="19"/>
  <c r="B2369" i="21" s="1"/>
  <c r="I1556" i="19"/>
  <c r="B2370" i="21" s="1"/>
  <c r="I1557" i="19"/>
  <c r="B2371" i="21" s="1"/>
  <c r="I1558" i="19"/>
  <c r="B2372" i="21" s="1"/>
  <c r="I1559" i="19"/>
  <c r="B2373" i="21" s="1"/>
  <c r="I1560" i="19"/>
  <c r="B2374" i="21"/>
  <c r="I1561" i="19"/>
  <c r="B2375" i="21" s="1"/>
  <c r="I1562" i="19"/>
  <c r="B2376" i="21" s="1"/>
  <c r="I1563" i="19"/>
  <c r="B2377" i="21" s="1"/>
  <c r="I1564" i="19"/>
  <c r="B2378" i="21" s="1"/>
  <c r="I1565" i="19"/>
  <c r="B2379" i="21" s="1"/>
  <c r="I1566" i="19"/>
  <c r="B2380" i="21" s="1"/>
  <c r="I1567" i="19"/>
  <c r="B2381" i="21" s="1"/>
  <c r="I1568" i="19"/>
  <c r="B2382" i="21" s="1"/>
  <c r="I1569" i="19"/>
  <c r="B2383" i="21" s="1"/>
  <c r="I1570" i="19"/>
  <c r="B2384" i="21" s="1"/>
  <c r="I1571" i="19"/>
  <c r="B2385" i="21" s="1"/>
  <c r="I1572" i="19"/>
  <c r="B2386" i="21" s="1"/>
  <c r="I1573" i="19"/>
  <c r="B2387" i="21" s="1"/>
  <c r="I1575" i="19"/>
  <c r="B2389" i="21" s="1"/>
  <c r="I1576" i="19"/>
  <c r="B2390" i="21" s="1"/>
  <c r="I1577" i="19"/>
  <c r="B2391" i="21" s="1"/>
  <c r="I1578" i="19"/>
  <c r="B2392" i="21" s="1"/>
  <c r="I1579" i="19"/>
  <c r="B2393" i="21" s="1"/>
  <c r="I1580" i="19"/>
  <c r="B2394" i="21" s="1"/>
  <c r="I1581" i="19"/>
  <c r="B2395" i="21" s="1"/>
  <c r="I1582" i="19"/>
  <c r="B2396" i="21" s="1"/>
  <c r="I1583" i="19"/>
  <c r="B2397" i="21" s="1"/>
  <c r="I1584" i="19"/>
  <c r="B2398" i="21" s="1"/>
  <c r="I1585" i="19"/>
  <c r="B2399" i="21" s="1"/>
  <c r="I1586" i="19"/>
  <c r="B2400" i="21" s="1"/>
  <c r="I1587" i="19"/>
  <c r="B2401" i="21" s="1"/>
  <c r="I1588" i="19"/>
  <c r="B2402" i="21" s="1"/>
  <c r="I1589" i="19"/>
  <c r="B2403" i="21" s="1"/>
  <c r="I1590" i="19"/>
  <c r="B2404" i="21" s="1"/>
  <c r="I1591" i="19"/>
  <c r="B2405" i="21" s="1"/>
  <c r="I1592" i="19"/>
  <c r="B2406" i="21" s="1"/>
  <c r="I1593" i="19"/>
  <c r="B2407" i="21" s="1"/>
  <c r="I1594" i="19"/>
  <c r="B2408" i="21" s="1"/>
  <c r="I1595" i="19"/>
  <c r="B2409" i="21" s="1"/>
  <c r="I1596" i="19"/>
  <c r="B2410" i="21" s="1"/>
  <c r="I1597" i="19"/>
  <c r="B2411" i="21" s="1"/>
  <c r="I1598" i="19"/>
  <c r="B2412" i="21" s="1"/>
  <c r="I1599" i="19"/>
  <c r="B2413" i="21" s="1"/>
  <c r="I1600" i="19"/>
  <c r="B2414" i="21" s="1"/>
  <c r="I1601" i="19"/>
  <c r="B2415" i="21" s="1"/>
  <c r="I1602" i="19"/>
  <c r="B2416" i="21" s="1"/>
  <c r="I1603" i="19"/>
  <c r="B2417" i="21" s="1"/>
  <c r="I1604" i="19"/>
  <c r="B2418" i="21" s="1"/>
  <c r="I1605" i="19"/>
  <c r="B2419" i="21" s="1"/>
  <c r="I1606" i="19"/>
  <c r="B2420" i="21" s="1"/>
  <c r="I1607" i="19"/>
  <c r="B2421" i="21" s="1"/>
  <c r="I1608" i="19"/>
  <c r="B2422" i="21" s="1"/>
  <c r="I1609" i="19"/>
  <c r="B2423" i="21" s="1"/>
  <c r="I1610" i="19"/>
  <c r="B2424" i="21" s="1"/>
  <c r="I1611" i="19"/>
  <c r="B2425" i="21" s="1"/>
  <c r="I1612" i="19"/>
  <c r="B2426" i="21" s="1"/>
  <c r="I1613" i="19"/>
  <c r="B2427" i="21" s="1"/>
  <c r="I1614" i="19"/>
  <c r="B2428" i="21" s="1"/>
  <c r="I1615" i="19"/>
  <c r="B2429" i="21" s="1"/>
  <c r="I1616" i="19"/>
  <c r="B2430" i="21" s="1"/>
  <c r="I1617" i="19"/>
  <c r="B2431" i="21" s="1"/>
  <c r="I1618" i="19"/>
  <c r="B2432" i="21" s="1"/>
  <c r="I1619" i="19"/>
  <c r="B2433" i="21" s="1"/>
  <c r="I1620" i="19"/>
  <c r="B2434" i="21" s="1"/>
  <c r="I1621" i="19"/>
  <c r="B2435" i="21" s="1"/>
  <c r="I1622" i="19"/>
  <c r="B2436" i="21" s="1"/>
  <c r="I1623" i="19"/>
  <c r="B2437" i="21" s="1"/>
  <c r="I1624" i="19"/>
  <c r="B2438" i="21" s="1"/>
  <c r="I1625" i="19"/>
  <c r="B2439" i="21"/>
  <c r="I1626" i="19"/>
  <c r="B2440" i="21" s="1"/>
  <c r="I1627" i="19"/>
  <c r="B2441" i="21" s="1"/>
  <c r="I1628" i="19"/>
  <c r="B2442" i="21" s="1"/>
  <c r="I1629" i="19"/>
  <c r="B2443" i="21" s="1"/>
  <c r="I1630" i="19"/>
  <c r="B2444" i="21" s="1"/>
  <c r="I1631" i="19"/>
  <c r="B2445" i="21" s="1"/>
  <c r="I1632" i="19"/>
  <c r="B2446" i="21" s="1"/>
  <c r="I1633" i="19"/>
  <c r="B2447" i="21" s="1"/>
  <c r="I1634" i="19"/>
  <c r="B2448" i="21" s="1"/>
  <c r="I1635" i="19"/>
  <c r="B2449" i="21" s="1"/>
  <c r="I1636" i="19"/>
  <c r="B2450" i="21" s="1"/>
  <c r="I1637" i="19"/>
  <c r="B2451" i="21" s="1"/>
  <c r="I1638" i="19"/>
  <c r="B2452" i="21" s="1"/>
  <c r="I1639" i="19"/>
  <c r="B2453" i="21" s="1"/>
  <c r="I1640" i="19"/>
  <c r="B2454" i="21" s="1"/>
  <c r="I1641" i="19"/>
  <c r="B2455" i="21" s="1"/>
  <c r="I1642" i="19"/>
  <c r="B2456" i="21" s="1"/>
  <c r="I1643" i="19"/>
  <c r="B2457" i="21" s="1"/>
  <c r="I1644" i="19"/>
  <c r="B2458" i="21" s="1"/>
  <c r="I1645" i="19"/>
  <c r="B2459" i="21" s="1"/>
  <c r="I1646" i="19"/>
  <c r="B2460" i="21" s="1"/>
  <c r="I1647" i="19"/>
  <c r="B2461" i="21" s="1"/>
  <c r="I1648" i="19"/>
  <c r="B2462" i="21" s="1"/>
  <c r="I1649" i="19"/>
  <c r="B2463" i="21" s="1"/>
  <c r="I1650" i="19"/>
  <c r="B2464" i="21" s="1"/>
  <c r="I1651" i="19"/>
  <c r="B2465" i="21" s="1"/>
  <c r="I1652" i="19"/>
  <c r="B2466" i="21" s="1"/>
  <c r="I1653" i="19"/>
  <c r="B2467" i="21" s="1"/>
  <c r="I1654" i="19"/>
  <c r="B2468" i="21" s="1"/>
  <c r="I1655" i="19"/>
  <c r="B2469" i="21" s="1"/>
  <c r="I1656" i="19"/>
  <c r="B2470" i="21" s="1"/>
  <c r="I1657" i="19"/>
  <c r="B2471" i="21" s="1"/>
  <c r="I1658" i="19"/>
  <c r="B2472" i="21" s="1"/>
  <c r="I1659" i="19"/>
  <c r="B2473" i="21" s="1"/>
  <c r="I1660" i="19"/>
  <c r="B2474" i="21" s="1"/>
  <c r="I1661" i="19"/>
  <c r="B2475" i="21" s="1"/>
  <c r="I1662" i="19"/>
  <c r="B2476" i="21" s="1"/>
  <c r="I1663" i="19"/>
  <c r="B2477" i="21" s="1"/>
  <c r="I1664" i="19"/>
  <c r="B2478" i="21" s="1"/>
  <c r="I1665" i="19"/>
  <c r="B2479" i="21" s="1"/>
  <c r="I1666" i="19"/>
  <c r="B2480" i="21"/>
  <c r="I1667" i="19"/>
  <c r="B2481" i="21" s="1"/>
  <c r="I1668" i="19"/>
  <c r="B2482" i="21" s="1"/>
  <c r="I1669" i="19"/>
  <c r="B2483" i="21" s="1"/>
  <c r="I1670" i="19"/>
  <c r="B2484" i="21" s="1"/>
  <c r="I1671" i="19"/>
  <c r="B2485" i="21" s="1"/>
  <c r="I1672" i="19"/>
  <c r="B2486" i="21" s="1"/>
  <c r="I1673" i="19"/>
  <c r="B2487" i="21" s="1"/>
  <c r="I1674" i="19"/>
  <c r="B2488" i="21" s="1"/>
  <c r="I1675" i="19"/>
  <c r="B2489" i="21" s="1"/>
  <c r="I1676" i="19"/>
  <c r="B2490" i="21" s="1"/>
  <c r="I1677" i="19"/>
  <c r="B2491" i="21" s="1"/>
  <c r="I1678" i="19"/>
  <c r="B2492" i="21" s="1"/>
  <c r="I1679" i="19"/>
  <c r="B2493" i="21" s="1"/>
  <c r="I1680" i="19"/>
  <c r="B2494" i="21" s="1"/>
  <c r="I1681" i="19"/>
  <c r="B2495" i="21" s="1"/>
  <c r="I1682" i="19"/>
  <c r="B2496" i="21" s="1"/>
  <c r="I1683" i="19"/>
  <c r="B2497" i="21" s="1"/>
  <c r="I1684" i="19"/>
  <c r="B2498" i="21" s="1"/>
  <c r="I1685" i="19"/>
  <c r="B2499" i="21" s="1"/>
  <c r="I1686" i="19"/>
  <c r="B2500" i="21" s="1"/>
  <c r="I1687" i="19"/>
  <c r="B2501" i="21" s="1"/>
  <c r="I1688" i="19"/>
  <c r="B2502" i="21" s="1"/>
  <c r="I1689" i="19"/>
  <c r="B2503" i="21" s="1"/>
  <c r="I1690" i="19"/>
  <c r="B2504" i="21" s="1"/>
  <c r="I1691" i="19"/>
  <c r="B2505" i="21" s="1"/>
  <c r="E2505" i="21" s="1"/>
  <c r="I1692" i="19"/>
  <c r="B2506" i="21" s="1"/>
  <c r="I1693" i="19"/>
  <c r="B2507" i="21" s="1"/>
  <c r="I1694" i="19"/>
  <c r="B2508" i="21" s="1"/>
  <c r="I1695" i="19"/>
  <c r="B2509" i="21" s="1"/>
  <c r="I1696" i="19"/>
  <c r="B2510" i="21" s="1"/>
  <c r="I1697" i="19"/>
  <c r="B2511" i="21" s="1"/>
  <c r="I1698" i="19"/>
  <c r="B2512" i="21" s="1"/>
  <c r="I1699" i="19"/>
  <c r="B2513" i="21" s="1"/>
  <c r="I1700" i="19"/>
  <c r="B2514" i="21" s="1"/>
  <c r="I1701" i="19"/>
  <c r="B2515" i="21" s="1"/>
  <c r="I1702" i="19"/>
  <c r="B2516" i="21" s="1"/>
  <c r="I1703" i="19"/>
  <c r="B2517" i="21" s="1"/>
  <c r="I1704" i="19"/>
  <c r="B2518" i="21" s="1"/>
  <c r="I1338" i="19"/>
  <c r="B2152" i="21" s="1"/>
  <c r="F414" i="19"/>
  <c r="G414" i="19"/>
  <c r="H414" i="19"/>
  <c r="I2761" i="19"/>
  <c r="I2706" i="19"/>
  <c r="I2705" i="19"/>
  <c r="I2682" i="19"/>
  <c r="I2689" i="19"/>
  <c r="I2754" i="19"/>
  <c r="I2666" i="19"/>
  <c r="I2753" i="19"/>
  <c r="I2687" i="19"/>
  <c r="I2665" i="19"/>
  <c r="I2674" i="19"/>
  <c r="I2673" i="19"/>
  <c r="I2745" i="19"/>
  <c r="I2679" i="19"/>
  <c r="I2700" i="19"/>
  <c r="I2681" i="19"/>
  <c r="F2626" i="19"/>
  <c r="I2723" i="19"/>
  <c r="I2701" i="19"/>
  <c r="I2657" i="19"/>
  <c r="I2635" i="19"/>
  <c r="I2764" i="19"/>
  <c r="I2722" i="19"/>
  <c r="I2678" i="19"/>
  <c r="I2634" i="19"/>
  <c r="I2752" i="19"/>
  <c r="I2642" i="19"/>
  <c r="I2721" i="19"/>
  <c r="I2751" i="19"/>
  <c r="I2641" i="19"/>
  <c r="I2676" i="19"/>
  <c r="I2640" i="19"/>
  <c r="I2655" i="19"/>
  <c r="I2690" i="19"/>
  <c r="I2730" i="19"/>
  <c r="I2664" i="19"/>
  <c r="I2763" i="19"/>
  <c r="I2699" i="19"/>
  <c r="I2677" i="19"/>
  <c r="I2633" i="19"/>
  <c r="I2729" i="19"/>
  <c r="I2762" i="19"/>
  <c r="I2742" i="19"/>
  <c r="I2698" i="19"/>
  <c r="I2654" i="19"/>
  <c r="I2728" i="19"/>
  <c r="I2741" i="19"/>
  <c r="I2697" i="19"/>
  <c r="I2675" i="19"/>
  <c r="I2653" i="19"/>
  <c r="I2631" i="19"/>
  <c r="I2727" i="19"/>
  <c r="I2704" i="19"/>
  <c r="I2703" i="19"/>
  <c r="I2738" i="19"/>
  <c r="I2650" i="19"/>
  <c r="I2746" i="19"/>
  <c r="I2680" i="19"/>
  <c r="I2658" i="19"/>
  <c r="I2737" i="19"/>
  <c r="I2649" i="19"/>
  <c r="I2714" i="19"/>
  <c r="I2713" i="19"/>
  <c r="I2740" i="19"/>
  <c r="I2718" i="19"/>
  <c r="I2652" i="19"/>
  <c r="I2630" i="19"/>
  <c r="I2739" i="19"/>
  <c r="I2717" i="19"/>
  <c r="I2651" i="19"/>
  <c r="I2629" i="19"/>
  <c r="I2716" i="19"/>
  <c r="I2694" i="19"/>
  <c r="I2628" i="19"/>
  <c r="I2715" i="19"/>
  <c r="I2693" i="19"/>
  <c r="I2671" i="19"/>
  <c r="G2626" i="19"/>
  <c r="I2758" i="19"/>
  <c r="I2692" i="19"/>
  <c r="I2670" i="19"/>
  <c r="I2744" i="19"/>
  <c r="I2656" i="19"/>
  <c r="I2691" i="19"/>
  <c r="I2669" i="19"/>
  <c r="I2647" i="19"/>
  <c r="I2743" i="19"/>
  <c r="I2756" i="19"/>
  <c r="I2734" i="19"/>
  <c r="I2668" i="19"/>
  <c r="I2646" i="19"/>
  <c r="I2720" i="19"/>
  <c r="I2632" i="19"/>
  <c r="I2755" i="19"/>
  <c r="I2733" i="19"/>
  <c r="I2645" i="19"/>
  <c r="I2719" i="19"/>
  <c r="I2732" i="19"/>
  <c r="I2710" i="19"/>
  <c r="I2644" i="19"/>
  <c r="I2696" i="19"/>
  <c r="I2731" i="19"/>
  <c r="I2709" i="19"/>
  <c r="I2643" i="19"/>
  <c r="I2695" i="19"/>
  <c r="I2708" i="19"/>
  <c r="I2686" i="19"/>
  <c r="I2672" i="19"/>
  <c r="I2707" i="19"/>
  <c r="I2685" i="19"/>
  <c r="I2663" i="19"/>
  <c r="I2759" i="19"/>
  <c r="I2748" i="19"/>
  <c r="I2726" i="19"/>
  <c r="I2660" i="19"/>
  <c r="I2638" i="19"/>
  <c r="I2712" i="19"/>
  <c r="I2757" i="19"/>
  <c r="I2667" i="19"/>
  <c r="I2750" i="19"/>
  <c r="I2684" i="19"/>
  <c r="I2662" i="19"/>
  <c r="I2736" i="19"/>
  <c r="I2648" i="19"/>
  <c r="I2749" i="19"/>
  <c r="I2683" i="19"/>
  <c r="I2661" i="19"/>
  <c r="I2639" i="19"/>
  <c r="I2735" i="19"/>
  <c r="I2747" i="19"/>
  <c r="I2725" i="19"/>
  <c r="I2659" i="19"/>
  <c r="I2637" i="19"/>
  <c r="I2711" i="19"/>
  <c r="I2724" i="19"/>
  <c r="I2702" i="19"/>
  <c r="I2636" i="19"/>
  <c r="I2688" i="19"/>
  <c r="I2627" i="19"/>
  <c r="D2848" i="21"/>
  <c r="B3074" i="21"/>
  <c r="A3074" i="21"/>
  <c r="A1337" i="55" s="1"/>
  <c r="H168" i="21"/>
  <c r="B1103" i="19"/>
  <c r="E169" i="21"/>
  <c r="E170" i="21"/>
  <c r="E171" i="21"/>
  <c r="E172" i="21"/>
  <c r="E173" i="21"/>
  <c r="E174" i="21"/>
  <c r="E175" i="21"/>
  <c r="E176" i="21"/>
  <c r="E177" i="21"/>
  <c r="E178" i="21"/>
  <c r="E179" i="21"/>
  <c r="E180" i="21"/>
  <c r="E181" i="21"/>
  <c r="E182" i="21"/>
  <c r="E183" i="21"/>
  <c r="E184" i="21"/>
  <c r="E185" i="21"/>
  <c r="E186" i="21"/>
  <c r="E187" i="21"/>
  <c r="E188" i="21"/>
  <c r="E189" i="21"/>
  <c r="E190" i="21"/>
  <c r="E191" i="21"/>
  <c r="E192" i="21"/>
  <c r="E193" i="21"/>
  <c r="E194" i="21"/>
  <c r="E195" i="21"/>
  <c r="E196" i="21"/>
  <c r="E197" i="21"/>
  <c r="E198" i="21"/>
  <c r="E199" i="21"/>
  <c r="E200" i="21"/>
  <c r="E201" i="21"/>
  <c r="E202" i="21"/>
  <c r="E203" i="21"/>
  <c r="E204" i="21"/>
  <c r="E205" i="21"/>
  <c r="E206" i="21"/>
  <c r="E207" i="21"/>
  <c r="E208" i="21"/>
  <c r="E209" i="21"/>
  <c r="E210" i="21"/>
  <c r="E211" i="21"/>
  <c r="E212" i="21"/>
  <c r="E213" i="21"/>
  <c r="E214" i="21"/>
  <c r="E215" i="21"/>
  <c r="E216" i="21"/>
  <c r="E217" i="21"/>
  <c r="E218" i="21"/>
  <c r="E219" i="21"/>
  <c r="E220" i="21"/>
  <c r="E221" i="21"/>
  <c r="E222" i="21"/>
  <c r="E223" i="21"/>
  <c r="E224" i="21"/>
  <c r="E225" i="21"/>
  <c r="E226" i="21"/>
  <c r="E227" i="21"/>
  <c r="E228" i="21"/>
  <c r="E229" i="21"/>
  <c r="E230" i="21"/>
  <c r="E231" i="21"/>
  <c r="E232" i="21"/>
  <c r="E233" i="21"/>
  <c r="E234" i="21"/>
  <c r="E235" i="21"/>
  <c r="E236" i="21"/>
  <c r="E237" i="21"/>
  <c r="E238" i="21"/>
  <c r="E239" i="21"/>
  <c r="E240" i="21"/>
  <c r="E241" i="21"/>
  <c r="E242" i="21"/>
  <c r="E243" i="21"/>
  <c r="E244" i="21"/>
  <c r="E245" i="21"/>
  <c r="E246" i="21"/>
  <c r="E247" i="21"/>
  <c r="E248" i="21"/>
  <c r="E249" i="21"/>
  <c r="E250" i="21"/>
  <c r="E251" i="21"/>
  <c r="E252" i="21"/>
  <c r="E253" i="21"/>
  <c r="E254" i="21"/>
  <c r="E255" i="21"/>
  <c r="E256" i="21"/>
  <c r="E257" i="21"/>
  <c r="E258" i="21"/>
  <c r="E259" i="21"/>
  <c r="E260" i="21"/>
  <c r="E261" i="21"/>
  <c r="E262" i="21"/>
  <c r="E263" i="21"/>
  <c r="E264" i="21"/>
  <c r="E265" i="21"/>
  <c r="E266" i="21"/>
  <c r="E267" i="21"/>
  <c r="E268" i="21"/>
  <c r="E269" i="21"/>
  <c r="E270" i="21"/>
  <c r="E271" i="21"/>
  <c r="E272" i="21"/>
  <c r="E273" i="21"/>
  <c r="E274" i="21"/>
  <c r="E275" i="21"/>
  <c r="E276" i="21"/>
  <c r="E277" i="21"/>
  <c r="E278" i="21"/>
  <c r="E279" i="21"/>
  <c r="E280" i="21"/>
  <c r="E281" i="21"/>
  <c r="E282" i="21"/>
  <c r="E283" i="21"/>
  <c r="E284" i="21"/>
  <c r="E285" i="21"/>
  <c r="E286" i="21"/>
  <c r="E287" i="21"/>
  <c r="E288" i="21"/>
  <c r="E289" i="21"/>
  <c r="E290" i="21"/>
  <c r="E291" i="21"/>
  <c r="E292" i="21"/>
  <c r="E293" i="21"/>
  <c r="E294" i="21"/>
  <c r="E295" i="21"/>
  <c r="E296" i="21"/>
  <c r="E297" i="21"/>
  <c r="E298" i="21"/>
  <c r="E299" i="21"/>
  <c r="E300" i="21"/>
  <c r="E301" i="21"/>
  <c r="E302" i="21"/>
  <c r="E303" i="21"/>
  <c r="E304" i="21"/>
  <c r="E305" i="21"/>
  <c r="E306" i="21"/>
  <c r="E307" i="21"/>
  <c r="E308" i="21"/>
  <c r="E309" i="21"/>
  <c r="E310" i="21"/>
  <c r="E311" i="21"/>
  <c r="E312" i="21"/>
  <c r="E313" i="21"/>
  <c r="E314" i="21"/>
  <c r="E315" i="21"/>
  <c r="E316" i="21"/>
  <c r="E317" i="21"/>
  <c r="E318" i="21"/>
  <c r="E319" i="21"/>
  <c r="E320" i="21"/>
  <c r="E321" i="21"/>
  <c r="E322" i="21"/>
  <c r="E323" i="21"/>
  <c r="E324" i="21"/>
  <c r="E325" i="21"/>
  <c r="E326" i="21"/>
  <c r="E327" i="21"/>
  <c r="E328" i="21"/>
  <c r="E329" i="21"/>
  <c r="E330" i="21"/>
  <c r="E331" i="21"/>
  <c r="E332" i="21"/>
  <c r="E333" i="21"/>
  <c r="E334" i="21"/>
  <c r="E335" i="21"/>
  <c r="E336" i="21"/>
  <c r="E337" i="21"/>
  <c r="E338" i="21"/>
  <c r="E339" i="21"/>
  <c r="E340" i="21"/>
  <c r="E341" i="21"/>
  <c r="E342" i="21"/>
  <c r="E343" i="21"/>
  <c r="E344" i="21"/>
  <c r="E345" i="21"/>
  <c r="E346" i="21"/>
  <c r="E347" i="21"/>
  <c r="E348" i="21"/>
  <c r="E349" i="21"/>
  <c r="E350" i="21"/>
  <c r="E351" i="21"/>
  <c r="E352" i="21"/>
  <c r="E353" i="21"/>
  <c r="E354" i="21"/>
  <c r="E355" i="21"/>
  <c r="E356" i="21"/>
  <c r="E357" i="21"/>
  <c r="E358" i="21"/>
  <c r="E359" i="21"/>
  <c r="E360" i="21"/>
  <c r="E361" i="21"/>
  <c r="E362" i="21"/>
  <c r="E363" i="21"/>
  <c r="E364" i="21"/>
  <c r="E365" i="21"/>
  <c r="E366" i="21"/>
  <c r="E367" i="21"/>
  <c r="E368" i="21"/>
  <c r="E369" i="21"/>
  <c r="E370" i="21"/>
  <c r="E371" i="21"/>
  <c r="E372" i="21"/>
  <c r="E373" i="21"/>
  <c r="E374" i="21"/>
  <c r="E375" i="21"/>
  <c r="E376" i="21"/>
  <c r="E377" i="21"/>
  <c r="E378" i="21"/>
  <c r="E379" i="21"/>
  <c r="E380" i="21"/>
  <c r="E381" i="21"/>
  <c r="E382" i="21"/>
  <c r="E383" i="21"/>
  <c r="E384" i="21"/>
  <c r="E385" i="21"/>
  <c r="E386" i="21"/>
  <c r="E387" i="21"/>
  <c r="E388" i="21"/>
  <c r="E389" i="21"/>
  <c r="E390" i="21"/>
  <c r="E391" i="21"/>
  <c r="E392" i="21"/>
  <c r="E393" i="21"/>
  <c r="E394" i="21"/>
  <c r="E395" i="21"/>
  <c r="E396" i="21"/>
  <c r="E397" i="21"/>
  <c r="E398" i="21"/>
  <c r="E399" i="21"/>
  <c r="E400" i="21"/>
  <c r="E401" i="21"/>
  <c r="E168" i="21"/>
  <c r="B1007" i="46"/>
  <c r="C1852" i="19"/>
  <c r="D1852" i="19"/>
  <c r="E1852" i="19"/>
  <c r="C931" i="19"/>
  <c r="D931" i="19"/>
  <c r="E931" i="19"/>
  <c r="F931" i="19"/>
  <c r="G931" i="19"/>
  <c r="H931" i="19"/>
  <c r="F7" i="19"/>
  <c r="G7" i="19"/>
  <c r="H7" i="19"/>
  <c r="D1392" i="35"/>
  <c r="E3590" i="21" s="1"/>
  <c r="D2833" i="19"/>
  <c r="C2833" i="19"/>
  <c r="B2833" i="19"/>
  <c r="G2833" i="19"/>
  <c r="F2833" i="19"/>
  <c r="E2833" i="19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3" i="21"/>
  <c r="H84" i="21"/>
  <c r="H85" i="21"/>
  <c r="H86" i="21"/>
  <c r="H87" i="21"/>
  <c r="H88" i="21"/>
  <c r="H89" i="21"/>
  <c r="H90" i="21"/>
  <c r="H91" i="21"/>
  <c r="H92" i="21"/>
  <c r="H93" i="21"/>
  <c r="H94" i="21"/>
  <c r="H95" i="21"/>
  <c r="H96" i="21"/>
  <c r="H97" i="21"/>
  <c r="H98" i="21"/>
  <c r="H99" i="21"/>
  <c r="H100" i="21"/>
  <c r="H101" i="21"/>
  <c r="H102" i="21"/>
  <c r="H103" i="21"/>
  <c r="H104" i="21"/>
  <c r="H105" i="21"/>
  <c r="H106" i="21"/>
  <c r="H107" i="21"/>
  <c r="H108" i="21"/>
  <c r="H109" i="21"/>
  <c r="H110" i="21"/>
  <c r="H111" i="21"/>
  <c r="H112" i="21"/>
  <c r="H113" i="21"/>
  <c r="H114" i="21"/>
  <c r="H115" i="21"/>
  <c r="H116" i="21"/>
  <c r="H117" i="21"/>
  <c r="H118" i="21"/>
  <c r="H119" i="21"/>
  <c r="H120" i="21"/>
  <c r="H121" i="21"/>
  <c r="H122" i="21"/>
  <c r="H123" i="21"/>
  <c r="H124" i="21"/>
  <c r="H125" i="21"/>
  <c r="H126" i="21"/>
  <c r="H127" i="21"/>
  <c r="H128" i="21"/>
  <c r="H129" i="21"/>
  <c r="H130" i="21"/>
  <c r="H131" i="21"/>
  <c r="H132" i="21"/>
  <c r="H133" i="21"/>
  <c r="H134" i="21"/>
  <c r="H135" i="21"/>
  <c r="H136" i="21"/>
  <c r="H137" i="21"/>
  <c r="H138" i="21"/>
  <c r="H139" i="21"/>
  <c r="H140" i="21"/>
  <c r="H141" i="21"/>
  <c r="H142" i="21"/>
  <c r="H143" i="21"/>
  <c r="H144" i="21"/>
  <c r="H145" i="21"/>
  <c r="H146" i="21"/>
  <c r="H147" i="21"/>
  <c r="H148" i="21"/>
  <c r="H149" i="21"/>
  <c r="H150" i="21"/>
  <c r="H151" i="21"/>
  <c r="H152" i="21"/>
  <c r="H153" i="21"/>
  <c r="H154" i="21"/>
  <c r="H155" i="21"/>
  <c r="H156" i="21"/>
  <c r="H157" i="21"/>
  <c r="H158" i="21"/>
  <c r="H159" i="21"/>
  <c r="H160" i="21"/>
  <c r="H161" i="21"/>
  <c r="H162" i="21"/>
  <c r="H163" i="21"/>
  <c r="H164" i="21"/>
  <c r="H165" i="21"/>
  <c r="H166" i="21"/>
  <c r="H8" i="21"/>
  <c r="O291" i="47"/>
  <c r="O290" i="47"/>
  <c r="O289" i="47"/>
  <c r="O288" i="47"/>
  <c r="O287" i="47"/>
  <c r="O286" i="47"/>
  <c r="O285" i="47"/>
  <c r="O284" i="47"/>
  <c r="O283" i="47"/>
  <c r="O282" i="47"/>
  <c r="O281" i="47"/>
  <c r="O280" i="47"/>
  <c r="O279" i="47"/>
  <c r="O278" i="47"/>
  <c r="O277" i="47"/>
  <c r="O276" i="47"/>
  <c r="O275" i="47"/>
  <c r="O274" i="47"/>
  <c r="O273" i="47"/>
  <c r="O272" i="47"/>
  <c r="O271" i="47"/>
  <c r="O270" i="47"/>
  <c r="O269" i="47"/>
  <c r="O268" i="47"/>
  <c r="O267" i="47"/>
  <c r="O266" i="47"/>
  <c r="O265" i="47"/>
  <c r="O264" i="47"/>
  <c r="O263" i="47"/>
  <c r="O262" i="47"/>
  <c r="O261" i="47"/>
  <c r="O260" i="47"/>
  <c r="O259" i="47"/>
  <c r="O258" i="47"/>
  <c r="O257" i="47"/>
  <c r="O256" i="47"/>
  <c r="O255" i="47"/>
  <c r="O254" i="47"/>
  <c r="O253" i="47"/>
  <c r="O252" i="47"/>
  <c r="O251" i="47"/>
  <c r="O250" i="47"/>
  <c r="O249" i="47"/>
  <c r="O248" i="47"/>
  <c r="O247" i="47"/>
  <c r="O246" i="47"/>
  <c r="O245" i="47"/>
  <c r="O244" i="47"/>
  <c r="O243" i="47"/>
  <c r="O242" i="47"/>
  <c r="O241" i="47"/>
  <c r="O240" i="47"/>
  <c r="O239" i="47"/>
  <c r="O238" i="47"/>
  <c r="O237" i="47"/>
  <c r="O236" i="47"/>
  <c r="O235" i="47"/>
  <c r="O234" i="47"/>
  <c r="O233" i="47"/>
  <c r="O232" i="47"/>
  <c r="O231" i="47"/>
  <c r="O230" i="47"/>
  <c r="O229" i="47"/>
  <c r="O228" i="47"/>
  <c r="O227" i="47"/>
  <c r="O226" i="47"/>
  <c r="O225" i="47"/>
  <c r="O224" i="47"/>
  <c r="O223" i="47"/>
  <c r="O222" i="47"/>
  <c r="O221" i="47"/>
  <c r="O220" i="47"/>
  <c r="O219" i="47"/>
  <c r="O218" i="47"/>
  <c r="O217" i="47"/>
  <c r="O216" i="47"/>
  <c r="O215" i="47"/>
  <c r="O214" i="47"/>
  <c r="O213" i="47"/>
  <c r="O212" i="47"/>
  <c r="O211" i="47"/>
  <c r="O210" i="47"/>
  <c r="O209" i="47"/>
  <c r="O208" i="47"/>
  <c r="O207" i="47"/>
  <c r="O206" i="47"/>
  <c r="O205" i="47"/>
  <c r="C48" i="58" s="1"/>
  <c r="O204" i="47"/>
  <c r="O203" i="47"/>
  <c r="O202" i="47"/>
  <c r="O201" i="47"/>
  <c r="O200" i="47"/>
  <c r="O199" i="47"/>
  <c r="O198" i="47"/>
  <c r="O197" i="47"/>
  <c r="O196" i="47"/>
  <c r="O195" i="47"/>
  <c r="O194" i="47"/>
  <c r="O193" i="47"/>
  <c r="O192" i="47"/>
  <c r="O191" i="47"/>
  <c r="O190" i="47"/>
  <c r="O189" i="47"/>
  <c r="O188" i="47"/>
  <c r="I31" i="58" s="1"/>
  <c r="O187" i="47"/>
  <c r="O186" i="47"/>
  <c r="O185" i="47"/>
  <c r="O184" i="47"/>
  <c r="O183" i="47"/>
  <c r="O182" i="47"/>
  <c r="O181" i="47"/>
  <c r="O180" i="47"/>
  <c r="O179" i="47"/>
  <c r="O178" i="47"/>
  <c r="O177" i="47"/>
  <c r="O176" i="47"/>
  <c r="O175" i="47"/>
  <c r="O174" i="47"/>
  <c r="O173" i="47"/>
  <c r="O172" i="47"/>
  <c r="O95" i="47"/>
  <c r="L95" i="47"/>
  <c r="O29" i="47"/>
  <c r="L29" i="47"/>
  <c r="G39" i="21" s="1"/>
  <c r="O28" i="47"/>
  <c r="L28" i="47"/>
  <c r="O27" i="47"/>
  <c r="L27" i="47"/>
  <c r="I182" i="19"/>
  <c r="I183" i="19"/>
  <c r="I184" i="19"/>
  <c r="I185" i="19"/>
  <c r="I186" i="19"/>
  <c r="I187" i="19"/>
  <c r="I188" i="19"/>
  <c r="I189" i="19"/>
  <c r="I190" i="19"/>
  <c r="I191" i="19"/>
  <c r="I192" i="19"/>
  <c r="I193" i="19"/>
  <c r="I194" i="19"/>
  <c r="I195" i="19"/>
  <c r="I196" i="19"/>
  <c r="I197" i="19"/>
  <c r="I198" i="19"/>
  <c r="I199" i="19"/>
  <c r="I200" i="19"/>
  <c r="I201" i="19"/>
  <c r="I202" i="19"/>
  <c r="I203" i="19"/>
  <c r="I204" i="19"/>
  <c r="B414" i="19"/>
  <c r="L9" i="60" s="1"/>
  <c r="D414" i="19"/>
  <c r="E414" i="19"/>
  <c r="B1854" i="55"/>
  <c r="B1855" i="55"/>
  <c r="B1856" i="55"/>
  <c r="B1853" i="55"/>
  <c r="D1853" i="55"/>
  <c r="D1855" i="55"/>
  <c r="D1856" i="55"/>
  <c r="D1854" i="55"/>
  <c r="D1857" i="55" s="1"/>
  <c r="D3591" i="21"/>
  <c r="D3592" i="21"/>
  <c r="D3593" i="21"/>
  <c r="D3590" i="21"/>
  <c r="L298" i="47"/>
  <c r="L299" i="47"/>
  <c r="L300" i="47"/>
  <c r="L301" i="47"/>
  <c r="L302" i="47"/>
  <c r="L303" i="47"/>
  <c r="L304" i="47"/>
  <c r="L305" i="47"/>
  <c r="L306" i="47"/>
  <c r="L307" i="47"/>
  <c r="L308" i="47"/>
  <c r="L309" i="47"/>
  <c r="L310" i="47"/>
  <c r="L311" i="47"/>
  <c r="L312" i="47"/>
  <c r="L313" i="47"/>
  <c r="L314" i="47"/>
  <c r="L315" i="47"/>
  <c r="L316" i="47"/>
  <c r="L317" i="47"/>
  <c r="L318" i="47"/>
  <c r="L319" i="47"/>
  <c r="L320" i="47"/>
  <c r="L321" i="47"/>
  <c r="L322" i="47"/>
  <c r="L323" i="47"/>
  <c r="L324" i="47"/>
  <c r="L325" i="47"/>
  <c r="L326" i="47"/>
  <c r="L327" i="47"/>
  <c r="L328" i="47"/>
  <c r="L329" i="47"/>
  <c r="L330" i="47"/>
  <c r="L331" i="47"/>
  <c r="L332" i="47"/>
  <c r="L333" i="47"/>
  <c r="L334" i="47"/>
  <c r="L335" i="47"/>
  <c r="L336" i="47"/>
  <c r="L337" i="47"/>
  <c r="L338" i="47"/>
  <c r="L339" i="47"/>
  <c r="L340" i="47"/>
  <c r="L341" i="47"/>
  <c r="L342" i="47"/>
  <c r="L343" i="47"/>
  <c r="L344" i="47"/>
  <c r="L345" i="47"/>
  <c r="L346" i="47"/>
  <c r="L347" i="47"/>
  <c r="L348" i="47"/>
  <c r="L349" i="47"/>
  <c r="L350" i="47"/>
  <c r="L351" i="47"/>
  <c r="I555" i="21" s="1"/>
  <c r="L352" i="47"/>
  <c r="L353" i="47"/>
  <c r="L354" i="47"/>
  <c r="I437" i="21" s="1"/>
  <c r="L355" i="47"/>
  <c r="L356" i="47"/>
  <c r="L357" i="47"/>
  <c r="L358" i="47"/>
  <c r="L359" i="47"/>
  <c r="L360" i="47"/>
  <c r="L361" i="47"/>
  <c r="L362" i="47"/>
  <c r="L363" i="47"/>
  <c r="L364" i="47"/>
  <c r="L365" i="47"/>
  <c r="L366" i="47"/>
  <c r="L367" i="47"/>
  <c r="L368" i="47"/>
  <c r="L369" i="47"/>
  <c r="L370" i="47"/>
  <c r="L371" i="47"/>
  <c r="I701" i="21" s="1"/>
  <c r="L372" i="47"/>
  <c r="L373" i="47"/>
  <c r="L374" i="47"/>
  <c r="L375" i="47"/>
  <c r="L376" i="47"/>
  <c r="L377" i="47"/>
  <c r="L378" i="47"/>
  <c r="L379" i="47"/>
  <c r="I676" i="21" s="1"/>
  <c r="L380" i="47"/>
  <c r="L381" i="47"/>
  <c r="L382" i="47"/>
  <c r="L383" i="47"/>
  <c r="I702" i="21" s="1"/>
  <c r="L384" i="47"/>
  <c r="I509" i="21" s="1"/>
  <c r="L385" i="47"/>
  <c r="I428" i="21" s="1"/>
  <c r="L386" i="47"/>
  <c r="L387" i="47"/>
  <c r="L388" i="47"/>
  <c r="L389" i="47"/>
  <c r="L390" i="47"/>
  <c r="L391" i="47"/>
  <c r="L392" i="47"/>
  <c r="L393" i="47"/>
  <c r="L394" i="47"/>
  <c r="L395" i="47"/>
  <c r="L396" i="47"/>
  <c r="L415" i="47"/>
  <c r="L416" i="47"/>
  <c r="L417" i="47"/>
  <c r="L418" i="47"/>
  <c r="L419" i="47"/>
  <c r="L420" i="47"/>
  <c r="I578" i="21" s="1"/>
  <c r="L421" i="47"/>
  <c r="I490" i="21" s="1"/>
  <c r="L422" i="47"/>
  <c r="I548" i="21" s="1"/>
  <c r="L423" i="47"/>
  <c r="L424" i="47"/>
  <c r="L425" i="47"/>
  <c r="I436" i="21" s="1"/>
  <c r="L426" i="47"/>
  <c r="L427" i="47"/>
  <c r="I694" i="21" s="1"/>
  <c r="L428" i="47"/>
  <c r="L429" i="47"/>
  <c r="I552" i="21" s="1"/>
  <c r="L430" i="47"/>
  <c r="L431" i="47"/>
  <c r="L432" i="47"/>
  <c r="L433" i="47"/>
  <c r="I469" i="21" s="1"/>
  <c r="L434" i="47"/>
  <c r="L435" i="47"/>
  <c r="L436" i="47"/>
  <c r="L437" i="47"/>
  <c r="L438" i="47"/>
  <c r="L439" i="47"/>
  <c r="L440" i="47"/>
  <c r="L441" i="47"/>
  <c r="L442" i="47"/>
  <c r="L443" i="47"/>
  <c r="L444" i="47"/>
  <c r="L445" i="47"/>
  <c r="L446" i="47"/>
  <c r="L447" i="47"/>
  <c r="L448" i="47"/>
  <c r="L449" i="47"/>
  <c r="L450" i="47"/>
  <c r="L451" i="47"/>
  <c r="L452" i="47"/>
  <c r="L453" i="47"/>
  <c r="L454" i="47"/>
  <c r="L455" i="47"/>
  <c r="L456" i="47"/>
  <c r="L457" i="47"/>
  <c r="L458" i="47"/>
  <c r="L459" i="47"/>
  <c r="L460" i="47"/>
  <c r="L461" i="47"/>
  <c r="L462" i="47"/>
  <c r="L463" i="47"/>
  <c r="L464" i="47"/>
  <c r="L465" i="47"/>
  <c r="L466" i="47"/>
  <c r="L467" i="47"/>
  <c r="L468" i="47"/>
  <c r="L469" i="47"/>
  <c r="L470" i="47"/>
  <c r="L471" i="47"/>
  <c r="L472" i="47"/>
  <c r="L473" i="47"/>
  <c r="O456" i="47"/>
  <c r="O457" i="47"/>
  <c r="O458" i="47"/>
  <c r="O459" i="47"/>
  <c r="O460" i="47"/>
  <c r="O461" i="47"/>
  <c r="O462" i="47"/>
  <c r="O463" i="47"/>
  <c r="O464" i="47"/>
  <c r="O465" i="47"/>
  <c r="O466" i="47"/>
  <c r="O467" i="47"/>
  <c r="O468" i="47"/>
  <c r="G2787" i="19"/>
  <c r="F2787" i="19"/>
  <c r="E2787" i="19"/>
  <c r="D2787" i="19"/>
  <c r="C2787" i="19"/>
  <c r="B2787" i="19"/>
  <c r="C403" i="46"/>
  <c r="B719" i="46"/>
  <c r="C3591" i="21"/>
  <c r="C1041" i="21"/>
  <c r="C1042" i="21"/>
  <c r="C1054" i="21"/>
  <c r="C1055" i="21"/>
  <c r="C1057" i="21"/>
  <c r="C1070" i="21"/>
  <c r="C1074" i="21"/>
  <c r="C1082" i="21"/>
  <c r="C1089" i="21"/>
  <c r="C1097" i="21"/>
  <c r="C1098" i="21"/>
  <c r="C1110" i="21"/>
  <c r="C1111" i="21"/>
  <c r="C1113" i="21"/>
  <c r="C1114" i="21"/>
  <c r="C1124" i="21"/>
  <c r="C1126" i="21"/>
  <c r="C1130" i="21"/>
  <c r="C1138" i="21"/>
  <c r="C1153" i="21"/>
  <c r="C1154" i="21"/>
  <c r="C1166" i="21"/>
  <c r="C1167" i="21"/>
  <c r="C1169" i="21"/>
  <c r="C1182" i="21"/>
  <c r="C1186" i="21"/>
  <c r="C1194" i="21"/>
  <c r="C1209" i="21"/>
  <c r="C1210" i="21"/>
  <c r="C1214" i="21"/>
  <c r="C1215" i="21"/>
  <c r="C1220" i="21"/>
  <c r="C1222" i="21"/>
  <c r="C1223" i="21"/>
  <c r="C1250" i="21"/>
  <c r="C1265" i="21"/>
  <c r="C1266" i="21"/>
  <c r="H169" i="21"/>
  <c r="H170" i="21"/>
  <c r="H171" i="21"/>
  <c r="H172" i="21"/>
  <c r="H173" i="21"/>
  <c r="H174" i="21"/>
  <c r="H175" i="21"/>
  <c r="H176" i="21"/>
  <c r="H177" i="21"/>
  <c r="H178" i="21"/>
  <c r="H179" i="21"/>
  <c r="H180" i="21"/>
  <c r="H181" i="21"/>
  <c r="H182" i="21"/>
  <c r="H183" i="21"/>
  <c r="H184" i="21"/>
  <c r="H185" i="21"/>
  <c r="H186" i="21"/>
  <c r="H187" i="21"/>
  <c r="H188" i="21"/>
  <c r="H189" i="21"/>
  <c r="H190" i="21"/>
  <c r="H191" i="21"/>
  <c r="H192" i="21"/>
  <c r="H193" i="21"/>
  <c r="H194" i="21"/>
  <c r="H195" i="21"/>
  <c r="H196" i="21"/>
  <c r="H197" i="21"/>
  <c r="H198" i="21"/>
  <c r="H199" i="21"/>
  <c r="H200" i="21"/>
  <c r="H202" i="21"/>
  <c r="H203" i="21"/>
  <c r="H204" i="21"/>
  <c r="H205" i="21"/>
  <c r="H206" i="21"/>
  <c r="H207" i="21"/>
  <c r="H208" i="21"/>
  <c r="H209" i="21"/>
  <c r="H210" i="21"/>
  <c r="H211" i="21"/>
  <c r="H212" i="21"/>
  <c r="H213" i="21"/>
  <c r="H214" i="21"/>
  <c r="H215" i="21"/>
  <c r="H216" i="21"/>
  <c r="H217" i="21"/>
  <c r="H218" i="21"/>
  <c r="H219" i="21"/>
  <c r="H220" i="21"/>
  <c r="H221" i="21"/>
  <c r="H222" i="21"/>
  <c r="H223" i="21"/>
  <c r="H224" i="21"/>
  <c r="H225" i="21"/>
  <c r="H226" i="21"/>
  <c r="H227" i="21"/>
  <c r="H228" i="21"/>
  <c r="H229" i="21"/>
  <c r="H230" i="21"/>
  <c r="H231" i="21"/>
  <c r="H232" i="21"/>
  <c r="H233" i="21"/>
  <c r="H234" i="21"/>
  <c r="H235" i="21"/>
  <c r="H236" i="21"/>
  <c r="H237" i="21"/>
  <c r="H238" i="21"/>
  <c r="H239" i="21"/>
  <c r="H240" i="21"/>
  <c r="H241" i="21"/>
  <c r="H242" i="21"/>
  <c r="H243" i="21"/>
  <c r="H244" i="21"/>
  <c r="H245" i="21"/>
  <c r="H246" i="21"/>
  <c r="H247" i="21"/>
  <c r="H248" i="21"/>
  <c r="H249" i="21"/>
  <c r="H250" i="21"/>
  <c r="H251" i="21"/>
  <c r="H252" i="21"/>
  <c r="H253" i="21"/>
  <c r="H254" i="21"/>
  <c r="H255" i="21"/>
  <c r="H256" i="21"/>
  <c r="H257" i="21"/>
  <c r="H258" i="21"/>
  <c r="H259" i="21"/>
  <c r="H260" i="21"/>
  <c r="H261" i="21"/>
  <c r="H262" i="21"/>
  <c r="H263" i="21"/>
  <c r="H264" i="21"/>
  <c r="H265" i="21"/>
  <c r="H266" i="21"/>
  <c r="H267" i="21"/>
  <c r="H268" i="21"/>
  <c r="H269" i="21"/>
  <c r="H270" i="21"/>
  <c r="H271" i="21"/>
  <c r="H272" i="21"/>
  <c r="H273" i="21"/>
  <c r="H274" i="21"/>
  <c r="H275" i="21"/>
  <c r="H276" i="21"/>
  <c r="H277" i="21"/>
  <c r="H278" i="21"/>
  <c r="H279" i="21"/>
  <c r="H280" i="21"/>
  <c r="H281" i="21"/>
  <c r="H282" i="21"/>
  <c r="H283" i="21"/>
  <c r="H284" i="21"/>
  <c r="H285" i="21"/>
  <c r="H286" i="21"/>
  <c r="H287" i="21"/>
  <c r="H288" i="21"/>
  <c r="H289" i="21"/>
  <c r="H290" i="21"/>
  <c r="H291" i="21"/>
  <c r="H292" i="21"/>
  <c r="H293" i="21"/>
  <c r="H294" i="21"/>
  <c r="H295" i="21"/>
  <c r="H296" i="21"/>
  <c r="H297" i="21"/>
  <c r="H298" i="21"/>
  <c r="H299" i="21"/>
  <c r="H300" i="21"/>
  <c r="H301" i="21"/>
  <c r="H302" i="21"/>
  <c r="H303" i="21"/>
  <c r="H304" i="21"/>
  <c r="H305" i="21"/>
  <c r="H306" i="21"/>
  <c r="H307" i="21"/>
  <c r="H308" i="21"/>
  <c r="H309" i="21"/>
  <c r="H310" i="21"/>
  <c r="H311" i="21"/>
  <c r="H312" i="21"/>
  <c r="H313" i="21"/>
  <c r="H314" i="21"/>
  <c r="H315" i="21"/>
  <c r="H316" i="21"/>
  <c r="H317" i="21"/>
  <c r="H318" i="21"/>
  <c r="H319" i="21"/>
  <c r="H320" i="21"/>
  <c r="H321" i="21"/>
  <c r="H322" i="21"/>
  <c r="H323" i="21"/>
  <c r="H324" i="21"/>
  <c r="H325" i="21"/>
  <c r="H326" i="21"/>
  <c r="H327" i="21"/>
  <c r="H328" i="21"/>
  <c r="H329" i="21"/>
  <c r="H330" i="21"/>
  <c r="H331" i="21"/>
  <c r="H332" i="21"/>
  <c r="H333" i="21"/>
  <c r="H334" i="21"/>
  <c r="H335" i="21"/>
  <c r="H336" i="21"/>
  <c r="H337" i="21"/>
  <c r="H338" i="21"/>
  <c r="H339" i="21"/>
  <c r="H340" i="21"/>
  <c r="H341" i="21"/>
  <c r="H342" i="21"/>
  <c r="H343" i="21"/>
  <c r="H344" i="21"/>
  <c r="H345" i="21"/>
  <c r="H346" i="21"/>
  <c r="I346" i="21" s="1"/>
  <c r="H347" i="21"/>
  <c r="H348" i="21"/>
  <c r="H349" i="21"/>
  <c r="H350" i="21"/>
  <c r="H351" i="21"/>
  <c r="H352" i="21"/>
  <c r="H353" i="21"/>
  <c r="H354" i="21"/>
  <c r="H355" i="21"/>
  <c r="H356" i="21"/>
  <c r="H357" i="21"/>
  <c r="H358" i="21"/>
  <c r="H359" i="21"/>
  <c r="H360" i="21"/>
  <c r="H361" i="21"/>
  <c r="H362" i="21"/>
  <c r="H363" i="21"/>
  <c r="H364" i="21"/>
  <c r="H365" i="21"/>
  <c r="H366" i="21"/>
  <c r="H367" i="21"/>
  <c r="H368" i="21"/>
  <c r="H369" i="21"/>
  <c r="H370" i="21"/>
  <c r="H371" i="21"/>
  <c r="H372" i="21"/>
  <c r="H373" i="21"/>
  <c r="H374" i="21"/>
  <c r="H375" i="21"/>
  <c r="H376" i="21"/>
  <c r="H377" i="21"/>
  <c r="H378" i="21"/>
  <c r="H379" i="21"/>
  <c r="H380" i="21"/>
  <c r="H381" i="21"/>
  <c r="H382" i="21"/>
  <c r="H383" i="21"/>
  <c r="H384" i="21"/>
  <c r="H385" i="21"/>
  <c r="H386" i="21"/>
  <c r="H387" i="21"/>
  <c r="H388" i="21"/>
  <c r="H389" i="21"/>
  <c r="H390" i="21"/>
  <c r="H391" i="21"/>
  <c r="H392" i="21"/>
  <c r="H393" i="21"/>
  <c r="H394" i="21"/>
  <c r="H395" i="21"/>
  <c r="H396" i="21"/>
  <c r="H397" i="21"/>
  <c r="H398" i="21"/>
  <c r="H399" i="21"/>
  <c r="H400" i="21"/>
  <c r="H401" i="21"/>
  <c r="D168" i="21"/>
  <c r="G210" i="21"/>
  <c r="G212" i="21"/>
  <c r="G215" i="21"/>
  <c r="G216" i="21"/>
  <c r="G217" i="21"/>
  <c r="G219" i="21"/>
  <c r="G222" i="21"/>
  <c r="G223" i="21"/>
  <c r="G225" i="21"/>
  <c r="G230" i="21"/>
  <c r="G236" i="21"/>
  <c r="G239" i="21"/>
  <c r="G240" i="21"/>
  <c r="G241" i="21"/>
  <c r="G245" i="21"/>
  <c r="G248" i="21"/>
  <c r="G250" i="21"/>
  <c r="G253" i="21"/>
  <c r="G256" i="21"/>
  <c r="G258" i="21"/>
  <c r="G260" i="21"/>
  <c r="G262" i="21"/>
  <c r="G265" i="21"/>
  <c r="G266" i="21"/>
  <c r="G267" i="21"/>
  <c r="G268" i="21"/>
  <c r="G270" i="21"/>
  <c r="G272" i="21"/>
  <c r="G275" i="21"/>
  <c r="G278" i="21"/>
  <c r="G284" i="21"/>
  <c r="G285" i="21"/>
  <c r="G287" i="21"/>
  <c r="G290" i="21"/>
  <c r="G291" i="21"/>
  <c r="G293" i="21"/>
  <c r="G295" i="21"/>
  <c r="G296" i="21"/>
  <c r="G302" i="21"/>
  <c r="G303" i="21"/>
  <c r="G304" i="21"/>
  <c r="G306" i="21"/>
  <c r="G309" i="21"/>
  <c r="G310" i="21"/>
  <c r="G312" i="21"/>
  <c r="G314" i="21"/>
  <c r="G315" i="21"/>
  <c r="G316" i="21"/>
  <c r="G319" i="21"/>
  <c r="G320" i="21"/>
  <c r="G326" i="21"/>
  <c r="G328" i="21"/>
  <c r="G330" i="21"/>
  <c r="G333" i="21"/>
  <c r="G335" i="21"/>
  <c r="G337" i="21"/>
  <c r="G338" i="21"/>
  <c r="G339" i="21"/>
  <c r="G340" i="21"/>
  <c r="G342" i="21"/>
  <c r="G343" i="21"/>
  <c r="G347" i="21"/>
  <c r="G355" i="21"/>
  <c r="G366" i="21"/>
  <c r="G368" i="21"/>
  <c r="G369" i="21"/>
  <c r="G370" i="21"/>
  <c r="G371" i="21"/>
  <c r="G372" i="21"/>
  <c r="G373" i="21"/>
  <c r="G379" i="21"/>
  <c r="G380" i="21"/>
  <c r="G381" i="21"/>
  <c r="G382" i="21"/>
  <c r="G383" i="21"/>
  <c r="G384" i="21"/>
  <c r="G386" i="21"/>
  <c r="G387" i="21"/>
  <c r="G388" i="21"/>
  <c r="G390" i="21"/>
  <c r="G392" i="21"/>
  <c r="G393" i="21"/>
  <c r="G395" i="21"/>
  <c r="G397" i="21"/>
  <c r="G398" i="21"/>
  <c r="G399" i="21"/>
  <c r="G197" i="21"/>
  <c r="G199" i="21"/>
  <c r="G200" i="21"/>
  <c r="G203" i="21"/>
  <c r="G204" i="21"/>
  <c r="G206" i="21"/>
  <c r="G207" i="21"/>
  <c r="G180" i="21"/>
  <c r="G181" i="21"/>
  <c r="G182" i="21"/>
  <c r="G186" i="21"/>
  <c r="G188" i="21"/>
  <c r="G190" i="21"/>
  <c r="G192" i="21"/>
  <c r="G195" i="21"/>
  <c r="G169" i="21"/>
  <c r="G171" i="21"/>
  <c r="G177" i="21"/>
  <c r="C189" i="21"/>
  <c r="C190" i="21"/>
  <c r="C191" i="21"/>
  <c r="C192" i="21"/>
  <c r="C193" i="21"/>
  <c r="C194" i="21"/>
  <c r="C195" i="21"/>
  <c r="C196" i="21"/>
  <c r="C197" i="21"/>
  <c r="C198" i="21"/>
  <c r="C199" i="21"/>
  <c r="C200" i="21"/>
  <c r="C201" i="21"/>
  <c r="C202" i="21"/>
  <c r="C203" i="21"/>
  <c r="C204" i="21"/>
  <c r="C205" i="21"/>
  <c r="C206" i="21"/>
  <c r="C207" i="21"/>
  <c r="C208" i="21"/>
  <c r="C209" i="21"/>
  <c r="C210" i="21"/>
  <c r="C211" i="21"/>
  <c r="C212" i="21"/>
  <c r="C213" i="21"/>
  <c r="C214" i="21"/>
  <c r="C215" i="21"/>
  <c r="C216" i="21"/>
  <c r="C217" i="21"/>
  <c r="C218" i="21"/>
  <c r="C219" i="21"/>
  <c r="C220" i="21"/>
  <c r="C221" i="21"/>
  <c r="C222" i="21"/>
  <c r="C223" i="21"/>
  <c r="C224" i="21"/>
  <c r="C225" i="21"/>
  <c r="C226" i="21"/>
  <c r="C227" i="21"/>
  <c r="C228" i="21"/>
  <c r="C229" i="21"/>
  <c r="C230" i="21"/>
  <c r="C231" i="21"/>
  <c r="C232" i="21"/>
  <c r="C233" i="21"/>
  <c r="C234" i="21"/>
  <c r="C235" i="21"/>
  <c r="C236" i="21"/>
  <c r="C237" i="21"/>
  <c r="C238" i="21"/>
  <c r="C239" i="21"/>
  <c r="C240" i="21"/>
  <c r="C241" i="21"/>
  <c r="C242" i="21"/>
  <c r="C243" i="21"/>
  <c r="C244" i="21"/>
  <c r="C245" i="21"/>
  <c r="C246" i="21"/>
  <c r="C247" i="21"/>
  <c r="C248" i="21"/>
  <c r="C249" i="21"/>
  <c r="C250" i="21"/>
  <c r="C251" i="21"/>
  <c r="C252" i="21"/>
  <c r="C253" i="21"/>
  <c r="C254" i="21"/>
  <c r="C255" i="21"/>
  <c r="C256" i="21"/>
  <c r="C257" i="21"/>
  <c r="C258" i="21"/>
  <c r="C259" i="21"/>
  <c r="C260" i="21"/>
  <c r="C261" i="21"/>
  <c r="C262" i="21"/>
  <c r="C263" i="21"/>
  <c r="C264" i="21"/>
  <c r="C265" i="21"/>
  <c r="C266" i="21"/>
  <c r="C267" i="21"/>
  <c r="C268" i="21"/>
  <c r="C269" i="21"/>
  <c r="C270" i="21"/>
  <c r="C271" i="21"/>
  <c r="C272" i="21"/>
  <c r="C273" i="21"/>
  <c r="C274" i="21"/>
  <c r="C275" i="21"/>
  <c r="C276" i="21"/>
  <c r="C277" i="21"/>
  <c r="C278" i="21"/>
  <c r="C279" i="21"/>
  <c r="C280" i="21"/>
  <c r="C281" i="21"/>
  <c r="C282" i="21"/>
  <c r="C283" i="21"/>
  <c r="C284" i="21"/>
  <c r="C285" i="21"/>
  <c r="C286" i="21"/>
  <c r="C287" i="21"/>
  <c r="C288" i="21"/>
  <c r="C289" i="21"/>
  <c r="C290" i="21"/>
  <c r="C291" i="21"/>
  <c r="C292" i="21"/>
  <c r="C293" i="21"/>
  <c r="C294" i="21"/>
  <c r="C295" i="21"/>
  <c r="C296" i="21"/>
  <c r="C297" i="21"/>
  <c r="C298" i="21"/>
  <c r="C299" i="21"/>
  <c r="C300" i="21"/>
  <c r="C301" i="21"/>
  <c r="C302" i="21"/>
  <c r="C303" i="21"/>
  <c r="C304" i="21"/>
  <c r="C305" i="21"/>
  <c r="C306" i="21"/>
  <c r="C307" i="21"/>
  <c r="C308" i="21"/>
  <c r="C309" i="21"/>
  <c r="C310" i="21"/>
  <c r="C311" i="21"/>
  <c r="C312" i="21"/>
  <c r="C313" i="21"/>
  <c r="C314" i="21"/>
  <c r="C315" i="21"/>
  <c r="C316" i="21"/>
  <c r="C317" i="21"/>
  <c r="C318" i="21"/>
  <c r="C319" i="21"/>
  <c r="C320" i="21"/>
  <c r="C321" i="21"/>
  <c r="C322" i="21"/>
  <c r="C323" i="21"/>
  <c r="C324" i="21"/>
  <c r="C325" i="21"/>
  <c r="C326" i="21"/>
  <c r="C327" i="21"/>
  <c r="C328" i="21"/>
  <c r="C329" i="21"/>
  <c r="C330" i="21"/>
  <c r="C331" i="21"/>
  <c r="C332" i="21"/>
  <c r="C333" i="21"/>
  <c r="C334" i="21"/>
  <c r="C335" i="21"/>
  <c r="C336" i="21"/>
  <c r="C337" i="21"/>
  <c r="C338" i="21"/>
  <c r="C339" i="21"/>
  <c r="C340" i="21"/>
  <c r="C341" i="21"/>
  <c r="C342" i="21"/>
  <c r="C343" i="21"/>
  <c r="C344" i="21"/>
  <c r="C345" i="21"/>
  <c r="C346" i="21"/>
  <c r="C347" i="21"/>
  <c r="C348" i="21"/>
  <c r="C349" i="21"/>
  <c r="C350" i="21"/>
  <c r="C351" i="21"/>
  <c r="C352" i="21"/>
  <c r="C353" i="21"/>
  <c r="C354" i="21"/>
  <c r="C355" i="21"/>
  <c r="C356" i="21"/>
  <c r="C357" i="21"/>
  <c r="C358" i="21"/>
  <c r="C359" i="21"/>
  <c r="C360" i="21"/>
  <c r="C361" i="21"/>
  <c r="C362" i="21"/>
  <c r="C363" i="21"/>
  <c r="C364" i="21"/>
  <c r="C365" i="21"/>
  <c r="C366" i="21"/>
  <c r="C367" i="21"/>
  <c r="C368" i="21"/>
  <c r="C369" i="21"/>
  <c r="C370" i="21"/>
  <c r="C371" i="21"/>
  <c r="C372" i="21"/>
  <c r="C373" i="21"/>
  <c r="C374" i="21"/>
  <c r="C375" i="21"/>
  <c r="C376" i="21"/>
  <c r="C377" i="21"/>
  <c r="C378" i="21"/>
  <c r="C379" i="21"/>
  <c r="C380" i="21"/>
  <c r="C381" i="21"/>
  <c r="C382" i="21"/>
  <c r="C383" i="21"/>
  <c r="C384" i="21"/>
  <c r="C385" i="21"/>
  <c r="C386" i="21"/>
  <c r="C387" i="21"/>
  <c r="C388" i="21"/>
  <c r="C389" i="21"/>
  <c r="C390" i="21"/>
  <c r="C391" i="21"/>
  <c r="C392" i="21"/>
  <c r="C393" i="21"/>
  <c r="C394" i="21"/>
  <c r="C395" i="21"/>
  <c r="C396" i="21"/>
  <c r="C397" i="21"/>
  <c r="C398" i="21"/>
  <c r="C399" i="21"/>
  <c r="C400" i="21"/>
  <c r="C401" i="21"/>
  <c r="C169" i="21"/>
  <c r="C170" i="21"/>
  <c r="C171" i="21"/>
  <c r="C172" i="21"/>
  <c r="C173" i="21"/>
  <c r="C174" i="21"/>
  <c r="C175" i="21"/>
  <c r="C176" i="21"/>
  <c r="C177" i="21"/>
  <c r="C178" i="21"/>
  <c r="C179" i="21"/>
  <c r="C180" i="21"/>
  <c r="C181" i="21"/>
  <c r="C182" i="21"/>
  <c r="C183" i="21"/>
  <c r="C184" i="21"/>
  <c r="C185" i="21"/>
  <c r="C186" i="21"/>
  <c r="C187" i="21"/>
  <c r="C188" i="21"/>
  <c r="D301" i="21"/>
  <c r="D302" i="21"/>
  <c r="D303" i="21"/>
  <c r="D304" i="21"/>
  <c r="D305" i="21"/>
  <c r="D306" i="21"/>
  <c r="D307" i="21"/>
  <c r="D308" i="21"/>
  <c r="D309" i="21"/>
  <c r="D310" i="21"/>
  <c r="D311" i="21"/>
  <c r="D312" i="21"/>
  <c r="D313" i="21"/>
  <c r="D314" i="21"/>
  <c r="D315" i="21"/>
  <c r="D316" i="21"/>
  <c r="D317" i="21"/>
  <c r="D318" i="21"/>
  <c r="D319" i="21"/>
  <c r="D320" i="21"/>
  <c r="D321" i="21"/>
  <c r="D322" i="21"/>
  <c r="D323" i="21"/>
  <c r="D324" i="21"/>
  <c r="D325" i="21"/>
  <c r="D326" i="21"/>
  <c r="D327" i="21"/>
  <c r="D328" i="21"/>
  <c r="D329" i="21"/>
  <c r="D330" i="21"/>
  <c r="D331" i="21"/>
  <c r="D332" i="21"/>
  <c r="D333" i="21"/>
  <c r="D334" i="21"/>
  <c r="D335" i="21"/>
  <c r="D336" i="21"/>
  <c r="D337" i="21"/>
  <c r="D338" i="21"/>
  <c r="D339" i="21"/>
  <c r="D340" i="21"/>
  <c r="D341" i="21"/>
  <c r="D342" i="21"/>
  <c r="D343" i="21"/>
  <c r="D344" i="21"/>
  <c r="D345" i="21"/>
  <c r="D346" i="21"/>
  <c r="D347" i="21"/>
  <c r="D34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202" i="2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16" i="21"/>
  <c r="D217" i="21"/>
  <c r="D218" i="21"/>
  <c r="D219" i="21"/>
  <c r="D220" i="21"/>
  <c r="D221" i="21"/>
  <c r="D222" i="21"/>
  <c r="D223" i="21"/>
  <c r="D224" i="21"/>
  <c r="D225" i="21"/>
  <c r="D226" i="21"/>
  <c r="D227" i="21"/>
  <c r="D228" i="21"/>
  <c r="D229" i="21"/>
  <c r="D230" i="21"/>
  <c r="D231" i="21"/>
  <c r="D232" i="21"/>
  <c r="D233" i="21"/>
  <c r="D234" i="21"/>
  <c r="D235" i="21"/>
  <c r="D236" i="21"/>
  <c r="D237" i="21"/>
  <c r="D238" i="21"/>
  <c r="D239" i="21"/>
  <c r="D240" i="21"/>
  <c r="D241" i="21"/>
  <c r="D242" i="21"/>
  <c r="D243" i="21"/>
  <c r="D244" i="21"/>
  <c r="D245" i="21"/>
  <c r="D246" i="21"/>
  <c r="D247" i="21"/>
  <c r="D248" i="21"/>
  <c r="D249" i="21"/>
  <c r="D250" i="21"/>
  <c r="D251" i="21"/>
  <c r="D252" i="21"/>
  <c r="D253" i="21"/>
  <c r="D254" i="21"/>
  <c r="D255" i="21"/>
  <c r="D256" i="21"/>
  <c r="D257" i="21"/>
  <c r="D258" i="21"/>
  <c r="D259" i="21"/>
  <c r="D260" i="21"/>
  <c r="D261" i="21"/>
  <c r="D262" i="21"/>
  <c r="D263" i="21"/>
  <c r="D264" i="21"/>
  <c r="D265" i="21"/>
  <c r="D266" i="21"/>
  <c r="D267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88" i="21"/>
  <c r="D289" i="21"/>
  <c r="D290" i="21"/>
  <c r="D291" i="21"/>
  <c r="D292" i="21"/>
  <c r="D293" i="21"/>
  <c r="D294" i="21"/>
  <c r="D295" i="21"/>
  <c r="D296" i="21"/>
  <c r="D297" i="21"/>
  <c r="D298" i="21"/>
  <c r="D299" i="21"/>
  <c r="D300" i="21"/>
  <c r="D349" i="21"/>
  <c r="D350" i="21"/>
  <c r="D351" i="21"/>
  <c r="D352" i="21"/>
  <c r="D353" i="21"/>
  <c r="D354" i="21"/>
  <c r="D355" i="21"/>
  <c r="D356" i="21"/>
  <c r="D357" i="21"/>
  <c r="D358" i="21"/>
  <c r="D359" i="21"/>
  <c r="D360" i="21"/>
  <c r="D361" i="21"/>
  <c r="D362" i="21"/>
  <c r="D363" i="21"/>
  <c r="D364" i="21"/>
  <c r="D365" i="21"/>
  <c r="D366" i="21"/>
  <c r="D367" i="21"/>
  <c r="D368" i="21"/>
  <c r="D369" i="21"/>
  <c r="D370" i="21"/>
  <c r="D371" i="21"/>
  <c r="D372" i="21"/>
  <c r="D373" i="21"/>
  <c r="D374" i="21"/>
  <c r="D375" i="21"/>
  <c r="D376" i="21"/>
  <c r="D377" i="21"/>
  <c r="D378" i="21"/>
  <c r="D379" i="21"/>
  <c r="D380" i="21"/>
  <c r="D381" i="21"/>
  <c r="D382" i="21"/>
  <c r="D383" i="21"/>
  <c r="D384" i="21"/>
  <c r="D385" i="21"/>
  <c r="D386" i="21"/>
  <c r="D387" i="21"/>
  <c r="D388" i="21"/>
  <c r="D389" i="21"/>
  <c r="D390" i="21"/>
  <c r="D391" i="21"/>
  <c r="D392" i="21"/>
  <c r="D393" i="21"/>
  <c r="D394" i="21"/>
  <c r="D395" i="21"/>
  <c r="D396" i="21"/>
  <c r="D397" i="21"/>
  <c r="D398" i="21"/>
  <c r="D399" i="21"/>
  <c r="D400" i="21"/>
  <c r="D401" i="21"/>
  <c r="L173" i="47"/>
  <c r="L172" i="47"/>
  <c r="L174" i="47"/>
  <c r="L175" i="47"/>
  <c r="L176" i="47"/>
  <c r="L177" i="47"/>
  <c r="L178" i="47"/>
  <c r="L179" i="47"/>
  <c r="L180" i="47"/>
  <c r="L181" i="47"/>
  <c r="L182" i="47"/>
  <c r="L183" i="47"/>
  <c r="L184" i="47"/>
  <c r="L185" i="47"/>
  <c r="L186" i="47"/>
  <c r="L187" i="47"/>
  <c r="L188" i="47"/>
  <c r="E31" i="58" s="1"/>
  <c r="L189" i="47"/>
  <c r="L190" i="47"/>
  <c r="L191" i="47"/>
  <c r="L192" i="47"/>
  <c r="L193" i="47"/>
  <c r="G255" i="21" s="1"/>
  <c r="L194" i="47"/>
  <c r="L195" i="47"/>
  <c r="L196" i="47"/>
  <c r="L197" i="47"/>
  <c r="L198" i="47"/>
  <c r="L199" i="47"/>
  <c r="L200" i="47"/>
  <c r="L201" i="47"/>
  <c r="L202" i="47"/>
  <c r="G231" i="21"/>
  <c r="L203" i="47"/>
  <c r="L204" i="47"/>
  <c r="L205" i="47"/>
  <c r="E48" i="58" s="1"/>
  <c r="L206" i="47"/>
  <c r="L207" i="47"/>
  <c r="G254" i="21"/>
  <c r="L208" i="47"/>
  <c r="L209" i="47"/>
  <c r="L210" i="47"/>
  <c r="L211" i="47"/>
  <c r="L212" i="47"/>
  <c r="L213" i="47"/>
  <c r="G277" i="21"/>
  <c r="L214" i="47"/>
  <c r="L215" i="47"/>
  <c r="L216" i="47"/>
  <c r="L217" i="47"/>
  <c r="L218" i="47"/>
  <c r="L219" i="47"/>
  <c r="L220" i="47"/>
  <c r="G297" i="21" s="1"/>
  <c r="I297" i="21" s="1"/>
  <c r="L221" i="47"/>
  <c r="L222" i="47"/>
  <c r="L223" i="47"/>
  <c r="L224" i="47"/>
  <c r="L225" i="47"/>
  <c r="L226" i="47"/>
  <c r="L227" i="47"/>
  <c r="L228" i="47"/>
  <c r="L229" i="47"/>
  <c r="G311" i="21" s="1"/>
  <c r="L230" i="47"/>
  <c r="L231" i="47"/>
  <c r="L232" i="47"/>
  <c r="L233" i="47"/>
  <c r="L234" i="47"/>
  <c r="L235" i="47"/>
  <c r="G322" i="21" s="1"/>
  <c r="L236" i="47"/>
  <c r="L237" i="47"/>
  <c r="L238" i="47"/>
  <c r="L239" i="47"/>
  <c r="L240" i="47"/>
  <c r="L241" i="47"/>
  <c r="L242" i="47"/>
  <c r="L243" i="47"/>
  <c r="L244" i="47"/>
  <c r="L245" i="47"/>
  <c r="G374" i="21"/>
  <c r="L246" i="47"/>
  <c r="L247" i="47"/>
  <c r="L248" i="47"/>
  <c r="G334" i="21" s="1"/>
  <c r="L249" i="47"/>
  <c r="L250" i="47"/>
  <c r="L251" i="47"/>
  <c r="L252" i="47"/>
  <c r="L253" i="47"/>
  <c r="G345" i="21" s="1"/>
  <c r="L254" i="47"/>
  <c r="L255" i="47"/>
  <c r="L256" i="47"/>
  <c r="L257" i="47"/>
  <c r="L258" i="47"/>
  <c r="G178" i="21"/>
  <c r="L259" i="47"/>
  <c r="L260" i="47"/>
  <c r="G351" i="21" s="1"/>
  <c r="L261" i="47"/>
  <c r="G353" i="21" s="1"/>
  <c r="L262" i="47"/>
  <c r="G354" i="21" s="1"/>
  <c r="L263" i="47"/>
  <c r="L264" i="47"/>
  <c r="L265" i="47"/>
  <c r="G193" i="21"/>
  <c r="L266" i="47"/>
  <c r="G194" i="21"/>
  <c r="L267" i="47"/>
  <c r="L268" i="47"/>
  <c r="L269" i="47"/>
  <c r="L270" i="47"/>
  <c r="L271" i="47"/>
  <c r="L272" i="47"/>
  <c r="L273" i="47"/>
  <c r="G209" i="21"/>
  <c r="L274" i="47"/>
  <c r="G361" i="21" s="1"/>
  <c r="L275" i="47"/>
  <c r="G362" i="21" s="1"/>
  <c r="L276" i="47"/>
  <c r="L277" i="47"/>
  <c r="L278" i="47"/>
  <c r="G220" i="21"/>
  <c r="L279" i="47"/>
  <c r="L280" i="47"/>
  <c r="L281" i="47"/>
  <c r="L282" i="47"/>
  <c r="G375" i="21" s="1"/>
  <c r="L283" i="47"/>
  <c r="G235" i="21"/>
  <c r="L284" i="47"/>
  <c r="L285" i="47"/>
  <c r="L286" i="47"/>
  <c r="G378" i="21" s="1"/>
  <c r="L287" i="47"/>
  <c r="G385" i="21" s="1"/>
  <c r="G243" i="21"/>
  <c r="L288" i="47"/>
  <c r="G389" i="21" s="1"/>
  <c r="G244" i="21"/>
  <c r="L289" i="47"/>
  <c r="L290" i="47"/>
  <c r="L291" i="47"/>
  <c r="L292" i="47"/>
  <c r="L293" i="47"/>
  <c r="L294" i="47"/>
  <c r="L295" i="47"/>
  <c r="G401" i="21" s="1"/>
  <c r="G273" i="21"/>
  <c r="G298" i="21"/>
  <c r="G318" i="21"/>
  <c r="G341" i="21"/>
  <c r="G367" i="21"/>
  <c r="G396" i="21"/>
  <c r="D296" i="47"/>
  <c r="E296" i="47"/>
  <c r="F296" i="47"/>
  <c r="G296" i="47"/>
  <c r="H296" i="47"/>
  <c r="I296" i="47"/>
  <c r="J296" i="47"/>
  <c r="K296" i="47"/>
  <c r="L123" i="47"/>
  <c r="L124" i="47"/>
  <c r="L125" i="47"/>
  <c r="L126" i="47"/>
  <c r="G185" i="21"/>
  <c r="L127" i="47"/>
  <c r="L128" i="47"/>
  <c r="L129" i="47"/>
  <c r="L130" i="47"/>
  <c r="G189" i="21" s="1"/>
  <c r="L131" i="47"/>
  <c r="L132" i="47"/>
  <c r="L133" i="47"/>
  <c r="L134" i="47"/>
  <c r="L135" i="47"/>
  <c r="L136" i="47"/>
  <c r="L137" i="47"/>
  <c r="L138" i="47"/>
  <c r="L139" i="47"/>
  <c r="L140" i="47"/>
  <c r="L141" i="47"/>
  <c r="L143" i="47"/>
  <c r="L144" i="47"/>
  <c r="L145" i="47"/>
  <c r="L146" i="47"/>
  <c r="L147" i="47"/>
  <c r="L148" i="47"/>
  <c r="L149" i="47"/>
  <c r="L150" i="47"/>
  <c r="G263" i="21"/>
  <c r="L151" i="47"/>
  <c r="L152" i="47"/>
  <c r="G279" i="21"/>
  <c r="L153" i="47"/>
  <c r="G208" i="21" s="1"/>
  <c r="L154" i="47"/>
  <c r="G213" i="21" s="1"/>
  <c r="L155" i="47"/>
  <c r="L156" i="47"/>
  <c r="L157" i="47"/>
  <c r="L158" i="47"/>
  <c r="L159" i="47"/>
  <c r="L160" i="47"/>
  <c r="G221" i="21" s="1"/>
  <c r="L161" i="47"/>
  <c r="L162" i="47"/>
  <c r="L163" i="47"/>
  <c r="L164" i="47"/>
  <c r="L165" i="47"/>
  <c r="L166" i="47"/>
  <c r="L167" i="47"/>
  <c r="L168" i="47"/>
  <c r="L169" i="47"/>
  <c r="L170" i="47"/>
  <c r="L171" i="47"/>
  <c r="L106" i="47"/>
  <c r="L107" i="47"/>
  <c r="L108" i="47"/>
  <c r="L109" i="47"/>
  <c r="L110" i="47"/>
  <c r="G300" i="21"/>
  <c r="L111" i="47"/>
  <c r="L112" i="47"/>
  <c r="L113" i="47"/>
  <c r="L114" i="47"/>
  <c r="L115" i="47"/>
  <c r="L116" i="47"/>
  <c r="L117" i="47"/>
  <c r="L118" i="47"/>
  <c r="L119" i="47"/>
  <c r="L120" i="47"/>
  <c r="G179" i="21" s="1"/>
  <c r="L121" i="47"/>
  <c r="L122" i="47"/>
  <c r="L105" i="47"/>
  <c r="G274" i="21"/>
  <c r="B403" i="46"/>
  <c r="D403" i="46"/>
  <c r="A12" i="59"/>
  <c r="A13" i="59"/>
  <c r="A14" i="59" s="1"/>
  <c r="A15" i="59" s="1"/>
  <c r="A16" i="59" s="1"/>
  <c r="A17" i="59" s="1"/>
  <c r="H1394" i="35"/>
  <c r="H1395" i="35" s="1"/>
  <c r="D1532" i="35"/>
  <c r="D1866" i="55" s="1"/>
  <c r="E1438" i="35"/>
  <c r="E3600" i="21" s="1"/>
  <c r="F1438" i="35"/>
  <c r="E1863" i="55" s="1"/>
  <c r="D1438" i="35"/>
  <c r="D3600" i="21" s="1"/>
  <c r="H1516" i="35"/>
  <c r="H1517" i="35" s="1"/>
  <c r="H1518" i="35" s="1"/>
  <c r="H1519" i="35" s="1"/>
  <c r="H1520" i="35" s="1"/>
  <c r="H1521" i="35" s="1"/>
  <c r="H1522" i="35" s="1"/>
  <c r="H1523" i="35" s="1"/>
  <c r="H1524" i="35" s="1"/>
  <c r="H1525" i="35" s="1"/>
  <c r="H1526" i="35" s="1"/>
  <c r="H1527" i="35" s="1"/>
  <c r="H1528" i="35" s="1"/>
  <c r="H1529" i="35" s="1"/>
  <c r="H1530" i="35" s="1"/>
  <c r="H1531" i="35" s="1"/>
  <c r="H1498" i="35"/>
  <c r="H1499" i="35" s="1"/>
  <c r="H1500" i="35" s="1"/>
  <c r="H1501" i="35" s="1"/>
  <c r="H1502" i="35" s="1"/>
  <c r="H1503" i="35" s="1"/>
  <c r="H1504" i="35" s="1"/>
  <c r="H1505" i="35" s="1"/>
  <c r="H1506" i="35" s="1"/>
  <c r="H1507" i="35" s="1"/>
  <c r="H1508" i="35" s="1"/>
  <c r="H1422" i="35"/>
  <c r="H1423" i="35" s="1"/>
  <c r="H1424" i="35" s="1"/>
  <c r="H1425" i="35" s="1"/>
  <c r="H1426" i="35" s="1"/>
  <c r="H1427" i="35" s="1"/>
  <c r="H1428" i="35" s="1"/>
  <c r="H1429" i="35" s="1"/>
  <c r="H1430" i="35" s="1"/>
  <c r="H1431" i="35" s="1"/>
  <c r="H1432" i="35" s="1"/>
  <c r="H1433" i="35" s="1"/>
  <c r="H1434" i="35" s="1"/>
  <c r="H1435" i="35" s="1"/>
  <c r="H1436" i="35" s="1"/>
  <c r="H1437" i="35" s="1"/>
  <c r="H1450" i="35"/>
  <c r="H1451" i="35" s="1"/>
  <c r="H1452" i="35" s="1"/>
  <c r="H1453" i="35" s="1"/>
  <c r="H1454" i="35" s="1"/>
  <c r="H1455" i="35" s="1"/>
  <c r="H1456" i="35" s="1"/>
  <c r="H1457" i="35" s="1"/>
  <c r="H1458" i="35" s="1"/>
  <c r="H1459" i="35" s="1"/>
  <c r="H1460" i="35" s="1"/>
  <c r="H1410" i="35"/>
  <c r="H1411" i="35" s="1"/>
  <c r="H1412" i="35" s="1"/>
  <c r="H1406" i="35"/>
  <c r="H1407" i="35" s="1"/>
  <c r="H1408" i="35" s="1"/>
  <c r="H1397" i="35"/>
  <c r="H261" i="35"/>
  <c r="B67" i="36"/>
  <c r="D32" i="52"/>
  <c r="D33" i="52"/>
  <c r="D35" i="52"/>
  <c r="D19" i="52"/>
  <c r="D20" i="52"/>
  <c r="D21" i="52"/>
  <c r="D23" i="52"/>
  <c r="D24" i="52"/>
  <c r="D26" i="52"/>
  <c r="D27" i="52"/>
  <c r="D28" i="52"/>
  <c r="D29" i="52"/>
  <c r="D30" i="52"/>
  <c r="D17" i="52"/>
  <c r="D14" i="52"/>
  <c r="D15" i="52"/>
  <c r="D16" i="52"/>
  <c r="D12" i="52"/>
  <c r="D41" i="52"/>
  <c r="C25" i="52"/>
  <c r="C28" i="52"/>
  <c r="C13" i="52"/>
  <c r="L47" i="52"/>
  <c r="L40" i="52"/>
  <c r="L39" i="52"/>
  <c r="K38" i="52"/>
  <c r="K37" i="52"/>
  <c r="K36" i="52"/>
  <c r="H46" i="52"/>
  <c r="H45" i="52"/>
  <c r="H40" i="52"/>
  <c r="H39" i="52"/>
  <c r="F46" i="52"/>
  <c r="F45" i="52"/>
  <c r="F39" i="52"/>
  <c r="F38" i="52"/>
  <c r="F48" i="52" s="1"/>
  <c r="F37" i="52"/>
  <c r="F36" i="52"/>
  <c r="A1340" i="55"/>
  <c r="A1341" i="55"/>
  <c r="A1342" i="55"/>
  <c r="A1343" i="55"/>
  <c r="A1344" i="55"/>
  <c r="A1345" i="55"/>
  <c r="A1346" i="55"/>
  <c r="A1347" i="55"/>
  <c r="A1348" i="55"/>
  <c r="A1349" i="55"/>
  <c r="A1350" i="55"/>
  <c r="A1351" i="55"/>
  <c r="A1352" i="55"/>
  <c r="A1353" i="55"/>
  <c r="A1354" i="55"/>
  <c r="A1355" i="55"/>
  <c r="A1356" i="55"/>
  <c r="A1357" i="55"/>
  <c r="A1358" i="55"/>
  <c r="A1359" i="55"/>
  <c r="A1360" i="55"/>
  <c r="A1361" i="55"/>
  <c r="A1362" i="55"/>
  <c r="A1363" i="55"/>
  <c r="A1364" i="55"/>
  <c r="A1365" i="55"/>
  <c r="A1366" i="55"/>
  <c r="A1367" i="55"/>
  <c r="A1368" i="55"/>
  <c r="A1369" i="55"/>
  <c r="A1370" i="55"/>
  <c r="A1371" i="55"/>
  <c r="A1372" i="55"/>
  <c r="A1373" i="55"/>
  <c r="A1374" i="55"/>
  <c r="A1375" i="55"/>
  <c r="A1376" i="55"/>
  <c r="A1377" i="55"/>
  <c r="A1378" i="55"/>
  <c r="A1379" i="55"/>
  <c r="A1380" i="55"/>
  <c r="A1381" i="55"/>
  <c r="A1382" i="55"/>
  <c r="A1383" i="55"/>
  <c r="A1384" i="55"/>
  <c r="A1385" i="55"/>
  <c r="A1386" i="55"/>
  <c r="A1387" i="55"/>
  <c r="A1388" i="55"/>
  <c r="A1389" i="55"/>
  <c r="A1390" i="55"/>
  <c r="A1391" i="55"/>
  <c r="A1392" i="55"/>
  <c r="A1393" i="55"/>
  <c r="A1394" i="55"/>
  <c r="A1395" i="55"/>
  <c r="A1396" i="55"/>
  <c r="A1397" i="55"/>
  <c r="A1398" i="55"/>
  <c r="A1399" i="55"/>
  <c r="A1400" i="55"/>
  <c r="A1401" i="55"/>
  <c r="A1402" i="55"/>
  <c r="A1403" i="55"/>
  <c r="A1404" i="55"/>
  <c r="A1405" i="55"/>
  <c r="A1406" i="55"/>
  <c r="A1407" i="55"/>
  <c r="A1408" i="55"/>
  <c r="A1409" i="55"/>
  <c r="A1410" i="55"/>
  <c r="A1411" i="55"/>
  <c r="A1412" i="55"/>
  <c r="A1413" i="55"/>
  <c r="A1414" i="55"/>
  <c r="A1415" i="55"/>
  <c r="A1416" i="55"/>
  <c r="A1417" i="55"/>
  <c r="A1418" i="55"/>
  <c r="A1419" i="55"/>
  <c r="A1420" i="55"/>
  <c r="A1421" i="55"/>
  <c r="A1422" i="55"/>
  <c r="A1423" i="55"/>
  <c r="A1424" i="55"/>
  <c r="A1425" i="55"/>
  <c r="A1426" i="55"/>
  <c r="A1427" i="55"/>
  <c r="A1428" i="55"/>
  <c r="A1429" i="55"/>
  <c r="A1430" i="55"/>
  <c r="A1431" i="55"/>
  <c r="A1432" i="55"/>
  <c r="A1433" i="55"/>
  <c r="A1434" i="55"/>
  <c r="A1435" i="55"/>
  <c r="A1436" i="55"/>
  <c r="A1437" i="55"/>
  <c r="A1438" i="55"/>
  <c r="A1439" i="55"/>
  <c r="A1440" i="55"/>
  <c r="A1441" i="55"/>
  <c r="A1442" i="55"/>
  <c r="A1443" i="55"/>
  <c r="A1444" i="55"/>
  <c r="A1445" i="55"/>
  <c r="A1446" i="55"/>
  <c r="A1447" i="55"/>
  <c r="A1448" i="55"/>
  <c r="A1449" i="55"/>
  <c r="A1450" i="55"/>
  <c r="A1451" i="55"/>
  <c r="A1452" i="55"/>
  <c r="A1453" i="55"/>
  <c r="A1454" i="55"/>
  <c r="A1455" i="55"/>
  <c r="A1456" i="55"/>
  <c r="A1457" i="55"/>
  <c r="A1458" i="55"/>
  <c r="A1459" i="55"/>
  <c r="A1460" i="55"/>
  <c r="A1461" i="55"/>
  <c r="A1462" i="55"/>
  <c r="A1463" i="55"/>
  <c r="A1464" i="55"/>
  <c r="A1465" i="55"/>
  <c r="A1466" i="55"/>
  <c r="A1467" i="55"/>
  <c r="A1468" i="55"/>
  <c r="A1469" i="55"/>
  <c r="A1470" i="55"/>
  <c r="A1471" i="55"/>
  <c r="A1472" i="55"/>
  <c r="A1473" i="55"/>
  <c r="A1474" i="55"/>
  <c r="A1475" i="55"/>
  <c r="A1476" i="55"/>
  <c r="A1477" i="55"/>
  <c r="A1478" i="55"/>
  <c r="A1479" i="55"/>
  <c r="A1480" i="55"/>
  <c r="A1481" i="55"/>
  <c r="A1482" i="55"/>
  <c r="A1483" i="55"/>
  <c r="A1484" i="55"/>
  <c r="A1485" i="55"/>
  <c r="A1486" i="55"/>
  <c r="A1487" i="55"/>
  <c r="A1488" i="55"/>
  <c r="A1489" i="55"/>
  <c r="A1490" i="55"/>
  <c r="A1491" i="55"/>
  <c r="A1492" i="55"/>
  <c r="A1493" i="55"/>
  <c r="A1494" i="55"/>
  <c r="A1495" i="55"/>
  <c r="A1496" i="55"/>
  <c r="A1497" i="55"/>
  <c r="A1498" i="55"/>
  <c r="A1499" i="55"/>
  <c r="A1500" i="55"/>
  <c r="A1501" i="55"/>
  <c r="A1502" i="55"/>
  <c r="A1503" i="55"/>
  <c r="A1504" i="55"/>
  <c r="A1505" i="55"/>
  <c r="A1506" i="55"/>
  <c r="A1507" i="55"/>
  <c r="A1508" i="55"/>
  <c r="A1509" i="55"/>
  <c r="A1510" i="55"/>
  <c r="A1511" i="55"/>
  <c r="A1512" i="55"/>
  <c r="A1513" i="55"/>
  <c r="A1514" i="55"/>
  <c r="A1515" i="55"/>
  <c r="A1516" i="55"/>
  <c r="A1517" i="55"/>
  <c r="A1518" i="55"/>
  <c r="A1519" i="55"/>
  <c r="A1520" i="55"/>
  <c r="A1521" i="55"/>
  <c r="A1522" i="55"/>
  <c r="A1523" i="55"/>
  <c r="A1524" i="55"/>
  <c r="A1525" i="55"/>
  <c r="A1526" i="55"/>
  <c r="A1527" i="55"/>
  <c r="A1528" i="55"/>
  <c r="A1529" i="55"/>
  <c r="A1530" i="55"/>
  <c r="A1531" i="55"/>
  <c r="A1532" i="55"/>
  <c r="A1533" i="55"/>
  <c r="A1534" i="55"/>
  <c r="A1535" i="55"/>
  <c r="A1536" i="55"/>
  <c r="A1537" i="55"/>
  <c r="A1538" i="55"/>
  <c r="A1539" i="55"/>
  <c r="A1540" i="55"/>
  <c r="A1541" i="55"/>
  <c r="A1542" i="55"/>
  <c r="A1543" i="55"/>
  <c r="A1544" i="55"/>
  <c r="A1545" i="55"/>
  <c r="A1546" i="55"/>
  <c r="A1547" i="55"/>
  <c r="A1548" i="55"/>
  <c r="A1549" i="55"/>
  <c r="A1550" i="55"/>
  <c r="A1551" i="55"/>
  <c r="A1552" i="55"/>
  <c r="A1553" i="55"/>
  <c r="A1554" i="55"/>
  <c r="A1555" i="55"/>
  <c r="A1556" i="55"/>
  <c r="A1557" i="55"/>
  <c r="A1558" i="55"/>
  <c r="A1559" i="55"/>
  <c r="A1560" i="55"/>
  <c r="A1561" i="55"/>
  <c r="A1562" i="55"/>
  <c r="A1563" i="55"/>
  <c r="A1564" i="55"/>
  <c r="A1565" i="55"/>
  <c r="A1566" i="55"/>
  <c r="A1567" i="55"/>
  <c r="A1568" i="55"/>
  <c r="A1569" i="55"/>
  <c r="A1570" i="55"/>
  <c r="A1571" i="55"/>
  <c r="A1572" i="55"/>
  <c r="A1573" i="55"/>
  <c r="A1574" i="55"/>
  <c r="A1575" i="55"/>
  <c r="A1576" i="55"/>
  <c r="A1577" i="55"/>
  <c r="A1578" i="55"/>
  <c r="A1579" i="55"/>
  <c r="A1580" i="55"/>
  <c r="A1581" i="55"/>
  <c r="A1582" i="55"/>
  <c r="A1583" i="55"/>
  <c r="A1584" i="55"/>
  <c r="A1585" i="55"/>
  <c r="A1586" i="55"/>
  <c r="A1587" i="55"/>
  <c r="A1588" i="55"/>
  <c r="A1589" i="55"/>
  <c r="A1590" i="55"/>
  <c r="A1591" i="55"/>
  <c r="A1592" i="55"/>
  <c r="A1593" i="55"/>
  <c r="A1594" i="55"/>
  <c r="A1595" i="55"/>
  <c r="A1596" i="55"/>
  <c r="A1597" i="55"/>
  <c r="A1598" i="55"/>
  <c r="A1599" i="55"/>
  <c r="A1600" i="55"/>
  <c r="A1601" i="55"/>
  <c r="A1602" i="55"/>
  <c r="A1603" i="55"/>
  <c r="A1604" i="55"/>
  <c r="A1605" i="55"/>
  <c r="A1606" i="55"/>
  <c r="A1607" i="55"/>
  <c r="A1608" i="55"/>
  <c r="A1609" i="55"/>
  <c r="A1610" i="55"/>
  <c r="A1611" i="55"/>
  <c r="A1612" i="55"/>
  <c r="A1613" i="55"/>
  <c r="A1614" i="55"/>
  <c r="A1615" i="55"/>
  <c r="A1616" i="55"/>
  <c r="A1617" i="55"/>
  <c r="A1618" i="55"/>
  <c r="A1619" i="55"/>
  <c r="A1620" i="55"/>
  <c r="A1621" i="55"/>
  <c r="A1622" i="55"/>
  <c r="A1623" i="55"/>
  <c r="A1624" i="55"/>
  <c r="A1625" i="55"/>
  <c r="A1626" i="55"/>
  <c r="A1627" i="55"/>
  <c r="A1628" i="55"/>
  <c r="A1629" i="55"/>
  <c r="A1630" i="55"/>
  <c r="A1631" i="55"/>
  <c r="A1632" i="55"/>
  <c r="A1633" i="55"/>
  <c r="A1634" i="55"/>
  <c r="A1635" i="55"/>
  <c r="A1636" i="55"/>
  <c r="A1637" i="55"/>
  <c r="A1638" i="55"/>
  <c r="A1639" i="55"/>
  <c r="A1640" i="55"/>
  <c r="A1641" i="55"/>
  <c r="A1642" i="55"/>
  <c r="A1643" i="55"/>
  <c r="A1644" i="55"/>
  <c r="A1645" i="55"/>
  <c r="A1646" i="55"/>
  <c r="A1647" i="55"/>
  <c r="A1648" i="55"/>
  <c r="A1649" i="55"/>
  <c r="A1650" i="55"/>
  <c r="A1651" i="55"/>
  <c r="A1652" i="55"/>
  <c r="A1653" i="55"/>
  <c r="A1654" i="55"/>
  <c r="A1655" i="55"/>
  <c r="A1656" i="55"/>
  <c r="A1657" i="55"/>
  <c r="A1658" i="55"/>
  <c r="A1659" i="55"/>
  <c r="A1660" i="55"/>
  <c r="A1661" i="55"/>
  <c r="A1662" i="55"/>
  <c r="A1663" i="55"/>
  <c r="A1664" i="55"/>
  <c r="A1665" i="55"/>
  <c r="A1666" i="55"/>
  <c r="A1667" i="55"/>
  <c r="A1668" i="55"/>
  <c r="A1669" i="55"/>
  <c r="A1670" i="55"/>
  <c r="A1671" i="55"/>
  <c r="A1672" i="55"/>
  <c r="A1673" i="55"/>
  <c r="A1674" i="55"/>
  <c r="A1675" i="55"/>
  <c r="A1676" i="55"/>
  <c r="A1677" i="55"/>
  <c r="A1678" i="55"/>
  <c r="A1679" i="55"/>
  <c r="A1680" i="55"/>
  <c r="A1681" i="55"/>
  <c r="A1682" i="55"/>
  <c r="A1683" i="55"/>
  <c r="A1684" i="55"/>
  <c r="A1685" i="55"/>
  <c r="A1686" i="55"/>
  <c r="A1687" i="55"/>
  <c r="A1688" i="55"/>
  <c r="A1689" i="55"/>
  <c r="A1690" i="55"/>
  <c r="A1691" i="55"/>
  <c r="A1692" i="55"/>
  <c r="A1693" i="55"/>
  <c r="A1694" i="55"/>
  <c r="A1695" i="55"/>
  <c r="A1696" i="55"/>
  <c r="A1697" i="55"/>
  <c r="A1698" i="55"/>
  <c r="A1699" i="55"/>
  <c r="A1700" i="55"/>
  <c r="A1701" i="55"/>
  <c r="A1702" i="55"/>
  <c r="A1703" i="55"/>
  <c r="A1704" i="55"/>
  <c r="A1339" i="55"/>
  <c r="A1338" i="55"/>
  <c r="I416" i="19"/>
  <c r="B1339" i="55" s="1"/>
  <c r="I417" i="19"/>
  <c r="B1340" i="55" s="1"/>
  <c r="I418" i="19"/>
  <c r="B1341" i="55" s="1"/>
  <c r="I419" i="19"/>
  <c r="B1342" i="55" s="1"/>
  <c r="I420" i="19"/>
  <c r="B1343" i="55" s="1"/>
  <c r="I421" i="19"/>
  <c r="B1344" i="55" s="1"/>
  <c r="I422" i="19"/>
  <c r="B1345" i="55" s="1"/>
  <c r="I423" i="19"/>
  <c r="B1346" i="55" s="1"/>
  <c r="I424" i="19"/>
  <c r="B1347" i="55" s="1"/>
  <c r="I425" i="19"/>
  <c r="B1348" i="55" s="1"/>
  <c r="I426" i="19"/>
  <c r="B1349" i="55" s="1"/>
  <c r="I427" i="19"/>
  <c r="B1350" i="55" s="1"/>
  <c r="I428" i="19"/>
  <c r="B1351" i="55" s="1"/>
  <c r="I429" i="19"/>
  <c r="B1352" i="55" s="1"/>
  <c r="I430" i="19"/>
  <c r="B1353" i="55" s="1"/>
  <c r="I431" i="19"/>
  <c r="B1354" i="55" s="1"/>
  <c r="I432" i="19"/>
  <c r="B1355" i="55" s="1"/>
  <c r="I433" i="19"/>
  <c r="B1356" i="55" s="1"/>
  <c r="I434" i="19"/>
  <c r="B1357" i="55" s="1"/>
  <c r="I435" i="19"/>
  <c r="B1358" i="55" s="1"/>
  <c r="I436" i="19"/>
  <c r="B1359" i="55" s="1"/>
  <c r="I437" i="19"/>
  <c r="B1360" i="55" s="1"/>
  <c r="I438" i="19"/>
  <c r="B1361" i="55" s="1"/>
  <c r="I439" i="19"/>
  <c r="B1362" i="55" s="1"/>
  <c r="I440" i="19"/>
  <c r="B1363" i="55" s="1"/>
  <c r="I441" i="19"/>
  <c r="B1364" i="55" s="1"/>
  <c r="I442" i="19"/>
  <c r="B1365" i="55" s="1"/>
  <c r="I443" i="19"/>
  <c r="B1366" i="55" s="1"/>
  <c r="I444" i="19"/>
  <c r="B1367" i="55" s="1"/>
  <c r="I445" i="19"/>
  <c r="B1368" i="55" s="1"/>
  <c r="I446" i="19"/>
  <c r="B1369" i="55" s="1"/>
  <c r="I448" i="19"/>
  <c r="B1371" i="55" s="1"/>
  <c r="I449" i="19"/>
  <c r="B1372" i="55" s="1"/>
  <c r="I450" i="19"/>
  <c r="B1373" i="55" s="1"/>
  <c r="I451" i="19"/>
  <c r="B1374" i="55" s="1"/>
  <c r="I452" i="19"/>
  <c r="B1375" i="55" s="1"/>
  <c r="I453" i="19"/>
  <c r="B1376" i="55" s="1"/>
  <c r="I454" i="19"/>
  <c r="B1377" i="55" s="1"/>
  <c r="I455" i="19"/>
  <c r="B1378" i="55" s="1"/>
  <c r="I456" i="19"/>
  <c r="B1379" i="55" s="1"/>
  <c r="I457" i="19"/>
  <c r="B1380" i="55" s="1"/>
  <c r="I458" i="19"/>
  <c r="B1381" i="55" s="1"/>
  <c r="I459" i="19"/>
  <c r="B1382" i="55" s="1"/>
  <c r="I460" i="19"/>
  <c r="B1383" i="55" s="1"/>
  <c r="I461" i="19"/>
  <c r="B1384" i="55" s="1"/>
  <c r="I462" i="19"/>
  <c r="B1385" i="55" s="1"/>
  <c r="I463" i="19"/>
  <c r="B1386" i="55" s="1"/>
  <c r="I464" i="19"/>
  <c r="B1387" i="55" s="1"/>
  <c r="I465" i="19"/>
  <c r="B1388" i="55" s="1"/>
  <c r="I466" i="19"/>
  <c r="B1389" i="55" s="1"/>
  <c r="I467" i="19"/>
  <c r="B1390" i="55" s="1"/>
  <c r="I468" i="19"/>
  <c r="B1391" i="55" s="1"/>
  <c r="I469" i="19"/>
  <c r="B1392" i="55" s="1"/>
  <c r="I470" i="19"/>
  <c r="B1393" i="55" s="1"/>
  <c r="I471" i="19"/>
  <c r="B1394" i="55" s="1"/>
  <c r="I472" i="19"/>
  <c r="B1395" i="55" s="1"/>
  <c r="I473" i="19"/>
  <c r="B1396" i="55" s="1"/>
  <c r="I474" i="19"/>
  <c r="B1397" i="55" s="1"/>
  <c r="I475" i="19"/>
  <c r="B1398" i="55" s="1"/>
  <c r="I476" i="19"/>
  <c r="B1399" i="55" s="1"/>
  <c r="I477" i="19"/>
  <c r="B1400" i="55" s="1"/>
  <c r="I478" i="19"/>
  <c r="B1401" i="55" s="1"/>
  <c r="I479" i="19"/>
  <c r="B1402" i="55" s="1"/>
  <c r="I480" i="19"/>
  <c r="B1403" i="55" s="1"/>
  <c r="I481" i="19"/>
  <c r="B1404" i="55" s="1"/>
  <c r="I482" i="19"/>
  <c r="B1405" i="55" s="1"/>
  <c r="I483" i="19"/>
  <c r="B1406" i="55" s="1"/>
  <c r="I484" i="19"/>
  <c r="B1407" i="55" s="1"/>
  <c r="I485" i="19"/>
  <c r="B1408" i="55" s="1"/>
  <c r="I486" i="19"/>
  <c r="B1409" i="55" s="1"/>
  <c r="I487" i="19"/>
  <c r="B1410" i="55" s="1"/>
  <c r="I488" i="19"/>
  <c r="B1411" i="55" s="1"/>
  <c r="I489" i="19"/>
  <c r="B1412" i="55" s="1"/>
  <c r="I490" i="19"/>
  <c r="B1413" i="55" s="1"/>
  <c r="I491" i="19"/>
  <c r="B1414" i="55" s="1"/>
  <c r="I492" i="19"/>
  <c r="B1415" i="55" s="1"/>
  <c r="I493" i="19"/>
  <c r="B1416" i="55" s="1"/>
  <c r="I494" i="19"/>
  <c r="B1417" i="55" s="1"/>
  <c r="I495" i="19"/>
  <c r="B1418" i="55" s="1"/>
  <c r="I496" i="19"/>
  <c r="B1419" i="55" s="1"/>
  <c r="I497" i="19"/>
  <c r="B1420" i="55" s="1"/>
  <c r="I498" i="19"/>
  <c r="B1421" i="55" s="1"/>
  <c r="I499" i="19"/>
  <c r="B1422" i="55" s="1"/>
  <c r="I500" i="19"/>
  <c r="B1423" i="55" s="1"/>
  <c r="I501" i="19"/>
  <c r="B1424" i="55" s="1"/>
  <c r="I502" i="19"/>
  <c r="B1425" i="55" s="1"/>
  <c r="I503" i="19"/>
  <c r="B1426" i="55" s="1"/>
  <c r="I504" i="19"/>
  <c r="B1427" i="55" s="1"/>
  <c r="I505" i="19"/>
  <c r="B1428" i="55" s="1"/>
  <c r="I506" i="19"/>
  <c r="B1429" i="55" s="1"/>
  <c r="I507" i="19"/>
  <c r="B1430" i="55" s="1"/>
  <c r="I508" i="19"/>
  <c r="B1431" i="55" s="1"/>
  <c r="I509" i="19"/>
  <c r="B1432" i="55" s="1"/>
  <c r="I510" i="19"/>
  <c r="B1433" i="55" s="1"/>
  <c r="I511" i="19"/>
  <c r="B1434" i="55" s="1"/>
  <c r="I512" i="19"/>
  <c r="B1435" i="55" s="1"/>
  <c r="I513" i="19"/>
  <c r="B1436" i="55" s="1"/>
  <c r="I514" i="19"/>
  <c r="B1437" i="55" s="1"/>
  <c r="I515" i="19"/>
  <c r="B1438" i="55" s="1"/>
  <c r="I516" i="19"/>
  <c r="B1439" i="55" s="1"/>
  <c r="I517" i="19"/>
  <c r="B1440" i="55" s="1"/>
  <c r="I518" i="19"/>
  <c r="B1441" i="55" s="1"/>
  <c r="I519" i="19"/>
  <c r="B1442" i="55" s="1"/>
  <c r="I520" i="19"/>
  <c r="B1443" i="55" s="1"/>
  <c r="I521" i="19"/>
  <c r="B1444" i="55" s="1"/>
  <c r="I522" i="19"/>
  <c r="B1445" i="55" s="1"/>
  <c r="I523" i="19"/>
  <c r="B1446" i="55" s="1"/>
  <c r="I524" i="19"/>
  <c r="B1447" i="55" s="1"/>
  <c r="I525" i="19"/>
  <c r="B1448" i="55" s="1"/>
  <c r="I526" i="19"/>
  <c r="B1449" i="55" s="1"/>
  <c r="I527" i="19"/>
  <c r="B1450" i="55" s="1"/>
  <c r="I528" i="19"/>
  <c r="B1451" i="55" s="1"/>
  <c r="I529" i="19"/>
  <c r="B1452" i="55" s="1"/>
  <c r="I530" i="19"/>
  <c r="B1453" i="55" s="1"/>
  <c r="I531" i="19"/>
  <c r="B1454" i="55" s="1"/>
  <c r="I532" i="19"/>
  <c r="B1455" i="55" s="1"/>
  <c r="I533" i="19"/>
  <c r="B1456" i="55" s="1"/>
  <c r="I534" i="19"/>
  <c r="B1457" i="55" s="1"/>
  <c r="I535" i="19"/>
  <c r="B1458" i="55" s="1"/>
  <c r="I536" i="19"/>
  <c r="B1459" i="55" s="1"/>
  <c r="I537" i="19"/>
  <c r="B1460" i="55" s="1"/>
  <c r="I538" i="19"/>
  <c r="B1461" i="55" s="1"/>
  <c r="I539" i="19"/>
  <c r="B1462" i="55" s="1"/>
  <c r="I540" i="19"/>
  <c r="B1463" i="55" s="1"/>
  <c r="I541" i="19"/>
  <c r="B1464" i="55" s="1"/>
  <c r="I542" i="19"/>
  <c r="B1465" i="55" s="1"/>
  <c r="I543" i="19"/>
  <c r="B1466" i="55" s="1"/>
  <c r="I544" i="19"/>
  <c r="B1467" i="55" s="1"/>
  <c r="I545" i="19"/>
  <c r="B1468" i="55" s="1"/>
  <c r="I546" i="19"/>
  <c r="B1469" i="55" s="1"/>
  <c r="I547" i="19"/>
  <c r="B1470" i="55" s="1"/>
  <c r="I548" i="19"/>
  <c r="B1471" i="55" s="1"/>
  <c r="I549" i="19"/>
  <c r="B1472" i="55" s="1"/>
  <c r="I550" i="19"/>
  <c r="B1473" i="55" s="1"/>
  <c r="I551" i="19"/>
  <c r="B1474" i="55" s="1"/>
  <c r="I552" i="19"/>
  <c r="B1475" i="55" s="1"/>
  <c r="I553" i="19"/>
  <c r="B1476" i="55" s="1"/>
  <c r="I554" i="19"/>
  <c r="B1477" i="55" s="1"/>
  <c r="I555" i="19"/>
  <c r="B1478" i="55" s="1"/>
  <c r="I556" i="19"/>
  <c r="B1479" i="55" s="1"/>
  <c r="I557" i="19"/>
  <c r="B1480" i="55" s="1"/>
  <c r="I558" i="19"/>
  <c r="B1481" i="55" s="1"/>
  <c r="I559" i="19"/>
  <c r="B1482" i="55" s="1"/>
  <c r="I560" i="19"/>
  <c r="B1483" i="55" s="1"/>
  <c r="I561" i="19"/>
  <c r="B1484" i="55" s="1"/>
  <c r="I562" i="19"/>
  <c r="B1485" i="55" s="1"/>
  <c r="I563" i="19"/>
  <c r="B1486" i="55" s="1"/>
  <c r="I564" i="19"/>
  <c r="B1487" i="55" s="1"/>
  <c r="I565" i="19"/>
  <c r="B1488" i="55" s="1"/>
  <c r="I566" i="19"/>
  <c r="B1489" i="55" s="1"/>
  <c r="I567" i="19"/>
  <c r="B1490" i="55" s="1"/>
  <c r="I568" i="19"/>
  <c r="B1491" i="55" s="1"/>
  <c r="I569" i="19"/>
  <c r="B1492" i="55" s="1"/>
  <c r="I570" i="19"/>
  <c r="B1493" i="55" s="1"/>
  <c r="I571" i="19"/>
  <c r="B1494" i="55" s="1"/>
  <c r="I572" i="19"/>
  <c r="B1495" i="55" s="1"/>
  <c r="I573" i="19"/>
  <c r="B1496" i="55" s="1"/>
  <c r="I574" i="19"/>
  <c r="B1497" i="55" s="1"/>
  <c r="I575" i="19"/>
  <c r="B1498" i="55" s="1"/>
  <c r="I576" i="19"/>
  <c r="B1499" i="55" s="1"/>
  <c r="I577" i="19"/>
  <c r="B1500" i="55" s="1"/>
  <c r="I578" i="19"/>
  <c r="B1501" i="55" s="1"/>
  <c r="I579" i="19"/>
  <c r="B1502" i="55" s="1"/>
  <c r="I580" i="19"/>
  <c r="B1503" i="55" s="1"/>
  <c r="I581" i="19"/>
  <c r="B1504" i="55" s="1"/>
  <c r="I582" i="19"/>
  <c r="B1505" i="55" s="1"/>
  <c r="I583" i="19"/>
  <c r="B1506" i="55" s="1"/>
  <c r="I584" i="19"/>
  <c r="B1507" i="55" s="1"/>
  <c r="I585" i="19"/>
  <c r="B1508" i="55" s="1"/>
  <c r="I586" i="19"/>
  <c r="B1509" i="55" s="1"/>
  <c r="I587" i="19"/>
  <c r="B1510" i="55" s="1"/>
  <c r="I588" i="19"/>
  <c r="B1511" i="55" s="1"/>
  <c r="I589" i="19"/>
  <c r="B1512" i="55" s="1"/>
  <c r="I590" i="19"/>
  <c r="B1513" i="55" s="1"/>
  <c r="I591" i="19"/>
  <c r="B1514" i="55" s="1"/>
  <c r="I592" i="19"/>
  <c r="B1515" i="55" s="1"/>
  <c r="I593" i="19"/>
  <c r="B1516" i="55" s="1"/>
  <c r="I594" i="19"/>
  <c r="B1517" i="55" s="1"/>
  <c r="I595" i="19"/>
  <c r="B1518" i="55" s="1"/>
  <c r="I596" i="19"/>
  <c r="B1519" i="55" s="1"/>
  <c r="I597" i="19"/>
  <c r="B1520" i="55" s="1"/>
  <c r="I598" i="19"/>
  <c r="B1521" i="55" s="1"/>
  <c r="I599" i="19"/>
  <c r="B1522" i="55" s="1"/>
  <c r="I600" i="19"/>
  <c r="B1523" i="55" s="1"/>
  <c r="I601" i="19"/>
  <c r="B1524" i="55" s="1"/>
  <c r="I602" i="19"/>
  <c r="B1525" i="55" s="1"/>
  <c r="I603" i="19"/>
  <c r="B1526" i="55" s="1"/>
  <c r="I604" i="19"/>
  <c r="B1527" i="55" s="1"/>
  <c r="I605" i="19"/>
  <c r="B1528" i="55" s="1"/>
  <c r="I606" i="19"/>
  <c r="B1529" i="55" s="1"/>
  <c r="I607" i="19"/>
  <c r="B1530" i="55" s="1"/>
  <c r="I608" i="19"/>
  <c r="B1531" i="55" s="1"/>
  <c r="I609" i="19"/>
  <c r="B1532" i="55" s="1"/>
  <c r="I610" i="19"/>
  <c r="B1533" i="55" s="1"/>
  <c r="I611" i="19"/>
  <c r="B1534" i="55" s="1"/>
  <c r="I612" i="19"/>
  <c r="B1535" i="55" s="1"/>
  <c r="I613" i="19"/>
  <c r="B1536" i="55" s="1"/>
  <c r="I614" i="19"/>
  <c r="B1537" i="55" s="1"/>
  <c r="I615" i="19"/>
  <c r="B1538" i="55" s="1"/>
  <c r="I616" i="19"/>
  <c r="B1539" i="55" s="1"/>
  <c r="I617" i="19"/>
  <c r="B1540" i="55" s="1"/>
  <c r="I618" i="19"/>
  <c r="B1541" i="55" s="1"/>
  <c r="I619" i="19"/>
  <c r="B1542" i="55" s="1"/>
  <c r="I620" i="19"/>
  <c r="B1543" i="55" s="1"/>
  <c r="I621" i="19"/>
  <c r="B1544" i="55" s="1"/>
  <c r="I622" i="19"/>
  <c r="B1545" i="55" s="1"/>
  <c r="I623" i="19"/>
  <c r="B1546" i="55" s="1"/>
  <c r="I624" i="19"/>
  <c r="B1547" i="55" s="1"/>
  <c r="I625" i="19"/>
  <c r="B1548" i="55" s="1"/>
  <c r="I626" i="19"/>
  <c r="B1549" i="55" s="1"/>
  <c r="I627" i="19"/>
  <c r="B1550" i="55" s="1"/>
  <c r="I628" i="19"/>
  <c r="B1551" i="55" s="1"/>
  <c r="I629" i="19"/>
  <c r="B1552" i="55" s="1"/>
  <c r="I630" i="19"/>
  <c r="B1553" i="55" s="1"/>
  <c r="I631" i="19"/>
  <c r="B1554" i="55" s="1"/>
  <c r="I632" i="19"/>
  <c r="B1555" i="55" s="1"/>
  <c r="I633" i="19"/>
  <c r="B1556" i="55" s="1"/>
  <c r="I634" i="19"/>
  <c r="B1557" i="55" s="1"/>
  <c r="I635" i="19"/>
  <c r="B1558" i="55" s="1"/>
  <c r="I636" i="19"/>
  <c r="B1559" i="55" s="1"/>
  <c r="I637" i="19"/>
  <c r="B1560" i="55" s="1"/>
  <c r="I638" i="19"/>
  <c r="B1561" i="55" s="1"/>
  <c r="I639" i="19"/>
  <c r="B1562" i="55" s="1"/>
  <c r="I640" i="19"/>
  <c r="B1563" i="55" s="1"/>
  <c r="I641" i="19"/>
  <c r="B1564" i="55" s="1"/>
  <c r="I642" i="19"/>
  <c r="B1565" i="55" s="1"/>
  <c r="I643" i="19"/>
  <c r="B1566" i="55" s="1"/>
  <c r="I644" i="19"/>
  <c r="B1567" i="55" s="1"/>
  <c r="I645" i="19"/>
  <c r="B1568" i="55" s="1"/>
  <c r="I646" i="19"/>
  <c r="B1569" i="55" s="1"/>
  <c r="I647" i="19"/>
  <c r="B1570" i="55" s="1"/>
  <c r="I648" i="19"/>
  <c r="B1571" i="55" s="1"/>
  <c r="I649" i="19"/>
  <c r="B1572" i="55" s="1"/>
  <c r="I650" i="19"/>
  <c r="B1573" i="55" s="1"/>
  <c r="I651" i="19"/>
  <c r="B1574" i="55" s="1"/>
  <c r="I652" i="19"/>
  <c r="B1575" i="55" s="1"/>
  <c r="I653" i="19"/>
  <c r="B1576" i="55" s="1"/>
  <c r="I654" i="19"/>
  <c r="B1577" i="55" s="1"/>
  <c r="I655" i="19"/>
  <c r="B1578" i="55" s="1"/>
  <c r="I656" i="19"/>
  <c r="B1579" i="55" s="1"/>
  <c r="I657" i="19"/>
  <c r="B1580" i="55" s="1"/>
  <c r="I658" i="19"/>
  <c r="B1581" i="55" s="1"/>
  <c r="I659" i="19"/>
  <c r="B1582" i="55" s="1"/>
  <c r="I660" i="19"/>
  <c r="B1583" i="55" s="1"/>
  <c r="I661" i="19"/>
  <c r="B1584" i="55" s="1"/>
  <c r="I662" i="19"/>
  <c r="B1585" i="55" s="1"/>
  <c r="I663" i="19"/>
  <c r="B1586" i="55" s="1"/>
  <c r="I664" i="19"/>
  <c r="B1587" i="55" s="1"/>
  <c r="I665" i="19"/>
  <c r="B1588" i="55" s="1"/>
  <c r="I666" i="19"/>
  <c r="B1589" i="55" s="1"/>
  <c r="I667" i="19"/>
  <c r="B1590" i="55" s="1"/>
  <c r="I668" i="19"/>
  <c r="B1591" i="55" s="1"/>
  <c r="I669" i="19"/>
  <c r="B1592" i="55" s="1"/>
  <c r="I670" i="19"/>
  <c r="B1593" i="55" s="1"/>
  <c r="I671" i="19"/>
  <c r="B1594" i="55" s="1"/>
  <c r="I672" i="19"/>
  <c r="B1595" i="55" s="1"/>
  <c r="I673" i="19"/>
  <c r="B1596" i="55" s="1"/>
  <c r="I674" i="19"/>
  <c r="B1597" i="55" s="1"/>
  <c r="I675" i="19"/>
  <c r="B1598" i="55" s="1"/>
  <c r="I676" i="19"/>
  <c r="B1599" i="55" s="1"/>
  <c r="I677" i="19"/>
  <c r="B1600" i="55" s="1"/>
  <c r="I678" i="19"/>
  <c r="B1601" i="55" s="1"/>
  <c r="I679" i="19"/>
  <c r="B1602" i="55" s="1"/>
  <c r="I680" i="19"/>
  <c r="B1603" i="55" s="1"/>
  <c r="I681" i="19"/>
  <c r="B1604" i="55" s="1"/>
  <c r="I682" i="19"/>
  <c r="B1605" i="55" s="1"/>
  <c r="I683" i="19"/>
  <c r="B1606" i="55" s="1"/>
  <c r="I684" i="19"/>
  <c r="B1607" i="55" s="1"/>
  <c r="I685" i="19"/>
  <c r="B1608" i="55" s="1"/>
  <c r="I686" i="19"/>
  <c r="B1609" i="55" s="1"/>
  <c r="I687" i="19"/>
  <c r="B1610" i="55" s="1"/>
  <c r="I688" i="19"/>
  <c r="B1611" i="55" s="1"/>
  <c r="I689" i="19"/>
  <c r="B1612" i="55" s="1"/>
  <c r="I690" i="19"/>
  <c r="B1613" i="55" s="1"/>
  <c r="I691" i="19"/>
  <c r="B1614" i="55" s="1"/>
  <c r="I692" i="19"/>
  <c r="B1615" i="55" s="1"/>
  <c r="I693" i="19"/>
  <c r="B1616" i="55" s="1"/>
  <c r="I694" i="19"/>
  <c r="B1617" i="55" s="1"/>
  <c r="I695" i="19"/>
  <c r="B1618" i="55" s="1"/>
  <c r="I696" i="19"/>
  <c r="B1619" i="55" s="1"/>
  <c r="I697" i="19"/>
  <c r="B1620" i="55" s="1"/>
  <c r="I698" i="19"/>
  <c r="B1621" i="55" s="1"/>
  <c r="I699" i="19"/>
  <c r="B1622" i="55" s="1"/>
  <c r="I700" i="19"/>
  <c r="B1623" i="55" s="1"/>
  <c r="I701" i="19"/>
  <c r="B1624" i="55" s="1"/>
  <c r="I702" i="19"/>
  <c r="B1625" i="55" s="1"/>
  <c r="I703" i="19"/>
  <c r="B1626" i="55" s="1"/>
  <c r="I704" i="19"/>
  <c r="B1627" i="55" s="1"/>
  <c r="I705" i="19"/>
  <c r="B1628" i="55" s="1"/>
  <c r="I706" i="19"/>
  <c r="B1629" i="55" s="1"/>
  <c r="I707" i="19"/>
  <c r="B1630" i="55" s="1"/>
  <c r="I709" i="19"/>
  <c r="B1632" i="55" s="1"/>
  <c r="I710" i="19"/>
  <c r="B1633" i="55" s="1"/>
  <c r="I711" i="19"/>
  <c r="B1634" i="55" s="1"/>
  <c r="I712" i="19"/>
  <c r="B1635" i="55" s="1"/>
  <c r="I713" i="19"/>
  <c r="B1636" i="55" s="1"/>
  <c r="I714" i="19"/>
  <c r="B1637" i="55" s="1"/>
  <c r="I715" i="19"/>
  <c r="B1638" i="55" s="1"/>
  <c r="I716" i="19"/>
  <c r="B1639" i="55" s="1"/>
  <c r="I717" i="19"/>
  <c r="B1640" i="55" s="1"/>
  <c r="I718" i="19"/>
  <c r="B1641" i="55" s="1"/>
  <c r="I719" i="19"/>
  <c r="B1642" i="55" s="1"/>
  <c r="I720" i="19"/>
  <c r="B1643" i="55" s="1"/>
  <c r="I721" i="19"/>
  <c r="B1644" i="55" s="1"/>
  <c r="I722" i="19"/>
  <c r="B1645" i="55" s="1"/>
  <c r="I723" i="19"/>
  <c r="B1646" i="55" s="1"/>
  <c r="I724" i="19"/>
  <c r="B1647" i="55" s="1"/>
  <c r="I725" i="19"/>
  <c r="B1648" i="55" s="1"/>
  <c r="I726" i="19"/>
  <c r="B1649" i="55" s="1"/>
  <c r="I727" i="19"/>
  <c r="B1650" i="55" s="1"/>
  <c r="I728" i="19"/>
  <c r="B1651" i="55" s="1"/>
  <c r="I729" i="19"/>
  <c r="B1652" i="55" s="1"/>
  <c r="I730" i="19"/>
  <c r="B1653" i="55" s="1"/>
  <c r="I731" i="19"/>
  <c r="B1654" i="55" s="1"/>
  <c r="I732" i="19"/>
  <c r="B1655" i="55" s="1"/>
  <c r="I733" i="19"/>
  <c r="B1656" i="55" s="1"/>
  <c r="I734" i="19"/>
  <c r="B1657" i="55" s="1"/>
  <c r="I735" i="19"/>
  <c r="B1658" i="55" s="1"/>
  <c r="I736" i="19"/>
  <c r="B1659" i="55" s="1"/>
  <c r="I737" i="19"/>
  <c r="B1660" i="55" s="1"/>
  <c r="I738" i="19"/>
  <c r="B1661" i="55" s="1"/>
  <c r="I739" i="19"/>
  <c r="B1662" i="55" s="1"/>
  <c r="I740" i="19"/>
  <c r="B1663" i="55" s="1"/>
  <c r="I741" i="19"/>
  <c r="B1664" i="55" s="1"/>
  <c r="I742" i="19"/>
  <c r="B1665" i="55" s="1"/>
  <c r="I743" i="19"/>
  <c r="B1666" i="55" s="1"/>
  <c r="I744" i="19"/>
  <c r="B1667" i="55" s="1"/>
  <c r="I745" i="19"/>
  <c r="B1668" i="55" s="1"/>
  <c r="I746" i="19"/>
  <c r="B1669" i="55" s="1"/>
  <c r="I747" i="19"/>
  <c r="B1670" i="55" s="1"/>
  <c r="I748" i="19"/>
  <c r="B1671" i="55" s="1"/>
  <c r="I749" i="19"/>
  <c r="B1672" i="55" s="1"/>
  <c r="I750" i="19"/>
  <c r="B1673" i="55" s="1"/>
  <c r="I751" i="19"/>
  <c r="B1674" i="55" s="1"/>
  <c r="I752" i="19"/>
  <c r="B1675" i="55" s="1"/>
  <c r="I753" i="19"/>
  <c r="B1676" i="55" s="1"/>
  <c r="I754" i="19"/>
  <c r="B1677" i="55" s="1"/>
  <c r="I755" i="19"/>
  <c r="B1678" i="55" s="1"/>
  <c r="I756" i="19"/>
  <c r="B1679" i="55" s="1"/>
  <c r="I757" i="19"/>
  <c r="B1680" i="55" s="1"/>
  <c r="I758" i="19"/>
  <c r="B1681" i="55" s="1"/>
  <c r="I759" i="19"/>
  <c r="B1682" i="55" s="1"/>
  <c r="I760" i="19"/>
  <c r="B1683" i="55" s="1"/>
  <c r="I761" i="19"/>
  <c r="B1684" i="55" s="1"/>
  <c r="I762" i="19"/>
  <c r="B1685" i="55" s="1"/>
  <c r="I763" i="19"/>
  <c r="B1686" i="55" s="1"/>
  <c r="I764" i="19"/>
  <c r="B1687" i="55" s="1"/>
  <c r="I765" i="19"/>
  <c r="B1688" i="55" s="1"/>
  <c r="I766" i="19"/>
  <c r="B1689" i="55" s="1"/>
  <c r="I767" i="19"/>
  <c r="B1690" i="55" s="1"/>
  <c r="I768" i="19"/>
  <c r="B1691" i="55" s="1"/>
  <c r="I769" i="19"/>
  <c r="B1692" i="55" s="1"/>
  <c r="I770" i="19"/>
  <c r="B1693" i="55" s="1"/>
  <c r="I771" i="19"/>
  <c r="B1694" i="55" s="1"/>
  <c r="I772" i="19"/>
  <c r="B1695" i="55" s="1"/>
  <c r="I773" i="19"/>
  <c r="B1696" i="55" s="1"/>
  <c r="I774" i="19"/>
  <c r="B1697" i="55" s="1"/>
  <c r="I775" i="19"/>
  <c r="B1698" i="55" s="1"/>
  <c r="I776" i="19"/>
  <c r="B1699" i="55" s="1"/>
  <c r="I777" i="19"/>
  <c r="B1700" i="55" s="1"/>
  <c r="I778" i="19"/>
  <c r="B1701" i="55" s="1"/>
  <c r="I779" i="19"/>
  <c r="B1702" i="55" s="1"/>
  <c r="I780" i="19"/>
  <c r="B1703" i="55" s="1"/>
  <c r="I781" i="19"/>
  <c r="B1704" i="55" s="1"/>
  <c r="I415" i="19"/>
  <c r="B1338" i="55" s="1"/>
  <c r="I181" i="19"/>
  <c r="I205" i="19"/>
  <c r="I206" i="19"/>
  <c r="I207" i="19"/>
  <c r="I208" i="19"/>
  <c r="I209" i="19"/>
  <c r="I210" i="19"/>
  <c r="I211" i="19"/>
  <c r="I212" i="19"/>
  <c r="I213" i="19"/>
  <c r="I214" i="19"/>
  <c r="I215" i="19"/>
  <c r="I216" i="19"/>
  <c r="I217" i="19"/>
  <c r="I218" i="19"/>
  <c r="I219" i="19"/>
  <c r="I220" i="19"/>
  <c r="I221" i="19"/>
  <c r="I222" i="19"/>
  <c r="I223" i="19"/>
  <c r="I224" i="19"/>
  <c r="I225" i="19"/>
  <c r="I226" i="19"/>
  <c r="I227" i="19"/>
  <c r="I228" i="19"/>
  <c r="I229" i="19"/>
  <c r="I230" i="19"/>
  <c r="I231" i="19"/>
  <c r="I232" i="19"/>
  <c r="I233" i="19"/>
  <c r="I234" i="19"/>
  <c r="I235" i="19"/>
  <c r="I236" i="19"/>
  <c r="I237" i="19"/>
  <c r="I238" i="19"/>
  <c r="I239" i="19"/>
  <c r="I240" i="19"/>
  <c r="I241" i="19"/>
  <c r="I242" i="19"/>
  <c r="I243" i="19"/>
  <c r="I244" i="19"/>
  <c r="I245" i="19"/>
  <c r="I246" i="19"/>
  <c r="I247" i="19"/>
  <c r="I248" i="19"/>
  <c r="I249" i="19"/>
  <c r="I250" i="19"/>
  <c r="I251" i="19"/>
  <c r="I252" i="19"/>
  <c r="I253" i="19"/>
  <c r="I254" i="19"/>
  <c r="I255" i="19"/>
  <c r="I256" i="19"/>
  <c r="I257" i="19"/>
  <c r="I258" i="19"/>
  <c r="I259" i="19"/>
  <c r="I260" i="19"/>
  <c r="I261" i="19"/>
  <c r="I262" i="19"/>
  <c r="I263" i="19"/>
  <c r="I264" i="19"/>
  <c r="I265" i="19"/>
  <c r="I266" i="19"/>
  <c r="I267" i="19"/>
  <c r="I268" i="19"/>
  <c r="I269" i="19"/>
  <c r="I270" i="19"/>
  <c r="I271" i="19"/>
  <c r="I272" i="19"/>
  <c r="I273" i="19"/>
  <c r="I274" i="19"/>
  <c r="I275" i="19"/>
  <c r="I276" i="19"/>
  <c r="I277" i="19"/>
  <c r="I278" i="19"/>
  <c r="I279" i="19"/>
  <c r="I280" i="19"/>
  <c r="I281" i="19"/>
  <c r="I282" i="19"/>
  <c r="I283" i="19"/>
  <c r="I284" i="19"/>
  <c r="I285" i="19"/>
  <c r="I286" i="19"/>
  <c r="I287" i="19"/>
  <c r="I288" i="19"/>
  <c r="I289" i="19"/>
  <c r="I290" i="19"/>
  <c r="I291" i="19"/>
  <c r="I292" i="19"/>
  <c r="I293" i="19"/>
  <c r="I294" i="19"/>
  <c r="I295" i="19"/>
  <c r="I296" i="19"/>
  <c r="I297" i="19"/>
  <c r="I298" i="19"/>
  <c r="I299" i="19"/>
  <c r="I300" i="19"/>
  <c r="I301" i="19"/>
  <c r="I302" i="19"/>
  <c r="I303" i="19"/>
  <c r="I304" i="19"/>
  <c r="I305" i="19"/>
  <c r="I306" i="19"/>
  <c r="I307" i="19"/>
  <c r="I308" i="19"/>
  <c r="I309" i="19"/>
  <c r="I310" i="19"/>
  <c r="I311" i="19"/>
  <c r="I312" i="19"/>
  <c r="I313" i="19"/>
  <c r="I314" i="19"/>
  <c r="I315" i="19"/>
  <c r="I316" i="19"/>
  <c r="I317" i="19"/>
  <c r="I318" i="19"/>
  <c r="I319" i="19"/>
  <c r="I320" i="19"/>
  <c r="I321" i="19"/>
  <c r="I322" i="19"/>
  <c r="I323" i="19"/>
  <c r="I324" i="19"/>
  <c r="I325" i="19"/>
  <c r="I326" i="19"/>
  <c r="I327" i="19"/>
  <c r="I328" i="19"/>
  <c r="I329" i="19"/>
  <c r="I330" i="19"/>
  <c r="I331" i="19"/>
  <c r="I332" i="19"/>
  <c r="I333" i="19"/>
  <c r="I334" i="19"/>
  <c r="I335" i="19"/>
  <c r="I336" i="19"/>
  <c r="I337" i="19"/>
  <c r="I338" i="19"/>
  <c r="I339" i="19"/>
  <c r="I340" i="19"/>
  <c r="I341" i="19"/>
  <c r="I342" i="19"/>
  <c r="I343" i="19"/>
  <c r="I344" i="19"/>
  <c r="I345" i="19"/>
  <c r="I346" i="19"/>
  <c r="I347" i="19"/>
  <c r="I348" i="19"/>
  <c r="I349" i="19"/>
  <c r="I350" i="19"/>
  <c r="I351" i="19"/>
  <c r="I352" i="19"/>
  <c r="I353" i="19"/>
  <c r="I354" i="19"/>
  <c r="I355" i="19"/>
  <c r="I356" i="19"/>
  <c r="I357" i="19"/>
  <c r="I358" i="19"/>
  <c r="I359" i="19"/>
  <c r="I360" i="19"/>
  <c r="I361" i="19"/>
  <c r="I362" i="19"/>
  <c r="I363" i="19"/>
  <c r="I364" i="19"/>
  <c r="I365" i="19"/>
  <c r="I366" i="19"/>
  <c r="I367" i="19"/>
  <c r="I368" i="19"/>
  <c r="I369" i="19"/>
  <c r="I370" i="19"/>
  <c r="I371" i="19"/>
  <c r="I372" i="19"/>
  <c r="I373" i="19"/>
  <c r="I374" i="19"/>
  <c r="I375" i="19"/>
  <c r="I376" i="19"/>
  <c r="I377" i="19"/>
  <c r="I378" i="19"/>
  <c r="I379" i="19"/>
  <c r="I380" i="19"/>
  <c r="I381" i="19"/>
  <c r="I382" i="19"/>
  <c r="I383" i="19"/>
  <c r="I384" i="19"/>
  <c r="I385" i="19"/>
  <c r="I386" i="19"/>
  <c r="I387" i="19"/>
  <c r="I388" i="19"/>
  <c r="I389" i="19"/>
  <c r="I390" i="19"/>
  <c r="I391" i="19"/>
  <c r="I392" i="19"/>
  <c r="I393" i="19"/>
  <c r="I394" i="19"/>
  <c r="I395" i="19"/>
  <c r="I396" i="19"/>
  <c r="I397" i="19"/>
  <c r="I398" i="19"/>
  <c r="I399" i="19"/>
  <c r="I400" i="19"/>
  <c r="I401" i="19"/>
  <c r="I402" i="19"/>
  <c r="I403" i="19"/>
  <c r="I404" i="19"/>
  <c r="I405" i="19"/>
  <c r="I406" i="19"/>
  <c r="I407" i="19"/>
  <c r="I408" i="19"/>
  <c r="I409" i="19"/>
  <c r="I410" i="19"/>
  <c r="I411" i="19"/>
  <c r="I412" i="19"/>
  <c r="I413" i="19"/>
  <c r="I8" i="19"/>
  <c r="B2668" i="21" s="1"/>
  <c r="D2668" i="21" s="1"/>
  <c r="I9" i="19"/>
  <c r="B2669" i="21" s="1"/>
  <c r="B932" i="55" s="1"/>
  <c r="I10" i="19"/>
  <c r="B2670" i="21" s="1"/>
  <c r="B933" i="55" s="1"/>
  <c r="I11" i="19"/>
  <c r="B2671" i="21" s="1"/>
  <c r="B934" i="55" s="1"/>
  <c r="I12" i="19"/>
  <c r="B2672" i="21" s="1"/>
  <c r="B935" i="55" s="1"/>
  <c r="I13" i="19"/>
  <c r="B2673" i="21" s="1"/>
  <c r="D2673" i="21" s="1"/>
  <c r="I14" i="19"/>
  <c r="B2674" i="21" s="1"/>
  <c r="B937" i="55" s="1"/>
  <c r="I15" i="19"/>
  <c r="B2675" i="21" s="1"/>
  <c r="B938" i="55" s="1"/>
  <c r="I16" i="19"/>
  <c r="B2676" i="21" s="1"/>
  <c r="B939" i="55" s="1"/>
  <c r="I17" i="19"/>
  <c r="B2677" i="21" s="1"/>
  <c r="B940" i="55" s="1"/>
  <c r="I18" i="19"/>
  <c r="B2678" i="21" s="1"/>
  <c r="B941" i="55" s="1"/>
  <c r="I19" i="19"/>
  <c r="B2679" i="21" s="1"/>
  <c r="B942" i="55" s="1"/>
  <c r="I20" i="19"/>
  <c r="B2680" i="21" s="1"/>
  <c r="B943" i="55" s="1"/>
  <c r="I21" i="19"/>
  <c r="B2681" i="21" s="1"/>
  <c r="B944" i="55" s="1"/>
  <c r="I22" i="19"/>
  <c r="B2682" i="21" s="1"/>
  <c r="B945" i="55" s="1"/>
  <c r="I23" i="19"/>
  <c r="B2683" i="21" s="1"/>
  <c r="B946" i="55" s="1"/>
  <c r="I24" i="19"/>
  <c r="B2684" i="21" s="1"/>
  <c r="B947" i="55" s="1"/>
  <c r="I25" i="19"/>
  <c r="B2685" i="21" s="1"/>
  <c r="B948" i="55" s="1"/>
  <c r="I26" i="19"/>
  <c r="B2686" i="21" s="1"/>
  <c r="B949" i="55" s="1"/>
  <c r="I27" i="19"/>
  <c r="B2687" i="21" s="1"/>
  <c r="B950" i="55" s="1"/>
  <c r="I28" i="19"/>
  <c r="B2688" i="21" s="1"/>
  <c r="B951" i="55" s="1"/>
  <c r="I29" i="19"/>
  <c r="B2689" i="21" s="1"/>
  <c r="B952" i="55" s="1"/>
  <c r="I30" i="19"/>
  <c r="B2690" i="21" s="1"/>
  <c r="B953" i="55" s="1"/>
  <c r="I31" i="19"/>
  <c r="B2691" i="21" s="1"/>
  <c r="B954" i="55" s="1"/>
  <c r="I32" i="19"/>
  <c r="B2692" i="21"/>
  <c r="B955" i="55" s="1"/>
  <c r="I33" i="19"/>
  <c r="B2693" i="21" s="1"/>
  <c r="B956" i="55" s="1"/>
  <c r="I34" i="19"/>
  <c r="B2694" i="21" s="1"/>
  <c r="B957" i="55" s="1"/>
  <c r="I35" i="19"/>
  <c r="B2695" i="21" s="1"/>
  <c r="B958" i="55" s="1"/>
  <c r="I36" i="19"/>
  <c r="B2696" i="21" s="1"/>
  <c r="B959" i="55" s="1"/>
  <c r="I37" i="19"/>
  <c r="B2697" i="21" s="1"/>
  <c r="B960" i="55" s="1"/>
  <c r="I38" i="19"/>
  <c r="B2698" i="21" s="1"/>
  <c r="B961" i="55" s="1"/>
  <c r="I39" i="19"/>
  <c r="B2699" i="21" s="1"/>
  <c r="B962" i="55" s="1"/>
  <c r="I40" i="19"/>
  <c r="B2700" i="21" s="1"/>
  <c r="B963" i="55" s="1"/>
  <c r="I41" i="19"/>
  <c r="B2701" i="21" s="1"/>
  <c r="B964" i="55" s="1"/>
  <c r="I42" i="19"/>
  <c r="B2702" i="21" s="1"/>
  <c r="I43" i="19"/>
  <c r="B2703" i="21" s="1"/>
  <c r="B966" i="55" s="1"/>
  <c r="I44" i="19"/>
  <c r="B2704" i="21" s="1"/>
  <c r="I45" i="19"/>
  <c r="B2705" i="21" s="1"/>
  <c r="B968" i="55" s="1"/>
  <c r="I46" i="19"/>
  <c r="B2706" i="21" s="1"/>
  <c r="B969" i="55" s="1"/>
  <c r="I47" i="19"/>
  <c r="B2707" i="21" s="1"/>
  <c r="B970" i="55" s="1"/>
  <c r="I48" i="19"/>
  <c r="B2708" i="21" s="1"/>
  <c r="I49" i="19"/>
  <c r="B2709" i="21" s="1"/>
  <c r="B972" i="55" s="1"/>
  <c r="I50" i="19"/>
  <c r="B2710" i="21" s="1"/>
  <c r="B973" i="55" s="1"/>
  <c r="I51" i="19"/>
  <c r="B2711" i="21" s="1"/>
  <c r="B974" i="55" s="1"/>
  <c r="I52" i="19"/>
  <c r="B2712" i="21" s="1"/>
  <c r="B975" i="55" s="1"/>
  <c r="I53" i="19"/>
  <c r="B2713" i="21" s="1"/>
  <c r="B976" i="55" s="1"/>
  <c r="I54" i="19"/>
  <c r="B2714" i="21" s="1"/>
  <c r="B977" i="55" s="1"/>
  <c r="I55" i="19"/>
  <c r="B2715" i="21" s="1"/>
  <c r="B978" i="55" s="1"/>
  <c r="I56" i="19"/>
  <c r="B2716" i="21" s="1"/>
  <c r="I57" i="19"/>
  <c r="B2717" i="21" s="1"/>
  <c r="B980" i="55" s="1"/>
  <c r="I58" i="19"/>
  <c r="B2718" i="21" s="1"/>
  <c r="B981" i="55" s="1"/>
  <c r="I59" i="19"/>
  <c r="B2719" i="21" s="1"/>
  <c r="B982" i="55" s="1"/>
  <c r="I60" i="19"/>
  <c r="B2720" i="21" s="1"/>
  <c r="B983" i="55" s="1"/>
  <c r="I61" i="19"/>
  <c r="B2721" i="21" s="1"/>
  <c r="B984" i="55" s="1"/>
  <c r="I62" i="19"/>
  <c r="B2722" i="21" s="1"/>
  <c r="B985" i="55" s="1"/>
  <c r="I63" i="19"/>
  <c r="B2723" i="21" s="1"/>
  <c r="B986" i="55" s="1"/>
  <c r="I64" i="19"/>
  <c r="B2724" i="21" s="1"/>
  <c r="B987" i="55" s="1"/>
  <c r="I65" i="19"/>
  <c r="B2725" i="21" s="1"/>
  <c r="B988" i="55" s="1"/>
  <c r="I66" i="19"/>
  <c r="B2726" i="21" s="1"/>
  <c r="B989" i="55" s="1"/>
  <c r="I67" i="19"/>
  <c r="B2727" i="21" s="1"/>
  <c r="B990" i="55" s="1"/>
  <c r="I68" i="19"/>
  <c r="B2728" i="21" s="1"/>
  <c r="B991" i="55" s="1"/>
  <c r="I69" i="19"/>
  <c r="B2729" i="21" s="1"/>
  <c r="B992" i="55" s="1"/>
  <c r="I70" i="19"/>
  <c r="B2730" i="21" s="1"/>
  <c r="B993" i="55" s="1"/>
  <c r="I71" i="19"/>
  <c r="B2731" i="21" s="1"/>
  <c r="B994" i="55" s="1"/>
  <c r="I72" i="19"/>
  <c r="B2732" i="21" s="1"/>
  <c r="B995" i="55" s="1"/>
  <c r="I73" i="19"/>
  <c r="B2733" i="21" s="1"/>
  <c r="B996" i="55" s="1"/>
  <c r="I74" i="19"/>
  <c r="B2734" i="21" s="1"/>
  <c r="I75" i="19"/>
  <c r="B2735" i="21" s="1"/>
  <c r="B998" i="55" s="1"/>
  <c r="I76" i="19"/>
  <c r="B2736" i="21" s="1"/>
  <c r="B999" i="55" s="1"/>
  <c r="I77" i="19"/>
  <c r="B2737" i="21" s="1"/>
  <c r="B1000" i="55" s="1"/>
  <c r="I78" i="19"/>
  <c r="B2738" i="21" s="1"/>
  <c r="B1001" i="55" s="1"/>
  <c r="I79" i="19"/>
  <c r="B2739" i="21" s="1"/>
  <c r="B1002" i="55" s="1"/>
  <c r="I80" i="19"/>
  <c r="B2740" i="21" s="1"/>
  <c r="B1003" i="55" s="1"/>
  <c r="I81" i="19"/>
  <c r="B2741" i="21" s="1"/>
  <c r="B1004" i="55" s="1"/>
  <c r="I82" i="19"/>
  <c r="B2742" i="21" s="1"/>
  <c r="B1005" i="55" s="1"/>
  <c r="I83" i="19"/>
  <c r="B2743" i="21" s="1"/>
  <c r="B1006" i="55" s="1"/>
  <c r="I84" i="19"/>
  <c r="B2744" i="21" s="1"/>
  <c r="B1007" i="55" s="1"/>
  <c r="I85" i="19"/>
  <c r="B2745" i="21" s="1"/>
  <c r="B1008" i="55" s="1"/>
  <c r="I86" i="19"/>
  <c r="B2746" i="21" s="1"/>
  <c r="B1009" i="55" s="1"/>
  <c r="I87" i="19"/>
  <c r="B2747" i="21" s="1"/>
  <c r="B1010" i="55" s="1"/>
  <c r="I88" i="19"/>
  <c r="B2748" i="21" s="1"/>
  <c r="B1011" i="55" s="1"/>
  <c r="I89" i="19"/>
  <c r="B2749" i="21" s="1"/>
  <c r="B1012" i="55" s="1"/>
  <c r="I90" i="19"/>
  <c r="B2750" i="21" s="1"/>
  <c r="B1013" i="55" s="1"/>
  <c r="I91" i="19"/>
  <c r="B2751" i="21" s="1"/>
  <c r="B1014" i="55" s="1"/>
  <c r="I92" i="19"/>
  <c r="B2752" i="21" s="1"/>
  <c r="I93" i="19"/>
  <c r="B2753" i="21" s="1"/>
  <c r="B1016" i="55" s="1"/>
  <c r="I94" i="19"/>
  <c r="B2754" i="21" s="1"/>
  <c r="I95" i="19"/>
  <c r="B2755" i="21" s="1"/>
  <c r="B1018" i="55" s="1"/>
  <c r="I96" i="19"/>
  <c r="B2756" i="21" s="1"/>
  <c r="B1019" i="55" s="1"/>
  <c r="I97" i="19"/>
  <c r="B2757" i="21" s="1"/>
  <c r="B1020" i="55" s="1"/>
  <c r="I98" i="19"/>
  <c r="B2758" i="21" s="1"/>
  <c r="B1021" i="55" s="1"/>
  <c r="I99" i="19"/>
  <c r="B2759" i="21" s="1"/>
  <c r="I100" i="19"/>
  <c r="B2760" i="21" s="1"/>
  <c r="B1023" i="55" s="1"/>
  <c r="I101" i="19"/>
  <c r="B2761" i="21" s="1"/>
  <c r="B1024" i="55" s="1"/>
  <c r="I102" i="19"/>
  <c r="B2762" i="21" s="1"/>
  <c r="B1025" i="55" s="1"/>
  <c r="I103" i="19"/>
  <c r="B2763" i="21" s="1"/>
  <c r="B1026" i="55" s="1"/>
  <c r="I104" i="19"/>
  <c r="B2764" i="21" s="1"/>
  <c r="B1027" i="55" s="1"/>
  <c r="I105" i="19"/>
  <c r="B2765" i="21" s="1"/>
  <c r="B1028" i="55" s="1"/>
  <c r="I106" i="19"/>
  <c r="B2766" i="21" s="1"/>
  <c r="B1029" i="55" s="1"/>
  <c r="I107" i="19"/>
  <c r="B2767" i="21" s="1"/>
  <c r="B1030" i="55" s="1"/>
  <c r="I108" i="19"/>
  <c r="B2768" i="21" s="1"/>
  <c r="B1031" i="55" s="1"/>
  <c r="I109" i="19"/>
  <c r="B2769" i="21" s="1"/>
  <c r="B1032" i="55" s="1"/>
  <c r="I110" i="19"/>
  <c r="B2770" i="21" s="1"/>
  <c r="B1033" i="55" s="1"/>
  <c r="I111" i="19"/>
  <c r="B2771" i="21" s="1"/>
  <c r="B1034" i="55" s="1"/>
  <c r="I112" i="19"/>
  <c r="B2772" i="21" s="1"/>
  <c r="B1035" i="55" s="1"/>
  <c r="I113" i="19"/>
  <c r="B2773" i="21" s="1"/>
  <c r="B1036" i="55" s="1"/>
  <c r="I114" i="19"/>
  <c r="B2774" i="21" s="1"/>
  <c r="B1037" i="55" s="1"/>
  <c r="I115" i="19"/>
  <c r="B2775" i="21" s="1"/>
  <c r="B1038" i="55" s="1"/>
  <c r="I116" i="19"/>
  <c r="B2776" i="21" s="1"/>
  <c r="B1039" i="55" s="1"/>
  <c r="I117" i="19"/>
  <c r="B2777" i="21" s="1"/>
  <c r="B1040" i="55" s="1"/>
  <c r="I118" i="19"/>
  <c r="B2778" i="21" s="1"/>
  <c r="B1041" i="55" s="1"/>
  <c r="I119" i="19"/>
  <c r="B2779" i="21" s="1"/>
  <c r="B1042" i="55" s="1"/>
  <c r="I120" i="19"/>
  <c r="B2780" i="21" s="1"/>
  <c r="B1043" i="55" s="1"/>
  <c r="I121" i="19"/>
  <c r="B2781" i="21" s="1"/>
  <c r="B1044" i="55" s="1"/>
  <c r="I122" i="19"/>
  <c r="B2782" i="21" s="1"/>
  <c r="B1045" i="55" s="1"/>
  <c r="I123" i="19"/>
  <c r="B2783" i="21" s="1"/>
  <c r="B1046" i="55" s="1"/>
  <c r="I124" i="19"/>
  <c r="B2784" i="21" s="1"/>
  <c r="B1047" i="55" s="1"/>
  <c r="I125" i="19"/>
  <c r="B2785" i="21" s="1"/>
  <c r="B1048" i="55" s="1"/>
  <c r="I126" i="19"/>
  <c r="B2786" i="21" s="1"/>
  <c r="B1049" i="55" s="1"/>
  <c r="I127" i="19"/>
  <c r="B2787" i="21" s="1"/>
  <c r="B1050" i="55" s="1"/>
  <c r="I128" i="19"/>
  <c r="B2788" i="21" s="1"/>
  <c r="B1051" i="55" s="1"/>
  <c r="I129" i="19"/>
  <c r="B2789" i="21" s="1"/>
  <c r="B1052" i="55" s="1"/>
  <c r="I130" i="19"/>
  <c r="B2790" i="21" s="1"/>
  <c r="B1053" i="55" s="1"/>
  <c r="I131" i="19"/>
  <c r="B2791" i="21" s="1"/>
  <c r="B1054" i="55" s="1"/>
  <c r="I132" i="19"/>
  <c r="B2792" i="21" s="1"/>
  <c r="B1055" i="55" s="1"/>
  <c r="I133" i="19"/>
  <c r="B2793" i="21" s="1"/>
  <c r="B1056" i="55" s="1"/>
  <c r="I134" i="19"/>
  <c r="B2794" i="21" s="1"/>
  <c r="B1057" i="55" s="1"/>
  <c r="I135" i="19"/>
  <c r="B2795" i="21" s="1"/>
  <c r="B1058" i="55" s="1"/>
  <c r="I136" i="19"/>
  <c r="B2796" i="21" s="1"/>
  <c r="B1059" i="55" s="1"/>
  <c r="I137" i="19"/>
  <c r="B2797" i="21" s="1"/>
  <c r="B1060" i="55" s="1"/>
  <c r="I138" i="19"/>
  <c r="B2798" i="21" s="1"/>
  <c r="B1061" i="55" s="1"/>
  <c r="I139" i="19"/>
  <c r="B2799" i="21" s="1"/>
  <c r="B1062" i="55" s="1"/>
  <c r="I140" i="19"/>
  <c r="B2800" i="21" s="1"/>
  <c r="B1063" i="55" s="1"/>
  <c r="I141" i="19"/>
  <c r="B2801" i="21" s="1"/>
  <c r="B1064" i="55" s="1"/>
  <c r="I142" i="19"/>
  <c r="B2802" i="21" s="1"/>
  <c r="B1065" i="55" s="1"/>
  <c r="I143" i="19"/>
  <c r="B2803" i="21" s="1"/>
  <c r="B1066" i="55" s="1"/>
  <c r="I144" i="19"/>
  <c r="B2804" i="21" s="1"/>
  <c r="B1067" i="55" s="1"/>
  <c r="I145" i="19"/>
  <c r="B2805" i="21" s="1"/>
  <c r="B1068" i="55" s="1"/>
  <c r="I146" i="19"/>
  <c r="B2806" i="21" s="1"/>
  <c r="B1069" i="55" s="1"/>
  <c r="I147" i="19"/>
  <c r="B2807" i="21" s="1"/>
  <c r="B1070" i="55" s="1"/>
  <c r="I148" i="19"/>
  <c r="B2808" i="21" s="1"/>
  <c r="B1071" i="55" s="1"/>
  <c r="I149" i="19"/>
  <c r="B2809" i="21" s="1"/>
  <c r="B1072" i="55" s="1"/>
  <c r="I150" i="19"/>
  <c r="B2810" i="21" s="1"/>
  <c r="B1073" i="55" s="1"/>
  <c r="I151" i="19"/>
  <c r="B2811" i="21" s="1"/>
  <c r="B1074" i="55" s="1"/>
  <c r="I152" i="19"/>
  <c r="B2812" i="21" s="1"/>
  <c r="B1075" i="55" s="1"/>
  <c r="I153" i="19"/>
  <c r="B2813" i="21" s="1"/>
  <c r="B1076" i="55" s="1"/>
  <c r="I154" i="19"/>
  <c r="B2814" i="21" s="1"/>
  <c r="B1077" i="55" s="1"/>
  <c r="I155" i="19"/>
  <c r="B2815" i="21" s="1"/>
  <c r="B1078" i="55" s="1"/>
  <c r="I156" i="19"/>
  <c r="B2816" i="21" s="1"/>
  <c r="B1079" i="55" s="1"/>
  <c r="I157" i="19"/>
  <c r="B2817" i="21" s="1"/>
  <c r="B1080" i="55" s="1"/>
  <c r="I158" i="19"/>
  <c r="B2818" i="21" s="1"/>
  <c r="B1081" i="55" s="1"/>
  <c r="I159" i="19"/>
  <c r="B2819" i="21" s="1"/>
  <c r="B1082" i="55" s="1"/>
  <c r="I160" i="19"/>
  <c r="B2820" i="21" s="1"/>
  <c r="B1083" i="55" s="1"/>
  <c r="I161" i="19"/>
  <c r="B2821" i="21" s="1"/>
  <c r="B1084" i="55" s="1"/>
  <c r="I162" i="19"/>
  <c r="B2822" i="21" s="1"/>
  <c r="B1085" i="55" s="1"/>
  <c r="I163" i="19"/>
  <c r="B2823" i="21" s="1"/>
  <c r="B1086" i="55" s="1"/>
  <c r="I164" i="19"/>
  <c r="B2824" i="21" s="1"/>
  <c r="B1087" i="55" s="1"/>
  <c r="I165" i="19"/>
  <c r="B2825" i="21" s="1"/>
  <c r="B1088" i="55" s="1"/>
  <c r="I166" i="19"/>
  <c r="B2826" i="21" s="1"/>
  <c r="B1089" i="55" s="1"/>
  <c r="I167" i="19"/>
  <c r="B2827" i="21" s="1"/>
  <c r="B1090" i="55" s="1"/>
  <c r="I168" i="19"/>
  <c r="B2828" i="21" s="1"/>
  <c r="I169" i="19"/>
  <c r="B2829" i="21" s="1"/>
  <c r="B1092" i="55" s="1"/>
  <c r="I170" i="19"/>
  <c r="B2830" i="21" s="1"/>
  <c r="I171" i="19"/>
  <c r="B2831" i="21" s="1"/>
  <c r="B1094" i="55" s="1"/>
  <c r="I172" i="19"/>
  <c r="B2832" i="21" s="1"/>
  <c r="B1095" i="55" s="1"/>
  <c r="I173" i="19"/>
  <c r="B2833" i="21" s="1"/>
  <c r="I179" i="19"/>
  <c r="A1515" i="35"/>
  <c r="A1516" i="35" s="1"/>
  <c r="A1517" i="35" s="1"/>
  <c r="A1518" i="35" s="1"/>
  <c r="A1519" i="35" s="1"/>
  <c r="A1520" i="35" s="1"/>
  <c r="A1521" i="35" s="1"/>
  <c r="F1409" i="35"/>
  <c r="F1856" i="55" s="1"/>
  <c r="E1409" i="35"/>
  <c r="F3593" i="21" s="1"/>
  <c r="D1409" i="35"/>
  <c r="E3593" i="21" s="1"/>
  <c r="D1405" i="35"/>
  <c r="E1855" i="55" s="1"/>
  <c r="F1854" i="55"/>
  <c r="F1392" i="35"/>
  <c r="F1853" i="55" s="1"/>
  <c r="E1392" i="35"/>
  <c r="F3590" i="21" s="1"/>
  <c r="H2888" i="19"/>
  <c r="G2888" i="19"/>
  <c r="F2888" i="19"/>
  <c r="E2888" i="19"/>
  <c r="D2888" i="19"/>
  <c r="C2888" i="19"/>
  <c r="I2887" i="19"/>
  <c r="C1866" i="55" s="1"/>
  <c r="I2884" i="19"/>
  <c r="C1863" i="55" s="1"/>
  <c r="I2876" i="19"/>
  <c r="C3603" i="21" s="1"/>
  <c r="I2873" i="19"/>
  <c r="C3600" i="21" s="1"/>
  <c r="I2863" i="19"/>
  <c r="B1864" i="55" s="1"/>
  <c r="I2865" i="19"/>
  <c r="B1866" i="55" s="1"/>
  <c r="H2866" i="19"/>
  <c r="G2866" i="19"/>
  <c r="F2866" i="19"/>
  <c r="E2866" i="19"/>
  <c r="D2866" i="19"/>
  <c r="C2866" i="19"/>
  <c r="I731" i="21"/>
  <c r="I730" i="21"/>
  <c r="I729" i="21"/>
  <c r="I728" i="21"/>
  <c r="I727" i="21"/>
  <c r="I726" i="21"/>
  <c r="I725" i="21"/>
  <c r="I724" i="21"/>
  <c r="I723" i="21"/>
  <c r="I722" i="21"/>
  <c r="I721" i="21"/>
  <c r="I720" i="21"/>
  <c r="I719" i="21"/>
  <c r="I718" i="21"/>
  <c r="I717" i="21"/>
  <c r="I716" i="21"/>
  <c r="I715" i="21"/>
  <c r="I714" i="21"/>
  <c r="I713" i="21"/>
  <c r="I712" i="21"/>
  <c r="I711" i="21"/>
  <c r="I710" i="21"/>
  <c r="I709" i="21"/>
  <c r="I708" i="21"/>
  <c r="I707" i="21"/>
  <c r="I705" i="21"/>
  <c r="I704" i="21"/>
  <c r="I703" i="21"/>
  <c r="I700" i="21"/>
  <c r="I699" i="21"/>
  <c r="I698" i="21"/>
  <c r="I697" i="21"/>
  <c r="I696" i="21"/>
  <c r="I691" i="21"/>
  <c r="I690" i="21"/>
  <c r="I689" i="21"/>
  <c r="I688" i="21"/>
  <c r="I687" i="21"/>
  <c r="I686" i="21"/>
  <c r="I685" i="21"/>
  <c r="I684" i="21"/>
  <c r="I683" i="21"/>
  <c r="I682" i="21"/>
  <c r="I681" i="21"/>
  <c r="I680" i="21"/>
  <c r="I679" i="21"/>
  <c r="I678" i="21"/>
  <c r="I677" i="21"/>
  <c r="I675" i="21"/>
  <c r="I673" i="21"/>
  <c r="I672" i="21"/>
  <c r="I671" i="21"/>
  <c r="I670" i="21"/>
  <c r="I669" i="21"/>
  <c r="I668" i="21"/>
  <c r="I667" i="21"/>
  <c r="I665" i="21"/>
  <c r="I664" i="21"/>
  <c r="I663" i="21"/>
  <c r="I662" i="21"/>
  <c r="I661" i="21"/>
  <c r="I660" i="21"/>
  <c r="I659" i="21"/>
  <c r="I658" i="21"/>
  <c r="I657" i="21"/>
  <c r="I656" i="21"/>
  <c r="I655" i="21"/>
  <c r="I654" i="21"/>
  <c r="I653" i="21"/>
  <c r="I652" i="21"/>
  <c r="I651" i="21"/>
  <c r="I650" i="21"/>
  <c r="I649" i="21"/>
  <c r="I648" i="21"/>
  <c r="I647" i="21"/>
  <c r="I646" i="21"/>
  <c r="I645" i="21"/>
  <c r="I644" i="21"/>
  <c r="I643" i="21"/>
  <c r="I640" i="21"/>
  <c r="I638" i="21"/>
  <c r="I635" i="21"/>
  <c r="I633" i="21"/>
  <c r="I632" i="21"/>
  <c r="I631" i="21"/>
  <c r="I630" i="21"/>
  <c r="I626" i="21"/>
  <c r="I625" i="21"/>
  <c r="I624" i="21"/>
  <c r="I623" i="21"/>
  <c r="I622" i="21"/>
  <c r="I621" i="21"/>
  <c r="I620" i="21"/>
  <c r="I618" i="21"/>
  <c r="I617" i="21"/>
  <c r="I616" i="21"/>
  <c r="I615" i="21"/>
  <c r="I614" i="21"/>
  <c r="I613" i="21"/>
  <c r="I612" i="21"/>
  <c r="I611" i="21"/>
  <c r="I609" i="21"/>
  <c r="I608" i="21"/>
  <c r="I607" i="21"/>
  <c r="I606" i="21"/>
  <c r="I605" i="21"/>
  <c r="I603" i="21"/>
  <c r="I602" i="21"/>
  <c r="I601" i="21"/>
  <c r="I600" i="21"/>
  <c r="I599" i="21"/>
  <c r="I598" i="21"/>
  <c r="I597" i="21"/>
  <c r="I595" i="21"/>
  <c r="I594" i="21"/>
  <c r="I593" i="21"/>
  <c r="I592" i="21"/>
  <c r="I591" i="21"/>
  <c r="I590" i="21"/>
  <c r="I589" i="21"/>
  <c r="I588" i="21"/>
  <c r="I587" i="21"/>
  <c r="I586" i="21"/>
  <c r="I585" i="21"/>
  <c r="I584" i="21"/>
  <c r="I583" i="21"/>
  <c r="I582" i="21"/>
  <c r="I581" i="21"/>
  <c r="I579" i="21"/>
  <c r="I577" i="21"/>
  <c r="I576" i="21"/>
  <c r="I574" i="21"/>
  <c r="I573" i="21"/>
  <c r="I572" i="21"/>
  <c r="I571" i="21"/>
  <c r="I570" i="21"/>
  <c r="I569" i="21"/>
  <c r="I568" i="21"/>
  <c r="I567" i="21"/>
  <c r="I566" i="21"/>
  <c r="I565" i="21"/>
  <c r="I564" i="21"/>
  <c r="I563" i="21"/>
  <c r="I561" i="21"/>
  <c r="I560" i="21"/>
  <c r="I558" i="21"/>
  <c r="I557" i="21"/>
  <c r="I556" i="21"/>
  <c r="I554" i="21"/>
  <c r="I553" i="21"/>
  <c r="I551" i="21"/>
  <c r="I550" i="21"/>
  <c r="I549" i="21"/>
  <c r="I547" i="21"/>
  <c r="I546" i="21"/>
  <c r="I545" i="21"/>
  <c r="I544" i="21"/>
  <c r="I543" i="21"/>
  <c r="I542" i="21"/>
  <c r="I541" i="21"/>
  <c r="I540" i="21"/>
  <c r="I539" i="21"/>
  <c r="I538" i="21"/>
  <c r="I537" i="21"/>
  <c r="I536" i="21"/>
  <c r="I535" i="21"/>
  <c r="I534" i="21"/>
  <c r="I533" i="21"/>
  <c r="I532" i="21"/>
  <c r="I531" i="21"/>
  <c r="I530" i="21"/>
  <c r="I529" i="21"/>
  <c r="I528" i="21"/>
  <c r="I527" i="21"/>
  <c r="I526" i="21"/>
  <c r="I525" i="21"/>
  <c r="I522" i="21"/>
  <c r="I521" i="21"/>
  <c r="I520" i="21"/>
  <c r="I519" i="21"/>
  <c r="I518" i="21"/>
  <c r="I517" i="21"/>
  <c r="I515" i="21"/>
  <c r="I514" i="21"/>
  <c r="I513" i="21"/>
  <c r="I512" i="21"/>
  <c r="I511" i="21"/>
  <c r="I510" i="21"/>
  <c r="I508" i="21"/>
  <c r="I507" i="21"/>
  <c r="I506" i="21"/>
  <c r="I505" i="21"/>
  <c r="I503" i="21"/>
  <c r="I502" i="21"/>
  <c r="I500" i="21"/>
  <c r="I499" i="21"/>
  <c r="I498" i="21"/>
  <c r="I497" i="21"/>
  <c r="I496" i="21"/>
  <c r="I495" i="21"/>
  <c r="I494" i="21"/>
  <c r="I493" i="21"/>
  <c r="I492" i="21"/>
  <c r="I491" i="21"/>
  <c r="I489" i="21"/>
  <c r="I488" i="21"/>
  <c r="I487" i="21"/>
  <c r="I486" i="21"/>
  <c r="I484" i="21"/>
  <c r="I483" i="21"/>
  <c r="I481" i="21"/>
  <c r="I480" i="21"/>
  <c r="I478" i="21"/>
  <c r="I477" i="21"/>
  <c r="I475" i="21"/>
  <c r="I474" i="21"/>
  <c r="I473" i="21"/>
  <c r="I472" i="21"/>
  <c r="I471" i="21"/>
  <c r="I470" i="21"/>
  <c r="I468" i="21"/>
  <c r="I467" i="21"/>
  <c r="I466" i="21"/>
  <c r="I465" i="21"/>
  <c r="I464" i="21"/>
  <c r="I463" i="21"/>
  <c r="I462" i="21"/>
  <c r="I461" i="21"/>
  <c r="I460" i="21"/>
  <c r="I459" i="21"/>
  <c r="I458" i="21"/>
  <c r="I457" i="21"/>
  <c r="I456" i="21"/>
  <c r="I455" i="21"/>
  <c r="I454" i="21"/>
  <c r="I453" i="21"/>
  <c r="I450" i="21"/>
  <c r="I449" i="21"/>
  <c r="I448" i="21"/>
  <c r="I447" i="21"/>
  <c r="I446" i="21"/>
  <c r="I445" i="21"/>
  <c r="I444" i="21"/>
  <c r="I443" i="21"/>
  <c r="I441" i="21"/>
  <c r="I440" i="21"/>
  <c r="I439" i="21"/>
  <c r="I438" i="21"/>
  <c r="I435" i="21"/>
  <c r="I434" i="21"/>
  <c r="I433" i="21"/>
  <c r="I432" i="21"/>
  <c r="I431" i="21"/>
  <c r="I430" i="21"/>
  <c r="I429" i="21"/>
  <c r="I427" i="21"/>
  <c r="I426" i="21"/>
  <c r="I425" i="21"/>
  <c r="I424" i="21"/>
  <c r="I423" i="21"/>
  <c r="I422" i="21"/>
  <c r="I420" i="21"/>
  <c r="I419" i="21"/>
  <c r="I418" i="21"/>
  <c r="I416" i="21"/>
  <c r="I415" i="21"/>
  <c r="I414" i="21"/>
  <c r="I413" i="21"/>
  <c r="I412" i="21"/>
  <c r="I410" i="21"/>
  <c r="I408" i="21"/>
  <c r="I407" i="21"/>
  <c r="I406" i="21"/>
  <c r="I405" i="21"/>
  <c r="I404" i="21"/>
  <c r="A1" i="19"/>
  <c r="O622" i="47"/>
  <c r="A18" i="58"/>
  <c r="A17" i="58"/>
  <c r="A16" i="58"/>
  <c r="A15" i="58"/>
  <c r="A14" i="58"/>
  <c r="A13" i="58"/>
  <c r="O632" i="47"/>
  <c r="O631" i="47"/>
  <c r="O627" i="47"/>
  <c r="O629" i="47"/>
  <c r="O626" i="47"/>
  <c r="O624" i="47"/>
  <c r="O623" i="47"/>
  <c r="A111" i="58"/>
  <c r="A112" i="58"/>
  <c r="A63" i="58"/>
  <c r="A64" i="58"/>
  <c r="A65" i="58"/>
  <c r="A66" i="58"/>
  <c r="A67" i="58"/>
  <c r="A62" i="58"/>
  <c r="A56" i="58"/>
  <c r="A57" i="58"/>
  <c r="A58" i="58"/>
  <c r="A59" i="58"/>
  <c r="A60" i="58"/>
  <c r="A55" i="58"/>
  <c r="A49" i="58"/>
  <c r="A50" i="58"/>
  <c r="A51" i="58"/>
  <c r="A52" i="58"/>
  <c r="A53" i="58"/>
  <c r="A48" i="58"/>
  <c r="A42" i="58"/>
  <c r="A43" i="58"/>
  <c r="A44" i="58"/>
  <c r="A45" i="58"/>
  <c r="A46" i="58"/>
  <c r="A41" i="58"/>
  <c r="A35" i="58"/>
  <c r="A36" i="58"/>
  <c r="A37" i="58"/>
  <c r="A38" i="58"/>
  <c r="A39" i="58"/>
  <c r="A34" i="58"/>
  <c r="O298" i="47"/>
  <c r="O299" i="47"/>
  <c r="O300" i="47"/>
  <c r="O301" i="47"/>
  <c r="O302" i="47"/>
  <c r="O303" i="47"/>
  <c r="O304" i="47"/>
  <c r="O305" i="47"/>
  <c r="O306" i="47"/>
  <c r="O307" i="47"/>
  <c r="O308" i="47"/>
  <c r="O309" i="47"/>
  <c r="O310" i="47"/>
  <c r="O311" i="47"/>
  <c r="O312" i="47"/>
  <c r="O313" i="47"/>
  <c r="O314" i="47"/>
  <c r="O315" i="47"/>
  <c r="E46" i="58" s="1"/>
  <c r="O316" i="47"/>
  <c r="O317" i="47"/>
  <c r="O318" i="47"/>
  <c r="O319" i="47"/>
  <c r="O320" i="47"/>
  <c r="O321" i="47"/>
  <c r="O322" i="47"/>
  <c r="O323" i="47"/>
  <c r="O324" i="47"/>
  <c r="O325" i="47"/>
  <c r="O326" i="47"/>
  <c r="O327" i="47"/>
  <c r="O328" i="47"/>
  <c r="O329" i="47"/>
  <c r="O330" i="47"/>
  <c r="O331" i="47"/>
  <c r="O332" i="47"/>
  <c r="O333" i="47"/>
  <c r="O334" i="47"/>
  <c r="O335" i="47"/>
  <c r="O336" i="47"/>
  <c r="O337" i="47"/>
  <c r="O338" i="47"/>
  <c r="O339" i="47"/>
  <c r="O340" i="47"/>
  <c r="O341" i="47"/>
  <c r="O342" i="47"/>
  <c r="O343" i="47"/>
  <c r="O344" i="47"/>
  <c r="O345" i="47"/>
  <c r="O346" i="47"/>
  <c r="O347" i="47"/>
  <c r="O348" i="47"/>
  <c r="O349" i="47"/>
  <c r="O350" i="47"/>
  <c r="O351" i="47"/>
  <c r="O352" i="47"/>
  <c r="O353" i="47"/>
  <c r="O354" i="47"/>
  <c r="O355" i="47"/>
  <c r="O356" i="47"/>
  <c r="O357" i="47"/>
  <c r="O358" i="47"/>
  <c r="O359" i="47"/>
  <c r="O360" i="47"/>
  <c r="O361" i="47"/>
  <c r="O362" i="47"/>
  <c r="O363" i="47"/>
  <c r="O364" i="47"/>
  <c r="O365" i="47"/>
  <c r="O366" i="47"/>
  <c r="O367" i="47"/>
  <c r="O368" i="47"/>
  <c r="O369" i="47"/>
  <c r="O370" i="47"/>
  <c r="O371" i="47"/>
  <c r="O372" i="47"/>
  <c r="O373" i="47"/>
  <c r="O374" i="47"/>
  <c r="O375" i="47"/>
  <c r="O376" i="47"/>
  <c r="O377" i="47"/>
  <c r="O378" i="47"/>
  <c r="O379" i="47"/>
  <c r="O380" i="47"/>
  <c r="O381" i="47"/>
  <c r="O382" i="47"/>
  <c r="O383" i="47"/>
  <c r="O384" i="47"/>
  <c r="O385" i="47"/>
  <c r="O386" i="47"/>
  <c r="O387" i="47"/>
  <c r="O388" i="47"/>
  <c r="O389" i="47"/>
  <c r="O390" i="47"/>
  <c r="O391" i="47"/>
  <c r="O392" i="47"/>
  <c r="O393" i="47"/>
  <c r="O394" i="47"/>
  <c r="O395" i="47"/>
  <c r="O396" i="47"/>
  <c r="O415" i="47"/>
  <c r="O416" i="47"/>
  <c r="O417" i="47"/>
  <c r="O418" i="47"/>
  <c r="O419" i="47"/>
  <c r="O420" i="47"/>
  <c r="O421" i="47"/>
  <c r="O422" i="47"/>
  <c r="O423" i="47"/>
  <c r="O424" i="47"/>
  <c r="O425" i="47"/>
  <c r="O426" i="47"/>
  <c r="O427" i="47"/>
  <c r="O428" i="47"/>
  <c r="O429" i="47"/>
  <c r="O430" i="47"/>
  <c r="O431" i="47"/>
  <c r="O432" i="47"/>
  <c r="O433" i="47"/>
  <c r="O434" i="47"/>
  <c r="O435" i="47"/>
  <c r="O436" i="47"/>
  <c r="O437" i="47"/>
  <c r="O438" i="47"/>
  <c r="O439" i="47"/>
  <c r="O440" i="47"/>
  <c r="O441" i="47"/>
  <c r="O442" i="47"/>
  <c r="O443" i="47"/>
  <c r="O444" i="47"/>
  <c r="O445" i="47"/>
  <c r="O446" i="47"/>
  <c r="O447" i="47"/>
  <c r="O448" i="47"/>
  <c r="O449" i="47"/>
  <c r="O450" i="47"/>
  <c r="O451" i="47"/>
  <c r="O452" i="47"/>
  <c r="O453" i="47"/>
  <c r="O454" i="47"/>
  <c r="O455" i="47"/>
  <c r="O469" i="47"/>
  <c r="O470" i="47"/>
  <c r="O471" i="47"/>
  <c r="O472" i="47"/>
  <c r="O473" i="47"/>
  <c r="O106" i="47"/>
  <c r="O107" i="47"/>
  <c r="O108" i="47"/>
  <c r="O109" i="47"/>
  <c r="O110" i="47"/>
  <c r="O111" i="47"/>
  <c r="O112" i="47"/>
  <c r="O113" i="47"/>
  <c r="O114" i="47"/>
  <c r="O115" i="47"/>
  <c r="O116" i="47"/>
  <c r="O117" i="47"/>
  <c r="O118" i="47"/>
  <c r="O119" i="47"/>
  <c r="O120" i="47"/>
  <c r="O121" i="47"/>
  <c r="O122" i="47"/>
  <c r="O123" i="47"/>
  <c r="O124" i="47"/>
  <c r="O125" i="47"/>
  <c r="O126" i="47"/>
  <c r="O127" i="47"/>
  <c r="O128" i="47"/>
  <c r="O129" i="47"/>
  <c r="O130" i="47"/>
  <c r="O131" i="47"/>
  <c r="O132" i="47"/>
  <c r="O133" i="47"/>
  <c r="O134" i="47"/>
  <c r="O135" i="47"/>
  <c r="O136" i="47"/>
  <c r="O137" i="47"/>
  <c r="O138" i="47"/>
  <c r="O139" i="47"/>
  <c r="O140" i="47"/>
  <c r="O141" i="47"/>
  <c r="O142" i="47"/>
  <c r="O143" i="47"/>
  <c r="O144" i="47"/>
  <c r="O145" i="47"/>
  <c r="O146" i="47"/>
  <c r="O147" i="47"/>
  <c r="O148" i="47"/>
  <c r="O149" i="47"/>
  <c r="O150" i="47"/>
  <c r="O151" i="47"/>
  <c r="O152" i="47"/>
  <c r="O153" i="47"/>
  <c r="O154" i="47"/>
  <c r="O155" i="47"/>
  <c r="O156" i="47"/>
  <c r="O157" i="47"/>
  <c r="O158" i="47"/>
  <c r="O159" i="47"/>
  <c r="O160" i="47"/>
  <c r="O161" i="47"/>
  <c r="O162" i="47"/>
  <c r="O163" i="47"/>
  <c r="O164" i="47"/>
  <c r="O165" i="47"/>
  <c r="O166" i="47"/>
  <c r="O167" i="47"/>
  <c r="O168" i="47"/>
  <c r="O169" i="47"/>
  <c r="O170" i="47"/>
  <c r="O171" i="47"/>
  <c r="O292" i="47"/>
  <c r="O293" i="47"/>
  <c r="O294" i="47"/>
  <c r="O295" i="47"/>
  <c r="O105" i="47"/>
  <c r="O24" i="47"/>
  <c r="O25" i="47"/>
  <c r="O26" i="47"/>
  <c r="O30" i="47"/>
  <c r="O31" i="47"/>
  <c r="O32" i="47"/>
  <c r="O33" i="47"/>
  <c r="O34" i="47"/>
  <c r="O35" i="47"/>
  <c r="O36" i="47"/>
  <c r="O37" i="47"/>
  <c r="O38" i="47"/>
  <c r="O39" i="47"/>
  <c r="O40" i="47"/>
  <c r="C83" i="58" s="1"/>
  <c r="O41" i="47"/>
  <c r="O42" i="47"/>
  <c r="O43" i="47"/>
  <c r="O44" i="47"/>
  <c r="O45" i="47"/>
  <c r="O46" i="47"/>
  <c r="O47" i="47"/>
  <c r="O48" i="47"/>
  <c r="O49" i="47"/>
  <c r="O50" i="47"/>
  <c r="O51" i="47"/>
  <c r="O52" i="47"/>
  <c r="O53" i="47"/>
  <c r="O54" i="47"/>
  <c r="O55" i="47"/>
  <c r="O56" i="47"/>
  <c r="O57" i="47"/>
  <c r="O58" i="47"/>
  <c r="O59" i="47"/>
  <c r="O60" i="47"/>
  <c r="O61" i="47"/>
  <c r="O62" i="47"/>
  <c r="O63" i="47"/>
  <c r="O64" i="47"/>
  <c r="O65" i="47"/>
  <c r="O66" i="47"/>
  <c r="O67" i="47"/>
  <c r="O68" i="47"/>
  <c r="O69" i="47"/>
  <c r="O70" i="47"/>
  <c r="O71" i="47"/>
  <c r="O72" i="47"/>
  <c r="O73" i="47"/>
  <c r="O74" i="47"/>
  <c r="O75" i="47"/>
  <c r="O76" i="47"/>
  <c r="O77" i="47"/>
  <c r="O78" i="47"/>
  <c r="O79" i="47"/>
  <c r="O80" i="47"/>
  <c r="O96" i="47"/>
  <c r="O97" i="47"/>
  <c r="O98" i="47"/>
  <c r="O99" i="47"/>
  <c r="O100" i="47"/>
  <c r="O101" i="47"/>
  <c r="O102" i="47"/>
  <c r="O103" i="47"/>
  <c r="O23" i="47"/>
  <c r="A71" i="58"/>
  <c r="A70" i="58"/>
  <c r="A72" i="58"/>
  <c r="A73" i="58"/>
  <c r="A29" i="58"/>
  <c r="A28" i="58"/>
  <c r="A22" i="58"/>
  <c r="A21" i="58"/>
  <c r="A23" i="58"/>
  <c r="A74" i="58"/>
  <c r="A69" i="58"/>
  <c r="A30" i="58"/>
  <c r="A31" i="58"/>
  <c r="A32" i="58"/>
  <c r="A27" i="58"/>
  <c r="A24" i="58"/>
  <c r="A25" i="58"/>
  <c r="A20" i="58"/>
  <c r="A2" i="58"/>
  <c r="A2" i="47"/>
  <c r="J40" i="52"/>
  <c r="A39" i="54"/>
  <c r="A27" i="54"/>
  <c r="A15" i="54"/>
  <c r="A3" i="54"/>
  <c r="A3" i="50"/>
  <c r="D625" i="47"/>
  <c r="D621" i="47"/>
  <c r="A1522" i="35"/>
  <c r="A1523" i="35" s="1"/>
  <c r="A1524" i="35" s="1"/>
  <c r="A1525" i="35" s="1"/>
  <c r="A1526" i="35" s="1"/>
  <c r="A1477" i="35"/>
  <c r="A1478" i="35" s="1"/>
  <c r="A1479" i="35" s="1"/>
  <c r="A1480" i="35" s="1"/>
  <c r="A1529" i="35"/>
  <c r="A1530" i="35" s="1"/>
  <c r="A1531" i="35" s="1"/>
  <c r="A3" i="52"/>
  <c r="A1" i="46"/>
  <c r="A1" i="36" s="1"/>
  <c r="C1855" i="55"/>
  <c r="C1856" i="55"/>
  <c r="C3592" i="21"/>
  <c r="C3593" i="21"/>
  <c r="B3591" i="21"/>
  <c r="B3592" i="21"/>
  <c r="B3593" i="21"/>
  <c r="B3590" i="21"/>
  <c r="H2877" i="19"/>
  <c r="G2877" i="19"/>
  <c r="F2877" i="19"/>
  <c r="E2877" i="19"/>
  <c r="E4" i="46"/>
  <c r="A1" i="60" s="1"/>
  <c r="E1" i="46"/>
  <c r="I3" i="55" s="1"/>
  <c r="D2877" i="19"/>
  <c r="C2877" i="19"/>
  <c r="C11" i="56"/>
  <c r="B9" i="56" s="1"/>
  <c r="J46" i="52"/>
  <c r="J45" i="52"/>
  <c r="I38" i="52"/>
  <c r="J38" i="52"/>
  <c r="J37" i="52"/>
  <c r="J36" i="52"/>
  <c r="C1483" i="55"/>
  <c r="C48" i="54"/>
  <c r="B48" i="54"/>
  <c r="D47" i="54"/>
  <c r="D46" i="54"/>
  <c r="H26" i="58"/>
  <c r="D45" i="54"/>
  <c r="D44" i="54"/>
  <c r="D26" i="58" s="1"/>
  <c r="D89" i="58" s="1"/>
  <c r="C36" i="54"/>
  <c r="B36" i="54"/>
  <c r="D35" i="54"/>
  <c r="J19" i="58" s="1"/>
  <c r="D34" i="54"/>
  <c r="H19" i="58" s="1"/>
  <c r="D33" i="54"/>
  <c r="D32" i="54"/>
  <c r="D19" i="58"/>
  <c r="C24" i="54"/>
  <c r="B24" i="54"/>
  <c r="D23" i="54"/>
  <c r="J12" i="58"/>
  <c r="D22" i="54"/>
  <c r="D21" i="54"/>
  <c r="D20" i="54"/>
  <c r="C12" i="54"/>
  <c r="B12" i="54"/>
  <c r="D10" i="54"/>
  <c r="B1735" i="21"/>
  <c r="B1724" i="21"/>
  <c r="B1725" i="21"/>
  <c r="B1726" i="21"/>
  <c r="B1723" i="21"/>
  <c r="A1744" i="21"/>
  <c r="A2151" i="21"/>
  <c r="A2521" i="21"/>
  <c r="D1744" i="21"/>
  <c r="D2151" i="21"/>
  <c r="B2521" i="21"/>
  <c r="C2521" i="21"/>
  <c r="D2521" i="21"/>
  <c r="K474" i="47"/>
  <c r="I474" i="47"/>
  <c r="H474" i="47"/>
  <c r="G474" i="47"/>
  <c r="F474" i="47"/>
  <c r="E474" i="47"/>
  <c r="D474" i="47"/>
  <c r="B12" i="50"/>
  <c r="C1591" i="21"/>
  <c r="G741" i="21"/>
  <c r="E741" i="21"/>
  <c r="B741" i="21"/>
  <c r="B3444" i="21"/>
  <c r="B1707" i="55" s="1"/>
  <c r="A2667" i="21"/>
  <c r="A930" i="55" s="1"/>
  <c r="C741" i="21"/>
  <c r="D741" i="21"/>
  <c r="J474" i="47"/>
  <c r="A873" i="21"/>
  <c r="B8" i="46"/>
  <c r="C2626" i="19"/>
  <c r="D2626" i="19"/>
  <c r="B2626" i="19"/>
  <c r="D1705" i="19"/>
  <c r="D3220" i="21"/>
  <c r="A1852" i="19"/>
  <c r="D784" i="19"/>
  <c r="D1321" i="21"/>
  <c r="C67" i="36"/>
  <c r="D67" i="36"/>
  <c r="E1563" i="46"/>
  <c r="E1564" i="46"/>
  <c r="E1565" i="46"/>
  <c r="E1566" i="46"/>
  <c r="E1567" i="46"/>
  <c r="E1568" i="46"/>
  <c r="E1569" i="46"/>
  <c r="E1570" i="46"/>
  <c r="E1571" i="46"/>
  <c r="E1572" i="46"/>
  <c r="E1573" i="46"/>
  <c r="E1574" i="46"/>
  <c r="E1575" i="46"/>
  <c r="E1576" i="46"/>
  <c r="E1577" i="46"/>
  <c r="E1578" i="46"/>
  <c r="E1579" i="46"/>
  <c r="E1580" i="46"/>
  <c r="E1581" i="46"/>
  <c r="E1582" i="46"/>
  <c r="E1583" i="46"/>
  <c r="E1584" i="46"/>
  <c r="E1585" i="46"/>
  <c r="E1586" i="46"/>
  <c r="E1587" i="46"/>
  <c r="E1588" i="46"/>
  <c r="E1589" i="46"/>
  <c r="E1590" i="46"/>
  <c r="E1591" i="46"/>
  <c r="E1592" i="46"/>
  <c r="E1593" i="46"/>
  <c r="E1594" i="46"/>
  <c r="E1595" i="46"/>
  <c r="E1596" i="46"/>
  <c r="E1597" i="46"/>
  <c r="E1598" i="46"/>
  <c r="E1599" i="46"/>
  <c r="E1600" i="46"/>
  <c r="E1601" i="46"/>
  <c r="E1602" i="46"/>
  <c r="E1603" i="46"/>
  <c r="E1604" i="46"/>
  <c r="E1605" i="46"/>
  <c r="E1606" i="46"/>
  <c r="E1607" i="46"/>
  <c r="E1608" i="46"/>
  <c r="E1609" i="46"/>
  <c r="E1610" i="46"/>
  <c r="E1611" i="46"/>
  <c r="E1612" i="46"/>
  <c r="E1613" i="46"/>
  <c r="E1614" i="46"/>
  <c r="E1615" i="46"/>
  <c r="E1616" i="46"/>
  <c r="E1617" i="46"/>
  <c r="E1618" i="46"/>
  <c r="E1619" i="46"/>
  <c r="E1620" i="46"/>
  <c r="E1621" i="46"/>
  <c r="E1622" i="46"/>
  <c r="E1623" i="46"/>
  <c r="E1624" i="46"/>
  <c r="E1625" i="46"/>
  <c r="E1626" i="46"/>
  <c r="E1627" i="46"/>
  <c r="E1628" i="46"/>
  <c r="E1629" i="46"/>
  <c r="E1630" i="46"/>
  <c r="E1631" i="46"/>
  <c r="E1632" i="46"/>
  <c r="E1633" i="46"/>
  <c r="E1634" i="46"/>
  <c r="E1635" i="46"/>
  <c r="E1636" i="46"/>
  <c r="E1637" i="46"/>
  <c r="E1638" i="46"/>
  <c r="E1639" i="46"/>
  <c r="E1640" i="46"/>
  <c r="E1641" i="46"/>
  <c r="E1642" i="46"/>
  <c r="E1643" i="46"/>
  <c r="E1644" i="46"/>
  <c r="E1645" i="46"/>
  <c r="E1646" i="46"/>
  <c r="E1647" i="46"/>
  <c r="E1648" i="46"/>
  <c r="E1649" i="46"/>
  <c r="E1650" i="46"/>
  <c r="E1651" i="46"/>
  <c r="E1652" i="46"/>
  <c r="E1653" i="46"/>
  <c r="E1654" i="46"/>
  <c r="E1655" i="46"/>
  <c r="E1656" i="46"/>
  <c r="E1657" i="46"/>
  <c r="E1658" i="46"/>
  <c r="E1659" i="46"/>
  <c r="E1660" i="46"/>
  <c r="E1661" i="46"/>
  <c r="E1662" i="46"/>
  <c r="E1663" i="46"/>
  <c r="E1664" i="46"/>
  <c r="E1665" i="46"/>
  <c r="E1666" i="46"/>
  <c r="E1667" i="46"/>
  <c r="E1668" i="46"/>
  <c r="E1669" i="46"/>
  <c r="E1670" i="46"/>
  <c r="E1671" i="46"/>
  <c r="E1672" i="46"/>
  <c r="E1673" i="46"/>
  <c r="E1674" i="46"/>
  <c r="E1675" i="46"/>
  <c r="E1676" i="46"/>
  <c r="E1677" i="46"/>
  <c r="E1561" i="46"/>
  <c r="E1562" i="46"/>
  <c r="E1559" i="46"/>
  <c r="E1560" i="46"/>
  <c r="C1558" i="46"/>
  <c r="D1558" i="46"/>
  <c r="C719" i="46"/>
  <c r="D719" i="46"/>
  <c r="D1271" i="21"/>
  <c r="D1272" i="21"/>
  <c r="D1273" i="21"/>
  <c r="D1274" i="21"/>
  <c r="D1275" i="21"/>
  <c r="D1276" i="21"/>
  <c r="D1277" i="21"/>
  <c r="D1278" i="21"/>
  <c r="D1279" i="21"/>
  <c r="D1280" i="21"/>
  <c r="D1281" i="21"/>
  <c r="D1282" i="21"/>
  <c r="D1283" i="21"/>
  <c r="D1284" i="21"/>
  <c r="D1285" i="21"/>
  <c r="D1286" i="21"/>
  <c r="D1287" i="21"/>
  <c r="D1288" i="21"/>
  <c r="D1289" i="21"/>
  <c r="D1290" i="21"/>
  <c r="D1291" i="21"/>
  <c r="D1292" i="21"/>
  <c r="D1293" i="21"/>
  <c r="D1294" i="21"/>
  <c r="D1295" i="21"/>
  <c r="D1296" i="21"/>
  <c r="D1297" i="21"/>
  <c r="D1298" i="21"/>
  <c r="D1299" i="21"/>
  <c r="D1300" i="21"/>
  <c r="D1301" i="21"/>
  <c r="D1302" i="21"/>
  <c r="D1303" i="21"/>
  <c r="D1304" i="21"/>
  <c r="D1305" i="21"/>
  <c r="D1306" i="21"/>
  <c r="D1307" i="21"/>
  <c r="D1308" i="21"/>
  <c r="D1309" i="21"/>
  <c r="D1310" i="21"/>
  <c r="D1311" i="21"/>
  <c r="D1312" i="21"/>
  <c r="D1313" i="21"/>
  <c r="D1314" i="21"/>
  <c r="D1315" i="21"/>
  <c r="D1316" i="21"/>
  <c r="D1317" i="21"/>
  <c r="D1318" i="21"/>
  <c r="D1319" i="21"/>
  <c r="D1320" i="21"/>
  <c r="D1322" i="21"/>
  <c r="D1323" i="21"/>
  <c r="D1324" i="21"/>
  <c r="D1325" i="21"/>
  <c r="D1326" i="21"/>
  <c r="D1327" i="21"/>
  <c r="D1328" i="21"/>
  <c r="D1329" i="21"/>
  <c r="D1330" i="21"/>
  <c r="D1331" i="21"/>
  <c r="D1332" i="21"/>
  <c r="D1333" i="21"/>
  <c r="D1334" i="21"/>
  <c r="D1335" i="21"/>
  <c r="D1336" i="21"/>
  <c r="D1337" i="21"/>
  <c r="D1338" i="21"/>
  <c r="D1339" i="21"/>
  <c r="D1340" i="21"/>
  <c r="D1341" i="21"/>
  <c r="D1342" i="21"/>
  <c r="D1343" i="21"/>
  <c r="D1344" i="21"/>
  <c r="D1345" i="21"/>
  <c r="D1346" i="21"/>
  <c r="D1347" i="21"/>
  <c r="D1348" i="21"/>
  <c r="D1349" i="21"/>
  <c r="D1350" i="21"/>
  <c r="D1351" i="21"/>
  <c r="D1352" i="21"/>
  <c r="D1353" i="21"/>
  <c r="D1354" i="21"/>
  <c r="D1355" i="21"/>
  <c r="D1356" i="21"/>
  <c r="D1357" i="21"/>
  <c r="D1358" i="21"/>
  <c r="D1359" i="21"/>
  <c r="D1360" i="21"/>
  <c r="D1361" i="21"/>
  <c r="D1362" i="21"/>
  <c r="D1363" i="21"/>
  <c r="D1364" i="21"/>
  <c r="D1365" i="21"/>
  <c r="D1366" i="21"/>
  <c r="D1367" i="21"/>
  <c r="D1368" i="21"/>
  <c r="D1369" i="21"/>
  <c r="D1370" i="21"/>
  <c r="D1371" i="21"/>
  <c r="D1372" i="21"/>
  <c r="D1373" i="21"/>
  <c r="D1374" i="21"/>
  <c r="D1375" i="21"/>
  <c r="D1376" i="21"/>
  <c r="D1377" i="21"/>
  <c r="D1378" i="21"/>
  <c r="D1379" i="21"/>
  <c r="D1380" i="21"/>
  <c r="D1381" i="21"/>
  <c r="D1382" i="21"/>
  <c r="D1383" i="21"/>
  <c r="D1384" i="21"/>
  <c r="D1385" i="21"/>
  <c r="D1386" i="21"/>
  <c r="D1387" i="21"/>
  <c r="D1388" i="21"/>
  <c r="D1389" i="21"/>
  <c r="D1390" i="21"/>
  <c r="D1391" i="21"/>
  <c r="D1392" i="21"/>
  <c r="D1393" i="21"/>
  <c r="D1394" i="21"/>
  <c r="D1395" i="21"/>
  <c r="D1396" i="21"/>
  <c r="D1397" i="21"/>
  <c r="D1398" i="21"/>
  <c r="D1399" i="21"/>
  <c r="D1400" i="21"/>
  <c r="D1401" i="21"/>
  <c r="D1402" i="21"/>
  <c r="D1403" i="21"/>
  <c r="D1404" i="21"/>
  <c r="D1405" i="21"/>
  <c r="D1406" i="21"/>
  <c r="D1407" i="21"/>
  <c r="D1408" i="21"/>
  <c r="D1409" i="21"/>
  <c r="D1410" i="21"/>
  <c r="D1411" i="21"/>
  <c r="D1412" i="21"/>
  <c r="D1413" i="21"/>
  <c r="D1414" i="21"/>
  <c r="D1415" i="21"/>
  <c r="D1416" i="21"/>
  <c r="D1417" i="21"/>
  <c r="D1418" i="21"/>
  <c r="D1419" i="21"/>
  <c r="D1420" i="21"/>
  <c r="D1421" i="21"/>
  <c r="D1422" i="21"/>
  <c r="D1423" i="21"/>
  <c r="D1424" i="21"/>
  <c r="D1425" i="21"/>
  <c r="D1426" i="21"/>
  <c r="D1427" i="21"/>
  <c r="D1428" i="21"/>
  <c r="D1429" i="21"/>
  <c r="D1430" i="21"/>
  <c r="D1431" i="21"/>
  <c r="D1432" i="21"/>
  <c r="D1433" i="21"/>
  <c r="D1434" i="21"/>
  <c r="D1435" i="21"/>
  <c r="D1436" i="21"/>
  <c r="D1437" i="21"/>
  <c r="D1438" i="21"/>
  <c r="D1439" i="21"/>
  <c r="D1440" i="21"/>
  <c r="D1441" i="21"/>
  <c r="D1442" i="21"/>
  <c r="D1443" i="21"/>
  <c r="D1444" i="21"/>
  <c r="D1445" i="21"/>
  <c r="D1446" i="21"/>
  <c r="D1447" i="21"/>
  <c r="D1448" i="21"/>
  <c r="D1449" i="21"/>
  <c r="D1450" i="21"/>
  <c r="D1451" i="21"/>
  <c r="D1452" i="21"/>
  <c r="D1453" i="21"/>
  <c r="D1454" i="21"/>
  <c r="D1455" i="21"/>
  <c r="D1456" i="21"/>
  <c r="D1457" i="21"/>
  <c r="D1458" i="21"/>
  <c r="D1459" i="21"/>
  <c r="D1460" i="21"/>
  <c r="D1461" i="21"/>
  <c r="D1462" i="21"/>
  <c r="D1463" i="21"/>
  <c r="D1464" i="21"/>
  <c r="D1465" i="21"/>
  <c r="D1466" i="21"/>
  <c r="D1467" i="21"/>
  <c r="D1468" i="21"/>
  <c r="D1469" i="21"/>
  <c r="D1470" i="21"/>
  <c r="D1471" i="21"/>
  <c r="D1472" i="21"/>
  <c r="D1473" i="21"/>
  <c r="D1474" i="21"/>
  <c r="D1475" i="21"/>
  <c r="D1476" i="21"/>
  <c r="D1477" i="21"/>
  <c r="D1478" i="21"/>
  <c r="D1479" i="21"/>
  <c r="D1480" i="21"/>
  <c r="D1481" i="21"/>
  <c r="D1482" i="21"/>
  <c r="D1483" i="21"/>
  <c r="D1484" i="21"/>
  <c r="D1485" i="21"/>
  <c r="D1486" i="21"/>
  <c r="D1487" i="21"/>
  <c r="D1488" i="21"/>
  <c r="D1489" i="21"/>
  <c r="D1490" i="21"/>
  <c r="D1491" i="21"/>
  <c r="D1492" i="21"/>
  <c r="D1493" i="21"/>
  <c r="D1494" i="21"/>
  <c r="D1495" i="21"/>
  <c r="D1496" i="21"/>
  <c r="D1497" i="21"/>
  <c r="D1498" i="21"/>
  <c r="D1499" i="21"/>
  <c r="D1500" i="21"/>
  <c r="D1501" i="21"/>
  <c r="D1502" i="21"/>
  <c r="D1503" i="21"/>
  <c r="D1504" i="21"/>
  <c r="D1505" i="21"/>
  <c r="D1506" i="21"/>
  <c r="D1507" i="21"/>
  <c r="D1508" i="21"/>
  <c r="D1509" i="21"/>
  <c r="D1510" i="21"/>
  <c r="D1511" i="21"/>
  <c r="D1512" i="21"/>
  <c r="D1513" i="21"/>
  <c r="D1514" i="21"/>
  <c r="D1515" i="21"/>
  <c r="D1516" i="21"/>
  <c r="D1517" i="21"/>
  <c r="D1518" i="21"/>
  <c r="D1519" i="21"/>
  <c r="D1520" i="21"/>
  <c r="D1521" i="21"/>
  <c r="D1522" i="21"/>
  <c r="D1523" i="21"/>
  <c r="D1524" i="21"/>
  <c r="D1525" i="21"/>
  <c r="D1526" i="21"/>
  <c r="D1527" i="21"/>
  <c r="D1528" i="21"/>
  <c r="D1529" i="21"/>
  <c r="D1530" i="21"/>
  <c r="D1531" i="21"/>
  <c r="D1532" i="21"/>
  <c r="D1533" i="21"/>
  <c r="D1534" i="21"/>
  <c r="D1535" i="21"/>
  <c r="D1536" i="21"/>
  <c r="D1537" i="21"/>
  <c r="D1538" i="21"/>
  <c r="D1539" i="21"/>
  <c r="D1540" i="21"/>
  <c r="D1541" i="21"/>
  <c r="D1542" i="21"/>
  <c r="D1543" i="21"/>
  <c r="D1544" i="21"/>
  <c r="D1545" i="21"/>
  <c r="D1546" i="21"/>
  <c r="D1547" i="21"/>
  <c r="D1548" i="21"/>
  <c r="D1549" i="21"/>
  <c r="D1550" i="21"/>
  <c r="D1551" i="21"/>
  <c r="D1552" i="21"/>
  <c r="D1553" i="21"/>
  <c r="D1554" i="21"/>
  <c r="D1555" i="21"/>
  <c r="D1556" i="21"/>
  <c r="D1557" i="21"/>
  <c r="D1558" i="21"/>
  <c r="D1559" i="21"/>
  <c r="D1560" i="21"/>
  <c r="D1561" i="21"/>
  <c r="D1562" i="21"/>
  <c r="D1563" i="21"/>
  <c r="D1564" i="21"/>
  <c r="D1565" i="21"/>
  <c r="D1566" i="21"/>
  <c r="D1567" i="21"/>
  <c r="D1568" i="21"/>
  <c r="D1569" i="21"/>
  <c r="D1570" i="21"/>
  <c r="D1571" i="21"/>
  <c r="D1572" i="21"/>
  <c r="D1573" i="21"/>
  <c r="D1574" i="21"/>
  <c r="D1575" i="21"/>
  <c r="D1576" i="21"/>
  <c r="D1577" i="21"/>
  <c r="D1578" i="21"/>
  <c r="D1579" i="21"/>
  <c r="D1580" i="21"/>
  <c r="D1581" i="21"/>
  <c r="D1582" i="21"/>
  <c r="D1583" i="21"/>
  <c r="D1584" i="21"/>
  <c r="D1585" i="21"/>
  <c r="D1586" i="21"/>
  <c r="D1587" i="21"/>
  <c r="D1588" i="21"/>
  <c r="D1589" i="21"/>
  <c r="D1590" i="21"/>
  <c r="F719" i="21"/>
  <c r="F720" i="21"/>
  <c r="F724" i="21"/>
  <c r="F725" i="21"/>
  <c r="F726" i="21"/>
  <c r="F424" i="21"/>
  <c r="F481" i="21"/>
  <c r="F727" i="21"/>
  <c r="F728" i="21"/>
  <c r="F729" i="21"/>
  <c r="F730" i="21"/>
  <c r="F731" i="21"/>
  <c r="F404" i="21"/>
  <c r="D47" i="36"/>
  <c r="B47" i="36"/>
  <c r="E1518" i="46"/>
  <c r="E1519" i="46"/>
  <c r="E1520" i="46"/>
  <c r="E1521" i="46"/>
  <c r="E1522" i="46"/>
  <c r="E1523" i="46"/>
  <c r="E1524" i="46"/>
  <c r="E1525" i="46"/>
  <c r="E1526" i="46"/>
  <c r="E1527" i="46"/>
  <c r="E1528" i="46"/>
  <c r="E1529" i="46"/>
  <c r="F690" i="21" s="1"/>
  <c r="E1530" i="46"/>
  <c r="E1531" i="46"/>
  <c r="E1532" i="46"/>
  <c r="E1533" i="46"/>
  <c r="E1534" i="46"/>
  <c r="E1535" i="46"/>
  <c r="E1536" i="46"/>
  <c r="E1537" i="46"/>
  <c r="E1538" i="46"/>
  <c r="E1539" i="46"/>
  <c r="E1540" i="46"/>
  <c r="E1541" i="46"/>
  <c r="F702" i="21" s="1"/>
  <c r="E1542" i="46"/>
  <c r="E1543" i="46"/>
  <c r="E1544" i="46"/>
  <c r="E1545" i="46"/>
  <c r="E1546" i="46"/>
  <c r="E1547" i="46"/>
  <c r="E1548" i="46"/>
  <c r="F709" i="21" s="1"/>
  <c r="E1549" i="46"/>
  <c r="E1550" i="46"/>
  <c r="E1551" i="46"/>
  <c r="E1552" i="46"/>
  <c r="E1553" i="46"/>
  <c r="E1554" i="46"/>
  <c r="E1555" i="46"/>
  <c r="E1556" i="46"/>
  <c r="F717" i="21" s="1"/>
  <c r="E1557" i="46"/>
  <c r="D1242" i="46"/>
  <c r="C1242" i="46"/>
  <c r="B1242" i="46"/>
  <c r="E1244" i="46"/>
  <c r="E1245" i="46"/>
  <c r="E1246" i="46"/>
  <c r="E1247" i="46"/>
  <c r="F408" i="21" s="1"/>
  <c r="E1248" i="46"/>
  <c r="E1249" i="46"/>
  <c r="F410" i="21" s="1"/>
  <c r="E1250" i="46"/>
  <c r="F411" i="21" s="1"/>
  <c r="E1251" i="46"/>
  <c r="E1252" i="46"/>
  <c r="E1253" i="46"/>
  <c r="E1254" i="46"/>
  <c r="E1255" i="46"/>
  <c r="F416" i="21" s="1"/>
  <c r="E1256" i="46"/>
  <c r="E1257" i="46"/>
  <c r="E1258" i="46"/>
  <c r="F419" i="21" s="1"/>
  <c r="E1259" i="46"/>
  <c r="F420" i="21" s="1"/>
  <c r="E1260" i="46"/>
  <c r="E1261" i="46"/>
  <c r="E1262" i="46"/>
  <c r="E1263" i="46"/>
  <c r="E1264" i="46"/>
  <c r="E1265" i="46"/>
  <c r="E1266" i="46"/>
  <c r="F427" i="21" s="1"/>
  <c r="E1267" i="46"/>
  <c r="E1268" i="46"/>
  <c r="E1269" i="46"/>
  <c r="E1270" i="46"/>
  <c r="E1271" i="46"/>
  <c r="F432" i="21" s="1"/>
  <c r="E1272" i="46"/>
  <c r="E1273" i="46"/>
  <c r="E1274" i="46"/>
  <c r="E1275" i="46"/>
  <c r="E1276" i="46"/>
  <c r="E1277" i="46"/>
  <c r="E1278" i="46"/>
  <c r="E1279" i="46"/>
  <c r="E1280" i="46"/>
  <c r="E1281" i="46"/>
  <c r="E1282" i="46"/>
  <c r="E1283" i="46"/>
  <c r="E1284" i="46"/>
  <c r="E1285" i="46"/>
  <c r="E1286" i="46"/>
  <c r="E1287" i="46"/>
  <c r="F448" i="21" s="1"/>
  <c r="E1288" i="46"/>
  <c r="E1289" i="46"/>
  <c r="E1290" i="46"/>
  <c r="E1291" i="46"/>
  <c r="E1292" i="46"/>
  <c r="E1293" i="46"/>
  <c r="E1294" i="46"/>
  <c r="E1295" i="46"/>
  <c r="E1296" i="46"/>
  <c r="F457" i="21" s="1"/>
  <c r="E1297" i="46"/>
  <c r="E1298" i="46"/>
  <c r="E1299" i="46"/>
  <c r="F460" i="21" s="1"/>
  <c r="E1300" i="46"/>
  <c r="E1301" i="46"/>
  <c r="E1302" i="46"/>
  <c r="E1303" i="46"/>
  <c r="E1304" i="46"/>
  <c r="E1305" i="46"/>
  <c r="E1306" i="46"/>
  <c r="E1307" i="46"/>
  <c r="E1308" i="46"/>
  <c r="E1309" i="46"/>
  <c r="E1310" i="46"/>
  <c r="E1311" i="46"/>
  <c r="F472" i="21" s="1"/>
  <c r="E1312" i="46"/>
  <c r="E1313" i="46"/>
  <c r="E1314" i="46"/>
  <c r="E1315" i="46"/>
  <c r="E1316" i="46"/>
  <c r="E1317" i="46"/>
  <c r="E1318" i="46"/>
  <c r="E1319" i="46"/>
  <c r="F480" i="21" s="1"/>
  <c r="E1320" i="46"/>
  <c r="E1321" i="46"/>
  <c r="E1322" i="46"/>
  <c r="E1323" i="46"/>
  <c r="E1324" i="46"/>
  <c r="E1325" i="46"/>
  <c r="E1326" i="46"/>
  <c r="E1327" i="46"/>
  <c r="E1328" i="46"/>
  <c r="E1329" i="46"/>
  <c r="E1330" i="46"/>
  <c r="E1331" i="46"/>
  <c r="E1332" i="46"/>
  <c r="E1333" i="46"/>
  <c r="E1334" i="46"/>
  <c r="E1335" i="46"/>
  <c r="F496" i="21" s="1"/>
  <c r="E1336" i="46"/>
  <c r="F497" i="21" s="1"/>
  <c r="E1337" i="46"/>
  <c r="E1338" i="46"/>
  <c r="E1339" i="46"/>
  <c r="E1340" i="46"/>
  <c r="E1341" i="46"/>
  <c r="E1342" i="46"/>
  <c r="E1343" i="46"/>
  <c r="E1344" i="46"/>
  <c r="E1345" i="46"/>
  <c r="E1346" i="46"/>
  <c r="E1347" i="46"/>
  <c r="E1348" i="46"/>
  <c r="E1349" i="46"/>
  <c r="E1350" i="46"/>
  <c r="E1351" i="46"/>
  <c r="E1352" i="46"/>
  <c r="E1353" i="46"/>
  <c r="E1354" i="46"/>
  <c r="E1355" i="46"/>
  <c r="F516" i="21" s="1"/>
  <c r="E1356" i="46"/>
  <c r="E1357" i="46"/>
  <c r="E1358" i="46"/>
  <c r="E1359" i="46"/>
  <c r="E1360" i="46"/>
  <c r="F521" i="21" s="1"/>
  <c r="E1361" i="46"/>
  <c r="E1362" i="46"/>
  <c r="E1363" i="46"/>
  <c r="E1364" i="46"/>
  <c r="E1365" i="46"/>
  <c r="E1366" i="46"/>
  <c r="E1367" i="46"/>
  <c r="E1368" i="46"/>
  <c r="E1369" i="46"/>
  <c r="E1370" i="46"/>
  <c r="E1371" i="46"/>
  <c r="E1372" i="46"/>
  <c r="E1373" i="46"/>
  <c r="E1374" i="46"/>
  <c r="E1375" i="46"/>
  <c r="E1376" i="46"/>
  <c r="E1377" i="46"/>
  <c r="E1378" i="46"/>
  <c r="E1379" i="46"/>
  <c r="E1380" i="46"/>
  <c r="E1381" i="46"/>
  <c r="E1382" i="46"/>
  <c r="E1383" i="46"/>
  <c r="E1384" i="46"/>
  <c r="E1385" i="46"/>
  <c r="E1386" i="46"/>
  <c r="E1387" i="46"/>
  <c r="E1388" i="46"/>
  <c r="E1389" i="46"/>
  <c r="E1390" i="46"/>
  <c r="E1391" i="46"/>
  <c r="E1392" i="46"/>
  <c r="E1393" i="46"/>
  <c r="E1394" i="46"/>
  <c r="E1395" i="46"/>
  <c r="E1396" i="46"/>
  <c r="E1397" i="46"/>
  <c r="E1398" i="46"/>
  <c r="E1399" i="46"/>
  <c r="E1400" i="46"/>
  <c r="F561" i="21" s="1"/>
  <c r="E1401" i="46"/>
  <c r="E1402" i="46"/>
  <c r="E1403" i="46"/>
  <c r="E1404" i="46"/>
  <c r="E1405" i="46"/>
  <c r="E1406" i="46"/>
  <c r="E1407" i="46"/>
  <c r="E1408" i="46"/>
  <c r="E1409" i="46"/>
  <c r="E1410" i="46"/>
  <c r="E1411" i="46"/>
  <c r="E1412" i="46"/>
  <c r="E1413" i="46"/>
  <c r="E1414" i="46"/>
  <c r="E1415" i="46"/>
  <c r="E1416" i="46"/>
  <c r="E1417" i="46"/>
  <c r="E1418" i="46"/>
  <c r="E1419" i="46"/>
  <c r="E1420" i="46"/>
  <c r="E1421" i="46"/>
  <c r="E1422" i="46"/>
  <c r="E1423" i="46"/>
  <c r="E1424" i="46"/>
  <c r="E1425" i="46"/>
  <c r="E1426" i="46"/>
  <c r="E1427" i="46"/>
  <c r="E1428" i="46"/>
  <c r="E1429" i="46"/>
  <c r="E1430" i="46"/>
  <c r="E1431" i="46"/>
  <c r="E1432" i="46"/>
  <c r="E1433" i="46"/>
  <c r="F594" i="21" s="1"/>
  <c r="E1434" i="46"/>
  <c r="E1435" i="46"/>
  <c r="E1436" i="46"/>
  <c r="E1437" i="46"/>
  <c r="E1438" i="46"/>
  <c r="E1439" i="46"/>
  <c r="E1440" i="46"/>
  <c r="E1441" i="46"/>
  <c r="E1442" i="46"/>
  <c r="E1443" i="46"/>
  <c r="E1444" i="46"/>
  <c r="E1445" i="46"/>
  <c r="E1446" i="46"/>
  <c r="E1447" i="46"/>
  <c r="E1448" i="46"/>
  <c r="E1449" i="46"/>
  <c r="E1450" i="46"/>
  <c r="E1451" i="46"/>
  <c r="E1452" i="46"/>
  <c r="E1453" i="46"/>
  <c r="E1454" i="46"/>
  <c r="E1455" i="46"/>
  <c r="E1456" i="46"/>
  <c r="E1457" i="46"/>
  <c r="E1458" i="46"/>
  <c r="E1459" i="46"/>
  <c r="E1460" i="46"/>
  <c r="E1461" i="46"/>
  <c r="E1462" i="46"/>
  <c r="E1463" i="46"/>
  <c r="E1464" i="46"/>
  <c r="E1465" i="46"/>
  <c r="E1466" i="46"/>
  <c r="E1467" i="46"/>
  <c r="E1468" i="46"/>
  <c r="E1469" i="46"/>
  <c r="E1470" i="46"/>
  <c r="E1471" i="46"/>
  <c r="E1472" i="46"/>
  <c r="E1473" i="46"/>
  <c r="E1474" i="46"/>
  <c r="E1475" i="46"/>
  <c r="E1476" i="46"/>
  <c r="E1477" i="46"/>
  <c r="E1478" i="46"/>
  <c r="E1479" i="46"/>
  <c r="E1480" i="46"/>
  <c r="E1481" i="46"/>
  <c r="E1482" i="46"/>
  <c r="E1483" i="46"/>
  <c r="E1484" i="46"/>
  <c r="E1485" i="46"/>
  <c r="E1486" i="46"/>
  <c r="E1487" i="46"/>
  <c r="F648" i="21" s="1"/>
  <c r="E1488" i="46"/>
  <c r="E1489" i="46"/>
  <c r="E1490" i="46"/>
  <c r="E1491" i="46"/>
  <c r="E1492" i="46"/>
  <c r="E1493" i="46"/>
  <c r="E1494" i="46"/>
  <c r="E1495" i="46"/>
  <c r="E1496" i="46"/>
  <c r="E1497" i="46"/>
  <c r="F658" i="21" s="1"/>
  <c r="E1498" i="46"/>
  <c r="F659" i="21" s="1"/>
  <c r="E1499" i="46"/>
  <c r="E1500" i="46"/>
  <c r="E1501" i="46"/>
  <c r="E1502" i="46"/>
  <c r="E1503" i="46"/>
  <c r="E1504" i="46"/>
  <c r="E1505" i="46"/>
  <c r="E1506" i="46"/>
  <c r="E1507" i="46"/>
  <c r="E1508" i="46"/>
  <c r="E1509" i="46"/>
  <c r="E1510" i="46"/>
  <c r="E1511" i="46"/>
  <c r="E1512" i="46"/>
  <c r="E1513" i="46"/>
  <c r="E1514" i="46"/>
  <c r="E1515" i="46"/>
  <c r="E1516" i="46"/>
  <c r="E1517" i="46"/>
  <c r="E1243" i="46"/>
  <c r="E406" i="46"/>
  <c r="E407" i="46"/>
  <c r="E408" i="46"/>
  <c r="E409" i="46"/>
  <c r="E410" i="46"/>
  <c r="E411" i="46"/>
  <c r="E412" i="46"/>
  <c r="E413" i="46"/>
  <c r="E414" i="46"/>
  <c r="E415" i="46"/>
  <c r="E416" i="46"/>
  <c r="E417" i="46"/>
  <c r="E418" i="46"/>
  <c r="E419" i="46"/>
  <c r="E420" i="46"/>
  <c r="E421" i="46"/>
  <c r="E422" i="46"/>
  <c r="E423" i="46"/>
  <c r="E424" i="46"/>
  <c r="E425" i="46"/>
  <c r="E426" i="46"/>
  <c r="E427" i="46"/>
  <c r="E428" i="46"/>
  <c r="E429" i="46"/>
  <c r="E430" i="46"/>
  <c r="E431" i="46"/>
  <c r="E432" i="46"/>
  <c r="E433" i="46"/>
  <c r="E434" i="46"/>
  <c r="E435" i="46"/>
  <c r="E436" i="46"/>
  <c r="E437" i="46"/>
  <c r="E438" i="46"/>
  <c r="E439" i="46"/>
  <c r="E440" i="46"/>
  <c r="E441" i="46"/>
  <c r="E442" i="46"/>
  <c r="E443" i="46"/>
  <c r="E444" i="46"/>
  <c r="E445" i="46"/>
  <c r="E446" i="46"/>
  <c r="E447" i="46"/>
  <c r="E448" i="46"/>
  <c r="E449" i="46"/>
  <c r="E450" i="46"/>
  <c r="E451" i="46"/>
  <c r="E452" i="46"/>
  <c r="E453" i="46"/>
  <c r="E454" i="46"/>
  <c r="E455" i="46"/>
  <c r="E456" i="46"/>
  <c r="E457" i="46"/>
  <c r="E458" i="46"/>
  <c r="E459" i="46"/>
  <c r="E460" i="46"/>
  <c r="E461" i="46"/>
  <c r="E462" i="46"/>
  <c r="E463" i="46"/>
  <c r="E464" i="46"/>
  <c r="E465" i="46"/>
  <c r="E466" i="46"/>
  <c r="E467" i="46"/>
  <c r="E468" i="46"/>
  <c r="E469" i="46"/>
  <c r="E470" i="46"/>
  <c r="E471" i="46"/>
  <c r="E472" i="46"/>
  <c r="E473" i="46"/>
  <c r="E474" i="46"/>
  <c r="E475" i="46"/>
  <c r="E476" i="46"/>
  <c r="E477" i="46"/>
  <c r="E478" i="46"/>
  <c r="E479" i="46"/>
  <c r="E480" i="46"/>
  <c r="E481" i="46"/>
  <c r="E482" i="46"/>
  <c r="E483" i="46"/>
  <c r="E484" i="46"/>
  <c r="E485" i="46"/>
  <c r="E486" i="46"/>
  <c r="E487" i="46"/>
  <c r="E488" i="46"/>
  <c r="E489" i="46"/>
  <c r="E490" i="46"/>
  <c r="E491" i="46"/>
  <c r="E492" i="46"/>
  <c r="E493" i="46"/>
  <c r="E494" i="46"/>
  <c r="E495" i="46"/>
  <c r="E496" i="46"/>
  <c r="E497" i="46"/>
  <c r="E498" i="46"/>
  <c r="E499" i="46"/>
  <c r="E500" i="46"/>
  <c r="E501" i="46"/>
  <c r="E502" i="46"/>
  <c r="E503" i="46"/>
  <c r="E504" i="46"/>
  <c r="E505" i="46"/>
  <c r="E506" i="46"/>
  <c r="E507" i="46"/>
  <c r="E508" i="46"/>
  <c r="E509" i="46"/>
  <c r="E510" i="46"/>
  <c r="E511" i="46"/>
  <c r="E512" i="46"/>
  <c r="E513" i="46"/>
  <c r="E514" i="46"/>
  <c r="E515" i="46"/>
  <c r="E516" i="46"/>
  <c r="E517" i="46"/>
  <c r="E518" i="46"/>
  <c r="E519" i="46"/>
  <c r="E520" i="46"/>
  <c r="E521" i="46"/>
  <c r="E522" i="46"/>
  <c r="E523" i="46"/>
  <c r="E524" i="46"/>
  <c r="E525" i="46"/>
  <c r="E526" i="46"/>
  <c r="E527" i="46"/>
  <c r="E528" i="46"/>
  <c r="E529" i="46"/>
  <c r="E530" i="46"/>
  <c r="E531" i="46"/>
  <c r="E532" i="46"/>
  <c r="E533" i="46"/>
  <c r="E534" i="46"/>
  <c r="E535" i="46"/>
  <c r="E536" i="46"/>
  <c r="E537" i="46"/>
  <c r="E538" i="46"/>
  <c r="E539" i="46"/>
  <c r="E540" i="46"/>
  <c r="E541" i="46"/>
  <c r="E542" i="46"/>
  <c r="E543" i="46"/>
  <c r="E544" i="46"/>
  <c r="E545" i="46"/>
  <c r="E546" i="46"/>
  <c r="E547" i="46"/>
  <c r="E548" i="46"/>
  <c r="E549" i="46"/>
  <c r="E550" i="46"/>
  <c r="E551" i="46"/>
  <c r="E552" i="46"/>
  <c r="E553" i="46"/>
  <c r="E554" i="46"/>
  <c r="E555" i="46"/>
  <c r="E556" i="46"/>
  <c r="E557" i="46"/>
  <c r="E558" i="46"/>
  <c r="E559" i="46"/>
  <c r="E560" i="46"/>
  <c r="E561" i="46"/>
  <c r="E562" i="46"/>
  <c r="E563" i="46"/>
  <c r="E564" i="46"/>
  <c r="E565" i="46"/>
  <c r="E566" i="46"/>
  <c r="E567" i="46"/>
  <c r="E568" i="46"/>
  <c r="E569" i="46"/>
  <c r="E570" i="46"/>
  <c r="E571" i="46"/>
  <c r="E572" i="46"/>
  <c r="E573" i="46"/>
  <c r="E574" i="46"/>
  <c r="E575" i="46"/>
  <c r="E576" i="46"/>
  <c r="E577" i="46"/>
  <c r="E578" i="46"/>
  <c r="E579" i="46"/>
  <c r="E580" i="46"/>
  <c r="E581" i="46"/>
  <c r="E582" i="46"/>
  <c r="E583" i="46"/>
  <c r="E584" i="46"/>
  <c r="E585" i="46"/>
  <c r="E586" i="46"/>
  <c r="E587" i="46"/>
  <c r="E588" i="46"/>
  <c r="E589" i="46"/>
  <c r="E590" i="46"/>
  <c r="E591" i="46"/>
  <c r="E592" i="46"/>
  <c r="E593" i="46"/>
  <c r="E594" i="46"/>
  <c r="E595" i="46"/>
  <c r="E596" i="46"/>
  <c r="E597" i="46"/>
  <c r="E598" i="46"/>
  <c r="E599" i="46"/>
  <c r="E600" i="46"/>
  <c r="E601" i="46"/>
  <c r="E602" i="46"/>
  <c r="E603" i="46"/>
  <c r="E604" i="46"/>
  <c r="E605" i="46"/>
  <c r="E606" i="46"/>
  <c r="E607" i="46"/>
  <c r="E608" i="46"/>
  <c r="E609" i="46"/>
  <c r="E610" i="46"/>
  <c r="E611" i="46"/>
  <c r="E612" i="46"/>
  <c r="E613" i="46"/>
  <c r="E614" i="46"/>
  <c r="E615" i="46"/>
  <c r="E616" i="46"/>
  <c r="E617" i="46"/>
  <c r="E618" i="46"/>
  <c r="E619" i="46"/>
  <c r="E620" i="46"/>
  <c r="E621" i="46"/>
  <c r="E622" i="46"/>
  <c r="E623" i="46"/>
  <c r="E624" i="46"/>
  <c r="E625" i="46"/>
  <c r="E626" i="46"/>
  <c r="E627" i="46"/>
  <c r="E628" i="46"/>
  <c r="E629" i="46"/>
  <c r="E630" i="46"/>
  <c r="E631" i="46"/>
  <c r="E632" i="46"/>
  <c r="E633" i="46"/>
  <c r="E634" i="46"/>
  <c r="E635" i="46"/>
  <c r="E636" i="46"/>
  <c r="E637" i="46"/>
  <c r="E638" i="46"/>
  <c r="E639" i="46"/>
  <c r="E640" i="46"/>
  <c r="E641" i="46"/>
  <c r="E642" i="46"/>
  <c r="E643" i="46"/>
  <c r="E644" i="46"/>
  <c r="E645" i="46"/>
  <c r="E646" i="46"/>
  <c r="E647" i="46"/>
  <c r="E648" i="46"/>
  <c r="E649" i="46"/>
  <c r="E650" i="46"/>
  <c r="E651" i="46"/>
  <c r="E652" i="46"/>
  <c r="E653" i="46"/>
  <c r="E654" i="46"/>
  <c r="E655" i="46"/>
  <c r="E656" i="46"/>
  <c r="E657" i="46"/>
  <c r="E658" i="46"/>
  <c r="E659" i="46"/>
  <c r="E660" i="46"/>
  <c r="E661" i="46"/>
  <c r="E662" i="46"/>
  <c r="E663" i="46"/>
  <c r="E664" i="46"/>
  <c r="E665" i="46"/>
  <c r="E666" i="46"/>
  <c r="E667" i="46"/>
  <c r="E668" i="46"/>
  <c r="E669" i="46"/>
  <c r="E670" i="46"/>
  <c r="E671" i="46"/>
  <c r="E672" i="46"/>
  <c r="E673" i="46"/>
  <c r="E674" i="46"/>
  <c r="E675" i="46"/>
  <c r="E676" i="46"/>
  <c r="E677" i="46"/>
  <c r="E678" i="46"/>
  <c r="E679" i="46"/>
  <c r="E680" i="46"/>
  <c r="E681" i="46"/>
  <c r="E682" i="46"/>
  <c r="E683" i="46"/>
  <c r="E684" i="46"/>
  <c r="E685" i="46"/>
  <c r="E686" i="46"/>
  <c r="E687" i="46"/>
  <c r="E688" i="46"/>
  <c r="E689" i="46"/>
  <c r="E690" i="46"/>
  <c r="E691" i="46"/>
  <c r="E692" i="46"/>
  <c r="E693" i="46"/>
  <c r="E694" i="46"/>
  <c r="E695" i="46"/>
  <c r="E696" i="46"/>
  <c r="E697" i="46"/>
  <c r="E698" i="46"/>
  <c r="E699" i="46"/>
  <c r="E700" i="46"/>
  <c r="E701" i="46"/>
  <c r="E702" i="46"/>
  <c r="E703" i="46"/>
  <c r="E704" i="46"/>
  <c r="E705" i="46"/>
  <c r="E706" i="46"/>
  <c r="E707" i="46"/>
  <c r="E708" i="46"/>
  <c r="E709" i="46"/>
  <c r="E710" i="46"/>
  <c r="E711" i="46"/>
  <c r="E712" i="46"/>
  <c r="E713" i="46"/>
  <c r="E714" i="46"/>
  <c r="E715" i="46"/>
  <c r="E716" i="46"/>
  <c r="E717" i="46"/>
  <c r="E718" i="46"/>
  <c r="E404" i="46"/>
  <c r="E405" i="46"/>
  <c r="B2856" i="19"/>
  <c r="C1269" i="21"/>
  <c r="F722" i="21"/>
  <c r="F706" i="21"/>
  <c r="F721" i="21"/>
  <c r="F705" i="21"/>
  <c r="F650" i="21"/>
  <c r="F649" i="21"/>
  <c r="F661" i="21"/>
  <c r="F723" i="21"/>
  <c r="F657" i="21"/>
  <c r="C2835" i="19"/>
  <c r="D2835" i="19"/>
  <c r="E2835" i="19"/>
  <c r="F2835" i="19"/>
  <c r="G2835" i="19"/>
  <c r="B2835" i="19"/>
  <c r="C2796" i="19"/>
  <c r="D2796" i="19"/>
  <c r="B2796" i="19"/>
  <c r="C1337" i="19"/>
  <c r="C874" i="21"/>
  <c r="C875" i="21"/>
  <c r="C876" i="21"/>
  <c r="C877" i="21"/>
  <c r="C878" i="21"/>
  <c r="C879" i="21"/>
  <c r="C880" i="21"/>
  <c r="C881" i="21"/>
  <c r="C882" i="21"/>
  <c r="C883" i="21"/>
  <c r="C884" i="21"/>
  <c r="C885" i="21"/>
  <c r="C886" i="21"/>
  <c r="C887" i="21"/>
  <c r="C888" i="21"/>
  <c r="C889" i="21"/>
  <c r="C890" i="21"/>
  <c r="C891" i="21"/>
  <c r="C892" i="21"/>
  <c r="C893" i="21"/>
  <c r="C894" i="21"/>
  <c r="C895" i="21"/>
  <c r="C896" i="21"/>
  <c r="C897" i="21"/>
  <c r="C898" i="21"/>
  <c r="C899" i="21"/>
  <c r="C900" i="21"/>
  <c r="C901" i="21"/>
  <c r="C902" i="21"/>
  <c r="C903" i="21"/>
  <c r="C904" i="21"/>
  <c r="C905" i="21"/>
  <c r="C906" i="21"/>
  <c r="C907" i="21"/>
  <c r="C908" i="21"/>
  <c r="C909" i="21"/>
  <c r="C910" i="21"/>
  <c r="C911" i="21"/>
  <c r="C912" i="21"/>
  <c r="C913" i="21"/>
  <c r="C914" i="21"/>
  <c r="C915" i="21"/>
  <c r="C916" i="21"/>
  <c r="C917" i="21"/>
  <c r="C918" i="21"/>
  <c r="C919" i="21"/>
  <c r="C920" i="21"/>
  <c r="C921" i="21"/>
  <c r="C922" i="21"/>
  <c r="C923" i="21"/>
  <c r="C924" i="21"/>
  <c r="C925" i="21"/>
  <c r="C926" i="21"/>
  <c r="C927" i="21"/>
  <c r="C928" i="21"/>
  <c r="C929" i="21"/>
  <c r="C930" i="21"/>
  <c r="C931" i="21"/>
  <c r="C932" i="21"/>
  <c r="C933" i="21"/>
  <c r="C934" i="21"/>
  <c r="C935" i="21"/>
  <c r="C936" i="21"/>
  <c r="C937" i="21"/>
  <c r="C938" i="21"/>
  <c r="C939" i="21"/>
  <c r="C940" i="21"/>
  <c r="C941" i="21"/>
  <c r="C942" i="21"/>
  <c r="C943" i="21"/>
  <c r="C944" i="21"/>
  <c r="C945" i="21"/>
  <c r="C946" i="21"/>
  <c r="C947" i="21"/>
  <c r="C948" i="21"/>
  <c r="C949" i="21"/>
  <c r="C950" i="21"/>
  <c r="C951" i="21"/>
  <c r="C952" i="21"/>
  <c r="C953" i="21"/>
  <c r="C954" i="21"/>
  <c r="C955" i="21"/>
  <c r="C956" i="21"/>
  <c r="C957" i="21"/>
  <c r="C958" i="21"/>
  <c r="C959" i="21"/>
  <c r="C960" i="21"/>
  <c r="C961" i="21"/>
  <c r="C962" i="21"/>
  <c r="C963" i="21"/>
  <c r="C964" i="21"/>
  <c r="C965" i="21"/>
  <c r="C966" i="21"/>
  <c r="C967" i="21"/>
  <c r="C968" i="21"/>
  <c r="C969" i="21"/>
  <c r="C970" i="21"/>
  <c r="C971" i="21"/>
  <c r="C972" i="21"/>
  <c r="C973" i="21"/>
  <c r="C974" i="21"/>
  <c r="C975" i="21"/>
  <c r="C976" i="21"/>
  <c r="C977" i="21"/>
  <c r="C978" i="21"/>
  <c r="C979" i="21"/>
  <c r="C980" i="21"/>
  <c r="C981" i="21"/>
  <c r="C982" i="21"/>
  <c r="C983" i="21"/>
  <c r="C984" i="21"/>
  <c r="C985" i="21"/>
  <c r="C986" i="21"/>
  <c r="C987" i="21"/>
  <c r="C988" i="21"/>
  <c r="C989" i="21"/>
  <c r="C990" i="21"/>
  <c r="C991" i="21"/>
  <c r="C992" i="21"/>
  <c r="C993" i="21"/>
  <c r="C994" i="21"/>
  <c r="C995" i="21"/>
  <c r="C996" i="21"/>
  <c r="C997" i="21"/>
  <c r="C998" i="21"/>
  <c r="C999" i="21"/>
  <c r="C1000" i="21"/>
  <c r="C1001" i="21"/>
  <c r="C1002" i="21"/>
  <c r="C1003" i="21"/>
  <c r="C1004" i="21"/>
  <c r="C1005" i="21"/>
  <c r="C1006" i="21"/>
  <c r="C1007" i="21"/>
  <c r="C1008" i="21"/>
  <c r="C1009" i="21"/>
  <c r="C1010" i="21"/>
  <c r="C1011" i="21"/>
  <c r="C1012" i="21"/>
  <c r="C1013" i="21"/>
  <c r="C1014" i="21"/>
  <c r="C1015" i="21"/>
  <c r="C1016" i="21"/>
  <c r="C1017" i="21"/>
  <c r="C1018" i="21"/>
  <c r="C1019" i="21"/>
  <c r="C1020" i="21"/>
  <c r="C1021" i="21"/>
  <c r="C1022" i="21"/>
  <c r="C1023" i="21"/>
  <c r="C1024" i="21"/>
  <c r="C1025" i="21"/>
  <c r="C1026" i="21"/>
  <c r="C1027" i="21"/>
  <c r="C1028" i="21"/>
  <c r="C1029" i="21"/>
  <c r="C1030" i="21"/>
  <c r="C1031" i="21"/>
  <c r="C1032" i="21"/>
  <c r="G29" i="21"/>
  <c r="G30" i="21"/>
  <c r="G31" i="21"/>
  <c r="G32" i="21"/>
  <c r="G34" i="21"/>
  <c r="G35" i="21"/>
  <c r="G36" i="21"/>
  <c r="G38" i="21"/>
  <c r="G40" i="21"/>
  <c r="G41" i="21"/>
  <c r="G42" i="21"/>
  <c r="G43" i="21"/>
  <c r="G44" i="21"/>
  <c r="G46" i="21"/>
  <c r="G47" i="21"/>
  <c r="G50" i="21"/>
  <c r="G51" i="21"/>
  <c r="I51" i="21" s="1"/>
  <c r="G52" i="21"/>
  <c r="G56" i="21"/>
  <c r="G57" i="21"/>
  <c r="G58" i="21"/>
  <c r="G61" i="21"/>
  <c r="G62" i="21"/>
  <c r="G65" i="21"/>
  <c r="G67" i="21"/>
  <c r="G68" i="21"/>
  <c r="G69" i="21"/>
  <c r="G70" i="21"/>
  <c r="G71" i="21"/>
  <c r="G72" i="21"/>
  <c r="G74" i="21"/>
  <c r="G75" i="21"/>
  <c r="G76" i="21"/>
  <c r="G78" i="21"/>
  <c r="G82" i="21"/>
  <c r="G86" i="21"/>
  <c r="G87" i="21"/>
  <c r="G88" i="21"/>
  <c r="G89" i="21"/>
  <c r="G93" i="21"/>
  <c r="G94" i="21"/>
  <c r="G95" i="21"/>
  <c r="G96" i="21"/>
  <c r="G100" i="21"/>
  <c r="G101" i="21"/>
  <c r="G102" i="21"/>
  <c r="G103" i="21"/>
  <c r="G104" i="21"/>
  <c r="I104" i="21" s="1"/>
  <c r="G106" i="21"/>
  <c r="G107" i="21"/>
  <c r="G108" i="21"/>
  <c r="G110" i="21"/>
  <c r="G111" i="21"/>
  <c r="G116" i="21"/>
  <c r="G118" i="21"/>
  <c r="G119" i="21"/>
  <c r="G122" i="21"/>
  <c r="G125" i="21"/>
  <c r="G127" i="21"/>
  <c r="G129" i="21"/>
  <c r="G130" i="21"/>
  <c r="G131" i="21"/>
  <c r="G132" i="21"/>
  <c r="G133" i="21"/>
  <c r="G134" i="21"/>
  <c r="G135" i="21"/>
  <c r="G137" i="21"/>
  <c r="G138" i="21"/>
  <c r="G143" i="21"/>
  <c r="G145" i="21"/>
  <c r="G146" i="21"/>
  <c r="G147" i="21"/>
  <c r="G148" i="21"/>
  <c r="G149" i="21"/>
  <c r="G151" i="21"/>
  <c r="G152" i="21"/>
  <c r="G153" i="21"/>
  <c r="G155" i="21"/>
  <c r="G156" i="21"/>
  <c r="G163" i="21"/>
  <c r="G164" i="21"/>
  <c r="G165" i="21"/>
  <c r="G166" i="21"/>
  <c r="G9" i="21"/>
  <c r="G10" i="21"/>
  <c r="G11" i="21"/>
  <c r="G13" i="21"/>
  <c r="G14" i="21"/>
  <c r="G17" i="21"/>
  <c r="G19" i="21"/>
  <c r="G20" i="21"/>
  <c r="G21" i="21"/>
  <c r="G26" i="21"/>
  <c r="G27" i="21"/>
  <c r="G8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C15" i="21"/>
  <c r="D15" i="21"/>
  <c r="E15" i="21"/>
  <c r="C16" i="21"/>
  <c r="D16" i="21"/>
  <c r="E16" i="21"/>
  <c r="C17" i="21"/>
  <c r="D17" i="21"/>
  <c r="E17" i="21"/>
  <c r="C18" i="21"/>
  <c r="D18" i="21"/>
  <c r="E18" i="21"/>
  <c r="C19" i="21"/>
  <c r="D19" i="21"/>
  <c r="E19" i="21"/>
  <c r="C20" i="21"/>
  <c r="D20" i="21"/>
  <c r="E20" i="21"/>
  <c r="C21" i="21"/>
  <c r="D21" i="21"/>
  <c r="E21" i="21"/>
  <c r="C22" i="21"/>
  <c r="D22" i="21"/>
  <c r="E22" i="21"/>
  <c r="C23" i="21"/>
  <c r="D23" i="21"/>
  <c r="E23" i="21"/>
  <c r="C24" i="21"/>
  <c r="D24" i="21"/>
  <c r="E24" i="21"/>
  <c r="C25" i="21"/>
  <c r="D25" i="21"/>
  <c r="E25" i="21"/>
  <c r="C26" i="21"/>
  <c r="D26" i="21"/>
  <c r="E26" i="21"/>
  <c r="C27" i="21"/>
  <c r="D27" i="21"/>
  <c r="E27" i="21"/>
  <c r="C28" i="21"/>
  <c r="D28" i="21"/>
  <c r="E28" i="21"/>
  <c r="C29" i="21"/>
  <c r="D29" i="21"/>
  <c r="E29" i="21"/>
  <c r="C30" i="21"/>
  <c r="D30" i="21"/>
  <c r="E30" i="21"/>
  <c r="C31" i="21"/>
  <c r="D31" i="21"/>
  <c r="E31" i="21"/>
  <c r="C32" i="21"/>
  <c r="D32" i="21"/>
  <c r="E32" i="21"/>
  <c r="C33" i="21"/>
  <c r="D33" i="21"/>
  <c r="E33" i="21"/>
  <c r="C34" i="21"/>
  <c r="D34" i="21"/>
  <c r="E34" i="21"/>
  <c r="C35" i="21"/>
  <c r="D35" i="21"/>
  <c r="E35" i="21"/>
  <c r="C36" i="21"/>
  <c r="D36" i="21"/>
  <c r="E36" i="21"/>
  <c r="C37" i="21"/>
  <c r="D37" i="21"/>
  <c r="E37" i="21"/>
  <c r="C38" i="21"/>
  <c r="D38" i="21"/>
  <c r="E38" i="21"/>
  <c r="C39" i="21"/>
  <c r="D39" i="21"/>
  <c r="E39" i="21"/>
  <c r="C40" i="21"/>
  <c r="D40" i="21"/>
  <c r="E40" i="21"/>
  <c r="C41" i="21"/>
  <c r="D41" i="21"/>
  <c r="E41" i="21"/>
  <c r="C42" i="21"/>
  <c r="D42" i="21"/>
  <c r="E42" i="21"/>
  <c r="C43" i="21"/>
  <c r="D43" i="21"/>
  <c r="E43" i="21"/>
  <c r="C44" i="21"/>
  <c r="D44" i="21"/>
  <c r="E44" i="21"/>
  <c r="C45" i="21"/>
  <c r="D45" i="21"/>
  <c r="E45" i="21"/>
  <c r="C46" i="21"/>
  <c r="D46" i="21"/>
  <c r="E46" i="21"/>
  <c r="C47" i="21"/>
  <c r="D47" i="21"/>
  <c r="E47" i="21"/>
  <c r="C48" i="21"/>
  <c r="D48" i="21"/>
  <c r="E48" i="21"/>
  <c r="C49" i="21"/>
  <c r="D49" i="21"/>
  <c r="E49" i="21"/>
  <c r="C50" i="21"/>
  <c r="D50" i="21"/>
  <c r="E50" i="21"/>
  <c r="C51" i="21"/>
  <c r="D51" i="21"/>
  <c r="E51" i="21"/>
  <c r="C52" i="21"/>
  <c r="D52" i="21"/>
  <c r="E52" i="21"/>
  <c r="C53" i="21"/>
  <c r="D53" i="21"/>
  <c r="E53" i="21"/>
  <c r="C54" i="21"/>
  <c r="D54" i="21"/>
  <c r="E54" i="21"/>
  <c r="C55" i="21"/>
  <c r="D55" i="21"/>
  <c r="E55" i="21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69" i="21"/>
  <c r="D69" i="21"/>
  <c r="E69" i="21"/>
  <c r="C70" i="21"/>
  <c r="D70" i="21"/>
  <c r="E70" i="21"/>
  <c r="C71" i="21"/>
  <c r="D71" i="21"/>
  <c r="E71" i="21"/>
  <c r="C72" i="21"/>
  <c r="D72" i="21"/>
  <c r="E72" i="21"/>
  <c r="C73" i="21"/>
  <c r="D73" i="21"/>
  <c r="E73" i="21"/>
  <c r="C74" i="21"/>
  <c r="D74" i="21"/>
  <c r="E74" i="21"/>
  <c r="C75" i="21"/>
  <c r="D75" i="21"/>
  <c r="E75" i="21"/>
  <c r="C76" i="21"/>
  <c r="D76" i="21"/>
  <c r="E76" i="21"/>
  <c r="C77" i="21"/>
  <c r="D77" i="21"/>
  <c r="E77" i="21"/>
  <c r="C78" i="21"/>
  <c r="D78" i="21"/>
  <c r="E78" i="21"/>
  <c r="C79" i="21"/>
  <c r="D79" i="21"/>
  <c r="E79" i="21"/>
  <c r="C80" i="21"/>
  <c r="D80" i="21"/>
  <c r="E80" i="21"/>
  <c r="C81" i="21"/>
  <c r="D81" i="21"/>
  <c r="E81" i="21"/>
  <c r="C82" i="21"/>
  <c r="D82" i="21"/>
  <c r="E82" i="21"/>
  <c r="C83" i="21"/>
  <c r="D83" i="21"/>
  <c r="E83" i="21"/>
  <c r="C84" i="21"/>
  <c r="D84" i="21"/>
  <c r="E84" i="21"/>
  <c r="C85" i="21"/>
  <c r="D85" i="21"/>
  <c r="E85" i="21"/>
  <c r="C86" i="21"/>
  <c r="D86" i="21"/>
  <c r="E86" i="21"/>
  <c r="C87" i="21"/>
  <c r="D87" i="21"/>
  <c r="E87" i="21"/>
  <c r="C88" i="21"/>
  <c r="D88" i="21"/>
  <c r="E88" i="21"/>
  <c r="C89" i="21"/>
  <c r="D89" i="21"/>
  <c r="E89" i="21"/>
  <c r="C90" i="21"/>
  <c r="D90" i="21"/>
  <c r="E90" i="21"/>
  <c r="C91" i="21"/>
  <c r="D91" i="21"/>
  <c r="E91" i="21"/>
  <c r="C92" i="21"/>
  <c r="D92" i="21"/>
  <c r="E92" i="21"/>
  <c r="C93" i="21"/>
  <c r="D93" i="21"/>
  <c r="E93" i="21"/>
  <c r="C94" i="21"/>
  <c r="D94" i="21"/>
  <c r="E94" i="21"/>
  <c r="C95" i="21"/>
  <c r="D95" i="21"/>
  <c r="E95" i="21"/>
  <c r="C96" i="21"/>
  <c r="D96" i="21"/>
  <c r="E96" i="21"/>
  <c r="C97" i="21"/>
  <c r="D97" i="21"/>
  <c r="E97" i="21"/>
  <c r="C98" i="21"/>
  <c r="D98" i="21"/>
  <c r="E98" i="21"/>
  <c r="C99" i="21"/>
  <c r="D99" i="21"/>
  <c r="E99" i="21"/>
  <c r="C100" i="21"/>
  <c r="D100" i="21"/>
  <c r="E100" i="21"/>
  <c r="C101" i="21"/>
  <c r="D101" i="21"/>
  <c r="E101" i="21"/>
  <c r="C102" i="21"/>
  <c r="D102" i="21"/>
  <c r="E102" i="21"/>
  <c r="C103" i="21"/>
  <c r="D103" i="21"/>
  <c r="E103" i="21"/>
  <c r="C104" i="21"/>
  <c r="D104" i="21"/>
  <c r="E104" i="21"/>
  <c r="C105" i="21"/>
  <c r="D105" i="21"/>
  <c r="E105" i="21"/>
  <c r="C106" i="21"/>
  <c r="D106" i="21"/>
  <c r="E106" i="21"/>
  <c r="C107" i="21"/>
  <c r="D107" i="21"/>
  <c r="E107" i="21"/>
  <c r="C108" i="21"/>
  <c r="D108" i="21"/>
  <c r="E108" i="21"/>
  <c r="C109" i="21"/>
  <c r="D109" i="21"/>
  <c r="E109" i="21"/>
  <c r="C110" i="21"/>
  <c r="D110" i="21"/>
  <c r="E110" i="21"/>
  <c r="C111" i="21"/>
  <c r="D111" i="21"/>
  <c r="E111" i="21"/>
  <c r="C112" i="21"/>
  <c r="D112" i="21"/>
  <c r="E112" i="21"/>
  <c r="C113" i="21"/>
  <c r="D113" i="21"/>
  <c r="E113" i="21"/>
  <c r="C114" i="21"/>
  <c r="D114" i="21"/>
  <c r="E114" i="21"/>
  <c r="C115" i="21"/>
  <c r="D115" i="21"/>
  <c r="E115" i="21"/>
  <c r="C116" i="21"/>
  <c r="D116" i="21"/>
  <c r="E116" i="21"/>
  <c r="C117" i="21"/>
  <c r="D117" i="21"/>
  <c r="E117" i="21"/>
  <c r="C118" i="21"/>
  <c r="D118" i="21"/>
  <c r="E118" i="21"/>
  <c r="C119" i="21"/>
  <c r="D119" i="21"/>
  <c r="E119" i="21"/>
  <c r="C120" i="21"/>
  <c r="D120" i="21"/>
  <c r="E120" i="21"/>
  <c r="C121" i="21"/>
  <c r="D121" i="21"/>
  <c r="E121" i="21"/>
  <c r="C122" i="21"/>
  <c r="D122" i="21"/>
  <c r="E122" i="21"/>
  <c r="C123" i="21"/>
  <c r="D123" i="21"/>
  <c r="E123" i="21"/>
  <c r="C124" i="21"/>
  <c r="D124" i="21"/>
  <c r="E124" i="21"/>
  <c r="C125" i="21"/>
  <c r="D125" i="21"/>
  <c r="E125" i="21"/>
  <c r="C126" i="21"/>
  <c r="D126" i="21"/>
  <c r="E126" i="21"/>
  <c r="C127" i="21"/>
  <c r="D127" i="21"/>
  <c r="E127" i="21"/>
  <c r="C128" i="21"/>
  <c r="D128" i="21"/>
  <c r="E128" i="21"/>
  <c r="C129" i="21"/>
  <c r="D129" i="21"/>
  <c r="E129" i="21"/>
  <c r="C130" i="21"/>
  <c r="D130" i="21"/>
  <c r="E130" i="21"/>
  <c r="C131" i="21"/>
  <c r="D131" i="21"/>
  <c r="E131" i="21"/>
  <c r="C132" i="21"/>
  <c r="D132" i="21"/>
  <c r="E132" i="21"/>
  <c r="C133" i="21"/>
  <c r="D133" i="21"/>
  <c r="E133" i="21"/>
  <c r="C134" i="21"/>
  <c r="D134" i="21"/>
  <c r="E134" i="21"/>
  <c r="C135" i="21"/>
  <c r="D135" i="21"/>
  <c r="E135" i="21"/>
  <c r="C136" i="21"/>
  <c r="D136" i="21"/>
  <c r="E136" i="21"/>
  <c r="C137" i="21"/>
  <c r="D137" i="21"/>
  <c r="E137" i="21"/>
  <c r="C138" i="21"/>
  <c r="D138" i="21"/>
  <c r="E138" i="21"/>
  <c r="C139" i="21"/>
  <c r="D139" i="21"/>
  <c r="E139" i="21"/>
  <c r="C140" i="21"/>
  <c r="D140" i="21"/>
  <c r="E140" i="21"/>
  <c r="C141" i="21"/>
  <c r="D141" i="21"/>
  <c r="E141" i="21"/>
  <c r="C142" i="21"/>
  <c r="D142" i="21"/>
  <c r="E142" i="21"/>
  <c r="C143" i="21"/>
  <c r="D143" i="21"/>
  <c r="E143" i="21"/>
  <c r="C144" i="21"/>
  <c r="D144" i="21"/>
  <c r="E144" i="21"/>
  <c r="C145" i="21"/>
  <c r="D145" i="21"/>
  <c r="E145" i="21"/>
  <c r="C146" i="21"/>
  <c r="D146" i="21"/>
  <c r="E146" i="21"/>
  <c r="C147" i="21"/>
  <c r="D147" i="21"/>
  <c r="E147" i="21"/>
  <c r="C148" i="21"/>
  <c r="D148" i="21"/>
  <c r="E148" i="21"/>
  <c r="C149" i="21"/>
  <c r="D149" i="21"/>
  <c r="E149" i="21"/>
  <c r="C150" i="21"/>
  <c r="D150" i="21"/>
  <c r="E150" i="21"/>
  <c r="C151" i="21"/>
  <c r="D151" i="21"/>
  <c r="E151" i="21"/>
  <c r="C152" i="21"/>
  <c r="D152" i="21"/>
  <c r="E152" i="21"/>
  <c r="C153" i="21"/>
  <c r="D153" i="21"/>
  <c r="E153" i="21"/>
  <c r="C154" i="21"/>
  <c r="D154" i="21"/>
  <c r="E154" i="21"/>
  <c r="C155" i="21"/>
  <c r="D155" i="21"/>
  <c r="E155" i="21"/>
  <c r="C156" i="21"/>
  <c r="D156" i="21"/>
  <c r="E156" i="21"/>
  <c r="C157" i="21"/>
  <c r="D157" i="21"/>
  <c r="E157" i="21"/>
  <c r="C158" i="21"/>
  <c r="D158" i="21"/>
  <c r="E158" i="21"/>
  <c r="C159" i="21"/>
  <c r="D159" i="21"/>
  <c r="E159" i="21"/>
  <c r="C160" i="21"/>
  <c r="D160" i="21"/>
  <c r="E160" i="21"/>
  <c r="C161" i="21"/>
  <c r="D161" i="21"/>
  <c r="E161" i="21"/>
  <c r="C162" i="21"/>
  <c r="D162" i="21"/>
  <c r="E162" i="21"/>
  <c r="C163" i="21"/>
  <c r="D163" i="21"/>
  <c r="E163" i="21"/>
  <c r="C164" i="21"/>
  <c r="D164" i="21"/>
  <c r="E164" i="21"/>
  <c r="C165" i="21"/>
  <c r="D165" i="21"/>
  <c r="E165" i="21"/>
  <c r="C166" i="21"/>
  <c r="D166" i="21"/>
  <c r="E166" i="21"/>
  <c r="D3016" i="21"/>
  <c r="C25" i="36"/>
  <c r="B25" i="36"/>
  <c r="D1007" i="46"/>
  <c r="B2773" i="19"/>
  <c r="C7" i="19"/>
  <c r="D7" i="19"/>
  <c r="E7" i="19"/>
  <c r="B7" i="19"/>
  <c r="I1085" i="19"/>
  <c r="B1898" i="21" s="1"/>
  <c r="I1069" i="19"/>
  <c r="B1882" i="21" s="1"/>
  <c r="I1053" i="19"/>
  <c r="B1866" i="21" s="1"/>
  <c r="I1045" i="19"/>
  <c r="B1858" i="21" s="1"/>
  <c r="I1029" i="19"/>
  <c r="B1842" i="21" s="1"/>
  <c r="I1013" i="19"/>
  <c r="B1826" i="21" s="1"/>
  <c r="I997" i="19"/>
  <c r="B1810" i="21"/>
  <c r="I981" i="19"/>
  <c r="B1794" i="21" s="1"/>
  <c r="I965" i="19"/>
  <c r="B1778" i="21" s="1"/>
  <c r="I949" i="19"/>
  <c r="B1762" i="21" s="1"/>
  <c r="I933" i="19"/>
  <c r="B1746" i="21" s="1"/>
  <c r="I1093" i="19"/>
  <c r="B1906" i="21" s="1"/>
  <c r="I1077" i="19"/>
  <c r="B1890" i="21" s="1"/>
  <c r="I1061" i="19"/>
  <c r="B1874" i="21" s="1"/>
  <c r="I1037" i="19"/>
  <c r="B1850" i="21" s="1"/>
  <c r="I1021" i="19"/>
  <c r="B1834" i="21" s="1"/>
  <c r="I1005" i="19"/>
  <c r="B1818" i="21" s="1"/>
  <c r="I989" i="19"/>
  <c r="B1802" i="21" s="1"/>
  <c r="I973" i="19"/>
  <c r="B1786" i="21" s="1"/>
  <c r="I957" i="19"/>
  <c r="B1770" i="21" s="1"/>
  <c r="I941" i="19"/>
  <c r="B1754" i="21" s="1"/>
  <c r="I1091" i="19"/>
  <c r="B1904" i="21" s="1"/>
  <c r="I1083" i="19"/>
  <c r="B1896" i="21" s="1"/>
  <c r="I1075" i="19"/>
  <c r="B1888" i="21" s="1"/>
  <c r="I1067" i="19"/>
  <c r="B1880" i="21" s="1"/>
  <c r="I1059" i="19"/>
  <c r="B1872" i="21" s="1"/>
  <c r="I1051" i="19"/>
  <c r="B1864" i="21" s="1"/>
  <c r="I1043" i="19"/>
  <c r="B1856" i="21" s="1"/>
  <c r="I1035" i="19"/>
  <c r="B1848" i="21" s="1"/>
  <c r="I1027" i="19"/>
  <c r="B1840" i="21" s="1"/>
  <c r="I1019" i="19"/>
  <c r="B1832" i="21" s="1"/>
  <c r="I1011" i="19"/>
  <c r="B1824" i="21" s="1"/>
  <c r="I1003" i="19"/>
  <c r="B1816" i="21" s="1"/>
  <c r="I995" i="19"/>
  <c r="B1808" i="21" s="1"/>
  <c r="I987" i="19"/>
  <c r="B1800" i="21" s="1"/>
  <c r="I979" i="19"/>
  <c r="B1792" i="21" s="1"/>
  <c r="I971" i="19"/>
  <c r="B1784" i="21" s="1"/>
  <c r="I963" i="19"/>
  <c r="B1776" i="21" s="1"/>
  <c r="I955" i="19"/>
  <c r="B1768" i="21" s="1"/>
  <c r="I947" i="19"/>
  <c r="B1760" i="21" s="1"/>
  <c r="I939" i="19"/>
  <c r="B1752" i="21" s="1"/>
  <c r="I1090" i="19"/>
  <c r="B1903" i="21" s="1"/>
  <c r="I1082" i="19"/>
  <c r="B1895" i="21" s="1"/>
  <c r="I1074" i="19"/>
  <c r="I1066" i="19"/>
  <c r="B1879" i="21" s="1"/>
  <c r="I1058" i="19"/>
  <c r="B1871" i="21" s="1"/>
  <c r="I1050" i="19"/>
  <c r="B1863" i="21" s="1"/>
  <c r="I1042" i="19"/>
  <c r="B1855" i="21" s="1"/>
  <c r="I1034" i="19"/>
  <c r="B1847" i="21" s="1"/>
  <c r="I1026" i="19"/>
  <c r="B1839" i="21" s="1"/>
  <c r="I1018" i="19"/>
  <c r="B1831" i="21" s="1"/>
  <c r="I1010" i="19"/>
  <c r="B1823" i="21" s="1"/>
  <c r="I1002" i="19"/>
  <c r="B1815" i="21" s="1"/>
  <c r="I994" i="19"/>
  <c r="B1807" i="21" s="1"/>
  <c r="I986" i="19"/>
  <c r="B1799" i="21" s="1"/>
  <c r="I978" i="19"/>
  <c r="B1791" i="21" s="1"/>
  <c r="I970" i="19"/>
  <c r="B1783" i="21" s="1"/>
  <c r="I962" i="19"/>
  <c r="B1775" i="21" s="1"/>
  <c r="I954" i="19"/>
  <c r="B1767" i="21" s="1"/>
  <c r="I946" i="19"/>
  <c r="B1759" i="21" s="1"/>
  <c r="I938" i="19"/>
  <c r="B1751" i="21" s="1"/>
  <c r="I1079" i="19"/>
  <c r="B1892" i="21" s="1"/>
  <c r="I1071" i="19"/>
  <c r="B1884" i="21" s="1"/>
  <c r="I1055" i="19"/>
  <c r="B1868" i="21" s="1"/>
  <c r="I1047" i="19"/>
  <c r="B1860" i="21" s="1"/>
  <c r="I1039" i="19"/>
  <c r="B1852" i="21" s="1"/>
  <c r="I1031" i="19"/>
  <c r="B1844" i="21" s="1"/>
  <c r="I1023" i="19"/>
  <c r="B1836" i="21" s="1"/>
  <c r="I1015" i="19"/>
  <c r="B1828" i="21" s="1"/>
  <c r="I1007" i="19"/>
  <c r="B1820" i="21" s="1"/>
  <c r="I999" i="19"/>
  <c r="B1812" i="21" s="1"/>
  <c r="I991" i="19"/>
  <c r="B1804" i="21" s="1"/>
  <c r="I983" i="19"/>
  <c r="B1796" i="21" s="1"/>
  <c r="I975" i="19"/>
  <c r="B1788" i="21" s="1"/>
  <c r="I967" i="19"/>
  <c r="B1780" i="21" s="1"/>
  <c r="I959" i="19"/>
  <c r="B1772" i="21" s="1"/>
  <c r="I951" i="19"/>
  <c r="B1764" i="21" s="1"/>
  <c r="I943" i="19"/>
  <c r="B1756" i="21" s="1"/>
  <c r="I935" i="19"/>
  <c r="B1748" i="21" s="1"/>
  <c r="I1087" i="19"/>
  <c r="B1900" i="21" s="1"/>
  <c r="I1063" i="19"/>
  <c r="B1876" i="21" s="1"/>
  <c r="I1086" i="19"/>
  <c r="B1899" i="21" s="1"/>
  <c r="I1078" i="19"/>
  <c r="B1891" i="21" s="1"/>
  <c r="I1070" i="19"/>
  <c r="B1883" i="21" s="1"/>
  <c r="I1062" i="19"/>
  <c r="B1875" i="21" s="1"/>
  <c r="I1054" i="19"/>
  <c r="B1867" i="21" s="1"/>
  <c r="I1046" i="19"/>
  <c r="B1859" i="21" s="1"/>
  <c r="I1038" i="19"/>
  <c r="B1851" i="21" s="1"/>
  <c r="I1030" i="19"/>
  <c r="B1843" i="21" s="1"/>
  <c r="E1843" i="21" s="1"/>
  <c r="I1022" i="19"/>
  <c r="B1835" i="21" s="1"/>
  <c r="I1014" i="19"/>
  <c r="B1827" i="21" s="1"/>
  <c r="I1006" i="19"/>
  <c r="B1819" i="21" s="1"/>
  <c r="I998" i="19"/>
  <c r="B1811" i="21" s="1"/>
  <c r="I990" i="19"/>
  <c r="B1803" i="21" s="1"/>
  <c r="I982" i="19"/>
  <c r="B1795" i="21" s="1"/>
  <c r="I974" i="19"/>
  <c r="B1787" i="21" s="1"/>
  <c r="I966" i="19"/>
  <c r="B1779" i="21" s="1"/>
  <c r="I958" i="19"/>
  <c r="B1771" i="21" s="1"/>
  <c r="I950" i="19"/>
  <c r="B1763" i="21" s="1"/>
  <c r="I942" i="19"/>
  <c r="B1755" i="21" s="1"/>
  <c r="I934" i="19"/>
  <c r="B1747" i="21" s="1"/>
  <c r="I1089" i="19"/>
  <c r="B1902" i="21" s="1"/>
  <c r="E1902" i="21" s="1"/>
  <c r="I1081" i="19"/>
  <c r="B1894" i="21" s="1"/>
  <c r="I1073" i="19"/>
  <c r="B1886" i="21" s="1"/>
  <c r="I1065" i="19"/>
  <c r="B1878" i="21" s="1"/>
  <c r="I1057" i="19"/>
  <c r="B1870" i="21" s="1"/>
  <c r="I1049" i="19"/>
  <c r="B1862" i="21" s="1"/>
  <c r="I1041" i="19"/>
  <c r="B1854" i="21" s="1"/>
  <c r="I1033" i="19"/>
  <c r="B1846" i="21" s="1"/>
  <c r="I1025" i="19"/>
  <c r="B1838" i="21" s="1"/>
  <c r="I1017" i="19"/>
  <c r="B1830" i="21" s="1"/>
  <c r="I1009" i="19"/>
  <c r="B1822" i="21" s="1"/>
  <c r="I1001" i="19"/>
  <c r="B1814" i="21" s="1"/>
  <c r="I993" i="19"/>
  <c r="B1806" i="21" s="1"/>
  <c r="I985" i="19"/>
  <c r="B1798" i="21" s="1"/>
  <c r="I977" i="19"/>
  <c r="B1790" i="21" s="1"/>
  <c r="I969" i="19"/>
  <c r="B1782" i="21" s="1"/>
  <c r="I961" i="19"/>
  <c r="B1774" i="21" s="1"/>
  <c r="I953" i="19"/>
  <c r="B1766" i="21" s="1"/>
  <c r="I945" i="19"/>
  <c r="B1758" i="21" s="1"/>
  <c r="I937" i="19"/>
  <c r="I1088" i="19"/>
  <c r="B1901" i="21" s="1"/>
  <c r="E1901" i="21" s="1"/>
  <c r="I1080" i="19"/>
  <c r="B1893" i="21" s="1"/>
  <c r="I1072" i="19"/>
  <c r="B1885" i="21" s="1"/>
  <c r="I1064" i="19"/>
  <c r="B1877" i="21" s="1"/>
  <c r="I1056" i="19"/>
  <c r="B1869" i="21" s="1"/>
  <c r="I1048" i="19"/>
  <c r="B1861" i="21" s="1"/>
  <c r="I1040" i="19"/>
  <c r="B1853" i="21" s="1"/>
  <c r="I1032" i="19"/>
  <c r="B1845" i="21" s="1"/>
  <c r="I1024" i="19"/>
  <c r="B1837" i="21" s="1"/>
  <c r="I1016" i="19"/>
  <c r="B1829" i="21" s="1"/>
  <c r="I1008" i="19"/>
  <c r="B1821" i="21" s="1"/>
  <c r="I1000" i="19"/>
  <c r="B1813" i="21" s="1"/>
  <c r="I992" i="19"/>
  <c r="B1805" i="21" s="1"/>
  <c r="I984" i="19"/>
  <c r="B1797" i="21" s="1"/>
  <c r="I976" i="19"/>
  <c r="B1789" i="21" s="1"/>
  <c r="I968" i="19"/>
  <c r="B1781" i="21" s="1"/>
  <c r="I960" i="19"/>
  <c r="B1773" i="21" s="1"/>
  <c r="I952" i="19"/>
  <c r="B1765" i="21" s="1"/>
  <c r="I944" i="19"/>
  <c r="B1757" i="21" s="1"/>
  <c r="I936" i="19"/>
  <c r="B1749" i="21" s="1"/>
  <c r="I932" i="19"/>
  <c r="B1745" i="21" s="1"/>
  <c r="I1092" i="19"/>
  <c r="B1905" i="21" s="1"/>
  <c r="I1084" i="19"/>
  <c r="B1897" i="21" s="1"/>
  <c r="I1076" i="19"/>
  <c r="B1889" i="21" s="1"/>
  <c r="I1068" i="19"/>
  <c r="B1881" i="21" s="1"/>
  <c r="I1060" i="19"/>
  <c r="B1873" i="21" s="1"/>
  <c r="I1052" i="19"/>
  <c r="B1865" i="21" s="1"/>
  <c r="I1044" i="19"/>
  <c r="B1857" i="21" s="1"/>
  <c r="I1036" i="19"/>
  <c r="B1849" i="21" s="1"/>
  <c r="I1028" i="19"/>
  <c r="B1841" i="21" s="1"/>
  <c r="I1020" i="19"/>
  <c r="B1833" i="21" s="1"/>
  <c r="I1012" i="19"/>
  <c r="B1825" i="21" s="1"/>
  <c r="I1004" i="19"/>
  <c r="B1817" i="21" s="1"/>
  <c r="I996" i="19"/>
  <c r="B1809" i="21" s="1"/>
  <c r="I988" i="19"/>
  <c r="B1801" i="21" s="1"/>
  <c r="I980" i="19"/>
  <c r="B1793" i="21" s="1"/>
  <c r="I972" i="19"/>
  <c r="B1785" i="21" s="1"/>
  <c r="I964" i="19"/>
  <c r="B1777" i="21" s="1"/>
  <c r="I956" i="19"/>
  <c r="B1769" i="21" s="1"/>
  <c r="I948" i="19"/>
  <c r="B1761" i="21" s="1"/>
  <c r="I940" i="19"/>
  <c r="B1753" i="21" s="1"/>
  <c r="C2773" i="19"/>
  <c r="B931" i="19"/>
  <c r="D104" i="47"/>
  <c r="E104" i="47"/>
  <c r="F104" i="47"/>
  <c r="G104" i="47"/>
  <c r="H104" i="47"/>
  <c r="I104" i="47"/>
  <c r="J104" i="47"/>
  <c r="K104" i="47"/>
  <c r="L103" i="47"/>
  <c r="G162" i="21" s="1"/>
  <c r="G63" i="21"/>
  <c r="L56" i="47"/>
  <c r="G97" i="21" s="1"/>
  <c r="L55" i="47"/>
  <c r="G92" i="21" s="1"/>
  <c r="L54" i="47"/>
  <c r="L53" i="47"/>
  <c r="L52" i="47"/>
  <c r="G105" i="21"/>
  <c r="L51" i="47"/>
  <c r="L50" i="47"/>
  <c r="L49" i="47"/>
  <c r="L48" i="47"/>
  <c r="G85" i="21" s="1"/>
  <c r="L47" i="47"/>
  <c r="L46" i="47"/>
  <c r="L45" i="47"/>
  <c r="L44" i="47"/>
  <c r="L43" i="47"/>
  <c r="L42" i="47"/>
  <c r="L41" i="47"/>
  <c r="L40" i="47"/>
  <c r="L39" i="47"/>
  <c r="L38" i="47"/>
  <c r="G73" i="21" s="1"/>
  <c r="L37" i="47"/>
  <c r="G64" i="21" s="1"/>
  <c r="L36" i="47"/>
  <c r="L35" i="47"/>
  <c r="L34" i="47"/>
  <c r="G59" i="21" s="1"/>
  <c r="L33" i="47"/>
  <c r="G54" i="21" s="1"/>
  <c r="G15" i="21"/>
  <c r="L32" i="47"/>
  <c r="L31" i="47"/>
  <c r="L30" i="47"/>
  <c r="G48" i="21" s="1"/>
  <c r="L26" i="47"/>
  <c r="G33" i="21" s="1"/>
  <c r="L25" i="47"/>
  <c r="L24" i="47"/>
  <c r="L71" i="47"/>
  <c r="G66" i="21"/>
  <c r="L70" i="47"/>
  <c r="G55" i="21"/>
  <c r="L69" i="47"/>
  <c r="G53" i="21"/>
  <c r="L68" i="47"/>
  <c r="G121" i="21" s="1"/>
  <c r="L67" i="47"/>
  <c r="L66" i="47"/>
  <c r="L65" i="47"/>
  <c r="L64" i="47"/>
  <c r="G142" i="21"/>
  <c r="L63" i="47"/>
  <c r="L62" i="47"/>
  <c r="L61" i="47"/>
  <c r="G112" i="21"/>
  <c r="L60" i="47"/>
  <c r="G99" i="21"/>
  <c r="L59" i="47"/>
  <c r="G114" i="21" s="1"/>
  <c r="L58" i="47"/>
  <c r="L57" i="47"/>
  <c r="G144" i="21"/>
  <c r="L23" i="47"/>
  <c r="L79" i="47"/>
  <c r="G136" i="21" s="1"/>
  <c r="G117" i="21"/>
  <c r="L78" i="47"/>
  <c r="L77" i="47"/>
  <c r="L76" i="47"/>
  <c r="L75" i="47"/>
  <c r="L74" i="47"/>
  <c r="L73" i="47"/>
  <c r="L72" i="47"/>
  <c r="G80" i="21"/>
  <c r="L98" i="47"/>
  <c r="G158" i="21" s="1"/>
  <c r="G139" i="21"/>
  <c r="L97" i="47"/>
  <c r="L96" i="47"/>
  <c r="L80" i="47"/>
  <c r="L100" i="47"/>
  <c r="L99" i="47"/>
  <c r="G140" i="21"/>
  <c r="G83" i="21"/>
  <c r="G98" i="21"/>
  <c r="G25" i="21"/>
  <c r="G77" i="21"/>
  <c r="G45" i="21"/>
  <c r="G18" i="21"/>
  <c r="G109" i="21"/>
  <c r="E7" i="21"/>
  <c r="C847" i="46"/>
  <c r="D847" i="46"/>
  <c r="B847" i="46"/>
  <c r="E1006" i="46"/>
  <c r="E1005" i="46"/>
  <c r="E1004" i="46"/>
  <c r="E1003" i="46"/>
  <c r="E1002" i="46"/>
  <c r="E1001" i="46"/>
  <c r="E1000" i="46"/>
  <c r="E999" i="46"/>
  <c r="E998" i="46"/>
  <c r="E997" i="46"/>
  <c r="E996" i="46"/>
  <c r="E995" i="46"/>
  <c r="E994" i="46"/>
  <c r="E993" i="46"/>
  <c r="E992" i="46"/>
  <c r="E991" i="46"/>
  <c r="E990" i="46"/>
  <c r="E989" i="46"/>
  <c r="B149" i="21" s="1"/>
  <c r="E988" i="46"/>
  <c r="E987" i="46"/>
  <c r="E986" i="46"/>
  <c r="E985" i="46"/>
  <c r="E984" i="46"/>
  <c r="E983" i="46"/>
  <c r="E982" i="46"/>
  <c r="E981" i="46"/>
  <c r="B141" i="21" s="1"/>
  <c r="E980" i="46"/>
  <c r="E979" i="46"/>
  <c r="E978" i="46"/>
  <c r="E977" i="46"/>
  <c r="E976" i="46"/>
  <c r="E975" i="46"/>
  <c r="E974" i="46"/>
  <c r="E973" i="46"/>
  <c r="E972" i="46"/>
  <c r="E971" i="46"/>
  <c r="E970" i="46"/>
  <c r="E969" i="46"/>
  <c r="E968" i="46"/>
  <c r="E967" i="46"/>
  <c r="E966" i="46"/>
  <c r="E965" i="46"/>
  <c r="E964" i="46"/>
  <c r="E963" i="46"/>
  <c r="E962" i="46"/>
  <c r="E961" i="46"/>
  <c r="B121" i="21" s="1"/>
  <c r="E960" i="46"/>
  <c r="E959" i="46"/>
  <c r="E958" i="46"/>
  <c r="E957" i="46"/>
  <c r="E956" i="46"/>
  <c r="E955" i="46"/>
  <c r="E954" i="46"/>
  <c r="E953" i="46"/>
  <c r="E952" i="46"/>
  <c r="E951" i="46"/>
  <c r="E950" i="46"/>
  <c r="E949" i="46"/>
  <c r="E948" i="46"/>
  <c r="E947" i="46"/>
  <c r="E946" i="46"/>
  <c r="E945" i="46"/>
  <c r="E944" i="46"/>
  <c r="E943" i="46"/>
  <c r="E942" i="46"/>
  <c r="E941" i="46"/>
  <c r="E940" i="46"/>
  <c r="E939" i="46"/>
  <c r="E938" i="46"/>
  <c r="E937" i="46"/>
  <c r="E936" i="46"/>
  <c r="E935" i="46"/>
  <c r="E934" i="46"/>
  <c r="E933" i="46"/>
  <c r="E932" i="46"/>
  <c r="E931" i="46"/>
  <c r="E930" i="46"/>
  <c r="E929" i="46"/>
  <c r="E927" i="46"/>
  <c r="E926" i="46"/>
  <c r="E925" i="46"/>
  <c r="E924" i="46"/>
  <c r="E923" i="46"/>
  <c r="E922" i="46"/>
  <c r="E921" i="46"/>
  <c r="E920" i="46"/>
  <c r="E919" i="46"/>
  <c r="E918" i="46"/>
  <c r="E917" i="46"/>
  <c r="E916" i="46"/>
  <c r="E915" i="46"/>
  <c r="E914" i="46"/>
  <c r="E913" i="46"/>
  <c r="E912" i="46"/>
  <c r="E911" i="46"/>
  <c r="E910" i="46"/>
  <c r="E909" i="46"/>
  <c r="E908" i="46"/>
  <c r="E907" i="46"/>
  <c r="E906" i="46"/>
  <c r="E905" i="46"/>
  <c r="E904" i="46"/>
  <c r="E903" i="46"/>
  <c r="E902" i="46"/>
  <c r="E901" i="46"/>
  <c r="B61" i="21" s="1"/>
  <c r="E900" i="46"/>
  <c r="E899" i="46"/>
  <c r="E898" i="46"/>
  <c r="E897" i="46"/>
  <c r="E896" i="46"/>
  <c r="E895" i="46"/>
  <c r="E894" i="46"/>
  <c r="E893" i="46"/>
  <c r="E892" i="46"/>
  <c r="E891" i="46"/>
  <c r="E890" i="46"/>
  <c r="E889" i="46"/>
  <c r="E888" i="46"/>
  <c r="E887" i="46"/>
  <c r="E886" i="46"/>
  <c r="E885" i="46"/>
  <c r="B45" i="21" s="1"/>
  <c r="E884" i="46"/>
  <c r="E883" i="46"/>
  <c r="E882" i="46"/>
  <c r="E881" i="46"/>
  <c r="E880" i="46"/>
  <c r="E879" i="46"/>
  <c r="E878" i="46"/>
  <c r="E877" i="46"/>
  <c r="E876" i="46"/>
  <c r="E875" i="46"/>
  <c r="E874" i="46"/>
  <c r="E873" i="46"/>
  <c r="E872" i="46"/>
  <c r="E871" i="46"/>
  <c r="E870" i="46"/>
  <c r="E869" i="46"/>
  <c r="E868" i="46"/>
  <c r="E867" i="46"/>
  <c r="E866" i="46"/>
  <c r="E865" i="46"/>
  <c r="E864" i="46"/>
  <c r="E863" i="46"/>
  <c r="E862" i="46"/>
  <c r="E861" i="46"/>
  <c r="E860" i="46"/>
  <c r="E859" i="46"/>
  <c r="E858" i="46"/>
  <c r="E857" i="46"/>
  <c r="E856" i="46"/>
  <c r="E855" i="46"/>
  <c r="E854" i="46"/>
  <c r="E853" i="46"/>
  <c r="E852" i="46"/>
  <c r="E851" i="46"/>
  <c r="E850" i="46"/>
  <c r="C8" i="46"/>
  <c r="D8" i="46"/>
  <c r="E162" i="46"/>
  <c r="B1027" i="21" s="1"/>
  <c r="E161" i="46"/>
  <c r="B1026" i="21" s="1"/>
  <c r="E160" i="46"/>
  <c r="B1025" i="21" s="1"/>
  <c r="E159" i="46"/>
  <c r="B1024" i="21" s="1"/>
  <c r="H2787" i="19"/>
  <c r="I2787" i="19"/>
  <c r="J2787" i="19"/>
  <c r="J2823" i="19" s="1"/>
  <c r="D25" i="36"/>
  <c r="D86" i="36" s="1"/>
  <c r="O40" i="52" s="1"/>
  <c r="C1007" i="46"/>
  <c r="C168" i="46"/>
  <c r="D168" i="46"/>
  <c r="B168" i="46"/>
  <c r="A3444" i="21"/>
  <c r="A1707" i="55" s="1"/>
  <c r="A2839" i="21"/>
  <c r="A1102" i="55" s="1"/>
  <c r="A2835" i="19"/>
  <c r="A2839" i="19"/>
  <c r="A2833" i="19"/>
  <c r="A2831" i="19"/>
  <c r="A2796" i="19"/>
  <c r="A2787" i="19"/>
  <c r="A2773" i="19"/>
  <c r="F27" i="60" s="1"/>
  <c r="A2258" i="19"/>
  <c r="A2626" i="19"/>
  <c r="A2024" i="19"/>
  <c r="A1337" i="19"/>
  <c r="A1705" i="19"/>
  <c r="A1103" i="19"/>
  <c r="A931" i="19"/>
  <c r="E2150" i="21"/>
  <c r="A3601" i="21"/>
  <c r="A3603" i="21"/>
  <c r="A3602" i="21"/>
  <c r="A3590" i="21"/>
  <c r="A3591" i="21"/>
  <c r="A3593" i="21"/>
  <c r="A3592" i="21"/>
  <c r="A3600" i="21"/>
  <c r="J2900" i="19"/>
  <c r="I2900" i="19"/>
  <c r="H2900" i="19"/>
  <c r="G2900" i="19"/>
  <c r="F2900" i="19"/>
  <c r="E2900" i="19"/>
  <c r="D2900" i="19"/>
  <c r="C2900" i="19"/>
  <c r="E848" i="46"/>
  <c r="E849" i="46"/>
  <c r="E9" i="46"/>
  <c r="B874" i="21" s="1"/>
  <c r="E10" i="46"/>
  <c r="B875" i="21" s="1"/>
  <c r="E11" i="46"/>
  <c r="B876" i="21" s="1"/>
  <c r="E12" i="46"/>
  <c r="B877" i="21" s="1"/>
  <c r="E13" i="46"/>
  <c r="B878" i="21" s="1"/>
  <c r="E14" i="46"/>
  <c r="B879" i="21" s="1"/>
  <c r="E15" i="46"/>
  <c r="B880" i="21" s="1"/>
  <c r="E16" i="46"/>
  <c r="B881" i="21" s="1"/>
  <c r="E17" i="46"/>
  <c r="B882" i="21" s="1"/>
  <c r="E18" i="46"/>
  <c r="B883" i="21" s="1"/>
  <c r="E19" i="46"/>
  <c r="B884" i="21" s="1"/>
  <c r="E20" i="46"/>
  <c r="B885" i="21" s="1"/>
  <c r="E21" i="46"/>
  <c r="B886" i="21" s="1"/>
  <c r="E22" i="46"/>
  <c r="B887" i="21" s="1"/>
  <c r="E23" i="46"/>
  <c r="B888" i="21" s="1"/>
  <c r="E24" i="46"/>
  <c r="B889" i="21" s="1"/>
  <c r="E25" i="46"/>
  <c r="B890" i="21" s="1"/>
  <c r="E26" i="46"/>
  <c r="B891" i="21" s="1"/>
  <c r="E27" i="46"/>
  <c r="B892" i="21" s="1"/>
  <c r="E28" i="46"/>
  <c r="B893" i="21" s="1"/>
  <c r="E29" i="46"/>
  <c r="B894" i="21" s="1"/>
  <c r="E30" i="46"/>
  <c r="B895" i="21" s="1"/>
  <c r="E31" i="46"/>
  <c r="B896" i="21" s="1"/>
  <c r="E32" i="46"/>
  <c r="B897" i="21" s="1"/>
  <c r="E33" i="46"/>
  <c r="B898" i="21" s="1"/>
  <c r="E34" i="46"/>
  <c r="B899" i="21" s="1"/>
  <c r="E35" i="46"/>
  <c r="B900" i="21" s="1"/>
  <c r="E36" i="46"/>
  <c r="B901" i="21" s="1"/>
  <c r="E37" i="46"/>
  <c r="B902" i="21" s="1"/>
  <c r="E38" i="46"/>
  <c r="B903" i="21" s="1"/>
  <c r="E39" i="46"/>
  <c r="B904" i="21" s="1"/>
  <c r="E40" i="46"/>
  <c r="B905" i="21" s="1"/>
  <c r="E41" i="46"/>
  <c r="B906" i="21" s="1"/>
  <c r="E42" i="46"/>
  <c r="B907" i="21" s="1"/>
  <c r="E43" i="46"/>
  <c r="B908" i="21" s="1"/>
  <c r="E44" i="46"/>
  <c r="B909" i="21" s="1"/>
  <c r="E45" i="46"/>
  <c r="B910" i="21" s="1"/>
  <c r="E46" i="46"/>
  <c r="B911" i="21" s="1"/>
  <c r="E47" i="46"/>
  <c r="B912" i="21" s="1"/>
  <c r="E48" i="46"/>
  <c r="B913" i="21" s="1"/>
  <c r="E49" i="46"/>
  <c r="B914" i="21" s="1"/>
  <c r="E50" i="46"/>
  <c r="B915" i="21" s="1"/>
  <c r="E51" i="46"/>
  <c r="B916" i="21" s="1"/>
  <c r="E52" i="46"/>
  <c r="B917" i="21" s="1"/>
  <c r="E53" i="46"/>
  <c r="B918" i="21" s="1"/>
  <c r="E54" i="46"/>
  <c r="B919" i="21" s="1"/>
  <c r="E55" i="46"/>
  <c r="B920" i="21" s="1"/>
  <c r="E56" i="46"/>
  <c r="B921" i="21" s="1"/>
  <c r="E57" i="46"/>
  <c r="B922" i="21" s="1"/>
  <c r="E58" i="46"/>
  <c r="B923" i="21" s="1"/>
  <c r="E59" i="46"/>
  <c r="B924" i="21" s="1"/>
  <c r="E60" i="46"/>
  <c r="B925" i="21" s="1"/>
  <c r="E61" i="46"/>
  <c r="B926" i="21" s="1"/>
  <c r="E62" i="46"/>
  <c r="B927" i="21" s="1"/>
  <c r="E63" i="46"/>
  <c r="B928" i="21" s="1"/>
  <c r="E64" i="46"/>
  <c r="B929" i="21" s="1"/>
  <c r="E65" i="46"/>
  <c r="B930" i="21" s="1"/>
  <c r="E66" i="46"/>
  <c r="B931" i="21" s="1"/>
  <c r="E67" i="46"/>
  <c r="B932" i="21" s="1"/>
  <c r="E68" i="46"/>
  <c r="B933" i="21" s="1"/>
  <c r="E69" i="46"/>
  <c r="B934" i="21" s="1"/>
  <c r="E70" i="46"/>
  <c r="B935" i="21" s="1"/>
  <c r="E71" i="46"/>
  <c r="B936" i="21" s="1"/>
  <c r="E72" i="46"/>
  <c r="B937" i="21" s="1"/>
  <c r="E73" i="46"/>
  <c r="B938" i="21" s="1"/>
  <c r="E74" i="46"/>
  <c r="B939" i="21" s="1"/>
  <c r="E75" i="46"/>
  <c r="B940" i="21" s="1"/>
  <c r="E76" i="46"/>
  <c r="B941" i="21" s="1"/>
  <c r="E77" i="46"/>
  <c r="B942" i="21" s="1"/>
  <c r="E78" i="46"/>
  <c r="B943" i="21" s="1"/>
  <c r="E79" i="46"/>
  <c r="B944" i="21" s="1"/>
  <c r="E80" i="46"/>
  <c r="B945" i="21" s="1"/>
  <c r="E81" i="46"/>
  <c r="B946" i="21" s="1"/>
  <c r="E82" i="46"/>
  <c r="B947" i="21" s="1"/>
  <c r="E83" i="46"/>
  <c r="B948" i="21" s="1"/>
  <c r="E84" i="46"/>
  <c r="B949" i="21" s="1"/>
  <c r="E85" i="46"/>
  <c r="B950" i="21" s="1"/>
  <c r="E86" i="46"/>
  <c r="B951" i="21" s="1"/>
  <c r="E87" i="46"/>
  <c r="B952" i="21" s="1"/>
  <c r="E88" i="46"/>
  <c r="B953" i="21" s="1"/>
  <c r="E89" i="46"/>
  <c r="B954" i="21" s="1"/>
  <c r="E90" i="46"/>
  <c r="B955" i="21" s="1"/>
  <c r="E91" i="46"/>
  <c r="B956" i="21" s="1"/>
  <c r="E92" i="46"/>
  <c r="B957" i="21" s="1"/>
  <c r="E93" i="46"/>
  <c r="B958" i="21" s="1"/>
  <c r="E94" i="46"/>
  <c r="B959" i="21" s="1"/>
  <c r="E95" i="46"/>
  <c r="B960" i="21" s="1"/>
  <c r="E96" i="46"/>
  <c r="B961" i="21" s="1"/>
  <c r="E97" i="46"/>
  <c r="B962" i="21" s="1"/>
  <c r="E98" i="46"/>
  <c r="B963" i="21" s="1"/>
  <c r="E99" i="46"/>
  <c r="B964" i="21" s="1"/>
  <c r="E100" i="46"/>
  <c r="B965" i="21" s="1"/>
  <c r="E101" i="46"/>
  <c r="B966" i="21" s="1"/>
  <c r="E102" i="46"/>
  <c r="B967" i="21" s="1"/>
  <c r="E103" i="46"/>
  <c r="B968" i="21" s="1"/>
  <c r="E104" i="46"/>
  <c r="B969" i="21" s="1"/>
  <c r="E105" i="46"/>
  <c r="B970" i="21" s="1"/>
  <c r="E106" i="46"/>
  <c r="B971" i="21" s="1"/>
  <c r="E107" i="46"/>
  <c r="B972" i="21" s="1"/>
  <c r="E108" i="46"/>
  <c r="B973" i="21" s="1"/>
  <c r="E109" i="46"/>
  <c r="B974" i="21" s="1"/>
  <c r="E110" i="46"/>
  <c r="B975" i="21" s="1"/>
  <c r="E111" i="46"/>
  <c r="B976" i="21" s="1"/>
  <c r="E112" i="46"/>
  <c r="B977" i="21" s="1"/>
  <c r="E113" i="46"/>
  <c r="B978" i="21" s="1"/>
  <c r="E114" i="46"/>
  <c r="B979" i="21" s="1"/>
  <c r="E115" i="46"/>
  <c r="B980" i="21" s="1"/>
  <c r="E116" i="46"/>
  <c r="B981" i="21" s="1"/>
  <c r="E117" i="46"/>
  <c r="B982" i="21" s="1"/>
  <c r="E118" i="46"/>
  <c r="B983" i="21" s="1"/>
  <c r="E119" i="46"/>
  <c r="B984" i="21" s="1"/>
  <c r="E120" i="46"/>
  <c r="B985" i="21" s="1"/>
  <c r="E121" i="46"/>
  <c r="B986" i="21" s="1"/>
  <c r="E122" i="46"/>
  <c r="B987" i="21" s="1"/>
  <c r="E123" i="46"/>
  <c r="B988" i="21" s="1"/>
  <c r="E124" i="46"/>
  <c r="B989" i="21" s="1"/>
  <c r="E125" i="46"/>
  <c r="B990" i="21" s="1"/>
  <c r="E126" i="46"/>
  <c r="B991" i="21" s="1"/>
  <c r="E127" i="46"/>
  <c r="B992" i="21" s="1"/>
  <c r="E128" i="46"/>
  <c r="B993" i="21" s="1"/>
  <c r="E129" i="46"/>
  <c r="B994" i="21" s="1"/>
  <c r="E130" i="46"/>
  <c r="B995" i="21" s="1"/>
  <c r="E131" i="46"/>
  <c r="B996" i="21" s="1"/>
  <c r="E132" i="46"/>
  <c r="B997" i="21" s="1"/>
  <c r="E133" i="46"/>
  <c r="B998" i="21" s="1"/>
  <c r="E134" i="46"/>
  <c r="B999" i="21" s="1"/>
  <c r="E135" i="46"/>
  <c r="B1000" i="21" s="1"/>
  <c r="E136" i="46"/>
  <c r="B1001" i="21" s="1"/>
  <c r="E137" i="46"/>
  <c r="B1002" i="21" s="1"/>
  <c r="E138" i="46"/>
  <c r="B1003" i="21" s="1"/>
  <c r="E139" i="46"/>
  <c r="B1004" i="21" s="1"/>
  <c r="E140" i="46"/>
  <c r="B1005" i="21" s="1"/>
  <c r="E141" i="46"/>
  <c r="B1006" i="21" s="1"/>
  <c r="E142" i="46"/>
  <c r="B1007" i="21" s="1"/>
  <c r="E143" i="46"/>
  <c r="B1008" i="21" s="1"/>
  <c r="E144" i="46"/>
  <c r="B1009" i="21" s="1"/>
  <c r="E145" i="46"/>
  <c r="B1010" i="21" s="1"/>
  <c r="E146" i="46"/>
  <c r="B1011" i="21" s="1"/>
  <c r="E147" i="46"/>
  <c r="B1012" i="21" s="1"/>
  <c r="E148" i="46"/>
  <c r="B1013" i="21" s="1"/>
  <c r="E149" i="46"/>
  <c r="B1014" i="21" s="1"/>
  <c r="E150" i="46"/>
  <c r="B1015" i="21" s="1"/>
  <c r="E151" i="46"/>
  <c r="B1016" i="21" s="1"/>
  <c r="E152" i="46"/>
  <c r="B1017" i="21" s="1"/>
  <c r="E153" i="46"/>
  <c r="B1018" i="21" s="1"/>
  <c r="E154" i="46"/>
  <c r="B1019" i="21" s="1"/>
  <c r="E155" i="46"/>
  <c r="B1020" i="21" s="1"/>
  <c r="E156" i="46"/>
  <c r="B1021" i="21" s="1"/>
  <c r="E157" i="46"/>
  <c r="B1022" i="21" s="1"/>
  <c r="E158" i="46"/>
  <c r="B1023" i="21" s="1"/>
  <c r="E163" i="46"/>
  <c r="B1028" i="21" s="1"/>
  <c r="E164" i="46"/>
  <c r="B1029" i="21" s="1"/>
  <c r="E165" i="46"/>
  <c r="B1030" i="21" s="1"/>
  <c r="E166" i="46"/>
  <c r="B1031" i="21" s="1"/>
  <c r="E167" i="46"/>
  <c r="B1032" i="21" s="1"/>
  <c r="D2856" i="19"/>
  <c r="L101" i="47"/>
  <c r="G160" i="21" s="1"/>
  <c r="L102" i="47"/>
  <c r="G161" i="21" s="1"/>
  <c r="A1242" i="46"/>
  <c r="B402" i="21" s="1"/>
  <c r="A1007" i="46"/>
  <c r="A847" i="46"/>
  <c r="B71" i="21" s="1"/>
  <c r="G128" i="21"/>
  <c r="A1591" i="21"/>
  <c r="A1269" i="21"/>
  <c r="A1033" i="21"/>
  <c r="B78" i="55"/>
  <c r="C125" i="55"/>
  <c r="B36" i="55"/>
  <c r="I41" i="58"/>
  <c r="G79" i="58"/>
  <c r="C49" i="58"/>
  <c r="G226" i="21"/>
  <c r="C2803" i="21"/>
  <c r="C1066" i="55" s="1"/>
  <c r="C2804" i="21"/>
  <c r="C1067" i="55" s="1"/>
  <c r="A1037" i="55"/>
  <c r="A1080" i="55"/>
  <c r="A1012" i="55"/>
  <c r="I55" i="58"/>
  <c r="C1734" i="21"/>
  <c r="C1737" i="21"/>
  <c r="I71" i="58"/>
  <c r="F12" i="58"/>
  <c r="C1735" i="21"/>
  <c r="D1735" i="21" s="1"/>
  <c r="E16" i="58"/>
  <c r="I65" i="58"/>
  <c r="C78" i="58"/>
  <c r="G86" i="58"/>
  <c r="E83" i="58"/>
  <c r="I30" i="58"/>
  <c r="I84" i="58"/>
  <c r="C43" i="58"/>
  <c r="I17" i="58"/>
  <c r="I86" i="58"/>
  <c r="C77" i="58"/>
  <c r="I77" i="58"/>
  <c r="I76" i="58"/>
  <c r="I85" i="58"/>
  <c r="C84" i="58"/>
  <c r="C86" i="58"/>
  <c r="C79" i="58"/>
  <c r="E86" i="58"/>
  <c r="E85" i="58"/>
  <c r="D36" i="54"/>
  <c r="H12" i="58"/>
  <c r="C1736" i="21"/>
  <c r="B1736" i="21"/>
  <c r="O161" i="61"/>
  <c r="O162" i="61" s="1"/>
  <c r="O163" i="61" s="1"/>
  <c r="D48" i="54"/>
  <c r="F47" i="52"/>
  <c r="B1734" i="21"/>
  <c r="D1734" i="21" s="1"/>
  <c r="C76" i="58"/>
  <c r="G83" i="58"/>
  <c r="G78" i="58"/>
  <c r="C85" i="58"/>
  <c r="I78" i="58"/>
  <c r="I3" i="21"/>
  <c r="C177" i="55"/>
  <c r="B8" i="56"/>
  <c r="G71" i="58"/>
  <c r="C14" i="58"/>
  <c r="E51" i="58"/>
  <c r="H89" i="58"/>
  <c r="E71" i="58"/>
  <c r="C62" i="58"/>
  <c r="I36" i="58"/>
  <c r="B1737" i="21"/>
  <c r="N161" i="61"/>
  <c r="N162" i="61"/>
  <c r="N163" i="61" s="1"/>
  <c r="E28" i="60"/>
  <c r="F26" i="58"/>
  <c r="D40" i="52"/>
  <c r="D3" i="54"/>
  <c r="C1717" i="55"/>
  <c r="C36" i="58"/>
  <c r="E29" i="58"/>
  <c r="D43" i="52"/>
  <c r="O43" i="52" s="1"/>
  <c r="K48" i="52"/>
  <c r="E15" i="58"/>
  <c r="E55" i="58"/>
  <c r="C50" i="58"/>
  <c r="C2805" i="21"/>
  <c r="A940" i="55"/>
  <c r="C1842" i="55"/>
  <c r="C1828" i="55"/>
  <c r="C1814" i="55"/>
  <c r="C1800" i="55"/>
  <c r="C1786" i="55"/>
  <c r="C1772" i="55"/>
  <c r="C1758" i="55"/>
  <c r="C1744" i="55"/>
  <c r="C1730" i="55"/>
  <c r="C1716" i="55"/>
  <c r="C1841" i="55"/>
  <c r="C1827" i="55"/>
  <c r="C1813" i="55"/>
  <c r="C1799" i="55"/>
  <c r="C1785" i="55"/>
  <c r="C1771" i="55"/>
  <c r="C1757" i="55"/>
  <c r="C1743" i="55"/>
  <c r="C1729" i="55"/>
  <c r="C1840" i="55"/>
  <c r="C1826" i="55"/>
  <c r="C1812" i="55"/>
  <c r="C1798" i="55"/>
  <c r="C1784" i="55"/>
  <c r="C1770" i="55"/>
  <c r="C1756" i="55"/>
  <c r="C1742" i="55"/>
  <c r="C1728" i="55"/>
  <c r="C1839" i="55"/>
  <c r="C1825" i="55"/>
  <c r="C1811" i="55"/>
  <c r="C1797" i="55"/>
  <c r="C1783" i="55"/>
  <c r="C1769" i="55"/>
  <c r="C1755" i="55"/>
  <c r="C1741" i="55"/>
  <c r="C1727" i="55"/>
  <c r="C1838" i="55"/>
  <c r="C1824" i="55"/>
  <c r="C1810" i="55"/>
  <c r="C1796" i="55"/>
  <c r="C1782" i="55"/>
  <c r="C1768" i="55"/>
  <c r="C1754" i="55"/>
  <c r="C1740" i="55"/>
  <c r="C1726" i="55"/>
  <c r="C1837" i="55"/>
  <c r="C1823" i="55"/>
  <c r="C1809" i="55"/>
  <c r="C1795" i="55"/>
  <c r="C1781" i="55"/>
  <c r="C1767" i="55"/>
  <c r="C1753" i="55"/>
  <c r="C1739" i="55"/>
  <c r="C1725" i="55"/>
  <c r="C1836" i="55"/>
  <c r="C1822" i="55"/>
  <c r="C1808" i="55"/>
  <c r="C1794" i="55"/>
  <c r="C1780" i="55"/>
  <c r="C1766" i="55"/>
  <c r="C1752" i="55"/>
  <c r="C1738" i="55"/>
  <c r="C1724" i="55"/>
  <c r="C1835" i="55"/>
  <c r="C1821" i="55"/>
  <c r="C1807" i="55"/>
  <c r="C1793" i="55"/>
  <c r="C1779" i="55"/>
  <c r="C1765" i="55"/>
  <c r="C1751" i="55"/>
  <c r="C1737" i="55"/>
  <c r="C1723" i="55"/>
  <c r="C1834" i="55"/>
  <c r="C1820" i="55"/>
  <c r="C1806" i="55"/>
  <c r="C1792" i="55"/>
  <c r="C1778" i="55"/>
  <c r="C1764" i="55"/>
  <c r="C1750" i="55"/>
  <c r="C1736" i="55"/>
  <c r="C1722" i="55"/>
  <c r="C1833" i="55"/>
  <c r="C1819" i="55"/>
  <c r="C1805" i="55"/>
  <c r="C1791" i="55"/>
  <c r="C1777" i="55"/>
  <c r="C1763" i="55"/>
  <c r="C1749" i="55"/>
  <c r="C1735" i="55"/>
  <c r="C1721" i="55"/>
  <c r="C2705" i="21"/>
  <c r="C1832" i="55"/>
  <c r="C1818" i="55"/>
  <c r="C1804" i="55"/>
  <c r="C1790" i="55"/>
  <c r="C1776" i="55"/>
  <c r="C1762" i="55"/>
  <c r="C1748" i="55"/>
  <c r="C1734" i="55"/>
  <c r="C1720" i="55"/>
  <c r="C1831" i="55"/>
  <c r="C1817" i="55"/>
  <c r="C1803" i="55"/>
  <c r="C1789" i="55"/>
  <c r="C1775" i="55"/>
  <c r="C1761" i="55"/>
  <c r="C1747" i="55"/>
  <c r="C1733" i="55"/>
  <c r="C1719" i="55"/>
  <c r="C1844" i="55"/>
  <c r="C1830" i="55"/>
  <c r="C1816" i="55"/>
  <c r="C1802" i="55"/>
  <c r="C1788" i="55"/>
  <c r="C1774" i="55"/>
  <c r="C1760" i="55"/>
  <c r="C1746" i="55"/>
  <c r="C1732" i="55"/>
  <c r="C1718" i="55"/>
  <c r="C1843" i="55"/>
  <c r="C1829" i="55"/>
  <c r="C1815" i="55"/>
  <c r="C1801" i="55"/>
  <c r="C1787" i="55"/>
  <c r="C1773" i="55"/>
  <c r="C1759" i="55"/>
  <c r="C1745" i="55"/>
  <c r="C1731" i="55"/>
  <c r="C153" i="55"/>
  <c r="C2761" i="21"/>
  <c r="C1024" i="55" s="1"/>
  <c r="C2747" i="21"/>
  <c r="C1010" i="55" s="1"/>
  <c r="C2762" i="21"/>
  <c r="C1025" i="55" s="1"/>
  <c r="A1009" i="55"/>
  <c r="C2691" i="21"/>
  <c r="C954" i="55" s="1"/>
  <c r="C2676" i="21"/>
  <c r="C939" i="55" s="1"/>
  <c r="C2739" i="21"/>
  <c r="C1002" i="55" s="1"/>
  <c r="C2816" i="21"/>
  <c r="A953" i="55"/>
  <c r="C2748" i="21"/>
  <c r="C1011" i="55" s="1"/>
  <c r="A967" i="55"/>
  <c r="A1010" i="55"/>
  <c r="C2760" i="21"/>
  <c r="A996" i="55"/>
  <c r="A972" i="55"/>
  <c r="C2776" i="21"/>
  <c r="A1052" i="55"/>
  <c r="A995" i="55"/>
  <c r="C2777" i="21"/>
  <c r="C101" i="55"/>
  <c r="A983" i="55"/>
  <c r="A1056" i="55"/>
  <c r="C2753" i="21"/>
  <c r="C1016" i="55" s="1"/>
  <c r="A1081" i="55"/>
  <c r="C2692" i="21"/>
  <c r="C955" i="55" s="1"/>
  <c r="C953" i="55"/>
  <c r="C2707" i="21"/>
  <c r="A969" i="55"/>
  <c r="C2724" i="21"/>
  <c r="C172" i="55"/>
  <c r="A958" i="55"/>
  <c r="C2674" i="21"/>
  <c r="C937" i="55" s="1"/>
  <c r="C27" i="55"/>
  <c r="C2680" i="21"/>
  <c r="C943" i="55" s="1"/>
  <c r="C2802" i="21"/>
  <c r="C2788" i="21"/>
  <c r="F699" i="55"/>
  <c r="F508" i="55"/>
  <c r="F428" i="55"/>
  <c r="F431" i="55"/>
  <c r="F679" i="55"/>
  <c r="F447" i="55"/>
  <c r="F460" i="55"/>
  <c r="F748" i="55"/>
  <c r="F736" i="55"/>
  <c r="F743" i="55"/>
  <c r="C1619" i="55"/>
  <c r="F780" i="55"/>
  <c r="F710" i="55"/>
  <c r="F440" i="55"/>
  <c r="F546" i="55"/>
  <c r="F500" i="55"/>
  <c r="F600" i="55"/>
  <c r="F504" i="55"/>
  <c r="F761" i="55"/>
  <c r="F650" i="55"/>
  <c r="F598" i="55"/>
  <c r="F432" i="55"/>
  <c r="F612" i="55"/>
  <c r="F588" i="55"/>
  <c r="F498" i="55"/>
  <c r="F530" i="55"/>
  <c r="F485" i="55"/>
  <c r="F772" i="55"/>
  <c r="F742" i="55"/>
  <c r="F456" i="55"/>
  <c r="F663" i="55"/>
  <c r="F473" i="55"/>
  <c r="F683" i="55"/>
  <c r="F529" i="55"/>
  <c r="F642" i="55"/>
  <c r="F436" i="55"/>
  <c r="F589" i="55"/>
  <c r="F569" i="55"/>
  <c r="F767" i="55"/>
  <c r="F723" i="55"/>
  <c r="F532" i="55"/>
  <c r="F433" i="55"/>
  <c r="F624" i="55"/>
  <c r="F567" i="55"/>
  <c r="F575" i="55"/>
  <c r="C22" i="58"/>
  <c r="C71" i="58"/>
  <c r="C55" i="58"/>
  <c r="I43" i="58"/>
  <c r="C23" i="58"/>
  <c r="I44" i="58"/>
  <c r="G62" i="58"/>
  <c r="I48" i="58"/>
  <c r="I23" i="58"/>
  <c r="J48" i="52"/>
  <c r="J26" i="58"/>
  <c r="F19" i="58"/>
  <c r="L19" i="58" s="1"/>
  <c r="D24" i="54"/>
  <c r="D12" i="58"/>
  <c r="L12" i="58" s="1"/>
  <c r="D46" i="52"/>
  <c r="D12" i="54"/>
  <c r="D45" i="52"/>
  <c r="H47" i="52"/>
  <c r="J47" i="52"/>
  <c r="D3" i="50"/>
  <c r="K4" i="59"/>
  <c r="G325" i="21"/>
  <c r="G251" i="21"/>
  <c r="I70" i="58"/>
  <c r="C51" i="58"/>
  <c r="E36" i="58"/>
  <c r="G307" i="21"/>
  <c r="C70" i="58"/>
  <c r="G377" i="21"/>
  <c r="E57" i="58"/>
  <c r="I22" i="58"/>
  <c r="I29" i="58"/>
  <c r="G211" i="21"/>
  <c r="G282" i="21"/>
  <c r="I42" i="58"/>
  <c r="G327" i="21"/>
  <c r="C15" i="58"/>
  <c r="I51" i="58"/>
  <c r="G55" i="58"/>
  <c r="C74" i="58"/>
  <c r="E21" i="58"/>
  <c r="G308" i="21"/>
  <c r="G349" i="21"/>
  <c r="G56" i="58"/>
  <c r="C63" i="58"/>
  <c r="G358" i="21"/>
  <c r="E67" i="58"/>
  <c r="G264" i="21"/>
  <c r="G317" i="21"/>
  <c r="G238" i="21"/>
  <c r="G259" i="21"/>
  <c r="G364" i="21"/>
  <c r="G233" i="21"/>
  <c r="G288" i="21"/>
  <c r="G289" i="21"/>
  <c r="I64" i="58"/>
  <c r="C64" i="58"/>
  <c r="C67" i="58"/>
  <c r="E74" i="58"/>
  <c r="G58" i="58"/>
  <c r="G391" i="21"/>
  <c r="C24" i="58"/>
  <c r="G59" i="58"/>
  <c r="G283" i="21"/>
  <c r="E59" i="58"/>
  <c r="C38" i="58"/>
  <c r="G294" i="21"/>
  <c r="G66" i="58"/>
  <c r="I24" i="58"/>
  <c r="E66" i="58"/>
  <c r="C21" i="58"/>
  <c r="G229" i="21"/>
  <c r="E35" i="58"/>
  <c r="E70" i="58"/>
  <c r="C56" i="58"/>
  <c r="G70" i="58"/>
  <c r="I49" i="58"/>
  <c r="G352" i="21"/>
  <c r="G12" i="21"/>
  <c r="E60" i="58"/>
  <c r="E56" i="58"/>
  <c r="C73" i="58"/>
  <c r="E49" i="58"/>
  <c r="G168" i="21"/>
  <c r="E14" i="58"/>
  <c r="I62" i="58"/>
  <c r="I50" i="58"/>
  <c r="I21" i="58"/>
  <c r="E43" i="58"/>
  <c r="G67" i="58"/>
  <c r="I56" i="58"/>
  <c r="C29" i="58"/>
  <c r="G324" i="21"/>
  <c r="G69" i="58"/>
  <c r="I57" i="58"/>
  <c r="B23" i="21"/>
  <c r="B120" i="21"/>
  <c r="B160" i="21"/>
  <c r="B79" i="21"/>
  <c r="B83" i="21"/>
  <c r="I2088" i="19"/>
  <c r="B244" i="55" s="1"/>
  <c r="I1145" i="19"/>
  <c r="I1225" i="19"/>
  <c r="I1107" i="19"/>
  <c r="I1277" i="19"/>
  <c r="I1117" i="19"/>
  <c r="I1255" i="19"/>
  <c r="I1215" i="19"/>
  <c r="I1183" i="19"/>
  <c r="I1167" i="19"/>
  <c r="I1151" i="19"/>
  <c r="I2256" i="19"/>
  <c r="B412" i="55" s="1"/>
  <c r="E412" i="55" s="1"/>
  <c r="I2208" i="19"/>
  <c r="B364" i="55" s="1"/>
  <c r="I2140" i="19"/>
  <c r="B296" i="55" s="1"/>
  <c r="I2136" i="19"/>
  <c r="B292" i="55" s="1"/>
  <c r="I2025" i="19"/>
  <c r="B181" i="55" s="1"/>
  <c r="I2254" i="19"/>
  <c r="B410" i="55" s="1"/>
  <c r="I2249" i="19"/>
  <c r="B405" i="55" s="1"/>
  <c r="I2247" i="19"/>
  <c r="I2237" i="19"/>
  <c r="I2229" i="19"/>
  <c r="B385" i="55" s="1"/>
  <c r="I2227" i="19"/>
  <c r="B383" i="55" s="1"/>
  <c r="I2225" i="19"/>
  <c r="B381" i="55" s="1"/>
  <c r="I2218" i="19"/>
  <c r="B374" i="55" s="1"/>
  <c r="I2205" i="19"/>
  <c r="B361" i="55" s="1"/>
  <c r="I2201" i="19"/>
  <c r="B357" i="55" s="1"/>
  <c r="E357" i="55" s="1"/>
  <c r="G357" i="55" s="1"/>
  <c r="I2185" i="19"/>
  <c r="B341" i="55" s="1"/>
  <c r="I2181" i="19"/>
  <c r="B337" i="55" s="1"/>
  <c r="I2170" i="19"/>
  <c r="B326" i="55" s="1"/>
  <c r="I2169" i="19"/>
  <c r="B325" i="55" s="1"/>
  <c r="E325" i="55" s="1"/>
  <c r="I2163" i="19"/>
  <c r="B319" i="55" s="1"/>
  <c r="I2161" i="19"/>
  <c r="B317" i="55" s="1"/>
  <c r="I2158" i="19"/>
  <c r="B314" i="55" s="1"/>
  <c r="I2157" i="19"/>
  <c r="B313" i="55" s="1"/>
  <c r="I2149" i="19"/>
  <c r="B305" i="55" s="1"/>
  <c r="I2145" i="19"/>
  <c r="B301" i="55" s="1"/>
  <c r="I2141" i="19"/>
  <c r="B297" i="55" s="1"/>
  <c r="I2137" i="19"/>
  <c r="B293" i="55" s="1"/>
  <c r="I2129" i="19"/>
  <c r="B285" i="55" s="1"/>
  <c r="I2127" i="19"/>
  <c r="B283" i="55" s="1"/>
  <c r="E283" i="55" s="1"/>
  <c r="I2123" i="19"/>
  <c r="B279" i="55" s="1"/>
  <c r="I2117" i="19"/>
  <c r="B273" i="55" s="1"/>
  <c r="D2773" i="19"/>
  <c r="I1297" i="19"/>
  <c r="I2102" i="19"/>
  <c r="B258" i="55" s="1"/>
  <c r="I2081" i="19"/>
  <c r="B237" i="55" s="1"/>
  <c r="I2074" i="19"/>
  <c r="B230" i="55" s="1"/>
  <c r="I2069" i="19"/>
  <c r="B225" i="55" s="1"/>
  <c r="I2057" i="19"/>
  <c r="B213" i="55" s="1"/>
  <c r="I2111" i="19"/>
  <c r="B267" i="55" s="1"/>
  <c r="I2109" i="19"/>
  <c r="B265" i="55" s="1"/>
  <c r="I2105" i="19"/>
  <c r="B261" i="55" s="1"/>
  <c r="I2097" i="19"/>
  <c r="B253" i="55" s="1"/>
  <c r="I2093" i="19"/>
  <c r="B249" i="55" s="1"/>
  <c r="I2085" i="19"/>
  <c r="B241" i="55" s="1"/>
  <c r="I2077" i="19"/>
  <c r="B233" i="55" s="1"/>
  <c r="I2073" i="19"/>
  <c r="B229" i="55" s="1"/>
  <c r="I2065" i="19"/>
  <c r="B221" i="55" s="1"/>
  <c r="I2050" i="19"/>
  <c r="B206" i="55" s="1"/>
  <c r="I2047" i="19"/>
  <c r="B203" i="55" s="1"/>
  <c r="I2045" i="19"/>
  <c r="B201" i="55" s="1"/>
  <c r="I2041" i="19"/>
  <c r="B197" i="55" s="1"/>
  <c r="I2033" i="19"/>
  <c r="B189" i="55" s="1"/>
  <c r="I2031" i="19"/>
  <c r="B187" i="55" s="1"/>
  <c r="I2029" i="19"/>
  <c r="B185" i="55" s="1"/>
  <c r="I1319" i="19"/>
  <c r="I1231" i="19"/>
  <c r="I1135" i="19"/>
  <c r="I1143" i="19"/>
  <c r="I1321" i="19"/>
  <c r="I1233" i="19"/>
  <c r="I1574" i="19"/>
  <c r="B2388" i="21" s="1"/>
  <c r="I1295" i="19"/>
  <c r="I1247" i="19"/>
  <c r="I1207" i="19"/>
  <c r="I1127" i="19"/>
  <c r="H1852" i="19"/>
  <c r="I1324" i="19"/>
  <c r="I1180" i="19"/>
  <c r="I1306" i="19"/>
  <c r="I1106" i="19"/>
  <c r="G2024" i="19"/>
  <c r="I1311" i="19"/>
  <c r="I2244" i="19"/>
  <c r="B400" i="55" s="1"/>
  <c r="I2240" i="19"/>
  <c r="B396" i="55" s="1"/>
  <c r="E396" i="55" s="1"/>
  <c r="I2148" i="19"/>
  <c r="B304" i="55" s="1"/>
  <c r="I2257" i="19"/>
  <c r="B413" i="55" s="1"/>
  <c r="I2206" i="19"/>
  <c r="B362" i="55" s="1"/>
  <c r="I2153" i="19"/>
  <c r="B309" i="55" s="1"/>
  <c r="D1337" i="19"/>
  <c r="I1298" i="19"/>
  <c r="I1210" i="19"/>
  <c r="I2209" i="19"/>
  <c r="B365" i="55" s="1"/>
  <c r="I2177" i="19"/>
  <c r="B333" i="55" s="1"/>
  <c r="I2173" i="19"/>
  <c r="B329" i="55" s="1"/>
  <c r="I2165" i="19"/>
  <c r="B321" i="55"/>
  <c r="I2133" i="19"/>
  <c r="B289" i="55" s="1"/>
  <c r="I2121" i="19"/>
  <c r="B277" i="55"/>
  <c r="E277" i="55" s="1"/>
  <c r="I2113" i="19"/>
  <c r="B269" i="55" s="1"/>
  <c r="I2101" i="19"/>
  <c r="B257" i="55" s="1"/>
  <c r="I2089" i="19"/>
  <c r="B245" i="55" s="1"/>
  <c r="E245" i="55" s="1"/>
  <c r="I2053" i="19"/>
  <c r="B209" i="55" s="1"/>
  <c r="I2049" i="19"/>
  <c r="B205" i="55" s="1"/>
  <c r="G1852" i="19"/>
  <c r="I1333" i="19"/>
  <c r="I1325" i="19"/>
  <c r="I1309" i="19"/>
  <c r="I1301" i="19"/>
  <c r="I1293" i="19"/>
  <c r="I1261" i="19"/>
  <c r="I1253" i="19"/>
  <c r="I1245" i="19"/>
  <c r="I1237" i="19"/>
  <c r="I1229" i="19"/>
  <c r="I1213" i="19"/>
  <c r="I1197" i="19"/>
  <c r="I1189" i="19"/>
  <c r="I1181" i="19"/>
  <c r="I1173" i="19"/>
  <c r="I1165" i="19"/>
  <c r="I1149" i="19"/>
  <c r="I1125" i="19"/>
  <c r="E2024" i="19"/>
  <c r="I2255" i="19"/>
  <c r="B411" i="55" s="1"/>
  <c r="I2250" i="19"/>
  <c r="B406" i="55" s="1"/>
  <c r="I2246" i="19"/>
  <c r="B402" i="55" s="1"/>
  <c r="I2243" i="19"/>
  <c r="B399" i="55" s="1"/>
  <c r="I2242" i="19"/>
  <c r="B398" i="55" s="1"/>
  <c r="I2238" i="19"/>
  <c r="I2234" i="19"/>
  <c r="B390" i="55" s="1"/>
  <c r="I2231" i="19"/>
  <c r="B387" i="55" s="1"/>
  <c r="I2230" i="19"/>
  <c r="B386" i="55" s="1"/>
  <c r="I2226" i="19"/>
  <c r="B382" i="55" s="1"/>
  <c r="I2224" i="19"/>
  <c r="B380" i="55" s="1"/>
  <c r="I2222" i="19"/>
  <c r="B378" i="55" s="1"/>
  <c r="I2220" i="19"/>
  <c r="B376" i="55" s="1"/>
  <c r="I2214" i="19"/>
  <c r="B370" i="55" s="1"/>
  <c r="I2212" i="19"/>
  <c r="B368" i="55" s="1"/>
  <c r="I2210" i="19"/>
  <c r="B366" i="55" s="1"/>
  <c r="I2203" i="19"/>
  <c r="B359" i="55" s="1"/>
  <c r="I2202" i="19"/>
  <c r="I2199" i="19"/>
  <c r="B355" i="55" s="1"/>
  <c r="I2198" i="19"/>
  <c r="B354" i="55" s="1"/>
  <c r="I2196" i="19"/>
  <c r="B352" i="55" s="1"/>
  <c r="I2195" i="19"/>
  <c r="B351" i="55" s="1"/>
  <c r="I2194" i="19"/>
  <c r="B350" i="55" s="1"/>
  <c r="I2190" i="19"/>
  <c r="B346" i="55" s="1"/>
  <c r="I2187" i="19"/>
  <c r="B343" i="55" s="1"/>
  <c r="E343" i="55" s="1"/>
  <c r="I2186" i="19"/>
  <c r="B342" i="55" s="1"/>
  <c r="I2184" i="19"/>
  <c r="B340" i="55" s="1"/>
  <c r="I2183" i="19"/>
  <c r="B339" i="55" s="1"/>
  <c r="I2182" i="19"/>
  <c r="B338" i="55" s="1"/>
  <c r="I2180" i="19"/>
  <c r="B336" i="55" s="1"/>
  <c r="I2179" i="19"/>
  <c r="B335" i="55" s="1"/>
  <c r="E335" i="55" s="1"/>
  <c r="I2178" i="19"/>
  <c r="B334" i="55" s="1"/>
  <c r="I2174" i="19"/>
  <c r="B330" i="55" s="1"/>
  <c r="I2166" i="19"/>
  <c r="B322" i="55" s="1"/>
  <c r="I2164" i="19"/>
  <c r="B320" i="55" s="1"/>
  <c r="I2162" i="19"/>
  <c r="B318" i="55" s="1"/>
  <c r="I2160" i="19"/>
  <c r="B316" i="55" s="1"/>
  <c r="I2154" i="19"/>
  <c r="B310" i="55" s="1"/>
  <c r="I2152" i="19"/>
  <c r="B308" i="55" s="1"/>
  <c r="I2151" i="19"/>
  <c r="B307" i="55" s="1"/>
  <c r="I2150" i="19"/>
  <c r="B306" i="55" s="1"/>
  <c r="I2146" i="19"/>
  <c r="B302" i="55" s="1"/>
  <c r="I2142" i="19"/>
  <c r="B298" i="55" s="1"/>
  <c r="I2139" i="19"/>
  <c r="B295" i="55" s="1"/>
  <c r="I2138" i="19"/>
  <c r="B294" i="55" s="1"/>
  <c r="I2135" i="19"/>
  <c r="B291" i="55" s="1"/>
  <c r="I2134" i="19"/>
  <c r="B290" i="55" s="1"/>
  <c r="I2130" i="19"/>
  <c r="B286" i="55" s="1"/>
  <c r="I2126" i="19"/>
  <c r="B282" i="55" s="1"/>
  <c r="I2124" i="19"/>
  <c r="B280" i="55" s="1"/>
  <c r="I2122" i="19"/>
  <c r="B278" i="55" s="1"/>
  <c r="I2120" i="19"/>
  <c r="B276" i="55" s="1"/>
  <c r="E276" i="55" s="1"/>
  <c r="I2119" i="19"/>
  <c r="B275" i="55" s="1"/>
  <c r="I2118" i="19"/>
  <c r="B274" i="55" s="1"/>
  <c r="I2114" i="19"/>
  <c r="B270" i="55"/>
  <c r="I2112" i="19"/>
  <c r="B268" i="55" s="1"/>
  <c r="I2110" i="19"/>
  <c r="B266" i="55" s="1"/>
  <c r="I2106" i="19"/>
  <c r="B262" i="55" s="1"/>
  <c r="I2103" i="19"/>
  <c r="B259" i="55" s="1"/>
  <c r="I2100" i="19"/>
  <c r="B256" i="55" s="1"/>
  <c r="I2098" i="19"/>
  <c r="B254" i="55" s="1"/>
  <c r="I2094" i="19"/>
  <c r="B250" i="55" s="1"/>
  <c r="I2092" i="19"/>
  <c r="B248" i="55" s="1"/>
  <c r="I2091" i="19"/>
  <c r="B247" i="55" s="1"/>
  <c r="I2090" i="19"/>
  <c r="B246" i="55" s="1"/>
  <c r="I2086" i="19"/>
  <c r="B242" i="55" s="1"/>
  <c r="I2084" i="19"/>
  <c r="B240" i="55" s="1"/>
  <c r="I2083" i="19"/>
  <c r="B239" i="55" s="1"/>
  <c r="I2082" i="19"/>
  <c r="B238" i="55" s="1"/>
  <c r="I2079" i="19"/>
  <c r="B235" i="55" s="1"/>
  <c r="E235" i="55" s="1"/>
  <c r="I2078" i="19"/>
  <c r="B234" i="55" s="1"/>
  <c r="I2070" i="19"/>
  <c r="B226" i="55" s="1"/>
  <c r="I2068" i="19"/>
  <c r="B224" i="55" s="1"/>
  <c r="I2066" i="19"/>
  <c r="B222" i="55" s="1"/>
  <c r="I2064" i="19"/>
  <c r="B220" i="55" s="1"/>
  <c r="I2063" i="19"/>
  <c r="B219" i="55" s="1"/>
  <c r="I2062" i="19"/>
  <c r="B218" i="55" s="1"/>
  <c r="I2059" i="19"/>
  <c r="B215" i="55" s="1"/>
  <c r="I1335" i="19"/>
  <c r="I1279" i="19"/>
  <c r="I1271" i="19"/>
  <c r="I1191" i="19"/>
  <c r="I1119" i="19"/>
  <c r="I1238" i="19"/>
  <c r="I1104" i="19"/>
  <c r="I1330" i="19"/>
  <c r="I1282" i="19"/>
  <c r="I1218" i="19"/>
  <c r="H2024" i="19"/>
  <c r="I2219" i="19"/>
  <c r="B375" i="55" s="1"/>
  <c r="I2213" i="19"/>
  <c r="B369" i="55" s="1"/>
  <c r="I2207" i="19"/>
  <c r="B363" i="55" s="1"/>
  <c r="I2175" i="19"/>
  <c r="B331" i="55" s="1"/>
  <c r="F2024" i="19"/>
  <c r="I1329" i="19"/>
  <c r="I1313" i="19"/>
  <c r="I1305" i="19"/>
  <c r="I1289" i="19"/>
  <c r="I1281" i="19"/>
  <c r="I1273" i="19"/>
  <c r="I1265" i="19"/>
  <c r="I1257" i="19"/>
  <c r="I1249" i="19"/>
  <c r="I1241" i="19"/>
  <c r="I1217" i="19"/>
  <c r="I1209" i="19"/>
  <c r="I1201" i="19"/>
  <c r="I1193" i="19"/>
  <c r="I1185" i="19"/>
  <c r="I1177" i="19"/>
  <c r="I1169" i="19"/>
  <c r="I1161" i="19"/>
  <c r="I1153" i="19"/>
  <c r="I1137" i="19"/>
  <c r="I1129" i="19"/>
  <c r="I1121" i="19"/>
  <c r="I1113" i="19"/>
  <c r="I1105" i="19"/>
  <c r="I2252" i="19"/>
  <c r="B408" i="55" s="1"/>
  <c r="I2192" i="19"/>
  <c r="B348" i="55" s="1"/>
  <c r="I2080" i="19"/>
  <c r="B236" i="55" s="1"/>
  <c r="E236" i="55" s="1"/>
  <c r="I2076" i="19"/>
  <c r="B232" i="55" s="1"/>
  <c r="I2032" i="19"/>
  <c r="B188" i="55" s="1"/>
  <c r="I2058" i="19"/>
  <c r="B214" i="55" s="1"/>
  <c r="I2054" i="19"/>
  <c r="B210" i="55" s="1"/>
  <c r="I2052" i="19"/>
  <c r="B208" i="55" s="1"/>
  <c r="I2048" i="19"/>
  <c r="B204" i="55" s="1"/>
  <c r="I2046" i="19"/>
  <c r="B202" i="55" s="1"/>
  <c r="I2043" i="19"/>
  <c r="B199" i="55" s="1"/>
  <c r="I2042" i="19"/>
  <c r="B198" i="55" s="1"/>
  <c r="I2040" i="19"/>
  <c r="B196" i="55" s="1"/>
  <c r="I2038" i="19"/>
  <c r="B194" i="55" s="1"/>
  <c r="I2035" i="19"/>
  <c r="B191" i="55" s="1"/>
  <c r="I2034" i="19"/>
  <c r="B190" i="55" s="1"/>
  <c r="I2030" i="19"/>
  <c r="B186" i="55" s="1"/>
  <c r="D1916" i="21"/>
  <c r="I1194" i="19"/>
  <c r="I1332" i="19"/>
  <c r="I1308" i="19"/>
  <c r="I1292" i="19"/>
  <c r="I1284" i="19"/>
  <c r="I1268" i="19"/>
  <c r="I1252" i="19"/>
  <c r="I1204" i="19"/>
  <c r="I1164" i="19"/>
  <c r="I1334" i="19"/>
  <c r="I1326" i="19"/>
  <c r="I1318" i="19"/>
  <c r="I1310" i="19"/>
  <c r="I1302" i="19"/>
  <c r="I1294" i="19"/>
  <c r="I1286" i="19"/>
  <c r="I1278" i="19"/>
  <c r="I1270" i="19"/>
  <c r="I1262" i="19"/>
  <c r="I1254" i="19"/>
  <c r="I1246" i="19"/>
  <c r="I1230" i="19"/>
  <c r="I1222" i="19"/>
  <c r="I1214" i="19"/>
  <c r="I1206" i="19"/>
  <c r="I1198" i="19"/>
  <c r="I1190" i="19"/>
  <c r="I1182" i="19"/>
  <c r="I1174" i="19"/>
  <c r="I1166" i="19"/>
  <c r="I1158" i="19"/>
  <c r="I1150" i="19"/>
  <c r="I1142" i="19"/>
  <c r="I1134" i="19"/>
  <c r="I1126" i="19"/>
  <c r="I1118" i="19"/>
  <c r="I1110" i="19"/>
  <c r="I1336" i="19"/>
  <c r="I1304" i="19"/>
  <c r="I1288" i="19"/>
  <c r="I1280" i="19"/>
  <c r="I1256" i="19"/>
  <c r="I1240" i="19"/>
  <c r="I1224" i="19"/>
  <c r="I1216" i="19"/>
  <c r="I1200" i="19"/>
  <c r="I1192" i="19"/>
  <c r="I1160" i="19"/>
  <c r="I1152" i="19"/>
  <c r="I1136" i="19"/>
  <c r="I1128" i="19"/>
  <c r="I1228" i="19"/>
  <c r="I1220" i="19"/>
  <c r="I1188" i="19"/>
  <c r="I1140" i="19"/>
  <c r="I1116" i="19"/>
  <c r="E1103" i="19"/>
  <c r="D1103" i="19"/>
  <c r="I1322" i="19"/>
  <c r="I1314" i="19"/>
  <c r="I1290" i="19"/>
  <c r="I1274" i="19"/>
  <c r="I1266" i="19"/>
  <c r="I1258" i="19"/>
  <c r="I1250" i="19"/>
  <c r="I1242" i="19"/>
  <c r="I1234" i="19"/>
  <c r="I1226" i="19"/>
  <c r="I1202" i="19"/>
  <c r="I1186" i="19"/>
  <c r="I1178" i="19"/>
  <c r="I1170" i="19"/>
  <c r="I1162" i="19"/>
  <c r="I1154" i="19"/>
  <c r="I1146" i="19"/>
  <c r="I1138" i="19"/>
  <c r="I1130" i="19"/>
  <c r="I1122" i="19"/>
  <c r="I1114" i="19"/>
  <c r="D2024" i="19"/>
  <c r="I2026" i="19"/>
  <c r="B182" i="55" s="1"/>
  <c r="B2024" i="19"/>
  <c r="I2875" i="19"/>
  <c r="C3602" i="21" s="1"/>
  <c r="I1264" i="19"/>
  <c r="I1244" i="19"/>
  <c r="I1156" i="19"/>
  <c r="I1343" i="19"/>
  <c r="B2157" i="21" s="1"/>
  <c r="I1320" i="19"/>
  <c r="I1176" i="19"/>
  <c r="B2258" i="19"/>
  <c r="I1328" i="19"/>
  <c r="I1312" i="19"/>
  <c r="I1296" i="19"/>
  <c r="I1248" i="19"/>
  <c r="I1232" i="19"/>
  <c r="I1184" i="19"/>
  <c r="I1168" i="19"/>
  <c r="I1112" i="19"/>
  <c r="G1103" i="19"/>
  <c r="I2251" i="19"/>
  <c r="B407" i="55" s="1"/>
  <c r="I2248" i="19"/>
  <c r="I2239" i="19"/>
  <c r="B395" i="55" s="1"/>
  <c r="I2235" i="19"/>
  <c r="B391" i="55" s="1"/>
  <c r="I2228" i="19"/>
  <c r="B384" i="55" s="1"/>
  <c r="I2223" i="19"/>
  <c r="B379" i="55" s="1"/>
  <c r="I2216" i="19"/>
  <c r="B372" i="55" s="1"/>
  <c r="I2215" i="19"/>
  <c r="B371" i="55" s="1"/>
  <c r="E371" i="55" s="1"/>
  <c r="I2211" i="19"/>
  <c r="B367" i="55" s="1"/>
  <c r="E367" i="55" s="1"/>
  <c r="I2204" i="19"/>
  <c r="B360" i="55"/>
  <c r="I2200" i="19"/>
  <c r="B356" i="55" s="1"/>
  <c r="E356" i="55" s="1"/>
  <c r="I2191" i="19"/>
  <c r="B347" i="55" s="1"/>
  <c r="I2188" i="19"/>
  <c r="B344" i="55" s="1"/>
  <c r="I2176" i="19"/>
  <c r="B332" i="55" s="1"/>
  <c r="I2171" i="19"/>
  <c r="B327" i="55" s="1"/>
  <c r="I2167" i="19"/>
  <c r="B323" i="55" s="1"/>
  <c r="I2156" i="19"/>
  <c r="B312" i="55" s="1"/>
  <c r="I2155" i="19"/>
  <c r="B311" i="55" s="1"/>
  <c r="I2147" i="19"/>
  <c r="B303" i="55" s="1"/>
  <c r="I2144" i="19"/>
  <c r="B300" i="55" s="1"/>
  <c r="E300" i="55" s="1"/>
  <c r="I2143" i="19"/>
  <c r="B299" i="55" s="1"/>
  <c r="I2132" i="19"/>
  <c r="B288" i="55" s="1"/>
  <c r="I2131" i="19"/>
  <c r="B287" i="55" s="1"/>
  <c r="I2128" i="19"/>
  <c r="B284" i="55" s="1"/>
  <c r="I2116" i="19"/>
  <c r="I2115" i="19"/>
  <c r="B271" i="55" s="1"/>
  <c r="I2107" i="19"/>
  <c r="B263" i="55" s="1"/>
  <c r="E263" i="55" s="1"/>
  <c r="I2087" i="19"/>
  <c r="B243" i="55" s="1"/>
  <c r="I2075" i="19"/>
  <c r="B231" i="55" s="1"/>
  <c r="I2072" i="19"/>
  <c r="B228" i="55" s="1"/>
  <c r="I2071" i="19"/>
  <c r="B227" i="55" s="1"/>
  <c r="I2067" i="19"/>
  <c r="B223" i="55" s="1"/>
  <c r="I2060" i="19"/>
  <c r="B216" i="55" s="1"/>
  <c r="I2056" i="19"/>
  <c r="B212" i="55" s="1"/>
  <c r="I2055" i="19"/>
  <c r="B211" i="55" s="1"/>
  <c r="I2044" i="19"/>
  <c r="B200" i="55" s="1"/>
  <c r="I2039" i="19"/>
  <c r="B195" i="55" s="1"/>
  <c r="I2036" i="19"/>
  <c r="B192" i="55" s="1"/>
  <c r="I2027" i="19"/>
  <c r="B183" i="55" s="1"/>
  <c r="I2096" i="19"/>
  <c r="B252" i="55" s="1"/>
  <c r="I1123" i="19"/>
  <c r="I1317" i="19"/>
  <c r="I1285" i="19"/>
  <c r="I1269" i="19"/>
  <c r="I1221" i="19"/>
  <c r="I1205" i="19"/>
  <c r="I1157" i="19"/>
  <c r="I1141" i="19"/>
  <c r="I1133" i="19"/>
  <c r="I1109" i="19"/>
  <c r="I1327" i="19"/>
  <c r="I1303" i="19"/>
  <c r="I1287" i="19"/>
  <c r="I1263" i="19"/>
  <c r="I1239" i="19"/>
  <c r="I1223" i="19"/>
  <c r="I1199" i="19"/>
  <c r="I1175" i="19"/>
  <c r="I1159" i="19"/>
  <c r="I1111" i="19"/>
  <c r="I1131" i="19"/>
  <c r="I1272" i="19"/>
  <c r="I1208" i="19"/>
  <c r="I1144" i="19"/>
  <c r="I2241" i="19"/>
  <c r="B397" i="55" s="1"/>
  <c r="I2221" i="19"/>
  <c r="B377" i="55" s="1"/>
  <c r="I2217" i="19"/>
  <c r="B373" i="55" s="1"/>
  <c r="I2197" i="19"/>
  <c r="B353" i="55" s="1"/>
  <c r="I1316" i="19"/>
  <c r="I1300" i="19"/>
  <c r="I1276" i="19"/>
  <c r="I1260" i="19"/>
  <c r="I1236" i="19"/>
  <c r="I1212" i="19"/>
  <c r="I1196" i="19"/>
  <c r="I1172" i="19"/>
  <c r="I1148" i="19"/>
  <c r="I1132" i="19"/>
  <c r="I1124" i="19"/>
  <c r="I1108" i="19"/>
  <c r="I2245" i="19"/>
  <c r="B401" i="55" s="1"/>
  <c r="I2233" i="19"/>
  <c r="B389" i="55" s="1"/>
  <c r="E389" i="55" s="1"/>
  <c r="I2193" i="19"/>
  <c r="B349" i="55" s="1"/>
  <c r="F1103" i="19"/>
  <c r="C2024" i="19"/>
  <c r="I1331" i="19"/>
  <c r="I1323" i="19"/>
  <c r="I1315" i="19"/>
  <c r="I1307" i="19"/>
  <c r="I1299" i="19"/>
  <c r="I1291" i="19"/>
  <c r="I1283" i="19"/>
  <c r="I1275" i="19"/>
  <c r="I1267" i="19"/>
  <c r="I1259" i="19"/>
  <c r="I1251" i="19"/>
  <c r="I1243" i="19"/>
  <c r="I1235" i="19"/>
  <c r="I1227" i="19"/>
  <c r="I1219" i="19"/>
  <c r="I1211" i="19"/>
  <c r="I1203" i="19"/>
  <c r="I1195" i="19"/>
  <c r="I1187" i="19"/>
  <c r="I1179" i="19"/>
  <c r="I1171" i="19"/>
  <c r="I1163" i="19"/>
  <c r="I1155" i="19"/>
  <c r="I1147" i="19"/>
  <c r="I1139" i="19"/>
  <c r="I1115" i="19"/>
  <c r="I1120" i="19"/>
  <c r="F1852" i="19"/>
  <c r="I2159" i="19"/>
  <c r="B315" i="55" s="1"/>
  <c r="I2099" i="19"/>
  <c r="B255" i="55" s="1"/>
  <c r="I2095" i="19"/>
  <c r="B251" i="55" s="1"/>
  <c r="I2051" i="19"/>
  <c r="B207" i="55" s="1"/>
  <c r="I2236" i="19"/>
  <c r="B392" i="55" s="1"/>
  <c r="I2232" i="19"/>
  <c r="B388" i="55" s="1"/>
  <c r="I2172" i="19"/>
  <c r="B328" i="55" s="1"/>
  <c r="I2168" i="19"/>
  <c r="B324" i="55" s="1"/>
  <c r="I2108" i="19"/>
  <c r="B264" i="55" s="1"/>
  <c r="I2104" i="19"/>
  <c r="B260" i="55" s="1"/>
  <c r="I2028" i="19"/>
  <c r="B184" i="55" s="1"/>
  <c r="I2253" i="19"/>
  <c r="B409" i="55" s="1"/>
  <c r="I2189" i="19"/>
  <c r="B345" i="55" s="1"/>
  <c r="I2125" i="19"/>
  <c r="B281" i="55" s="1"/>
  <c r="I2061" i="19"/>
  <c r="B217" i="55" s="1"/>
  <c r="I2037" i="19"/>
  <c r="B193" i="55" s="1"/>
  <c r="E193" i="55" s="1"/>
  <c r="E41" i="58"/>
  <c r="I69" i="58"/>
  <c r="C69" i="58"/>
  <c r="C41" i="58"/>
  <c r="G57" i="58"/>
  <c r="I52" i="58"/>
  <c r="C72" i="58"/>
  <c r="C52" i="58"/>
  <c r="I72" i="58"/>
  <c r="E72" i="58"/>
  <c r="E69" i="58"/>
  <c r="I35" i="58"/>
  <c r="E63" i="58"/>
  <c r="E58" i="58"/>
  <c r="C58" i="58"/>
  <c r="I63" i="58"/>
  <c r="I58" i="58"/>
  <c r="E30" i="58"/>
  <c r="I16" i="58"/>
  <c r="G63" i="58"/>
  <c r="C16" i="58"/>
  <c r="I73" i="58"/>
  <c r="E73" i="58"/>
  <c r="C53" i="58"/>
  <c r="G73" i="58"/>
  <c r="C28" i="58"/>
  <c r="A113" i="58"/>
  <c r="G65" i="58"/>
  <c r="C65" i="58"/>
  <c r="E28" i="58"/>
  <c r="G60" i="58"/>
  <c r="C60" i="58"/>
  <c r="C17" i="58"/>
  <c r="E37" i="58"/>
  <c r="I28" i="58"/>
  <c r="E42" i="58"/>
  <c r="C42" i="58"/>
  <c r="C37" i="58"/>
  <c r="E65" i="58"/>
  <c r="F759" i="55"/>
  <c r="F449" i="55"/>
  <c r="F737" i="55"/>
  <c r="F706" i="55"/>
  <c r="F599" i="55"/>
  <c r="F771" i="55"/>
  <c r="F479" i="55"/>
  <c r="F763" i="55"/>
  <c r="F577" i="55"/>
  <c r="F668" i="55"/>
  <c r="F684" i="55"/>
  <c r="F630" i="55"/>
  <c r="F779" i="55"/>
  <c r="F601" i="55"/>
  <c r="F580" i="55"/>
  <c r="F430" i="55"/>
  <c r="F675" i="55"/>
  <c r="F649" i="55"/>
  <c r="F496" i="55"/>
  <c r="F437" i="55"/>
  <c r="F420" i="55"/>
  <c r="F718" i="55"/>
  <c r="F654" i="55"/>
  <c r="F632" i="55"/>
  <c r="F696" i="55"/>
  <c r="F647" i="55"/>
  <c r="F617" i="55"/>
  <c r="F540" i="55"/>
  <c r="F475" i="55"/>
  <c r="F695" i="55"/>
  <c r="F616" i="55"/>
  <c r="F594" i="55"/>
  <c r="F603" i="55"/>
  <c r="F421" i="55"/>
  <c r="F444" i="55"/>
  <c r="F735" i="55"/>
  <c r="F596" i="55"/>
  <c r="F733" i="55"/>
  <c r="F676" i="55"/>
  <c r="F644" i="55"/>
  <c r="F768" i="55"/>
  <c r="F626" i="55"/>
  <c r="F582" i="55"/>
  <c r="F552" i="55"/>
  <c r="F489" i="55"/>
  <c r="F520" i="55"/>
  <c r="F689" i="55"/>
  <c r="C936" i="55"/>
  <c r="F418" i="55"/>
  <c r="D47" i="52"/>
  <c r="O47" i="52" s="1"/>
  <c r="C931" i="55"/>
  <c r="G33" i="58"/>
  <c r="G19" i="58"/>
  <c r="G47" i="58"/>
  <c r="G12" i="58"/>
  <c r="G40" i="58"/>
  <c r="G26" i="58"/>
  <c r="A114" i="58"/>
  <c r="A115" i="58"/>
  <c r="A116" i="58"/>
  <c r="D924" i="55"/>
  <c r="G1901" i="21" l="1"/>
  <c r="A942" i="55"/>
  <c r="A1093" i="55"/>
  <c r="C2719" i="21"/>
  <c r="C2743" i="21"/>
  <c r="C2694" i="21"/>
  <c r="C957" i="55" s="1"/>
  <c r="D957" i="55" s="1"/>
  <c r="A941" i="55"/>
  <c r="C2735" i="21"/>
  <c r="C998" i="55" s="1"/>
  <c r="A1070" i="55"/>
  <c r="C2775" i="21"/>
  <c r="C1038" i="55" s="1"/>
  <c r="A981" i="55"/>
  <c r="A997" i="55"/>
  <c r="A1053" i="55"/>
  <c r="G299" i="21"/>
  <c r="G228" i="21"/>
  <c r="G360" i="21"/>
  <c r="L59" i="60"/>
  <c r="D3299" i="21"/>
  <c r="D1864" i="55"/>
  <c r="C1448" i="55"/>
  <c r="D2833" i="21"/>
  <c r="G621" i="55"/>
  <c r="C66" i="58"/>
  <c r="E80" i="58"/>
  <c r="I27" i="58"/>
  <c r="L26" i="58"/>
  <c r="E38" i="58"/>
  <c r="G170" i="21"/>
  <c r="I38" i="58"/>
  <c r="C80" i="58"/>
  <c r="I83" i="58"/>
  <c r="I60" i="58"/>
  <c r="I67" i="58"/>
  <c r="I74" i="58"/>
  <c r="E62" i="58"/>
  <c r="K62" i="58" s="1"/>
  <c r="C88" i="58"/>
  <c r="I8" i="21"/>
  <c r="G76" i="58"/>
  <c r="E53" i="58"/>
  <c r="D123" i="58"/>
  <c r="G72" i="58"/>
  <c r="G1902" i="21"/>
  <c r="C1577" i="55"/>
  <c r="D1577" i="55" s="1"/>
  <c r="E346" i="55"/>
  <c r="G150" i="21"/>
  <c r="G196" i="21"/>
  <c r="I39" i="58"/>
  <c r="I13" i="58"/>
  <c r="I18" i="58"/>
  <c r="J600" i="47"/>
  <c r="G323" i="21"/>
  <c r="B104" i="21"/>
  <c r="F1" i="35"/>
  <c r="I1" i="19"/>
  <c r="L2" i="58"/>
  <c r="L2" i="47"/>
  <c r="D2" i="56"/>
  <c r="B153" i="21"/>
  <c r="F153" i="21" s="1"/>
  <c r="A5" i="60"/>
  <c r="A78" i="60"/>
  <c r="C120" i="60" s="1"/>
  <c r="F117" i="60" s="1"/>
  <c r="C4" i="56"/>
  <c r="A1" i="56"/>
  <c r="B46" i="21"/>
  <c r="F46" i="21" s="1"/>
  <c r="B62" i="21"/>
  <c r="F62" i="21" s="1"/>
  <c r="B70" i="21"/>
  <c r="F70" i="21" s="1"/>
  <c r="B110" i="21"/>
  <c r="F110" i="21" s="1"/>
  <c r="B126" i="21"/>
  <c r="F126" i="21" s="1"/>
  <c r="B158" i="21"/>
  <c r="B166" i="21"/>
  <c r="B56" i="21"/>
  <c r="B144" i="21"/>
  <c r="B27" i="21"/>
  <c r="F27" i="21" s="1"/>
  <c r="B143" i="21"/>
  <c r="F143" i="21" s="1"/>
  <c r="B9" i="21"/>
  <c r="F9" i="21" s="1"/>
  <c r="B65" i="21"/>
  <c r="F65" i="21" s="1"/>
  <c r="B145" i="21"/>
  <c r="B43" i="21"/>
  <c r="B163" i="21"/>
  <c r="B84" i="21"/>
  <c r="E719" i="46"/>
  <c r="E847" i="46"/>
  <c r="B7" i="21" s="1"/>
  <c r="F7" i="21" s="1"/>
  <c r="G24" i="21"/>
  <c r="L11" i="47"/>
  <c r="G344" i="21"/>
  <c r="G22" i="21"/>
  <c r="I46" i="58"/>
  <c r="E52" i="58"/>
  <c r="I66" i="58"/>
  <c r="K66" i="58" s="1"/>
  <c r="E45" i="58"/>
  <c r="G191" i="21"/>
  <c r="I191" i="21" s="1"/>
  <c r="C59" i="58"/>
  <c r="E87" i="58"/>
  <c r="E17" i="58"/>
  <c r="K17" i="58" s="1"/>
  <c r="I87" i="58"/>
  <c r="I25" i="58"/>
  <c r="C45" i="58"/>
  <c r="C35" i="58"/>
  <c r="K35" i="58" s="1"/>
  <c r="C30" i="58"/>
  <c r="K30" i="58" s="1"/>
  <c r="C57" i="58"/>
  <c r="K57" i="58" s="1"/>
  <c r="G74" i="58"/>
  <c r="K74" i="58" s="1"/>
  <c r="I59" i="58"/>
  <c r="I45" i="58"/>
  <c r="C44" i="58"/>
  <c r="E44" i="58"/>
  <c r="E76" i="58"/>
  <c r="C34" i="58"/>
  <c r="G141" i="21"/>
  <c r="I141" i="21" s="1"/>
  <c r="I32" i="58"/>
  <c r="G154" i="21"/>
  <c r="I154" i="21" s="1"/>
  <c r="G88" i="58"/>
  <c r="C81" i="58"/>
  <c r="D648" i="47"/>
  <c r="I14" i="58"/>
  <c r="K14" i="58" s="1"/>
  <c r="G336" i="21"/>
  <c r="I336" i="21" s="1"/>
  <c r="E114" i="58"/>
  <c r="E81" i="58"/>
  <c r="I121" i="21"/>
  <c r="G280" i="21"/>
  <c r="I280" i="21" s="1"/>
  <c r="F114" i="58"/>
  <c r="E122" i="58"/>
  <c r="C119" i="58"/>
  <c r="I34" i="58"/>
  <c r="I81" i="58"/>
  <c r="F111" i="58"/>
  <c r="E23" i="58"/>
  <c r="K23" i="58" s="1"/>
  <c r="G400" i="21"/>
  <c r="I400" i="21" s="1"/>
  <c r="C873" i="21"/>
  <c r="I53" i="58"/>
  <c r="E77" i="58"/>
  <c r="G84" i="58"/>
  <c r="I135" i="21"/>
  <c r="I65" i="21"/>
  <c r="E78" i="58"/>
  <c r="K78" i="58" s="1"/>
  <c r="G87" i="58"/>
  <c r="E50" i="58"/>
  <c r="I15" i="58"/>
  <c r="K15" i="58" s="1"/>
  <c r="F118" i="58"/>
  <c r="C31" i="58"/>
  <c r="K31" i="58" s="1"/>
  <c r="E64" i="58"/>
  <c r="E79" i="58"/>
  <c r="G85" i="58"/>
  <c r="K85" i="58" s="1"/>
  <c r="E24" i="58"/>
  <c r="K24" i="58" s="1"/>
  <c r="C87" i="58"/>
  <c r="F122" i="58"/>
  <c r="C118" i="58"/>
  <c r="C114" i="58"/>
  <c r="D121" i="58"/>
  <c r="E118" i="58"/>
  <c r="L474" i="47"/>
  <c r="E121" i="58"/>
  <c r="G232" i="21"/>
  <c r="I232" i="21" s="1"/>
  <c r="D112" i="58"/>
  <c r="C46" i="58"/>
  <c r="G281" i="21"/>
  <c r="I281" i="21" s="1"/>
  <c r="E120" i="58"/>
  <c r="G183" i="21"/>
  <c r="D111" i="58"/>
  <c r="C120" i="58"/>
  <c r="G261" i="21"/>
  <c r="I261" i="21" s="1"/>
  <c r="F121" i="58"/>
  <c r="F120" i="58"/>
  <c r="C113" i="58"/>
  <c r="G205" i="21"/>
  <c r="D118" i="58"/>
  <c r="D114" i="58"/>
  <c r="E113" i="58"/>
  <c r="E112" i="58"/>
  <c r="C121" i="58"/>
  <c r="D113" i="58"/>
  <c r="E115" i="58"/>
  <c r="E111" i="58"/>
  <c r="D120" i="58"/>
  <c r="C115" i="58"/>
  <c r="C39" i="58"/>
  <c r="C123" i="58"/>
  <c r="F123" i="58"/>
  <c r="C112" i="58"/>
  <c r="F112" i="58"/>
  <c r="F119" i="58"/>
  <c r="E123" i="58"/>
  <c r="I20" i="58"/>
  <c r="I19" i="58" s="1"/>
  <c r="D122" i="58"/>
  <c r="E119" i="58"/>
  <c r="E84" i="58"/>
  <c r="I88" i="58"/>
  <c r="G80" i="58"/>
  <c r="E88" i="58"/>
  <c r="G64" i="58"/>
  <c r="G218" i="21"/>
  <c r="I218" i="21" s="1"/>
  <c r="F113" i="58"/>
  <c r="C111" i="58"/>
  <c r="D119" i="58"/>
  <c r="F115" i="58"/>
  <c r="D115" i="58"/>
  <c r="C122" i="58"/>
  <c r="I80" i="58"/>
  <c r="I79" i="58"/>
  <c r="I37" i="58"/>
  <c r="K37" i="58" s="1"/>
  <c r="E22" i="58"/>
  <c r="K22" i="58" s="1"/>
  <c r="G276" i="21"/>
  <c r="B161" i="21"/>
  <c r="F161" i="21" s="1"/>
  <c r="B25" i="21"/>
  <c r="F25" i="21" s="1"/>
  <c r="B39" i="21"/>
  <c r="F39" i="21" s="1"/>
  <c r="B53" i="21"/>
  <c r="F53" i="21" s="1"/>
  <c r="B67" i="21"/>
  <c r="B95" i="21"/>
  <c r="F95" i="21" s="1"/>
  <c r="B109" i="21"/>
  <c r="F109" i="21" s="1"/>
  <c r="B123" i="21"/>
  <c r="F123" i="21" s="1"/>
  <c r="B137" i="21"/>
  <c r="F137" i="21" s="1"/>
  <c r="B151" i="21"/>
  <c r="F151" i="21" s="1"/>
  <c r="B165" i="21"/>
  <c r="F165" i="21" s="1"/>
  <c r="C839" i="46"/>
  <c r="B55" i="21"/>
  <c r="F55" i="21" s="1"/>
  <c r="B139" i="21"/>
  <c r="F139" i="21" s="1"/>
  <c r="B8" i="21"/>
  <c r="F8" i="21" s="1"/>
  <c r="B18" i="21"/>
  <c r="F18" i="21" s="1"/>
  <c r="B60" i="21"/>
  <c r="F60" i="21" s="1"/>
  <c r="B74" i="21"/>
  <c r="F74" i="21" s="1"/>
  <c r="B88" i="21"/>
  <c r="F88" i="21" s="1"/>
  <c r="B116" i="21"/>
  <c r="F116" i="21" s="1"/>
  <c r="B130" i="21"/>
  <c r="D906" i="21"/>
  <c r="B1095" i="21"/>
  <c r="B75" i="21"/>
  <c r="F75" i="21" s="1"/>
  <c r="B89" i="21"/>
  <c r="F89" i="21" s="1"/>
  <c r="B159" i="21"/>
  <c r="F159" i="21" s="1"/>
  <c r="B1164" i="21"/>
  <c r="B1108" i="21"/>
  <c r="B1052" i="21"/>
  <c r="B20" i="21"/>
  <c r="B48" i="21"/>
  <c r="F48" i="21" s="1"/>
  <c r="B76" i="21"/>
  <c r="F76" i="21" s="1"/>
  <c r="B90" i="21"/>
  <c r="F90" i="21" s="1"/>
  <c r="B118" i="21"/>
  <c r="F118" i="21" s="1"/>
  <c r="B132" i="21"/>
  <c r="F132" i="21" s="1"/>
  <c r="B146" i="21"/>
  <c r="D932" i="21"/>
  <c r="D1001" i="21"/>
  <c r="B1260" i="21"/>
  <c r="B1204" i="21"/>
  <c r="B1148" i="21"/>
  <c r="B91" i="21"/>
  <c r="F91" i="21" s="1"/>
  <c r="B93" i="21"/>
  <c r="F93" i="21" s="1"/>
  <c r="B36" i="21"/>
  <c r="B64" i="21"/>
  <c r="B78" i="21"/>
  <c r="F78" i="21" s="1"/>
  <c r="B162" i="21"/>
  <c r="F162" i="21" s="1"/>
  <c r="D916" i="21"/>
  <c r="D874" i="21"/>
  <c r="B21" i="21"/>
  <c r="F21" i="21" s="1"/>
  <c r="B49" i="21"/>
  <c r="F49" i="21" s="1"/>
  <c r="B63" i="21"/>
  <c r="F63" i="21" s="1"/>
  <c r="B77" i="21"/>
  <c r="B105" i="21"/>
  <c r="F105" i="21" s="1"/>
  <c r="B119" i="21"/>
  <c r="F119" i="21" s="1"/>
  <c r="B133" i="21"/>
  <c r="F133" i="21" s="1"/>
  <c r="B94" i="21"/>
  <c r="F94" i="21" s="1"/>
  <c r="B37" i="21"/>
  <c r="F37" i="21" s="1"/>
  <c r="B15" i="21"/>
  <c r="F15" i="21" s="1"/>
  <c r="B22" i="21"/>
  <c r="B50" i="21"/>
  <c r="B106" i="21"/>
  <c r="F106" i="21" s="1"/>
  <c r="B148" i="21"/>
  <c r="B31" i="21"/>
  <c r="F31" i="21" s="1"/>
  <c r="B14" i="21"/>
  <c r="F14" i="21" s="1"/>
  <c r="B107" i="21"/>
  <c r="F107" i="21" s="1"/>
  <c r="D985" i="21"/>
  <c r="B1244" i="21"/>
  <c r="B1118" i="21"/>
  <c r="B1076" i="21"/>
  <c r="B24" i="21"/>
  <c r="F24" i="21" s="1"/>
  <c r="B38" i="21"/>
  <c r="F38" i="21" s="1"/>
  <c r="B52" i="21"/>
  <c r="F52" i="21" s="1"/>
  <c r="B66" i="21"/>
  <c r="F66" i="21" s="1"/>
  <c r="B108" i="21"/>
  <c r="F108" i="21" s="1"/>
  <c r="B122" i="21"/>
  <c r="F122" i="21" s="1"/>
  <c r="B136" i="21"/>
  <c r="B150" i="21"/>
  <c r="B164" i="21"/>
  <c r="F164" i="21" s="1"/>
  <c r="D956" i="21"/>
  <c r="D914" i="21"/>
  <c r="B1228" i="21"/>
  <c r="B26" i="21"/>
  <c r="F26" i="21" s="1"/>
  <c r="B40" i="21"/>
  <c r="F40" i="21" s="1"/>
  <c r="B54" i="21"/>
  <c r="B68" i="21"/>
  <c r="B82" i="21"/>
  <c r="F82" i="21" s="1"/>
  <c r="B124" i="21"/>
  <c r="F124" i="21" s="1"/>
  <c r="B138" i="21"/>
  <c r="F138" i="21" s="1"/>
  <c r="D940" i="21"/>
  <c r="B1034" i="21"/>
  <c r="B1100" i="21"/>
  <c r="B1044" i="21"/>
  <c r="B42" i="21"/>
  <c r="B140" i="21"/>
  <c r="F140" i="21" s="1"/>
  <c r="B154" i="21"/>
  <c r="F154" i="21" s="1"/>
  <c r="D980" i="21"/>
  <c r="D924" i="21"/>
  <c r="B69" i="21"/>
  <c r="F69" i="21" s="1"/>
  <c r="B125" i="21"/>
  <c r="B32" i="21"/>
  <c r="B155" i="21"/>
  <c r="B11" i="21"/>
  <c r="F11" i="21" s="1"/>
  <c r="B127" i="21"/>
  <c r="F127" i="21" s="1"/>
  <c r="B51" i="21"/>
  <c r="F51" i="21" s="1"/>
  <c r="B99" i="21"/>
  <c r="F99" i="21" s="1"/>
  <c r="B85" i="21"/>
  <c r="F85" i="21" s="1"/>
  <c r="B113" i="21"/>
  <c r="F113" i="21" s="1"/>
  <c r="D993" i="21"/>
  <c r="B1196" i="21"/>
  <c r="B1140" i="21"/>
  <c r="B1084" i="21"/>
  <c r="B111" i="21"/>
  <c r="F111" i="21" s="1"/>
  <c r="B135" i="21"/>
  <c r="F135" i="21" s="1"/>
  <c r="B117" i="21"/>
  <c r="F117" i="21" s="1"/>
  <c r="B16" i="21"/>
  <c r="F16" i="21" s="1"/>
  <c r="B44" i="21"/>
  <c r="B72" i="21"/>
  <c r="F72" i="21" s="1"/>
  <c r="B86" i="21"/>
  <c r="F86" i="21" s="1"/>
  <c r="B114" i="21"/>
  <c r="F114" i="21" s="1"/>
  <c r="D922" i="21"/>
  <c r="D908" i="21"/>
  <c r="B97" i="21"/>
  <c r="F97" i="21" s="1"/>
  <c r="B29" i="21"/>
  <c r="F29" i="21" s="1"/>
  <c r="B33" i="21"/>
  <c r="F33" i="21" s="1"/>
  <c r="B142" i="21"/>
  <c r="F142" i="21" s="1"/>
  <c r="B17" i="21"/>
  <c r="F17" i="21" s="1"/>
  <c r="B73" i="21"/>
  <c r="F73" i="21" s="1"/>
  <c r="B87" i="21"/>
  <c r="F87" i="21" s="1"/>
  <c r="B101" i="21"/>
  <c r="F101" i="21" s="1"/>
  <c r="B115" i="21"/>
  <c r="F115" i="21" s="1"/>
  <c r="B129" i="21"/>
  <c r="B157" i="21"/>
  <c r="D977" i="21"/>
  <c r="B1236" i="21"/>
  <c r="B1068" i="21"/>
  <c r="G785" i="55"/>
  <c r="C12" i="55"/>
  <c r="C123" i="55"/>
  <c r="D1331" i="55"/>
  <c r="D1247" i="55"/>
  <c r="D1191" i="55"/>
  <c r="C26" i="55"/>
  <c r="D1330" i="55"/>
  <c r="D1316" i="55"/>
  <c r="D1162" i="55"/>
  <c r="I112" i="21"/>
  <c r="C124" i="55"/>
  <c r="C1095" i="21"/>
  <c r="B1263" i="21"/>
  <c r="D1263" i="21" s="1"/>
  <c r="B1207" i="21"/>
  <c r="D1207" i="21" s="1"/>
  <c r="B1151" i="21"/>
  <c r="D1151" i="21" s="1"/>
  <c r="B1262" i="21"/>
  <c r="D1262" i="21" s="1"/>
  <c r="B1234" i="21"/>
  <c r="D1234" i="21" s="1"/>
  <c r="B1206" i="21"/>
  <c r="D1206" i="21" s="1"/>
  <c r="B1150" i="21"/>
  <c r="D1150" i="21" s="1"/>
  <c r="B1122" i="21"/>
  <c r="D1122" i="21" s="1"/>
  <c r="B1039" i="21"/>
  <c r="D1039" i="21" s="1"/>
  <c r="B1094" i="21"/>
  <c r="D1094" i="21" s="1"/>
  <c r="B1038" i="21"/>
  <c r="D1038" i="21" s="1"/>
  <c r="B1265" i="21"/>
  <c r="D1265" i="21" s="1"/>
  <c r="B1223" i="21"/>
  <c r="D1223" i="21" s="1"/>
  <c r="B1209" i="21"/>
  <c r="D1209" i="21" s="1"/>
  <c r="B1167" i="21"/>
  <c r="D1167" i="21" s="1"/>
  <c r="B1153" i="21"/>
  <c r="D1153" i="21" s="1"/>
  <c r="B1071" i="21"/>
  <c r="D1071" i="21" s="1"/>
  <c r="B1239" i="21"/>
  <c r="D1239" i="21" s="1"/>
  <c r="B1183" i="21"/>
  <c r="D1183" i="21" s="1"/>
  <c r="B1127" i="21"/>
  <c r="D1127" i="21" s="1"/>
  <c r="B1086" i="21"/>
  <c r="D1086" i="21" s="1"/>
  <c r="C1677" i="55"/>
  <c r="D3020" i="21"/>
  <c r="C78" i="55"/>
  <c r="B134" i="55"/>
  <c r="C134" i="55"/>
  <c r="C148" i="55"/>
  <c r="C150" i="55"/>
  <c r="E1816" i="21"/>
  <c r="G1816" i="21" s="1"/>
  <c r="C149" i="55"/>
  <c r="B50" i="55"/>
  <c r="B106" i="55"/>
  <c r="C163" i="55"/>
  <c r="C122" i="55"/>
  <c r="B3600" i="21"/>
  <c r="B1863" i="55"/>
  <c r="E287" i="55"/>
  <c r="E241" i="55"/>
  <c r="G241" i="55" s="1"/>
  <c r="B12" i="55"/>
  <c r="C110" i="55"/>
  <c r="C50" i="55"/>
  <c r="C164" i="55"/>
  <c r="E164" i="55" s="1"/>
  <c r="G164" i="55" s="1"/>
  <c r="B1087" i="21"/>
  <c r="D1087" i="21" s="1"/>
  <c r="B1046" i="21"/>
  <c r="D1046" i="21" s="1"/>
  <c r="B2061" i="21"/>
  <c r="E2061" i="21" s="1"/>
  <c r="G2061" i="21" s="1"/>
  <c r="E463" i="55"/>
  <c r="I10" i="60"/>
  <c r="C1432" i="55"/>
  <c r="D1432" i="55" s="1"/>
  <c r="E231" i="55"/>
  <c r="E327" i="55"/>
  <c r="E411" i="55"/>
  <c r="E413" i="55"/>
  <c r="C52" i="55"/>
  <c r="A944" i="55"/>
  <c r="A971" i="55"/>
  <c r="C51" i="55"/>
  <c r="C23" i="55"/>
  <c r="C151" i="55"/>
  <c r="E151" i="55" s="1"/>
  <c r="G151" i="55" s="1"/>
  <c r="C81" i="55"/>
  <c r="C53" i="55"/>
  <c r="E773" i="55"/>
  <c r="E732" i="55"/>
  <c r="E718" i="55"/>
  <c r="E692" i="55"/>
  <c r="E637" i="55"/>
  <c r="E462" i="55"/>
  <c r="A933" i="55"/>
  <c r="B177" i="55"/>
  <c r="C178" i="55"/>
  <c r="B1922" i="21"/>
  <c r="E1922" i="21" s="1"/>
  <c r="G1922" i="21" s="1"/>
  <c r="C11" i="55"/>
  <c r="C1701" i="55"/>
  <c r="D1701" i="55" s="1"/>
  <c r="E439" i="55"/>
  <c r="G439" i="55" s="1"/>
  <c r="F415" i="55"/>
  <c r="B92" i="55"/>
  <c r="C1472" i="55"/>
  <c r="D1472" i="55" s="1"/>
  <c r="E259" i="55"/>
  <c r="E399" i="55"/>
  <c r="G399" i="55" s="1"/>
  <c r="E381" i="55"/>
  <c r="G381" i="55" s="1"/>
  <c r="C138" i="55"/>
  <c r="C92" i="55"/>
  <c r="E654" i="55"/>
  <c r="E424" i="55"/>
  <c r="G424" i="55" s="1"/>
  <c r="E436" i="55"/>
  <c r="G436" i="55" s="1"/>
  <c r="E422" i="55"/>
  <c r="G422" i="55" s="1"/>
  <c r="B3603" i="21"/>
  <c r="E243" i="55"/>
  <c r="G243" i="55" s="1"/>
  <c r="B1975" i="21"/>
  <c r="E1975" i="21" s="1"/>
  <c r="G1975" i="21" s="1"/>
  <c r="D1490" i="55"/>
  <c r="E772" i="55"/>
  <c r="G772" i="55" s="1"/>
  <c r="E758" i="55"/>
  <c r="E717" i="55"/>
  <c r="E636" i="55"/>
  <c r="A974" i="55"/>
  <c r="A932" i="55"/>
  <c r="C2831" i="21"/>
  <c r="C1094" i="55" s="1"/>
  <c r="C82" i="55"/>
  <c r="C1844" i="19"/>
  <c r="C25" i="55"/>
  <c r="C39" i="55"/>
  <c r="G2846" i="19"/>
  <c r="E452" i="55"/>
  <c r="E311" i="55"/>
  <c r="E199" i="55"/>
  <c r="E297" i="55"/>
  <c r="B162" i="55"/>
  <c r="E748" i="55"/>
  <c r="E217" i="55"/>
  <c r="E301" i="55"/>
  <c r="G301" i="55" s="1"/>
  <c r="C2744" i="21"/>
  <c r="C1007" i="55" s="1"/>
  <c r="D1007" i="55" s="1"/>
  <c r="C135" i="55"/>
  <c r="I9" i="21"/>
  <c r="E423" i="55"/>
  <c r="G423" i="55" s="1"/>
  <c r="A1077" i="55"/>
  <c r="E204" i="55"/>
  <c r="G204" i="55" s="1"/>
  <c r="C68" i="55"/>
  <c r="C109" i="55"/>
  <c r="C2757" i="21"/>
  <c r="C1020" i="55" s="1"/>
  <c r="D1020" i="55" s="1"/>
  <c r="C22" i="55"/>
  <c r="E340" i="55"/>
  <c r="C10" i="55"/>
  <c r="E622" i="55"/>
  <c r="G622" i="55" s="1"/>
  <c r="C95" i="55"/>
  <c r="C36" i="55"/>
  <c r="E36" i="55" s="1"/>
  <c r="G36" i="55" s="1"/>
  <c r="C106" i="55"/>
  <c r="E355" i="55"/>
  <c r="G355" i="55" s="1"/>
  <c r="E257" i="55"/>
  <c r="G257" i="55" s="1"/>
  <c r="B1727" i="21"/>
  <c r="E749" i="55"/>
  <c r="G749" i="55" s="1"/>
  <c r="E255" i="55"/>
  <c r="G255" i="55" s="1"/>
  <c r="E269" i="55"/>
  <c r="C1377" i="55"/>
  <c r="D1377" i="55" s="1"/>
  <c r="D1737" i="21"/>
  <c r="C79" i="55"/>
  <c r="E438" i="55"/>
  <c r="A988" i="55"/>
  <c r="E227" i="55"/>
  <c r="E189" i="55"/>
  <c r="G189" i="55" s="1"/>
  <c r="E383" i="55"/>
  <c r="C2697" i="21"/>
  <c r="C960" i="55" s="1"/>
  <c r="D960" i="55" s="1"/>
  <c r="B148" i="55"/>
  <c r="E148" i="55" s="1"/>
  <c r="G148" i="55" s="1"/>
  <c r="C162" i="55"/>
  <c r="E2224" i="21"/>
  <c r="G2224" i="21" s="1"/>
  <c r="E693" i="55"/>
  <c r="E464" i="55"/>
  <c r="C1604" i="55"/>
  <c r="D1604" i="55" s="1"/>
  <c r="E228" i="55"/>
  <c r="E213" i="55"/>
  <c r="C121" i="55"/>
  <c r="B65" i="55"/>
  <c r="C67" i="55"/>
  <c r="B2866" i="19"/>
  <c r="E774" i="55"/>
  <c r="G774" i="55" s="1"/>
  <c r="A1076" i="55"/>
  <c r="E409" i="55"/>
  <c r="G409" i="55" s="1"/>
  <c r="E339" i="55"/>
  <c r="G339" i="55" s="1"/>
  <c r="B1865" i="55"/>
  <c r="B1867" i="55" s="1"/>
  <c r="E203" i="55"/>
  <c r="G203" i="55" s="1"/>
  <c r="C137" i="55"/>
  <c r="C2701" i="21"/>
  <c r="D2701" i="21" s="1"/>
  <c r="C38" i="55"/>
  <c r="E716" i="55"/>
  <c r="E353" i="55"/>
  <c r="E307" i="55"/>
  <c r="C65" i="55"/>
  <c r="C93" i="55"/>
  <c r="C107" i="55"/>
  <c r="B26" i="55"/>
  <c r="D951" i="55"/>
  <c r="C1228" i="21"/>
  <c r="E2506" i="21"/>
  <c r="G2506" i="21" s="1"/>
  <c r="E702" i="55"/>
  <c r="E662" i="55"/>
  <c r="E527" i="55"/>
  <c r="G527" i="55" s="1"/>
  <c r="C176" i="55"/>
  <c r="C3074" i="21"/>
  <c r="O59" i="60"/>
  <c r="I59" i="60"/>
  <c r="F10" i="60"/>
  <c r="B2846" i="19"/>
  <c r="I2626" i="19"/>
  <c r="E478" i="55"/>
  <c r="E271" i="55"/>
  <c r="G271" i="55" s="1"/>
  <c r="E733" i="55"/>
  <c r="G733" i="55" s="1"/>
  <c r="D2700" i="21"/>
  <c r="D2755" i="21"/>
  <c r="E397" i="55"/>
  <c r="E606" i="55"/>
  <c r="E201" i="55"/>
  <c r="G201" i="55" s="1"/>
  <c r="E299" i="55"/>
  <c r="G299" i="55" s="1"/>
  <c r="E229" i="55"/>
  <c r="G229" i="55" s="1"/>
  <c r="E36" i="60"/>
  <c r="B2877" i="19"/>
  <c r="E215" i="55"/>
  <c r="G215" i="55" s="1"/>
  <c r="B1924" i="21"/>
  <c r="E1924" i="21" s="1"/>
  <c r="G1924" i="21" s="1"/>
  <c r="E775" i="55"/>
  <c r="G775" i="55" s="1"/>
  <c r="E677" i="55"/>
  <c r="G677" i="55" s="1"/>
  <c r="E676" i="55"/>
  <c r="G676" i="55" s="1"/>
  <c r="E535" i="55"/>
  <c r="G535" i="55" s="1"/>
  <c r="E260" i="55"/>
  <c r="E359" i="55"/>
  <c r="E275" i="55"/>
  <c r="E317" i="55"/>
  <c r="G317" i="55" s="1"/>
  <c r="E191" i="55"/>
  <c r="G191" i="55" s="1"/>
  <c r="E765" i="55"/>
  <c r="E653" i="55"/>
  <c r="E372" i="55"/>
  <c r="G372" i="55" s="1"/>
  <c r="E316" i="55"/>
  <c r="E303" i="55"/>
  <c r="G303" i="55" s="1"/>
  <c r="A1043" i="55"/>
  <c r="C161" i="55"/>
  <c r="F161" i="55"/>
  <c r="C160" i="55"/>
  <c r="F160" i="55"/>
  <c r="C146" i="55"/>
  <c r="F146" i="55"/>
  <c r="C132" i="55"/>
  <c r="F132" i="55"/>
  <c r="B118" i="55"/>
  <c r="F118" i="55"/>
  <c r="B104" i="55"/>
  <c r="F104" i="55"/>
  <c r="B76" i="55"/>
  <c r="F76" i="55"/>
  <c r="C62" i="55"/>
  <c r="F62" i="55"/>
  <c r="B48" i="55"/>
  <c r="F48" i="55"/>
  <c r="C34" i="55"/>
  <c r="F34" i="55"/>
  <c r="C20" i="55"/>
  <c r="F20" i="55"/>
  <c r="C170" i="55"/>
  <c r="F170" i="55"/>
  <c r="C159" i="55"/>
  <c r="F159" i="55"/>
  <c r="C145" i="55"/>
  <c r="F145" i="55"/>
  <c r="C117" i="55"/>
  <c r="F117" i="55"/>
  <c r="C75" i="55"/>
  <c r="F75" i="55"/>
  <c r="C47" i="55"/>
  <c r="F47" i="55"/>
  <c r="C33" i="55"/>
  <c r="F33" i="55"/>
  <c r="C130" i="55"/>
  <c r="F130" i="55"/>
  <c r="C116" i="55"/>
  <c r="F116" i="55"/>
  <c r="C102" i="55"/>
  <c r="F102" i="55"/>
  <c r="C88" i="55"/>
  <c r="F88" i="55"/>
  <c r="C168" i="55"/>
  <c r="F168" i="55"/>
  <c r="B133" i="55"/>
  <c r="B87" i="55"/>
  <c r="F87" i="55"/>
  <c r="C45" i="55"/>
  <c r="F45" i="55"/>
  <c r="C31" i="55"/>
  <c r="F31" i="55"/>
  <c r="B17" i="55"/>
  <c r="F17" i="55"/>
  <c r="C167" i="55"/>
  <c r="F167" i="55"/>
  <c r="C142" i="55"/>
  <c r="F142" i="55"/>
  <c r="C114" i="55"/>
  <c r="F114" i="55"/>
  <c r="C44" i="55"/>
  <c r="F44" i="55"/>
  <c r="C105" i="55"/>
  <c r="F105" i="55"/>
  <c r="C127" i="55"/>
  <c r="F127" i="55"/>
  <c r="C85" i="55"/>
  <c r="F85" i="55"/>
  <c r="C29" i="55"/>
  <c r="F29" i="55"/>
  <c r="C9" i="55"/>
  <c r="F9" i="55"/>
  <c r="C126" i="55"/>
  <c r="F126" i="55"/>
  <c r="C112" i="55"/>
  <c r="F112" i="55"/>
  <c r="C98" i="55"/>
  <c r="F98" i="55"/>
  <c r="C84" i="55"/>
  <c r="F84" i="55"/>
  <c r="C56" i="55"/>
  <c r="F56" i="55"/>
  <c r="C42" i="55"/>
  <c r="F42" i="55"/>
  <c r="C14" i="55"/>
  <c r="E14" i="55" s="1"/>
  <c r="G14" i="55" s="1"/>
  <c r="B35" i="55"/>
  <c r="F35" i="55"/>
  <c r="C46" i="55"/>
  <c r="F46" i="55"/>
  <c r="C139" i="55"/>
  <c r="F139" i="55"/>
  <c r="C97" i="55"/>
  <c r="F97" i="55"/>
  <c r="C69" i="55"/>
  <c r="F69" i="55"/>
  <c r="C55" i="55"/>
  <c r="F55" i="55"/>
  <c r="E1802" i="21"/>
  <c r="G1802" i="21" s="1"/>
  <c r="C96" i="55"/>
  <c r="F96" i="55"/>
  <c r="B54" i="55"/>
  <c r="F54" i="55"/>
  <c r="B40" i="55"/>
  <c r="F40" i="55"/>
  <c r="C147" i="55"/>
  <c r="F147" i="55"/>
  <c r="C108" i="55"/>
  <c r="F108" i="55"/>
  <c r="C66" i="55"/>
  <c r="F66" i="55"/>
  <c r="C24" i="55"/>
  <c r="F24" i="55"/>
  <c r="B176" i="55"/>
  <c r="B174" i="55"/>
  <c r="E174" i="55" s="1"/>
  <c r="F174" i="55"/>
  <c r="C91" i="55"/>
  <c r="F91" i="55"/>
  <c r="C37" i="55"/>
  <c r="F37" i="55"/>
  <c r="C49" i="55"/>
  <c r="F49" i="55"/>
  <c r="B63" i="55"/>
  <c r="C90" i="55"/>
  <c r="B91" i="55"/>
  <c r="C63" i="55"/>
  <c r="E1827" i="21"/>
  <c r="G1827" i="21" s="1"/>
  <c r="E2481" i="21"/>
  <c r="G2481" i="21" s="1"/>
  <c r="D1279" i="55"/>
  <c r="B132" i="55"/>
  <c r="B90" i="55"/>
  <c r="E1770" i="21"/>
  <c r="I17" i="21"/>
  <c r="C133" i="55"/>
  <c r="C76" i="55"/>
  <c r="E2425" i="21"/>
  <c r="G2425" i="21" s="1"/>
  <c r="F1744" i="21"/>
  <c r="B20" i="55"/>
  <c r="B21" i="55"/>
  <c r="B62" i="55"/>
  <c r="D972" i="21"/>
  <c r="I144" i="21"/>
  <c r="E1786" i="21"/>
  <c r="G1786" i="21" s="1"/>
  <c r="C21" i="55"/>
  <c r="B119" i="55"/>
  <c r="B147" i="55"/>
  <c r="E1785" i="21"/>
  <c r="G1785" i="21" s="1"/>
  <c r="E1897" i="21"/>
  <c r="G1897" i="21" s="1"/>
  <c r="E1826" i="21"/>
  <c r="G1826" i="21" s="1"/>
  <c r="B105" i="55"/>
  <c r="C119" i="55"/>
  <c r="I129" i="21"/>
  <c r="C1260" i="21"/>
  <c r="D1315" i="55"/>
  <c r="D1287" i="55"/>
  <c r="D1259" i="55"/>
  <c r="D1189" i="55"/>
  <c r="C35" i="55"/>
  <c r="B146" i="55"/>
  <c r="B77" i="55"/>
  <c r="E1840" i="21"/>
  <c r="G1840" i="21" s="1"/>
  <c r="D2864" i="21"/>
  <c r="B1247" i="21"/>
  <c r="D1247" i="21" s="1"/>
  <c r="B1233" i="21"/>
  <c r="D1233" i="21" s="1"/>
  <c r="B1191" i="21"/>
  <c r="D1191" i="21" s="1"/>
  <c r="B1177" i="21"/>
  <c r="D1177" i="21" s="1"/>
  <c r="B1135" i="21"/>
  <c r="D1135" i="21" s="1"/>
  <c r="B1121" i="21"/>
  <c r="D1121" i="21" s="1"/>
  <c r="D1328" i="55"/>
  <c r="D1314" i="55"/>
  <c r="D1300" i="55"/>
  <c r="D1272" i="55"/>
  <c r="C77" i="55"/>
  <c r="I186" i="21"/>
  <c r="B1246" i="21"/>
  <c r="D1246" i="21" s="1"/>
  <c r="B1190" i="21"/>
  <c r="D1190" i="21" s="1"/>
  <c r="B1134" i="21"/>
  <c r="D1134" i="21" s="1"/>
  <c r="B1106" i="21"/>
  <c r="D1106" i="21" s="1"/>
  <c r="I88" i="21"/>
  <c r="B34" i="55"/>
  <c r="C118" i="55"/>
  <c r="B49" i="55"/>
  <c r="E1771" i="21"/>
  <c r="G1771" i="21" s="1"/>
  <c r="E1883" i="21"/>
  <c r="G1883" i="21" s="1"/>
  <c r="E2369" i="21"/>
  <c r="G2369" i="21" s="1"/>
  <c r="B1079" i="21"/>
  <c r="D1079" i="21" s="1"/>
  <c r="B1078" i="21"/>
  <c r="D1078" i="21" s="1"/>
  <c r="I145" i="21"/>
  <c r="C169" i="55"/>
  <c r="B59" i="55"/>
  <c r="I125" i="21"/>
  <c r="I267" i="21"/>
  <c r="C41" i="55"/>
  <c r="B161" i="55"/>
  <c r="E1808" i="21"/>
  <c r="G1808" i="21" s="1"/>
  <c r="C30" i="55"/>
  <c r="B142" i="55"/>
  <c r="C13" i="55"/>
  <c r="B47" i="55"/>
  <c r="C99" i="55"/>
  <c r="C140" i="55"/>
  <c r="B61" i="55"/>
  <c r="D964" i="21"/>
  <c r="I137" i="21"/>
  <c r="E2490" i="21"/>
  <c r="G2490" i="21" s="1"/>
  <c r="I41" i="21"/>
  <c r="D890" i="21"/>
  <c r="I48" i="21"/>
  <c r="I40" i="21"/>
  <c r="I97" i="21"/>
  <c r="I153" i="21"/>
  <c r="D1591" i="21"/>
  <c r="E2420" i="21"/>
  <c r="G2420" i="21" s="1"/>
  <c r="B145" i="55"/>
  <c r="I342" i="21"/>
  <c r="D1384" i="55"/>
  <c r="B1214" i="21"/>
  <c r="D1214" i="21" s="1"/>
  <c r="B1158" i="21"/>
  <c r="D1158" i="21" s="1"/>
  <c r="D3444" i="21"/>
  <c r="D1324" i="55"/>
  <c r="D1296" i="55"/>
  <c r="D3348" i="21"/>
  <c r="E2241" i="21"/>
  <c r="G2241" i="21" s="1"/>
  <c r="E1755" i="21"/>
  <c r="G1755" i="21" s="1"/>
  <c r="E2480" i="21"/>
  <c r="G2480" i="21" s="1"/>
  <c r="C19" i="55"/>
  <c r="B75" i="55"/>
  <c r="I16" i="21"/>
  <c r="I72" i="21"/>
  <c r="E2466" i="21"/>
  <c r="G2466" i="21" s="1"/>
  <c r="E2452" i="21"/>
  <c r="B33" i="55"/>
  <c r="I85" i="21"/>
  <c r="E1867" i="21"/>
  <c r="G1867" i="21" s="1"/>
  <c r="I128" i="21"/>
  <c r="D882" i="21"/>
  <c r="E2465" i="21"/>
  <c r="G2465" i="21" s="1"/>
  <c r="E1825" i="21"/>
  <c r="G1825" i="21" s="1"/>
  <c r="C131" i="55"/>
  <c r="B117" i="55"/>
  <c r="B103" i="55"/>
  <c r="C103" i="55"/>
  <c r="I207" i="21"/>
  <c r="I295" i="21"/>
  <c r="D3305" i="21"/>
  <c r="B89" i="55"/>
  <c r="I300" i="21"/>
  <c r="I206" i="21"/>
  <c r="D1299" i="55"/>
  <c r="D1271" i="55"/>
  <c r="D1243" i="55"/>
  <c r="C89" i="55"/>
  <c r="B131" i="55"/>
  <c r="E131" i="55" s="1"/>
  <c r="G131" i="55" s="1"/>
  <c r="E1811" i="21"/>
  <c r="G1811" i="21" s="1"/>
  <c r="C1118" i="21"/>
  <c r="B1231" i="21"/>
  <c r="D1231" i="21" s="1"/>
  <c r="B1175" i="21"/>
  <c r="D1175" i="21" s="1"/>
  <c r="B1119" i="21"/>
  <c r="D1119" i="21" s="1"/>
  <c r="C61" i="55"/>
  <c r="B19" i="55"/>
  <c r="I177" i="21"/>
  <c r="B159" i="55"/>
  <c r="E2169" i="21"/>
  <c r="E2464" i="21"/>
  <c r="G2464" i="21" s="1"/>
  <c r="C83" i="55"/>
  <c r="C73" i="55"/>
  <c r="C156" i="55"/>
  <c r="B101" i="55"/>
  <c r="E101" i="55" s="1"/>
  <c r="G101" i="55" s="1"/>
  <c r="C87" i="55"/>
  <c r="C17" i="55"/>
  <c r="I136" i="21"/>
  <c r="E1794" i="21"/>
  <c r="G1794" i="21" s="1"/>
  <c r="I343" i="21"/>
  <c r="E2449" i="21"/>
  <c r="G2449" i="21" s="1"/>
  <c r="B30" i="55"/>
  <c r="C166" i="55"/>
  <c r="I310" i="21"/>
  <c r="I212" i="21"/>
  <c r="B169" i="55"/>
  <c r="C100" i="55"/>
  <c r="I151" i="21"/>
  <c r="B156" i="55"/>
  <c r="B114" i="55"/>
  <c r="B100" i="55"/>
  <c r="B58" i="55"/>
  <c r="B44" i="55"/>
  <c r="C158" i="55"/>
  <c r="D898" i="21"/>
  <c r="C154" i="55"/>
  <c r="C70" i="55"/>
  <c r="B31" i="55"/>
  <c r="C111" i="55"/>
  <c r="B129" i="55"/>
  <c r="C58" i="55"/>
  <c r="E1798" i="21"/>
  <c r="G1798" i="21" s="1"/>
  <c r="E1832" i="21"/>
  <c r="G1832" i="21" s="1"/>
  <c r="E1842" i="21"/>
  <c r="G1842" i="21" s="1"/>
  <c r="I149" i="21"/>
  <c r="I309" i="21"/>
  <c r="B178" i="55"/>
  <c r="C59" i="55"/>
  <c r="B45" i="55"/>
  <c r="E45" i="55" s="1"/>
  <c r="D1173" i="55"/>
  <c r="I152" i="21"/>
  <c r="C157" i="55"/>
  <c r="B1230" i="21"/>
  <c r="D1230" i="21" s="1"/>
  <c r="B1174" i="21"/>
  <c r="D1174" i="21" s="1"/>
  <c r="B1146" i="21"/>
  <c r="D1146" i="21" s="1"/>
  <c r="B1105" i="21"/>
  <c r="D1105" i="21" s="1"/>
  <c r="D1298" i="55"/>
  <c r="D1284" i="55"/>
  <c r="D1270" i="55"/>
  <c r="D1256" i="55"/>
  <c r="D1242" i="55"/>
  <c r="C143" i="55"/>
  <c r="B115" i="55"/>
  <c r="I77" i="21"/>
  <c r="D1576" i="55"/>
  <c r="D1562" i="55"/>
  <c r="I268" i="21"/>
  <c r="E2338" i="21"/>
  <c r="G2338" i="21" s="1"/>
  <c r="E2297" i="21"/>
  <c r="G2297" i="21" s="1"/>
  <c r="B1257" i="21"/>
  <c r="D1257" i="21" s="1"/>
  <c r="B1215" i="21"/>
  <c r="D1215" i="21" s="1"/>
  <c r="B1201" i="21"/>
  <c r="D1201" i="21" s="1"/>
  <c r="B1159" i="21"/>
  <c r="D1159" i="21" s="1"/>
  <c r="B1145" i="21"/>
  <c r="D1145" i="21" s="1"/>
  <c r="D1311" i="55"/>
  <c r="D1283" i="55"/>
  <c r="D1227" i="55"/>
  <c r="D1199" i="55"/>
  <c r="D1157" i="55"/>
  <c r="D1143" i="55"/>
  <c r="E2450" i="21"/>
  <c r="G2450" i="21" s="1"/>
  <c r="C94" i="55"/>
  <c r="B143" i="55"/>
  <c r="C115" i="55"/>
  <c r="I25" i="21"/>
  <c r="I64" i="21"/>
  <c r="I95" i="21"/>
  <c r="B1103" i="21"/>
  <c r="D1103" i="21" s="1"/>
  <c r="B1063" i="21"/>
  <c r="D1063" i="21" s="1"/>
  <c r="B1049" i="21"/>
  <c r="D1049" i="21" s="1"/>
  <c r="D1240" i="55"/>
  <c r="D1226" i="55"/>
  <c r="D1170" i="55"/>
  <c r="C129" i="55"/>
  <c r="I228" i="21"/>
  <c r="E2393" i="21"/>
  <c r="G2393" i="21" s="1"/>
  <c r="B157" i="55"/>
  <c r="B73" i="55"/>
  <c r="I161" i="21"/>
  <c r="I105" i="21"/>
  <c r="I296" i="21"/>
  <c r="I266" i="21"/>
  <c r="E2282" i="21"/>
  <c r="B1255" i="21"/>
  <c r="D1255" i="21" s="1"/>
  <c r="B1199" i="21"/>
  <c r="D1199" i="21" s="1"/>
  <c r="B1143" i="21"/>
  <c r="D1143" i="21" s="1"/>
  <c r="B1089" i="21"/>
  <c r="D1089" i="21" s="1"/>
  <c r="B1062" i="21"/>
  <c r="D1062" i="21" s="1"/>
  <c r="D1295" i="55"/>
  <c r="D1267" i="55"/>
  <c r="D1183" i="55"/>
  <c r="D1141" i="55"/>
  <c r="D3313" i="21"/>
  <c r="C28" i="55"/>
  <c r="I24" i="21"/>
  <c r="I265" i="21"/>
  <c r="E2401" i="21"/>
  <c r="G2401" i="21" s="1"/>
  <c r="E2240" i="21"/>
  <c r="G2240" i="21" s="1"/>
  <c r="B1254" i="21"/>
  <c r="D1254" i="21" s="1"/>
  <c r="B1226" i="21"/>
  <c r="D1226" i="21" s="1"/>
  <c r="B1198" i="21"/>
  <c r="D1198" i="21" s="1"/>
  <c r="B1170" i="21"/>
  <c r="D1170" i="21" s="1"/>
  <c r="B1142" i="21"/>
  <c r="D1142" i="21" s="1"/>
  <c r="B1047" i="21"/>
  <c r="D1047" i="21" s="1"/>
  <c r="D1322" i="55"/>
  <c r="D1308" i="55"/>
  <c r="D1252" i="55"/>
  <c r="D1210" i="55"/>
  <c r="D1154" i="55"/>
  <c r="C71" i="55"/>
  <c r="C74" i="55"/>
  <c r="C155" i="55"/>
  <c r="E1761" i="21"/>
  <c r="G1761" i="21" s="1"/>
  <c r="E1873" i="21"/>
  <c r="G1873" i="21" s="1"/>
  <c r="C57" i="55"/>
  <c r="C60" i="55"/>
  <c r="B158" i="55"/>
  <c r="B130" i="55"/>
  <c r="B116" i="55"/>
  <c r="B102" i="55"/>
  <c r="B74" i="55"/>
  <c r="B60" i="55"/>
  <c r="B46" i="55"/>
  <c r="E46" i="55" s="1"/>
  <c r="B18" i="55"/>
  <c r="C15" i="55"/>
  <c r="C18" i="55"/>
  <c r="E1747" i="21"/>
  <c r="G1747" i="21" s="1"/>
  <c r="E1859" i="21"/>
  <c r="G1859" i="21" s="1"/>
  <c r="B155" i="55"/>
  <c r="B141" i="55"/>
  <c r="B127" i="55"/>
  <c r="B113" i="55"/>
  <c r="B99" i="55"/>
  <c r="B85" i="55"/>
  <c r="B71" i="55"/>
  <c r="B57" i="55"/>
  <c r="B43" i="55"/>
  <c r="B29" i="55"/>
  <c r="B15" i="55"/>
  <c r="C141" i="55"/>
  <c r="B168" i="55"/>
  <c r="B154" i="55"/>
  <c r="B140" i="55"/>
  <c r="B126" i="55"/>
  <c r="E126" i="55" s="1"/>
  <c r="B98" i="55"/>
  <c r="B84" i="55"/>
  <c r="B70" i="55"/>
  <c r="B42" i="55"/>
  <c r="B28" i="55"/>
  <c r="E1817" i="21"/>
  <c r="G1817" i="21" s="1"/>
  <c r="B167" i="55"/>
  <c r="B153" i="55"/>
  <c r="E153" i="55" s="1"/>
  <c r="G153" i="55" s="1"/>
  <c r="B139" i="55"/>
  <c r="B125" i="55"/>
  <c r="E125" i="55" s="1"/>
  <c r="G125" i="55" s="1"/>
  <c r="B111" i="55"/>
  <c r="B97" i="55"/>
  <c r="B83" i="55"/>
  <c r="B69" i="55"/>
  <c r="E69" i="55" s="1"/>
  <c r="B55" i="55"/>
  <c r="B41" i="55"/>
  <c r="B27" i="55"/>
  <c r="E27" i="55" s="1"/>
  <c r="G27" i="55" s="1"/>
  <c r="B13" i="55"/>
  <c r="C113" i="55"/>
  <c r="C43" i="55"/>
  <c r="B166" i="55"/>
  <c r="B138" i="55"/>
  <c r="B124" i="55"/>
  <c r="E124" i="55" s="1"/>
  <c r="G124" i="55" s="1"/>
  <c r="B110" i="55"/>
  <c r="B82" i="55"/>
  <c r="B68" i="55"/>
  <c r="E1760" i="21"/>
  <c r="G1760" i="21" s="1"/>
  <c r="B137" i="55"/>
  <c r="E137" i="55" s="1"/>
  <c r="G137" i="55" s="1"/>
  <c r="B123" i="55"/>
  <c r="E123" i="55" s="1"/>
  <c r="G123" i="55" s="1"/>
  <c r="B109" i="55"/>
  <c r="E109" i="55" s="1"/>
  <c r="G109" i="55" s="1"/>
  <c r="B95" i="55"/>
  <c r="E95" i="55" s="1"/>
  <c r="G95" i="55" s="1"/>
  <c r="B81" i="55"/>
  <c r="E81" i="55" s="1"/>
  <c r="G81" i="55" s="1"/>
  <c r="B67" i="55"/>
  <c r="B53" i="55"/>
  <c r="E53" i="55" s="1"/>
  <c r="G53" i="55" s="1"/>
  <c r="B39" i="55"/>
  <c r="B25" i="55"/>
  <c r="B11" i="55"/>
  <c r="B122" i="55"/>
  <c r="E122" i="55" s="1"/>
  <c r="G122" i="55" s="1"/>
  <c r="B108" i="55"/>
  <c r="B94" i="55"/>
  <c r="B66" i="55"/>
  <c r="E66" i="55" s="1"/>
  <c r="B52" i="55"/>
  <c r="E52" i="55" s="1"/>
  <c r="G52" i="55" s="1"/>
  <c r="B38" i="55"/>
  <c r="B10" i="55"/>
  <c r="B163" i="55"/>
  <c r="E163" i="55" s="1"/>
  <c r="G163" i="55" s="1"/>
  <c r="B149" i="55"/>
  <c r="E149" i="55" s="1"/>
  <c r="G149" i="55" s="1"/>
  <c r="B135" i="55"/>
  <c r="B121" i="55"/>
  <c r="B107" i="55"/>
  <c r="B93" i="55"/>
  <c r="B79" i="55"/>
  <c r="B51" i="55"/>
  <c r="B37" i="55"/>
  <c r="B23" i="55"/>
  <c r="G269" i="55"/>
  <c r="D2903" i="21"/>
  <c r="G383" i="55"/>
  <c r="D2875" i="21"/>
  <c r="G213" i="55"/>
  <c r="C1603" i="55"/>
  <c r="D1603" i="55" s="1"/>
  <c r="C1660" i="55"/>
  <c r="D1660" i="55" s="1"/>
  <c r="D3226" i="21"/>
  <c r="G325" i="55"/>
  <c r="D1489" i="55"/>
  <c r="D1505" i="55"/>
  <c r="D3291" i="21"/>
  <c r="C1691" i="55"/>
  <c r="D1691" i="55" s="1"/>
  <c r="D2904" i="21"/>
  <c r="D2967" i="21"/>
  <c r="D2946" i="21"/>
  <c r="G277" i="55"/>
  <c r="D3030" i="21"/>
  <c r="C1593" i="55"/>
  <c r="D1593" i="55" s="1"/>
  <c r="D3373" i="21"/>
  <c r="C1352" i="55"/>
  <c r="D1352" i="55" s="1"/>
  <c r="D2915" i="21"/>
  <c r="C1693" i="55"/>
  <c r="D1693" i="55" s="1"/>
  <c r="D1383" i="55"/>
  <c r="D3075" i="21"/>
  <c r="D1464" i="55"/>
  <c r="C1563" i="55"/>
  <c r="D1563" i="55" s="1"/>
  <c r="D3068" i="21"/>
  <c r="D2887" i="21"/>
  <c r="D3201" i="21"/>
  <c r="D3145" i="21"/>
  <c r="G367" i="55"/>
  <c r="D2842" i="21"/>
  <c r="D2912" i="21"/>
  <c r="E456" i="55"/>
  <c r="E430" i="55"/>
  <c r="G430" i="55" s="1"/>
  <c r="G2765" i="19"/>
  <c r="B1948" i="21"/>
  <c r="E1948" i="21" s="1"/>
  <c r="G1948" i="21" s="1"/>
  <c r="E332" i="55"/>
  <c r="G332" i="55" s="1"/>
  <c r="E1784" i="21"/>
  <c r="G1784" i="21" s="1"/>
  <c r="E766" i="55"/>
  <c r="E183" i="55"/>
  <c r="G183" i="55" s="1"/>
  <c r="E2386" i="21"/>
  <c r="G2386" i="21" s="1"/>
  <c r="A986" i="55"/>
  <c r="E295" i="55"/>
  <c r="G295" i="55" s="1"/>
  <c r="F2846" i="19"/>
  <c r="E207" i="55"/>
  <c r="G207" i="55" s="1"/>
  <c r="E1875" i="21"/>
  <c r="G1875" i="21" s="1"/>
  <c r="C2782" i="21"/>
  <c r="C1045" i="55" s="1"/>
  <c r="D1045" i="55" s="1"/>
  <c r="C2671" i="21"/>
  <c r="C934" i="55" s="1"/>
  <c r="D934" i="55" s="1"/>
  <c r="F43" i="60"/>
  <c r="F45" i="60" s="1"/>
  <c r="G39" i="60" s="1"/>
  <c r="E2846" i="19"/>
  <c r="E187" i="55"/>
  <c r="G187" i="55" s="1"/>
  <c r="E308" i="55"/>
  <c r="G308" i="55" s="1"/>
  <c r="E710" i="55"/>
  <c r="G710" i="55" s="1"/>
  <c r="C2779" i="21"/>
  <c r="C1042" i="55" s="1"/>
  <c r="D1042" i="55" s="1"/>
  <c r="E186" i="55"/>
  <c r="G186" i="55" s="1"/>
  <c r="E375" i="55"/>
  <c r="G375" i="55" s="1"/>
  <c r="E305" i="55"/>
  <c r="G305" i="55" s="1"/>
  <c r="C2737" i="21"/>
  <c r="C1000" i="55" s="1"/>
  <c r="D1000" i="55" s="1"/>
  <c r="C2856" i="19"/>
  <c r="E1841" i="21"/>
  <c r="G1841" i="21" s="1"/>
  <c r="E1903" i="21"/>
  <c r="G1903" i="21" s="1"/>
  <c r="E1866" i="21"/>
  <c r="G1866" i="21" s="1"/>
  <c r="E2484" i="21"/>
  <c r="E709" i="55"/>
  <c r="E661" i="55"/>
  <c r="G661" i="55" s="1"/>
  <c r="E1833" i="21"/>
  <c r="G1833" i="21" s="1"/>
  <c r="E1818" i="21"/>
  <c r="G1818" i="21" s="1"/>
  <c r="E333" i="55"/>
  <c r="G333" i="55" s="1"/>
  <c r="E1803" i="21"/>
  <c r="G1803" i="21" s="1"/>
  <c r="E1882" i="21"/>
  <c r="G1882" i="21" s="1"/>
  <c r="E2442" i="21"/>
  <c r="E2217" i="21"/>
  <c r="G2217" i="21" s="1"/>
  <c r="E221" i="55"/>
  <c r="G221" i="55" s="1"/>
  <c r="A990" i="55"/>
  <c r="E349" i="55"/>
  <c r="G349" i="55" s="1"/>
  <c r="E391" i="55"/>
  <c r="G391" i="55" s="1"/>
  <c r="C2808" i="21"/>
  <c r="C1071" i="55" s="1"/>
  <c r="D1071" i="55" s="1"/>
  <c r="E2201" i="21"/>
  <c r="E431" i="55"/>
  <c r="G431" i="55" s="1"/>
  <c r="H2765" i="19"/>
  <c r="C2726" i="21"/>
  <c r="C989" i="55" s="1"/>
  <c r="D989" i="55" s="1"/>
  <c r="A1049" i="55"/>
  <c r="A1062" i="55"/>
  <c r="E1753" i="21"/>
  <c r="G1753" i="21" s="1"/>
  <c r="E2321" i="21"/>
  <c r="G2321" i="21" s="1"/>
  <c r="E239" i="55"/>
  <c r="G239" i="55" s="1"/>
  <c r="E196" i="55"/>
  <c r="G196" i="55" s="1"/>
  <c r="E268" i="55"/>
  <c r="E233" i="55"/>
  <c r="E319" i="55"/>
  <c r="G319" i="55" s="1"/>
  <c r="E405" i="55"/>
  <c r="A979" i="55"/>
  <c r="E27" i="60"/>
  <c r="E1752" i="21"/>
  <c r="G1752" i="21" s="1"/>
  <c r="E1856" i="21"/>
  <c r="G1856" i="21" s="1"/>
  <c r="E1858" i="21"/>
  <c r="G1858" i="21" s="1"/>
  <c r="E2410" i="21"/>
  <c r="G2410" i="21" s="1"/>
  <c r="E668" i="55"/>
  <c r="G668" i="55" s="1"/>
  <c r="C2722" i="21"/>
  <c r="C985" i="55" s="1"/>
  <c r="D985" i="55" s="1"/>
  <c r="G923" i="19"/>
  <c r="A1021" i="55"/>
  <c r="E379" i="55"/>
  <c r="G379" i="55" s="1"/>
  <c r="E685" i="55"/>
  <c r="A993" i="55"/>
  <c r="E1865" i="21"/>
  <c r="G1865" i="21" s="1"/>
  <c r="E488" i="55"/>
  <c r="G488" i="55" s="1"/>
  <c r="E363" i="55"/>
  <c r="G363" i="55" s="1"/>
  <c r="E309" i="55"/>
  <c r="G309" i="55" s="1"/>
  <c r="E487" i="55"/>
  <c r="G487" i="55" s="1"/>
  <c r="A1034" i="55"/>
  <c r="K27" i="60"/>
  <c r="E512" i="55"/>
  <c r="I1852" i="19"/>
  <c r="I180" i="19"/>
  <c r="E351" i="55"/>
  <c r="G351" i="55" s="1"/>
  <c r="E181" i="55"/>
  <c r="G181" i="55" s="1"/>
  <c r="C2715" i="21"/>
  <c r="D2715" i="21" s="1"/>
  <c r="D2816" i="21"/>
  <c r="M28" i="60"/>
  <c r="H36" i="60"/>
  <c r="E1886" i="21"/>
  <c r="G1886" i="21" s="1"/>
  <c r="E1872" i="21"/>
  <c r="G1872" i="21" s="1"/>
  <c r="G2823" i="19"/>
  <c r="B1857" i="55"/>
  <c r="D2846" i="19"/>
  <c r="E2513" i="21"/>
  <c r="G2513" i="21" s="1"/>
  <c r="E724" i="55"/>
  <c r="C2828" i="21"/>
  <c r="C1091" i="55" s="1"/>
  <c r="C2800" i="21"/>
  <c r="C1063" i="55" s="1"/>
  <c r="D1063" i="55" s="1"/>
  <c r="E324" i="55"/>
  <c r="G324" i="55" s="1"/>
  <c r="E348" i="55"/>
  <c r="G348" i="55" s="1"/>
  <c r="E1879" i="21"/>
  <c r="G1879" i="21" s="1"/>
  <c r="E323" i="55"/>
  <c r="G323" i="55" s="1"/>
  <c r="B931" i="55"/>
  <c r="E1889" i="21"/>
  <c r="G1889" i="21" s="1"/>
  <c r="F2823" i="19"/>
  <c r="E211" i="55"/>
  <c r="G211" i="55" s="1"/>
  <c r="E253" i="55"/>
  <c r="G253" i="55" s="1"/>
  <c r="H2823" i="19"/>
  <c r="E2305" i="21"/>
  <c r="G2305" i="21" s="1"/>
  <c r="E583" i="55"/>
  <c r="G583" i="55" s="1"/>
  <c r="E472" i="55"/>
  <c r="G472" i="55" s="1"/>
  <c r="A1090" i="55"/>
  <c r="C2772" i="21"/>
  <c r="C1035" i="55" s="1"/>
  <c r="D1035" i="55" s="1"/>
  <c r="E315" i="55"/>
  <c r="E212" i="55"/>
  <c r="G212" i="55" s="1"/>
  <c r="E347" i="55"/>
  <c r="G347" i="55" s="1"/>
  <c r="E407" i="55"/>
  <c r="G407" i="55" s="1"/>
  <c r="B2097" i="21"/>
  <c r="E2097" i="21" s="1"/>
  <c r="G2097" i="21" s="1"/>
  <c r="E219" i="55"/>
  <c r="G219" i="55" s="1"/>
  <c r="E365" i="55"/>
  <c r="G365" i="55" s="1"/>
  <c r="C2822" i="21"/>
  <c r="C1085" i="55" s="1"/>
  <c r="D1085" i="55" s="1"/>
  <c r="G37" i="60"/>
  <c r="E1851" i="21"/>
  <c r="G1851" i="21" s="1"/>
  <c r="C1853" i="55"/>
  <c r="H1853" i="55" s="1"/>
  <c r="E2498" i="21"/>
  <c r="G2498" i="21" s="1"/>
  <c r="E2473" i="21"/>
  <c r="G2473" i="21" s="1"/>
  <c r="E2433" i="21"/>
  <c r="G2433" i="21" s="1"/>
  <c r="E2185" i="21"/>
  <c r="G2185" i="21" s="1"/>
  <c r="E678" i="55"/>
  <c r="G678" i="55" s="1"/>
  <c r="E558" i="55"/>
  <c r="G558" i="55" s="1"/>
  <c r="E471" i="55"/>
  <c r="E446" i="55"/>
  <c r="G446" i="55" s="1"/>
  <c r="A1084" i="55"/>
  <c r="E1836" i="21"/>
  <c r="G1836" i="21" s="1"/>
  <c r="E2361" i="21"/>
  <c r="G2361" i="21" s="1"/>
  <c r="E502" i="55"/>
  <c r="G502" i="55" s="1"/>
  <c r="A1078" i="55"/>
  <c r="E1864" i="21"/>
  <c r="G1864" i="21" s="1"/>
  <c r="E2345" i="21"/>
  <c r="G2345" i="21" s="1"/>
  <c r="E725" i="55"/>
  <c r="G725" i="55" s="1"/>
  <c r="E292" i="55"/>
  <c r="G292" i="55" s="1"/>
  <c r="F2765" i="19"/>
  <c r="C2765" i="19"/>
  <c r="E197" i="55"/>
  <c r="G197" i="55" s="1"/>
  <c r="E261" i="55"/>
  <c r="G261" i="55" s="1"/>
  <c r="D955" i="55"/>
  <c r="A965" i="55"/>
  <c r="E1809" i="21"/>
  <c r="G1809" i="21" s="1"/>
  <c r="E1906" i="21"/>
  <c r="G1906" i="21" s="1"/>
  <c r="E2472" i="21"/>
  <c r="G2472" i="21" s="1"/>
  <c r="E2432" i="21"/>
  <c r="G2432" i="21" s="1"/>
  <c r="E734" i="55"/>
  <c r="G734" i="55" s="1"/>
  <c r="E630" i="55"/>
  <c r="G630" i="55" s="1"/>
  <c r="E543" i="55"/>
  <c r="G543" i="55" s="1"/>
  <c r="E495" i="55"/>
  <c r="E470" i="55"/>
  <c r="G470" i="55" s="1"/>
  <c r="C2765" i="21"/>
  <c r="C1028" i="55" s="1"/>
  <c r="D1028" i="55" s="1"/>
  <c r="B72" i="55"/>
  <c r="A950" i="55"/>
  <c r="E377" i="55"/>
  <c r="G377" i="55" s="1"/>
  <c r="E2489" i="21"/>
  <c r="G2489" i="21" s="1"/>
  <c r="E669" i="55"/>
  <c r="G669" i="55" s="1"/>
  <c r="I26" i="60"/>
  <c r="E1850" i="21"/>
  <c r="G1850" i="21" s="1"/>
  <c r="E281" i="55"/>
  <c r="B1844" i="19"/>
  <c r="E279" i="55"/>
  <c r="G279" i="55" s="1"/>
  <c r="E1905" i="21"/>
  <c r="G1905" i="21" s="1"/>
  <c r="E364" i="55"/>
  <c r="G364" i="55" s="1"/>
  <c r="D2718" i="21"/>
  <c r="E1746" i="21"/>
  <c r="G1746" i="21" s="1"/>
  <c r="E2458" i="21"/>
  <c r="G2458" i="21" s="1"/>
  <c r="E2354" i="21"/>
  <c r="G2354" i="21" s="1"/>
  <c r="E629" i="55"/>
  <c r="G629" i="55" s="1"/>
  <c r="E542" i="55"/>
  <c r="G542" i="55" s="1"/>
  <c r="E494" i="55"/>
  <c r="G494" i="55" s="1"/>
  <c r="E252" i="55"/>
  <c r="G252" i="55" s="1"/>
  <c r="E741" i="55"/>
  <c r="G741" i="55" s="1"/>
  <c r="E321" i="55"/>
  <c r="G321" i="55" s="1"/>
  <c r="C2846" i="19"/>
  <c r="C2801" i="21"/>
  <c r="C1064" i="55" s="1"/>
  <c r="D1064" i="55" s="1"/>
  <c r="E2161" i="21"/>
  <c r="G2161" i="21" s="1"/>
  <c r="E361" i="55"/>
  <c r="G361" i="55" s="1"/>
  <c r="A1031" i="55"/>
  <c r="B1945" i="21"/>
  <c r="E1945" i="21" s="1"/>
  <c r="G1945" i="21" s="1"/>
  <c r="E1763" i="21"/>
  <c r="G1763" i="21" s="1"/>
  <c r="E2508" i="21"/>
  <c r="G2508" i="21" s="1"/>
  <c r="E2457" i="21"/>
  <c r="G2457" i="21" s="1"/>
  <c r="E2417" i="21"/>
  <c r="G2417" i="21" s="1"/>
  <c r="E2289" i="21"/>
  <c r="G2289" i="21" s="1"/>
  <c r="E2264" i="21"/>
  <c r="G2264" i="21" s="1"/>
  <c r="E780" i="55"/>
  <c r="G780" i="55" s="1"/>
  <c r="E708" i="55"/>
  <c r="G708" i="55" s="1"/>
  <c r="E555" i="55"/>
  <c r="G555" i="55" s="1"/>
  <c r="E432" i="55"/>
  <c r="G432" i="55" s="1"/>
  <c r="C2710" i="21"/>
  <c r="C973" i="55" s="1"/>
  <c r="D973" i="55" s="1"/>
  <c r="C2796" i="21"/>
  <c r="C1059" i="55" s="1"/>
  <c r="D1059" i="55" s="1"/>
  <c r="A1087" i="55"/>
  <c r="A959" i="55"/>
  <c r="C2766" i="21"/>
  <c r="C1029" i="55" s="1"/>
  <c r="D1029" i="55" s="1"/>
  <c r="A1086" i="55"/>
  <c r="C2787" i="21"/>
  <c r="C1050" i="55" s="1"/>
  <c r="D1050" i="55" s="1"/>
  <c r="C2767" i="21"/>
  <c r="C1030" i="55" s="1"/>
  <c r="D1030" i="55" s="1"/>
  <c r="C2713" i="21"/>
  <c r="D2713" i="21" s="1"/>
  <c r="C2712" i="21"/>
  <c r="C975" i="55" s="1"/>
  <c r="D975" i="55" s="1"/>
  <c r="C2683" i="21"/>
  <c r="D2683" i="21" s="1"/>
  <c r="A1001" i="55"/>
  <c r="C2770" i="21"/>
  <c r="C1033" i="55" s="1"/>
  <c r="D1033" i="55" s="1"/>
  <c r="C2682" i="21"/>
  <c r="C945" i="55" s="1"/>
  <c r="D945" i="55" s="1"/>
  <c r="D2785" i="21"/>
  <c r="A1003" i="55"/>
  <c r="C2795" i="21"/>
  <c r="C1058" i="55" s="1"/>
  <c r="D1058" i="55" s="1"/>
  <c r="C2791" i="21"/>
  <c r="C1054" i="55" s="1"/>
  <c r="D1054" i="55" s="1"/>
  <c r="A1057" i="55"/>
  <c r="A984" i="55"/>
  <c r="C2741" i="21"/>
  <c r="C1004" i="55" s="1"/>
  <c r="D1004" i="55" s="1"/>
  <c r="D2777" i="21"/>
  <c r="C2684" i="21"/>
  <c r="C947" i="55" s="1"/>
  <c r="D947" i="55" s="1"/>
  <c r="A1072" i="55"/>
  <c r="C2685" i="21"/>
  <c r="C948" i="55" s="1"/>
  <c r="D948" i="55" s="1"/>
  <c r="A1073" i="55"/>
  <c r="C2754" i="21"/>
  <c r="C1017" i="55" s="1"/>
  <c r="A1074" i="55"/>
  <c r="D941" i="55"/>
  <c r="A1015" i="55"/>
  <c r="C2698" i="21"/>
  <c r="C961" i="55" s="1"/>
  <c r="D961" i="55" s="1"/>
  <c r="C2699" i="21"/>
  <c r="C962" i="55" s="1"/>
  <c r="D962" i="55" s="1"/>
  <c r="C2769" i="21"/>
  <c r="C1032" i="55" s="1"/>
  <c r="D1032" i="55" s="1"/>
  <c r="C2751" i="21"/>
  <c r="D2751" i="21" s="1"/>
  <c r="D2689" i="21"/>
  <c r="C952" i="55"/>
  <c r="D952" i="55" s="1"/>
  <c r="C2686" i="21"/>
  <c r="C949" i="55" s="1"/>
  <c r="D949" i="55" s="1"/>
  <c r="B2048" i="21"/>
  <c r="E2048" i="21" s="1"/>
  <c r="G2048" i="21" s="1"/>
  <c r="E195" i="55"/>
  <c r="G195" i="55" s="1"/>
  <c r="B2022" i="21"/>
  <c r="E2022" i="21" s="1"/>
  <c r="G2022" i="21" s="1"/>
  <c r="E265" i="55"/>
  <c r="G265" i="55" s="1"/>
  <c r="A1060" i="55"/>
  <c r="C2728" i="21"/>
  <c r="C991" i="55" s="1"/>
  <c r="D991" i="55" s="1"/>
  <c r="K37" i="60"/>
  <c r="E1801" i="21"/>
  <c r="G1801" i="21" s="1"/>
  <c r="C2759" i="21"/>
  <c r="C1022" i="55" s="1"/>
  <c r="A963" i="55"/>
  <c r="B1946" i="21"/>
  <c r="E1946" i="21" s="1"/>
  <c r="G1946" i="21" s="1"/>
  <c r="E331" i="55"/>
  <c r="G331" i="55" s="1"/>
  <c r="B1928" i="21"/>
  <c r="E1928" i="21" s="1"/>
  <c r="G1928" i="21" s="1"/>
  <c r="I2866" i="19"/>
  <c r="B2049" i="21"/>
  <c r="E2049" i="21" s="1"/>
  <c r="G2049" i="21" s="1"/>
  <c r="B1944" i="21"/>
  <c r="E1944" i="21" s="1"/>
  <c r="G1944" i="21" s="1"/>
  <c r="B2015" i="21"/>
  <c r="E2015" i="21" s="1"/>
  <c r="G2015" i="21" s="1"/>
  <c r="B2099" i="21"/>
  <c r="E2099" i="21" s="1"/>
  <c r="G2099" i="21" s="1"/>
  <c r="E293" i="55"/>
  <c r="G293" i="55" s="1"/>
  <c r="L37" i="60"/>
  <c r="B1096" i="55"/>
  <c r="D1096" i="55" s="1"/>
  <c r="F923" i="19"/>
  <c r="E2511" i="21"/>
  <c r="G2511" i="21" s="1"/>
  <c r="E2426" i="21"/>
  <c r="G2426" i="21" s="1"/>
  <c r="E2402" i="21"/>
  <c r="G2402" i="21" s="1"/>
  <c r="E764" i="55"/>
  <c r="G764" i="55" s="1"/>
  <c r="C2773" i="21"/>
  <c r="C1036" i="55" s="1"/>
  <c r="D1036" i="55" s="1"/>
  <c r="A1005" i="55"/>
  <c r="A977" i="55"/>
  <c r="D2723" i="21"/>
  <c r="C2798" i="21"/>
  <c r="C1061" i="55" s="1"/>
  <c r="D1061" i="55" s="1"/>
  <c r="L36" i="60"/>
  <c r="B2033" i="21"/>
  <c r="E2033" i="21" s="1"/>
  <c r="G2033" i="21" s="1"/>
  <c r="B2003" i="21"/>
  <c r="E2003" i="21" s="1"/>
  <c r="G2003" i="21" s="1"/>
  <c r="B1986" i="21"/>
  <c r="E1986" i="21" s="1"/>
  <c r="G1986" i="21" s="1"/>
  <c r="B2146" i="21"/>
  <c r="E2146" i="21" s="1"/>
  <c r="G2146" i="21" s="1"/>
  <c r="C2825" i="21"/>
  <c r="C1088" i="55" s="1"/>
  <c r="D1088" i="55" s="1"/>
  <c r="N36" i="60"/>
  <c r="E1884" i="21"/>
  <c r="G1884" i="21" s="1"/>
  <c r="E2496" i="21"/>
  <c r="G2496" i="21" s="1"/>
  <c r="E2273" i="21"/>
  <c r="G2273" i="21" s="1"/>
  <c r="E782" i="55"/>
  <c r="G782" i="55" s="1"/>
  <c r="E740" i="55"/>
  <c r="A1018" i="55"/>
  <c r="A1100" i="55"/>
  <c r="I2258" i="19"/>
  <c r="B1926" i="21"/>
  <c r="E1926" i="21" s="1"/>
  <c r="G1926" i="21" s="1"/>
  <c r="E599" i="55"/>
  <c r="G599" i="55" s="1"/>
  <c r="D2730" i="21"/>
  <c r="B2113" i="21"/>
  <c r="E2113" i="21" s="1"/>
  <c r="G2113" i="21" s="1"/>
  <c r="B1935" i="21"/>
  <c r="E1935" i="21" s="1"/>
  <c r="G1935" i="21" s="1"/>
  <c r="B2078" i="21"/>
  <c r="E2078" i="21" s="1"/>
  <c r="G2078" i="21" s="1"/>
  <c r="B3601" i="21"/>
  <c r="F3601" i="21" s="1"/>
  <c r="C2703" i="21"/>
  <c r="C966" i="55" s="1"/>
  <c r="D966" i="55" s="1"/>
  <c r="P37" i="60"/>
  <c r="E1874" i="21"/>
  <c r="G1874" i="21" s="1"/>
  <c r="B3594" i="21"/>
  <c r="I931" i="19"/>
  <c r="E750" i="55"/>
  <c r="G750" i="55" s="1"/>
  <c r="E567" i="55"/>
  <c r="G567" i="55" s="1"/>
  <c r="A1092" i="55"/>
  <c r="C2784" i="21"/>
  <c r="C1047" i="55" s="1"/>
  <c r="D1047" i="55" s="1"/>
  <c r="E401" i="55"/>
  <c r="G401" i="55" s="1"/>
  <c r="B2101" i="21"/>
  <c r="E2101" i="21" s="1"/>
  <c r="G2101" i="21" s="1"/>
  <c r="E387" i="55"/>
  <c r="G387" i="55" s="1"/>
  <c r="D2817" i="21"/>
  <c r="E223" i="55"/>
  <c r="G223" i="55" s="1"/>
  <c r="B2117" i="21"/>
  <c r="E2117" i="21" s="1"/>
  <c r="G2117" i="21" s="1"/>
  <c r="F1864" i="55"/>
  <c r="E177" i="55"/>
  <c r="G177" i="55" s="1"/>
  <c r="E1779" i="21"/>
  <c r="G1779" i="21" s="1"/>
  <c r="G1863" i="55"/>
  <c r="E2482" i="21"/>
  <c r="G2482" i="21" s="1"/>
  <c r="E2444" i="21"/>
  <c r="G2444" i="21" s="1"/>
  <c r="E652" i="55"/>
  <c r="G652" i="55" s="1"/>
  <c r="E553" i="55"/>
  <c r="G553" i="55" s="1"/>
  <c r="E511" i="55"/>
  <c r="C2783" i="21"/>
  <c r="C1046" i="55" s="1"/>
  <c r="D1046" i="55" s="1"/>
  <c r="D1011" i="55"/>
  <c r="C2756" i="21"/>
  <c r="C1019" i="55" s="1"/>
  <c r="D1019" i="55" s="1"/>
  <c r="E388" i="55"/>
  <c r="G388" i="55" s="1"/>
  <c r="B2096" i="21"/>
  <c r="E2096" i="21" s="1"/>
  <c r="G2096" i="21" s="1"/>
  <c r="B2086" i="21"/>
  <c r="E2086" i="21" s="1"/>
  <c r="G2086" i="21" s="1"/>
  <c r="C2717" i="21"/>
  <c r="C980" i="55" s="1"/>
  <c r="D980" i="55" s="1"/>
  <c r="A935" i="55"/>
  <c r="A1089" i="55"/>
  <c r="A1008" i="55"/>
  <c r="A952" i="55"/>
  <c r="E1857" i="21"/>
  <c r="G1857" i="21" s="1"/>
  <c r="E1787" i="21"/>
  <c r="G1787" i="21" s="1"/>
  <c r="E1898" i="21"/>
  <c r="G1898" i="21" s="1"/>
  <c r="E2257" i="21"/>
  <c r="G2257" i="21" s="1"/>
  <c r="E2233" i="21"/>
  <c r="G2233" i="21" s="1"/>
  <c r="E726" i="55"/>
  <c r="G726" i="55" s="1"/>
  <c r="E510" i="55"/>
  <c r="G510" i="55" s="1"/>
  <c r="E455" i="55"/>
  <c r="A1075" i="55"/>
  <c r="B2137" i="21"/>
  <c r="E2137" i="21" s="1"/>
  <c r="G2137" i="21" s="1"/>
  <c r="D1026" i="55"/>
  <c r="E2497" i="21"/>
  <c r="B2079" i="21"/>
  <c r="E2079" i="21" s="1"/>
  <c r="G2079" i="21" s="1"/>
  <c r="E205" i="55"/>
  <c r="G205" i="55" s="1"/>
  <c r="C2731" i="21"/>
  <c r="C994" i="55" s="1"/>
  <c r="D994" i="55" s="1"/>
  <c r="D2814" i="21"/>
  <c r="E1758" i="21"/>
  <c r="G1758" i="21" s="1"/>
  <c r="E1888" i="21"/>
  <c r="G1888" i="21" s="1"/>
  <c r="E694" i="55"/>
  <c r="G694" i="55" s="1"/>
  <c r="E684" i="55"/>
  <c r="G684" i="55" s="1"/>
  <c r="E486" i="55"/>
  <c r="G486" i="55" s="1"/>
  <c r="E454" i="55"/>
  <c r="G454" i="55" s="1"/>
  <c r="D2765" i="19"/>
  <c r="B2765" i="19"/>
  <c r="B1949" i="21"/>
  <c r="E1949" i="21" s="1"/>
  <c r="G1949" i="21" s="1"/>
  <c r="E251" i="55"/>
  <c r="G251" i="55" s="1"/>
  <c r="E373" i="55"/>
  <c r="G373" i="55" s="1"/>
  <c r="E220" i="55"/>
  <c r="G220" i="55" s="1"/>
  <c r="B2023" i="21"/>
  <c r="E2023" i="21" s="1"/>
  <c r="G2023" i="21" s="1"/>
  <c r="D2823" i="19"/>
  <c r="C2675" i="21"/>
  <c r="C938" i="55" s="1"/>
  <c r="D938" i="55" s="1"/>
  <c r="O27" i="60"/>
  <c r="E1800" i="21"/>
  <c r="G1800" i="21" s="1"/>
  <c r="E670" i="55"/>
  <c r="G670" i="55" s="1"/>
  <c r="E638" i="55"/>
  <c r="G638" i="55" s="1"/>
  <c r="E628" i="55"/>
  <c r="G628" i="55" s="1"/>
  <c r="E496" i="55"/>
  <c r="G496" i="55" s="1"/>
  <c r="B2059" i="21"/>
  <c r="E2059" i="21" s="1"/>
  <c r="G2059" i="21" s="1"/>
  <c r="E1828" i="21"/>
  <c r="G1828" i="21" s="1"/>
  <c r="E1762" i="21"/>
  <c r="G1762" i="21" s="1"/>
  <c r="M26" i="60"/>
  <c r="E2329" i="21"/>
  <c r="G2329" i="21" s="1"/>
  <c r="E2216" i="21"/>
  <c r="G2216" i="21" s="1"/>
  <c r="E440" i="55"/>
  <c r="G440" i="55" s="1"/>
  <c r="E1914" i="21"/>
  <c r="G1914" i="21" s="1"/>
  <c r="B2058" i="21"/>
  <c r="E2058" i="21" s="1"/>
  <c r="G2058" i="21" s="1"/>
  <c r="B2144" i="21"/>
  <c r="E2144" i="21" s="1"/>
  <c r="G2144" i="21" s="1"/>
  <c r="B1955" i="21"/>
  <c r="E1955" i="21" s="1"/>
  <c r="G1955" i="21" s="1"/>
  <c r="E26" i="60"/>
  <c r="E2514" i="21"/>
  <c r="G2514" i="21" s="1"/>
  <c r="E2314" i="21"/>
  <c r="G2314" i="21" s="1"/>
  <c r="E528" i="55"/>
  <c r="G528" i="55" s="1"/>
  <c r="B150" i="55"/>
  <c r="E150" i="55" s="1"/>
  <c r="G150" i="55" s="1"/>
  <c r="B136" i="55"/>
  <c r="B1093" i="55"/>
  <c r="D1093" i="55" s="1"/>
  <c r="D2830" i="21"/>
  <c r="B979" i="55"/>
  <c r="D979" i="55" s="1"/>
  <c r="D2716" i="21"/>
  <c r="C2778" i="21"/>
  <c r="C1041" i="55" s="1"/>
  <c r="D1041" i="55" s="1"/>
  <c r="D1021" i="55"/>
  <c r="C2792" i="21"/>
  <c r="C1055" i="55" s="1"/>
  <c r="D1055" i="55" s="1"/>
  <c r="A1083" i="55"/>
  <c r="A1069" i="55"/>
  <c r="D2827" i="21"/>
  <c r="D2705" i="21"/>
  <c r="A1013" i="55"/>
  <c r="D1031" i="55"/>
  <c r="D942" i="55"/>
  <c r="C2764" i="21"/>
  <c r="D2764" i="21" s="1"/>
  <c r="D2810" i="21"/>
  <c r="D1095" i="55"/>
  <c r="D2707" i="21"/>
  <c r="H923" i="19"/>
  <c r="D2805" i="21"/>
  <c r="D923" i="19"/>
  <c r="D2743" i="21"/>
  <c r="D2678" i="21"/>
  <c r="D939" i="55"/>
  <c r="C1595" i="55"/>
  <c r="D1595" i="55" s="1"/>
  <c r="D3051" i="21"/>
  <c r="D2899" i="21"/>
  <c r="D2879" i="21"/>
  <c r="D2999" i="21"/>
  <c r="D2985" i="21"/>
  <c r="D2983" i="21"/>
  <c r="D2913" i="21"/>
  <c r="D1133" i="55"/>
  <c r="C82" i="60"/>
  <c r="C83" i="60" s="1"/>
  <c r="C84" i="60" s="1"/>
  <c r="C85" i="60" s="1"/>
  <c r="C99" i="60"/>
  <c r="O91" i="60" s="1"/>
  <c r="A114" i="60"/>
  <c r="C137" i="60"/>
  <c r="A141" i="60"/>
  <c r="C172" i="60" s="1"/>
  <c r="D2978" i="21"/>
  <c r="E3591" i="21"/>
  <c r="G3591" i="21" s="1"/>
  <c r="D2936" i="21"/>
  <c r="D1626" i="55"/>
  <c r="D3363" i="21"/>
  <c r="G287" i="55"/>
  <c r="D2961" i="21"/>
  <c r="D3079" i="21"/>
  <c r="D3035" i="21"/>
  <c r="D2951" i="21"/>
  <c r="D2937" i="21"/>
  <c r="D3021" i="21"/>
  <c r="C1585" i="55"/>
  <c r="D1585" i="55" s="1"/>
  <c r="D2923" i="21"/>
  <c r="D3121" i="21"/>
  <c r="D3364" i="21"/>
  <c r="C1683" i="55"/>
  <c r="D1683" i="55" s="1"/>
  <c r="D2994" i="21"/>
  <c r="D1568" i="55"/>
  <c r="D1554" i="55"/>
  <c r="D3234" i="21"/>
  <c r="D2993" i="21"/>
  <c r="D1497" i="55"/>
  <c r="D1089" i="55"/>
  <c r="D1003" i="55"/>
  <c r="D2811" i="21"/>
  <c r="D3380" i="21"/>
  <c r="D1643" i="55"/>
  <c r="C1345" i="55"/>
  <c r="D1345" i="55" s="1"/>
  <c r="C1401" i="55"/>
  <c r="D1401" i="55" s="1"/>
  <c r="D3257" i="21"/>
  <c r="G781" i="55"/>
  <c r="C1341" i="55"/>
  <c r="D1341" i="55" s="1"/>
  <c r="D3003" i="21"/>
  <c r="C1668" i="55"/>
  <c r="D1668" i="55" s="1"/>
  <c r="D2681" i="21"/>
  <c r="D2935" i="21"/>
  <c r="D2863" i="21"/>
  <c r="G231" i="55"/>
  <c r="G359" i="55"/>
  <c r="G245" i="55"/>
  <c r="D2921" i="21"/>
  <c r="G343" i="55"/>
  <c r="C1685" i="55"/>
  <c r="D1685" i="55" s="1"/>
  <c r="C1439" i="55"/>
  <c r="D1439" i="55" s="1"/>
  <c r="D3045" i="21"/>
  <c r="D2977" i="21"/>
  <c r="D2905" i="21"/>
  <c r="D2679" i="21"/>
  <c r="D3394" i="21"/>
  <c r="D3033" i="21"/>
  <c r="H3591" i="21"/>
  <c r="C1699" i="55"/>
  <c r="D1699" i="55" s="1"/>
  <c r="C1456" i="55"/>
  <c r="D1456" i="55" s="1"/>
  <c r="C1700" i="55"/>
  <c r="D1700" i="55" s="1"/>
  <c r="D2947" i="21"/>
  <c r="B1927" i="21"/>
  <c r="E1927" i="21" s="1"/>
  <c r="G1927" i="21" s="1"/>
  <c r="B2104" i="21"/>
  <c r="E2104" i="21" s="1"/>
  <c r="G2104" i="21" s="1"/>
  <c r="B1974" i="21"/>
  <c r="E1974" i="21" s="1"/>
  <c r="G1974" i="21" s="1"/>
  <c r="B2011" i="21"/>
  <c r="E2011" i="21" s="1"/>
  <c r="G2011" i="21" s="1"/>
  <c r="B2047" i="21"/>
  <c r="E2047" i="21" s="1"/>
  <c r="G2047" i="21" s="1"/>
  <c r="B1951" i="21"/>
  <c r="E1951" i="21" s="1"/>
  <c r="G1951" i="21" s="1"/>
  <c r="B2136" i="21"/>
  <c r="E2136" i="21" s="1"/>
  <c r="G2136" i="21" s="1"/>
  <c r="B2056" i="21"/>
  <c r="E2056" i="21" s="1"/>
  <c r="G2056" i="21" s="1"/>
  <c r="B2134" i="21"/>
  <c r="E2134" i="21" s="1"/>
  <c r="G2134" i="21" s="1"/>
  <c r="B2070" i="21"/>
  <c r="E2070" i="21" s="1"/>
  <c r="G2070" i="21" s="1"/>
  <c r="B2028" i="21"/>
  <c r="E2028" i="21" s="1"/>
  <c r="G2028" i="21" s="1"/>
  <c r="B2016" i="21"/>
  <c r="E2016" i="21" s="1"/>
  <c r="G2016" i="21" s="1"/>
  <c r="B2052" i="21"/>
  <c r="E2052" i="21" s="1"/>
  <c r="G2052" i="21" s="1"/>
  <c r="B1936" i="21"/>
  <c r="E1936" i="21" s="1"/>
  <c r="G1936" i="21" s="1"/>
  <c r="B2109" i="21"/>
  <c r="E2109" i="21" s="1"/>
  <c r="G2109" i="21" s="1"/>
  <c r="B1983" i="21"/>
  <c r="E1983" i="21" s="1"/>
  <c r="G1983" i="21" s="1"/>
  <c r="B2087" i="21"/>
  <c r="E2087" i="21" s="1"/>
  <c r="G2087" i="21" s="1"/>
  <c r="B2004" i="21"/>
  <c r="E2004" i="21" s="1"/>
  <c r="G2004" i="21" s="1"/>
  <c r="B1919" i="21"/>
  <c r="E1919" i="21" s="1"/>
  <c r="G1919" i="21" s="1"/>
  <c r="D2690" i="21"/>
  <c r="B2053" i="21"/>
  <c r="E2053" i="21" s="1"/>
  <c r="G2053" i="21" s="1"/>
  <c r="B2002" i="21"/>
  <c r="E2002" i="21" s="1"/>
  <c r="G2002" i="21" s="1"/>
  <c r="B2046" i="21"/>
  <c r="E2046" i="21" s="1"/>
  <c r="G2046" i="21" s="1"/>
  <c r="B2021" i="21"/>
  <c r="E2021" i="21" s="1"/>
  <c r="G2021" i="21" s="1"/>
  <c r="B2100" i="21"/>
  <c r="E2100" i="21" s="1"/>
  <c r="G2100" i="21" s="1"/>
  <c r="B2141" i="21"/>
  <c r="E2141" i="21" s="1"/>
  <c r="G2141" i="21" s="1"/>
  <c r="B1991" i="21"/>
  <c r="E1991" i="21" s="1"/>
  <c r="G1991" i="21" s="1"/>
  <c r="B2075" i="21"/>
  <c r="E2075" i="21" s="1"/>
  <c r="G2075" i="21" s="1"/>
  <c r="B2017" i="21"/>
  <c r="E2017" i="21" s="1"/>
  <c r="G2017" i="21" s="1"/>
  <c r="B1942" i="21"/>
  <c r="E1942" i="21" s="1"/>
  <c r="G1942" i="21" s="1"/>
  <c r="B2092" i="21"/>
  <c r="E2092" i="21" s="1"/>
  <c r="G2092" i="21" s="1"/>
  <c r="B2010" i="21"/>
  <c r="E2010" i="21" s="1"/>
  <c r="G2010" i="21" s="1"/>
  <c r="B2119" i="21"/>
  <c r="E2119" i="21" s="1"/>
  <c r="G2119" i="21" s="1"/>
  <c r="B1980" i="21"/>
  <c r="E1980" i="21" s="1"/>
  <c r="G1980" i="21" s="1"/>
  <c r="H1856" i="55"/>
  <c r="C3601" i="21"/>
  <c r="C3604" i="21" s="1"/>
  <c r="I2877" i="19"/>
  <c r="B2037" i="21"/>
  <c r="E2037" i="21" s="1"/>
  <c r="G2037" i="21" s="1"/>
  <c r="B2147" i="21"/>
  <c r="E2147" i="21" s="1"/>
  <c r="G2147" i="21" s="1"/>
  <c r="B1934" i="21"/>
  <c r="E1934" i="21" s="1"/>
  <c r="G1934" i="21" s="1"/>
  <c r="D2812" i="21"/>
  <c r="B1921" i="21"/>
  <c r="E1921" i="21" s="1"/>
  <c r="G1921" i="21" s="1"/>
  <c r="B2125" i="21"/>
  <c r="E2125" i="21" s="1"/>
  <c r="G2125" i="21" s="1"/>
  <c r="B2041" i="21"/>
  <c r="E2041" i="21" s="1"/>
  <c r="G2041" i="21" s="1"/>
  <c r="B1971" i="21"/>
  <c r="E1971" i="21" s="1"/>
  <c r="G1971" i="21" s="1"/>
  <c r="B2054" i="21"/>
  <c r="E2054" i="21" s="1"/>
  <c r="G2054" i="21" s="1"/>
  <c r="B2084" i="21"/>
  <c r="E2084" i="21" s="1"/>
  <c r="G2084" i="21" s="1"/>
  <c r="B2120" i="21"/>
  <c r="E2120" i="21" s="1"/>
  <c r="G2120" i="21" s="1"/>
  <c r="B2040" i="21"/>
  <c r="E2040" i="21" s="1"/>
  <c r="G2040" i="21" s="1"/>
  <c r="B2128" i="21"/>
  <c r="E2128" i="21" s="1"/>
  <c r="G2128" i="21" s="1"/>
  <c r="B1937" i="21"/>
  <c r="E1937" i="21" s="1"/>
  <c r="G1937" i="21" s="1"/>
  <c r="B2089" i="21"/>
  <c r="E2089" i="21" s="1"/>
  <c r="G2089" i="21" s="1"/>
  <c r="B2116" i="21"/>
  <c r="E2116" i="21" s="1"/>
  <c r="G2116" i="21" s="1"/>
  <c r="B2127" i="21"/>
  <c r="E2127" i="21" s="1"/>
  <c r="G2127" i="21" s="1"/>
  <c r="B2069" i="21"/>
  <c r="E2069" i="21" s="1"/>
  <c r="G2069" i="21" s="1"/>
  <c r="B1987" i="21"/>
  <c r="E1987" i="21" s="1"/>
  <c r="B2083" i="21"/>
  <c r="E2083" i="21" s="1"/>
  <c r="G2083" i="21" s="1"/>
  <c r="B2065" i="21"/>
  <c r="E2065" i="21" s="1"/>
  <c r="G2065" i="21" s="1"/>
  <c r="B1950" i="21"/>
  <c r="E1950" i="21" s="1"/>
  <c r="G1950" i="21" s="1"/>
  <c r="B2062" i="21"/>
  <c r="E2062" i="21" s="1"/>
  <c r="G2062" i="21" s="1"/>
  <c r="B2026" i="21"/>
  <c r="E2026" i="21" s="1"/>
  <c r="G2026" i="21" s="1"/>
  <c r="B1956" i="21"/>
  <c r="E1956" i="21" s="1"/>
  <c r="G1956" i="21" s="1"/>
  <c r="E1849" i="21"/>
  <c r="G1849" i="21" s="1"/>
  <c r="E574" i="55"/>
  <c r="G574" i="55" s="1"/>
  <c r="B1957" i="21"/>
  <c r="E1957" i="21" s="1"/>
  <c r="G1957" i="21" s="1"/>
  <c r="B1963" i="21"/>
  <c r="E1963" i="21" s="1"/>
  <c r="G1963" i="21" s="1"/>
  <c r="B2112" i="21"/>
  <c r="E2112" i="21" s="1"/>
  <c r="G2112" i="21" s="1"/>
  <c r="B2073" i="21"/>
  <c r="E2073" i="21" s="1"/>
  <c r="G2073" i="21" s="1"/>
  <c r="B1015" i="55"/>
  <c r="D1015" i="55" s="1"/>
  <c r="D2752" i="21"/>
  <c r="B967" i="55"/>
  <c r="D967" i="55" s="1"/>
  <c r="D2704" i="21"/>
  <c r="B2032" i="21"/>
  <c r="E2032" i="21" s="1"/>
  <c r="G2032" i="21" s="1"/>
  <c r="D2688" i="21"/>
  <c r="B1933" i="21"/>
  <c r="E1933" i="21" s="1"/>
  <c r="G1933" i="21" s="1"/>
  <c r="B2085" i="21"/>
  <c r="E2085" i="21" s="1"/>
  <c r="G2085" i="21" s="1"/>
  <c r="B1989" i="21"/>
  <c r="E1989" i="21" s="1"/>
  <c r="G1989" i="21" s="1"/>
  <c r="B1999" i="21"/>
  <c r="E1999" i="21" s="1"/>
  <c r="G1999" i="21" s="1"/>
  <c r="B1941" i="21"/>
  <c r="E1941" i="21" s="1"/>
  <c r="G1941" i="21" s="1"/>
  <c r="B1995" i="21"/>
  <c r="E1995" i="21" s="1"/>
  <c r="G1995" i="21" s="1"/>
  <c r="B2091" i="21"/>
  <c r="E2091" i="21" s="1"/>
  <c r="G2091" i="21" s="1"/>
  <c r="B2081" i="21"/>
  <c r="E2081" i="21" s="1"/>
  <c r="G2081" i="21" s="1"/>
  <c r="B2042" i="21"/>
  <c r="E2042" i="21" s="1"/>
  <c r="G2042" i="21" s="1"/>
  <c r="B1996" i="21"/>
  <c r="E1996" i="21" s="1"/>
  <c r="G1996" i="21" s="1"/>
  <c r="B936" i="55"/>
  <c r="D936" i="55" s="1"/>
  <c r="B2064" i="21"/>
  <c r="E2064" i="21" s="1"/>
  <c r="G2064" i="21" s="1"/>
  <c r="B1961" i="21"/>
  <c r="E1961" i="21" s="1"/>
  <c r="G1961" i="21" s="1"/>
  <c r="B2039" i="21"/>
  <c r="E2039" i="21" s="1"/>
  <c r="G2039" i="21" s="1"/>
  <c r="B2121" i="21"/>
  <c r="E2121" i="21" s="1"/>
  <c r="G2121" i="21" s="1"/>
  <c r="B2107" i="21"/>
  <c r="E2107" i="21" s="1"/>
  <c r="G2107" i="21" s="1"/>
  <c r="B1982" i="21"/>
  <c r="E1982" i="21" s="1"/>
  <c r="G1982" i="21" s="1"/>
  <c r="B2066" i="21"/>
  <c r="E2066" i="21" s="1"/>
  <c r="G2066" i="21" s="1"/>
  <c r="B1930" i="21"/>
  <c r="E1930" i="21" s="1"/>
  <c r="G1930" i="21" s="1"/>
  <c r="D2821" i="21"/>
  <c r="B1970" i="21"/>
  <c r="E1970" i="21" s="1"/>
  <c r="G1970" i="21" s="1"/>
  <c r="B1943" i="21"/>
  <c r="E1943" i="21" s="1"/>
  <c r="G1943" i="21" s="1"/>
  <c r="B1929" i="21"/>
  <c r="E1929" i="21" s="1"/>
  <c r="G1929" i="21" s="1"/>
  <c r="B1973" i="21"/>
  <c r="E1973" i="21" s="1"/>
  <c r="G1973" i="21" s="1"/>
  <c r="B1923" i="21"/>
  <c r="E1923" i="21" s="1"/>
  <c r="G1923" i="21" s="1"/>
  <c r="B2019" i="21"/>
  <c r="E2019" i="21" s="1"/>
  <c r="G2019" i="21" s="1"/>
  <c r="B2115" i="21"/>
  <c r="E2115" i="21" s="1"/>
  <c r="G2115" i="21" s="1"/>
  <c r="B2145" i="21"/>
  <c r="E2145" i="21" s="1"/>
  <c r="G2145" i="21" s="1"/>
  <c r="B1990" i="21"/>
  <c r="E1990" i="21" s="1"/>
  <c r="G1990" i="21" s="1"/>
  <c r="B2031" i="21"/>
  <c r="E2031" i="21" s="1"/>
  <c r="G2031" i="21" s="1"/>
  <c r="B2074" i="21"/>
  <c r="E2074" i="21" s="1"/>
  <c r="G2074" i="21" s="1"/>
  <c r="B1940" i="21"/>
  <c r="E1940" i="21" s="1"/>
  <c r="G1940" i="21" s="1"/>
  <c r="E1891" i="21"/>
  <c r="G1891" i="21" s="1"/>
  <c r="B1968" i="21"/>
  <c r="E1968" i="21" s="1"/>
  <c r="G1968" i="21" s="1"/>
  <c r="B2072" i="21"/>
  <c r="E2072" i="21" s="1"/>
  <c r="G2072" i="21" s="1"/>
  <c r="B1972" i="21"/>
  <c r="E1972" i="21" s="1"/>
  <c r="G1972" i="21" s="1"/>
  <c r="B1976" i="21"/>
  <c r="E1976" i="21" s="1"/>
  <c r="G1976" i="21" s="1"/>
  <c r="B1985" i="21"/>
  <c r="E1985" i="21" s="1"/>
  <c r="G1985" i="21" s="1"/>
  <c r="B1988" i="21"/>
  <c r="E1988" i="21" s="1"/>
  <c r="G1988" i="21" s="1"/>
  <c r="B2018" i="21"/>
  <c r="E2018" i="21" s="1"/>
  <c r="G2018" i="21" s="1"/>
  <c r="B1925" i="21"/>
  <c r="E1925" i="21" s="1"/>
  <c r="G1925" i="21" s="1"/>
  <c r="B1969" i="21"/>
  <c r="E1969" i="21" s="1"/>
  <c r="G1969" i="21" s="1"/>
  <c r="B2055" i="21"/>
  <c r="E2055" i="21" s="1"/>
  <c r="G2055" i="21" s="1"/>
  <c r="B1953" i="21"/>
  <c r="E1953" i="21" s="1"/>
  <c r="G1953" i="21" s="1"/>
  <c r="B2005" i="21"/>
  <c r="E2005" i="21" s="1"/>
  <c r="G2005" i="21" s="1"/>
  <c r="B1931" i="21"/>
  <c r="E1931" i="21" s="1"/>
  <c r="G1931" i="21" s="1"/>
  <c r="B2027" i="21"/>
  <c r="E2027" i="21" s="1"/>
  <c r="G2027" i="21" s="1"/>
  <c r="B2007" i="21"/>
  <c r="E2007" i="21" s="1"/>
  <c r="G2007" i="21" s="1"/>
  <c r="B1998" i="21"/>
  <c r="E1998" i="21" s="1"/>
  <c r="G1998" i="21" s="1"/>
  <c r="B2102" i="21"/>
  <c r="E2102" i="21" s="1"/>
  <c r="G2102" i="21" s="1"/>
  <c r="B2095" i="21"/>
  <c r="E2095" i="21" s="1"/>
  <c r="G2095" i="21" s="1"/>
  <c r="D1844" i="19"/>
  <c r="B2020" i="21"/>
  <c r="E2020" i="21" s="1"/>
  <c r="G2020" i="21" s="1"/>
  <c r="B2132" i="21"/>
  <c r="E2132" i="21" s="1"/>
  <c r="G2132" i="21" s="1"/>
  <c r="B971" i="55"/>
  <c r="D971" i="55" s="1"/>
  <c r="D2708" i="21"/>
  <c r="C3594" i="21"/>
  <c r="D2760" i="21"/>
  <c r="D2826" i="21"/>
  <c r="B1984" i="21"/>
  <c r="E1984" i="21" s="1"/>
  <c r="G1984" i="21" s="1"/>
  <c r="B2080" i="21"/>
  <c r="E2080" i="21" s="1"/>
  <c r="G2080" i="21" s="1"/>
  <c r="B2009" i="21"/>
  <c r="E2009" i="21" s="1"/>
  <c r="G2009" i="21" s="1"/>
  <c r="B1959" i="21"/>
  <c r="E1959" i="21" s="1"/>
  <c r="G1959" i="21" s="1"/>
  <c r="B2063" i="21"/>
  <c r="E2063" i="21" s="1"/>
  <c r="G2063" i="21" s="1"/>
  <c r="B2123" i="21"/>
  <c r="E2123" i="21" s="1"/>
  <c r="G2123" i="21" s="1"/>
  <c r="B2006" i="21"/>
  <c r="E2006" i="21" s="1"/>
  <c r="B2118" i="21"/>
  <c r="E2118" i="21" s="1"/>
  <c r="G2118" i="21" s="1"/>
  <c r="B2143" i="21"/>
  <c r="E2143" i="21" s="1"/>
  <c r="G2143" i="21" s="1"/>
  <c r="B2060" i="21"/>
  <c r="E2060" i="21" s="1"/>
  <c r="G2060" i="21" s="1"/>
  <c r="B1920" i="21"/>
  <c r="E1920" i="21" s="1"/>
  <c r="G1920" i="21" s="1"/>
  <c r="D2740" i="21"/>
  <c r="D983" i="55"/>
  <c r="B2126" i="21"/>
  <c r="E2126" i="21" s="1"/>
  <c r="G2126" i="21" s="1"/>
  <c r="B1917" i="21"/>
  <c r="B1962" i="21"/>
  <c r="E1962" i="21" s="1"/>
  <c r="G1962" i="21" s="1"/>
  <c r="B2122" i="21"/>
  <c r="E2122" i="21" s="1"/>
  <c r="G2122" i="21" s="1"/>
  <c r="B2124" i="21"/>
  <c r="E2124" i="21" s="1"/>
  <c r="G2124" i="21" s="1"/>
  <c r="B2108" i="21"/>
  <c r="E2108" i="21" s="1"/>
  <c r="G2108" i="21" s="1"/>
  <c r="F9" i="60"/>
  <c r="B923" i="19"/>
  <c r="B1091" i="55"/>
  <c r="D3594" i="21"/>
  <c r="B1960" i="21"/>
  <c r="E1960" i="21" s="1"/>
  <c r="G1960" i="21" s="1"/>
  <c r="F1844" i="19"/>
  <c r="B1954" i="21"/>
  <c r="E1954" i="21" s="1"/>
  <c r="G1954" i="21" s="1"/>
  <c r="B2044" i="21"/>
  <c r="E2044" i="21" s="1"/>
  <c r="G2044" i="21" s="1"/>
  <c r="B1992" i="21"/>
  <c r="E1992" i="21" s="1"/>
  <c r="G1992" i="21" s="1"/>
  <c r="B2088" i="21"/>
  <c r="E2088" i="21" s="1"/>
  <c r="G2088" i="21" s="1"/>
  <c r="B2012" i="21"/>
  <c r="E2012" i="21" s="1"/>
  <c r="G2012" i="21" s="1"/>
  <c r="B2082" i="21"/>
  <c r="E2082" i="21" s="1"/>
  <c r="G2082" i="21" s="1"/>
  <c r="B1997" i="21"/>
  <c r="E1997" i="21" s="1"/>
  <c r="G1997" i="21" s="1"/>
  <c r="B2077" i="21"/>
  <c r="E2077" i="21" s="1"/>
  <c r="G2077" i="21" s="1"/>
  <c r="B1967" i="21"/>
  <c r="E1967" i="21" s="1"/>
  <c r="G1967" i="21" s="1"/>
  <c r="B2001" i="21"/>
  <c r="E2001" i="21" s="1"/>
  <c r="G2001" i="21" s="1"/>
  <c r="B2013" i="21"/>
  <c r="E2013" i="21" s="1"/>
  <c r="G2013" i="21" s="1"/>
  <c r="B1939" i="21"/>
  <c r="E1939" i="21" s="1"/>
  <c r="G1939" i="21" s="1"/>
  <c r="B2035" i="21"/>
  <c r="E2035" i="21" s="1"/>
  <c r="G2035" i="21" s="1"/>
  <c r="B2131" i="21"/>
  <c r="E2131" i="21" s="1"/>
  <c r="G2131" i="21" s="1"/>
  <c r="B2000" i="21"/>
  <c r="E2000" i="21" s="1"/>
  <c r="G2000" i="21" s="1"/>
  <c r="B2025" i="21"/>
  <c r="E2025" i="21" s="1"/>
  <c r="G2025" i="21" s="1"/>
  <c r="B2036" i="21"/>
  <c r="E2036" i="21" s="1"/>
  <c r="G2036" i="21" s="1"/>
  <c r="B2098" i="21"/>
  <c r="E2098" i="21" s="1"/>
  <c r="G2098" i="21" s="1"/>
  <c r="B2045" i="21"/>
  <c r="E2045" i="21" s="1"/>
  <c r="G2045" i="21" s="1"/>
  <c r="B2071" i="21"/>
  <c r="E2071" i="21" s="1"/>
  <c r="G2071" i="21" s="1"/>
  <c r="B2029" i="21"/>
  <c r="E2029" i="21" s="1"/>
  <c r="G2029" i="21" s="1"/>
  <c r="B1947" i="21"/>
  <c r="E1947" i="21" s="1"/>
  <c r="G1947" i="21" s="1"/>
  <c r="B2043" i="21"/>
  <c r="E2043" i="21" s="1"/>
  <c r="G2043" i="21" s="1"/>
  <c r="B1918" i="21"/>
  <c r="E1918" i="21" s="1"/>
  <c r="G1918" i="21" s="1"/>
  <c r="B2014" i="21"/>
  <c r="E2014" i="21" s="1"/>
  <c r="G2014" i="21" s="1"/>
  <c r="B2142" i="21"/>
  <c r="E2142" i="21" s="1"/>
  <c r="G2142" i="21" s="1"/>
  <c r="B2051" i="21"/>
  <c r="E2051" i="21" s="1"/>
  <c r="G2051" i="21" s="1"/>
  <c r="B1978" i="21"/>
  <c r="E1978" i="21" s="1"/>
  <c r="G1978" i="21" s="1"/>
  <c r="B2138" i="21"/>
  <c r="E2138" i="21" s="1"/>
  <c r="G2138" i="21" s="1"/>
  <c r="B2038" i="21"/>
  <c r="E2038" i="21" s="1"/>
  <c r="G2038" i="21" s="1"/>
  <c r="D2788" i="21"/>
  <c r="E338" i="55"/>
  <c r="G338" i="55" s="1"/>
  <c r="I2885" i="19"/>
  <c r="B2888" i="19"/>
  <c r="B2067" i="21"/>
  <c r="E2067" i="21" s="1"/>
  <c r="G2067" i="21" s="1"/>
  <c r="I414" i="19"/>
  <c r="E2765" i="19"/>
  <c r="J28" i="60"/>
  <c r="J36" i="60"/>
  <c r="D2818" i="21"/>
  <c r="M36" i="60"/>
  <c r="E1793" i="21"/>
  <c r="G1793" i="21" s="1"/>
  <c r="E1881" i="21"/>
  <c r="G1881" i="21" s="1"/>
  <c r="E1819" i="21"/>
  <c r="G1819" i="21" s="1"/>
  <c r="E1751" i="21"/>
  <c r="G1751" i="21" s="1"/>
  <c r="E2474" i="21"/>
  <c r="G2474" i="21" s="1"/>
  <c r="G404" i="55"/>
  <c r="B171" i="55"/>
  <c r="B1966" i="21"/>
  <c r="E1966" i="21" s="1"/>
  <c r="G1966" i="21" s="1"/>
  <c r="B2148" i="21"/>
  <c r="E2148" i="21" s="1"/>
  <c r="G2148" i="21" s="1"/>
  <c r="B2106" i="21"/>
  <c r="E2106" i="21" s="1"/>
  <c r="G2106" i="21" s="1"/>
  <c r="B2111" i="21"/>
  <c r="E2111" i="21" s="1"/>
  <c r="G2111" i="21" s="1"/>
  <c r="B1952" i="21"/>
  <c r="E1952" i="21" s="1"/>
  <c r="G1952" i="21" s="1"/>
  <c r="B2076" i="21"/>
  <c r="E2076" i="21" s="1"/>
  <c r="G2076" i="21" s="1"/>
  <c r="B1981" i="21"/>
  <c r="E1981" i="21" s="1"/>
  <c r="G1981" i="21" s="1"/>
  <c r="B2057" i="21"/>
  <c r="E2057" i="21" s="1"/>
  <c r="G2057" i="21" s="1"/>
  <c r="B1965" i="21"/>
  <c r="E1965" i="21" s="1"/>
  <c r="G1965" i="21" s="1"/>
  <c r="B2149" i="21"/>
  <c r="E2149" i="21" s="1"/>
  <c r="G2149" i="21" s="1"/>
  <c r="B2105" i="21"/>
  <c r="E2105" i="21" s="1"/>
  <c r="G2105" i="21" s="1"/>
  <c r="C923" i="19"/>
  <c r="B1938" i="21"/>
  <c r="E1938" i="21" s="1"/>
  <c r="G1938" i="21" s="1"/>
  <c r="B2114" i="21"/>
  <c r="E2114" i="21" s="1"/>
  <c r="G2114" i="21" s="1"/>
  <c r="B1993" i="21"/>
  <c r="E1993" i="21" s="1"/>
  <c r="G1993" i="21" s="1"/>
  <c r="N27" i="60"/>
  <c r="G36" i="60"/>
  <c r="E1768" i="21"/>
  <c r="G1768" i="21" s="1"/>
  <c r="B2110" i="21"/>
  <c r="E2110" i="21" s="1"/>
  <c r="G2110" i="21" s="1"/>
  <c r="B2068" i="21"/>
  <c r="E2068" i="21" s="1"/>
  <c r="G2068" i="21" s="1"/>
  <c r="D2824" i="21"/>
  <c r="D2813" i="21"/>
  <c r="M37" i="60"/>
  <c r="E1839" i="21"/>
  <c r="G1839" i="21" s="1"/>
  <c r="E1834" i="21"/>
  <c r="G1834" i="21" s="1"/>
  <c r="E2516" i="21"/>
  <c r="G2516" i="21" s="1"/>
  <c r="N26" i="60"/>
  <c r="E218" i="55"/>
  <c r="G218" i="55" s="1"/>
  <c r="E314" i="55"/>
  <c r="G314" i="55" s="1"/>
  <c r="B1994" i="21"/>
  <c r="E1994" i="21" s="1"/>
  <c r="G1994" i="21" s="1"/>
  <c r="B2090" i="21"/>
  <c r="E2090" i="21" s="1"/>
  <c r="G2090" i="21" s="1"/>
  <c r="K26" i="60"/>
  <c r="N37" i="60"/>
  <c r="E742" i="55"/>
  <c r="G742" i="55" s="1"/>
  <c r="E686" i="55"/>
  <c r="G686" i="55" s="1"/>
  <c r="J26" i="60"/>
  <c r="J37" i="60"/>
  <c r="E1890" i="21"/>
  <c r="G1890" i="21" s="1"/>
  <c r="E2434" i="21"/>
  <c r="G2434" i="21" s="1"/>
  <c r="I784" i="19"/>
  <c r="B165" i="55"/>
  <c r="D995" i="55"/>
  <c r="B2024" i="21"/>
  <c r="E2024" i="21" s="1"/>
  <c r="G2024" i="21" s="1"/>
  <c r="B2034" i="21"/>
  <c r="E2034" i="21" s="1"/>
  <c r="G2034" i="21" s="1"/>
  <c r="E395" i="55"/>
  <c r="G395" i="55" s="1"/>
  <c r="B2133" i="21"/>
  <c r="E2133" i="21" s="1"/>
  <c r="G2133" i="21" s="1"/>
  <c r="B2103" i="21"/>
  <c r="E2103" i="21" s="1"/>
  <c r="G2103" i="21" s="1"/>
  <c r="B1979" i="21"/>
  <c r="E1979" i="21" s="1"/>
  <c r="G1979" i="21" s="1"/>
  <c r="B1977" i="21"/>
  <c r="E1977" i="21" s="1"/>
  <c r="G1977" i="21" s="1"/>
  <c r="B2030" i="21"/>
  <c r="E2030" i="21" s="1"/>
  <c r="G2030" i="21" s="1"/>
  <c r="B1932" i="21"/>
  <c r="E1932" i="21" s="1"/>
  <c r="G1932" i="21" s="1"/>
  <c r="B2050" i="21"/>
  <c r="E2050" i="21" s="1"/>
  <c r="G2050" i="21" s="1"/>
  <c r="B1964" i="21"/>
  <c r="E1964" i="21" s="1"/>
  <c r="G1964" i="21" s="1"/>
  <c r="B1958" i="21"/>
  <c r="E1958" i="21" s="1"/>
  <c r="G1958" i="21" s="1"/>
  <c r="D2780" i="21"/>
  <c r="D2724" i="21"/>
  <c r="F36" i="60"/>
  <c r="L27" i="60"/>
  <c r="E1754" i="21"/>
  <c r="G1754" i="21" s="1"/>
  <c r="H26" i="60"/>
  <c r="C2823" i="19"/>
  <c r="E1769" i="21"/>
  <c r="G1769" i="21" s="1"/>
  <c r="E1778" i="21"/>
  <c r="G1778" i="21" s="1"/>
  <c r="E757" i="55"/>
  <c r="G757" i="55" s="1"/>
  <c r="E701" i="55"/>
  <c r="G701" i="55" s="1"/>
  <c r="E645" i="55"/>
  <c r="G645" i="55" s="1"/>
  <c r="K28" i="60"/>
  <c r="H37" i="60"/>
  <c r="C1845" i="55"/>
  <c r="E1777" i="21"/>
  <c r="G1777" i="21" s="1"/>
  <c r="E504" i="55"/>
  <c r="G504" i="55" s="1"/>
  <c r="E448" i="55"/>
  <c r="G448" i="55" s="1"/>
  <c r="L45" i="60"/>
  <c r="M39" i="60" s="1"/>
  <c r="E362" i="55"/>
  <c r="G362" i="55" s="1"/>
  <c r="E306" i="55"/>
  <c r="G306" i="55" s="1"/>
  <c r="B173" i="55"/>
  <c r="D959" i="55"/>
  <c r="I2823" i="19"/>
  <c r="E1810" i="21"/>
  <c r="G1810" i="21" s="1"/>
  <c r="H1854" i="55"/>
  <c r="E2823" i="19"/>
  <c r="E2418" i="21"/>
  <c r="G2418" i="21" s="1"/>
  <c r="E2193" i="21"/>
  <c r="G2193" i="21" s="1"/>
  <c r="E756" i="55"/>
  <c r="G756" i="55" s="1"/>
  <c r="E700" i="55"/>
  <c r="G700" i="55" s="1"/>
  <c r="E644" i="55"/>
  <c r="G644" i="55" s="1"/>
  <c r="E615" i="55"/>
  <c r="G615" i="55" s="1"/>
  <c r="E559" i="55"/>
  <c r="G559" i="55" s="1"/>
  <c r="E503" i="55"/>
  <c r="G503" i="55" s="1"/>
  <c r="E447" i="55"/>
  <c r="G447" i="55" s="1"/>
  <c r="E420" i="55"/>
  <c r="G420" i="55" s="1"/>
  <c r="B144" i="55"/>
  <c r="I1705" i="19"/>
  <c r="O45" i="60"/>
  <c r="P39" i="60" s="1"/>
  <c r="H1844" i="19"/>
  <c r="I1103" i="19"/>
  <c r="D1521" i="55"/>
  <c r="D1416" i="55"/>
  <c r="D1408" i="55"/>
  <c r="D2776" i="21"/>
  <c r="B1738" i="21"/>
  <c r="I15" i="21"/>
  <c r="I127" i="21"/>
  <c r="I31" i="21"/>
  <c r="D1483" i="55"/>
  <c r="E2344" i="21"/>
  <c r="G2344" i="21" s="1"/>
  <c r="E2304" i="21"/>
  <c r="G2304" i="21" s="1"/>
  <c r="E2175" i="21"/>
  <c r="G2175" i="21" s="1"/>
  <c r="G3600" i="21"/>
  <c r="E2488" i="21"/>
  <c r="G2488" i="21" s="1"/>
  <c r="E2456" i="21"/>
  <c r="G2456" i="21" s="1"/>
  <c r="E2424" i="21"/>
  <c r="G2424" i="21" s="1"/>
  <c r="E2336" i="21"/>
  <c r="G2336" i="21" s="1"/>
  <c r="D1005" i="55"/>
  <c r="I63" i="21"/>
  <c r="I119" i="21"/>
  <c r="D1016" i="55"/>
  <c r="D1044" i="55"/>
  <c r="D1736" i="21"/>
  <c r="D1738" i="21" s="1"/>
  <c r="D1066" i="55"/>
  <c r="D2706" i="21"/>
  <c r="H3590" i="21"/>
  <c r="C1738" i="21"/>
  <c r="D933" i="55"/>
  <c r="D2719" i="21"/>
  <c r="I55" i="21"/>
  <c r="I143" i="21"/>
  <c r="I111" i="21"/>
  <c r="I87" i="21"/>
  <c r="I71" i="21"/>
  <c r="B2667" i="21"/>
  <c r="B3583" i="21" s="1"/>
  <c r="D2768" i="21"/>
  <c r="I168" i="21"/>
  <c r="I170" i="21"/>
  <c r="I308" i="21"/>
  <c r="I324" i="21"/>
  <c r="B1337" i="55"/>
  <c r="E224" i="55"/>
  <c r="G224" i="55" s="1"/>
  <c r="E345" i="55"/>
  <c r="G345" i="55" s="1"/>
  <c r="E192" i="55"/>
  <c r="G192" i="55" s="1"/>
  <c r="E282" i="55"/>
  <c r="G282" i="55" s="1"/>
  <c r="E267" i="55"/>
  <c r="G267" i="55" s="1"/>
  <c r="E285" i="55"/>
  <c r="G285" i="55" s="1"/>
  <c r="E313" i="55"/>
  <c r="G313" i="55" s="1"/>
  <c r="E360" i="55"/>
  <c r="G360" i="55" s="1"/>
  <c r="G411" i="55"/>
  <c r="E249" i="55"/>
  <c r="G249" i="55" s="1"/>
  <c r="E234" i="55"/>
  <c r="G234" i="55" s="1"/>
  <c r="E250" i="55"/>
  <c r="G250" i="55" s="1"/>
  <c r="E266" i="55"/>
  <c r="G266" i="55" s="1"/>
  <c r="E209" i="55"/>
  <c r="G209" i="55" s="1"/>
  <c r="E273" i="55"/>
  <c r="G273" i="55" s="1"/>
  <c r="E289" i="55"/>
  <c r="E225" i="55"/>
  <c r="G225" i="55" s="1"/>
  <c r="E337" i="55"/>
  <c r="E385" i="55"/>
  <c r="G385" i="55" s="1"/>
  <c r="E402" i="55"/>
  <c r="G402" i="55" s="1"/>
  <c r="I282" i="21"/>
  <c r="I273" i="21"/>
  <c r="C1034" i="21"/>
  <c r="C1084" i="21"/>
  <c r="I211" i="21"/>
  <c r="C1236" i="21"/>
  <c r="C1196" i="21"/>
  <c r="B1172" i="21"/>
  <c r="D1172" i="21" s="1"/>
  <c r="I259" i="21"/>
  <c r="C1204" i="21"/>
  <c r="C1164" i="21"/>
  <c r="C1140" i="21"/>
  <c r="C1244" i="21"/>
  <c r="I283" i="21"/>
  <c r="I270" i="21"/>
  <c r="C1068" i="21"/>
  <c r="I299" i="21"/>
  <c r="I323" i="21"/>
  <c r="I203" i="21"/>
  <c r="C1148" i="21"/>
  <c r="C1100" i="21"/>
  <c r="C1076" i="21"/>
  <c r="D1594" i="55"/>
  <c r="D1504" i="55"/>
  <c r="D1488" i="55"/>
  <c r="D1471" i="55"/>
  <c r="D1447" i="55"/>
  <c r="D1423" i="55"/>
  <c r="D1391" i="55"/>
  <c r="D1667" i="55"/>
  <c r="D1658" i="55"/>
  <c r="D1609" i="55"/>
  <c r="D1560" i="55"/>
  <c r="D1511" i="55"/>
  <c r="D1478" i="55"/>
  <c r="D1446" i="55"/>
  <c r="D1438" i="55"/>
  <c r="D1422" i="55"/>
  <c r="D1406" i="55"/>
  <c r="D1390" i="55"/>
  <c r="D1374" i="55"/>
  <c r="E923" i="19"/>
  <c r="D1677" i="55"/>
  <c r="D1448" i="55"/>
  <c r="D1619" i="55"/>
  <c r="D1690" i="55"/>
  <c r="D1551" i="55"/>
  <c r="D1535" i="55"/>
  <c r="D1527" i="55"/>
  <c r="D1413" i="55"/>
  <c r="D1365" i="55"/>
  <c r="D1681" i="55"/>
  <c r="D1648" i="55"/>
  <c r="D1615" i="55"/>
  <c r="D1558" i="55"/>
  <c r="D1542" i="55"/>
  <c r="D1493" i="55"/>
  <c r="D1460" i="55"/>
  <c r="D1452" i="55"/>
  <c r="D1396" i="55"/>
  <c r="D1388" i="55"/>
  <c r="D1380" i="55"/>
  <c r="D1364" i="55"/>
  <c r="D1356" i="55"/>
  <c r="D1340" i="55"/>
  <c r="D1688" i="55"/>
  <c r="D1663" i="55"/>
  <c r="D1655" i="55"/>
  <c r="D1647" i="55"/>
  <c r="D1630" i="55"/>
  <c r="D1622" i="55"/>
  <c r="D1598" i="55"/>
  <c r="D1590" i="55"/>
  <c r="D1582" i="55"/>
  <c r="D1533" i="55"/>
  <c r="D1524" i="55"/>
  <c r="D1516" i="55"/>
  <c r="D1500" i="55"/>
  <c r="D1443" i="55"/>
  <c r="D1435" i="55"/>
  <c r="D1403" i="55"/>
  <c r="D1363" i="55"/>
  <c r="D1687" i="55"/>
  <c r="D1679" i="55"/>
  <c r="D1671" i="55"/>
  <c r="D1654" i="55"/>
  <c r="D1646" i="55"/>
  <c r="D1629" i="55"/>
  <c r="D1621" i="55"/>
  <c r="D1605" i="55"/>
  <c r="D1597" i="55"/>
  <c r="D1589" i="55"/>
  <c r="D1564" i="55"/>
  <c r="D1499" i="55"/>
  <c r="D1482" i="55"/>
  <c r="D1410" i="55"/>
  <c r="D1370" i="55"/>
  <c r="D1362" i="55"/>
  <c r="D1354" i="55"/>
  <c r="D1346" i="55"/>
  <c r="D1670" i="55"/>
  <c r="D1571" i="55"/>
  <c r="D1514" i="55"/>
  <c r="D1498" i="55"/>
  <c r="D1465" i="55"/>
  <c r="D1353" i="55"/>
  <c r="C27" i="52"/>
  <c r="C23" i="52"/>
  <c r="C19" i="52"/>
  <c r="C15" i="52"/>
  <c r="G37" i="52"/>
  <c r="G48" i="52" s="1"/>
  <c r="C26" i="52"/>
  <c r="C14" i="52"/>
  <c r="E322" i="55"/>
  <c r="G322" i="55" s="1"/>
  <c r="E354" i="55"/>
  <c r="G354" i="55" s="1"/>
  <c r="E370" i="55"/>
  <c r="G370" i="55" s="1"/>
  <c r="E242" i="55"/>
  <c r="G242" i="55" s="1"/>
  <c r="E210" i="55"/>
  <c r="G210" i="55" s="1"/>
  <c r="E330" i="55"/>
  <c r="G330" i="55" s="1"/>
  <c r="C180" i="55"/>
  <c r="E400" i="55"/>
  <c r="G400" i="55" s="1"/>
  <c r="E384" i="55"/>
  <c r="G384" i="55" s="1"/>
  <c r="E304" i="55"/>
  <c r="G304" i="55" s="1"/>
  <c r="E256" i="55"/>
  <c r="E232" i="55"/>
  <c r="G232" i="55" s="1"/>
  <c r="E216" i="55"/>
  <c r="G216" i="55" s="1"/>
  <c r="E290" i="55"/>
  <c r="G290" i="55" s="1"/>
  <c r="E378" i="55"/>
  <c r="G378" i="55" s="1"/>
  <c r="E298" i="55"/>
  <c r="G298" i="55" s="1"/>
  <c r="E284" i="55"/>
  <c r="G284" i="55" s="1"/>
  <c r="E369" i="55"/>
  <c r="G369" i="55" s="1"/>
  <c r="E247" i="55"/>
  <c r="G247" i="55" s="1"/>
  <c r="E291" i="55"/>
  <c r="G291" i="55" s="1"/>
  <c r="E380" i="55"/>
  <c r="G380" i="55" s="1"/>
  <c r="E329" i="55"/>
  <c r="G329" i="55" s="1"/>
  <c r="E185" i="55"/>
  <c r="G185" i="55" s="1"/>
  <c r="E237" i="55"/>
  <c r="G237" i="55" s="1"/>
  <c r="E341" i="55"/>
  <c r="G341" i="55" s="1"/>
  <c r="E244" i="55"/>
  <c r="G244" i="55" s="1"/>
  <c r="E350" i="55"/>
  <c r="G350" i="55" s="1"/>
  <c r="E326" i="55"/>
  <c r="G326" i="55" s="1"/>
  <c r="E318" i="55"/>
  <c r="G318" i="55" s="1"/>
  <c r="E294" i="55"/>
  <c r="G294" i="55" s="1"/>
  <c r="E286" i="55"/>
  <c r="G286" i="55" s="1"/>
  <c r="E278" i="55"/>
  <c r="G278" i="55" s="1"/>
  <c r="E270" i="55"/>
  <c r="G270" i="55" s="1"/>
  <c r="E238" i="55"/>
  <c r="G238" i="55" s="1"/>
  <c r="E214" i="55"/>
  <c r="G214" i="55" s="1"/>
  <c r="E206" i="55"/>
  <c r="G206" i="55" s="1"/>
  <c r="E202" i="55"/>
  <c r="G202" i="55" s="1"/>
  <c r="E258" i="55"/>
  <c r="G258" i="55" s="1"/>
  <c r="E184" i="55"/>
  <c r="G184" i="55" s="1"/>
  <c r="E226" i="55"/>
  <c r="G226" i="55" s="1"/>
  <c r="E274" i="55"/>
  <c r="G274" i="55" s="1"/>
  <c r="E386" i="55"/>
  <c r="G386" i="55" s="1"/>
  <c r="E410" i="55"/>
  <c r="G410" i="55" s="1"/>
  <c r="E194" i="55"/>
  <c r="G194" i="55" s="1"/>
  <c r="D954" i="55"/>
  <c r="E2447" i="21"/>
  <c r="G2447" i="21" s="1"/>
  <c r="E2416" i="21"/>
  <c r="G2416" i="21" s="1"/>
  <c r="E2391" i="21"/>
  <c r="G2391" i="21" s="1"/>
  <c r="E2378" i="21"/>
  <c r="G2378" i="21" s="1"/>
  <c r="E2360" i="21"/>
  <c r="G2360" i="21" s="1"/>
  <c r="E2320" i="21"/>
  <c r="G2320" i="21" s="1"/>
  <c r="E2288" i="21"/>
  <c r="G2288" i="21" s="1"/>
  <c r="E2249" i="21"/>
  <c r="G2249" i="21" s="1"/>
  <c r="E2191" i="21"/>
  <c r="G2191" i="21" s="1"/>
  <c r="E3592" i="21"/>
  <c r="G3592" i="21" s="1"/>
  <c r="I130" i="21"/>
  <c r="D1028" i="21"/>
  <c r="I13" i="21"/>
  <c r="I29" i="21"/>
  <c r="I278" i="21"/>
  <c r="I262" i="21"/>
  <c r="I216" i="21"/>
  <c r="E26" i="55"/>
  <c r="G26" i="55" s="1"/>
  <c r="I401" i="21"/>
  <c r="I395" i="21"/>
  <c r="I291" i="21"/>
  <c r="I34" i="21"/>
  <c r="I66" i="21"/>
  <c r="I82" i="21"/>
  <c r="I42" i="21"/>
  <c r="E1848" i="21"/>
  <c r="G1848" i="21" s="1"/>
  <c r="E2394" i="21"/>
  <c r="G2394" i="21" s="1"/>
  <c r="E2362" i="21"/>
  <c r="G2362" i="21" s="1"/>
  <c r="E2330" i="21"/>
  <c r="G2330" i="21" s="1"/>
  <c r="E2290" i="21"/>
  <c r="G2290" i="21" s="1"/>
  <c r="E2266" i="21"/>
  <c r="G2266" i="21" s="1"/>
  <c r="E2225" i="21"/>
  <c r="G2225" i="21" s="1"/>
  <c r="E2373" i="21"/>
  <c r="G2373" i="21" s="1"/>
  <c r="E2349" i="21"/>
  <c r="G2349" i="21" s="1"/>
  <c r="E2327" i="21"/>
  <c r="G2327" i="21" s="1"/>
  <c r="E2236" i="21"/>
  <c r="G2236" i="21" s="1"/>
  <c r="E2172" i="21"/>
  <c r="G2172" i="21" s="1"/>
  <c r="E625" i="55"/>
  <c r="G625" i="55" s="1"/>
  <c r="E419" i="55"/>
  <c r="G419" i="55" s="1"/>
  <c r="I45" i="21"/>
  <c r="I53" i="21"/>
  <c r="I33" i="21"/>
  <c r="I162" i="21"/>
  <c r="E1776" i="21"/>
  <c r="G1776" i="21" s="1"/>
  <c r="E1824" i="21"/>
  <c r="G1824" i="21" s="1"/>
  <c r="E1880" i="21"/>
  <c r="G1880" i="21" s="1"/>
  <c r="I89" i="21"/>
  <c r="E2512" i="21"/>
  <c r="G2512" i="21" s="1"/>
  <c r="E2448" i="21"/>
  <c r="E2392" i="21"/>
  <c r="G2392" i="21" s="1"/>
  <c r="E2328" i="21"/>
  <c r="G2328" i="21" s="1"/>
  <c r="E2231" i="21"/>
  <c r="G2231" i="21" s="1"/>
  <c r="E2223" i="21"/>
  <c r="G2223" i="21" s="1"/>
  <c r="E2199" i="21"/>
  <c r="G2199" i="21" s="1"/>
  <c r="E2167" i="21"/>
  <c r="G2167" i="21" s="1"/>
  <c r="D1138" i="55"/>
  <c r="D1130" i="55"/>
  <c r="I276" i="21"/>
  <c r="I340" i="21"/>
  <c r="I236" i="21"/>
  <c r="I289" i="21"/>
  <c r="D943" i="55"/>
  <c r="I73" i="21"/>
  <c r="E1792" i="21"/>
  <c r="G1792" i="21" s="1"/>
  <c r="E1896" i="21"/>
  <c r="G1896" i="21" s="1"/>
  <c r="I138" i="21"/>
  <c r="E2517" i="21"/>
  <c r="G2517" i="21" s="1"/>
  <c r="E2509" i="21"/>
  <c r="G2509" i="21" s="1"/>
  <c r="E2504" i="21"/>
  <c r="G2504" i="21" s="1"/>
  <c r="E2485" i="21"/>
  <c r="G2485" i="21" s="1"/>
  <c r="E2440" i="21"/>
  <c r="G2440" i="21" s="1"/>
  <c r="B9" i="55"/>
  <c r="E1759" i="21"/>
  <c r="G1759" i="21" s="1"/>
  <c r="E1799" i="21"/>
  <c r="G1799" i="21" s="1"/>
  <c r="D3004" i="21"/>
  <c r="I23" i="21"/>
  <c r="I103" i="21"/>
  <c r="I47" i="21"/>
  <c r="I39" i="21"/>
  <c r="D1070" i="55"/>
  <c r="D1211" i="55"/>
  <c r="D1179" i="55"/>
  <c r="C16" i="55"/>
  <c r="E1807" i="21"/>
  <c r="G1807" i="21" s="1"/>
  <c r="E1847" i="21"/>
  <c r="G1847" i="21" s="1"/>
  <c r="E1895" i="21"/>
  <c r="G1895" i="21" s="1"/>
  <c r="I375" i="21"/>
  <c r="E2515" i="21"/>
  <c r="G2515" i="21" s="1"/>
  <c r="E2226" i="21"/>
  <c r="G2226" i="21" s="1"/>
  <c r="E2194" i="21"/>
  <c r="G2194" i="21" s="1"/>
  <c r="C48" i="55"/>
  <c r="E1767" i="21"/>
  <c r="G1767" i="21" s="1"/>
  <c r="E1855" i="21"/>
  <c r="G1855" i="21" s="1"/>
  <c r="D1707" i="55"/>
  <c r="I361" i="21"/>
  <c r="C165" i="55"/>
  <c r="C80" i="55"/>
  <c r="E1775" i="21"/>
  <c r="G1775" i="21" s="1"/>
  <c r="E1815" i="21"/>
  <c r="G1815" i="21" s="1"/>
  <c r="E1823" i="21"/>
  <c r="G1823" i="21" s="1"/>
  <c r="E1863" i="21"/>
  <c r="G1863" i="21" s="1"/>
  <c r="E2250" i="21"/>
  <c r="G2250" i="21" s="1"/>
  <c r="E2154" i="21"/>
  <c r="G2154" i="21" s="1"/>
  <c r="C173" i="55"/>
  <c r="C144" i="55"/>
  <c r="E1783" i="21"/>
  <c r="G1783" i="21" s="1"/>
  <c r="E1871" i="21"/>
  <c r="G1871" i="21" s="1"/>
  <c r="I193" i="21"/>
  <c r="E2347" i="21"/>
  <c r="G2347" i="21" s="1"/>
  <c r="E2210" i="21"/>
  <c r="G2210" i="21" s="1"/>
  <c r="E2178" i="21"/>
  <c r="G2178" i="21" s="1"/>
  <c r="E1791" i="21"/>
  <c r="G1791" i="21" s="1"/>
  <c r="E1831" i="21"/>
  <c r="G1831" i="21" s="1"/>
  <c r="I185" i="21"/>
  <c r="I347" i="21"/>
  <c r="I219" i="21"/>
  <c r="I392" i="21"/>
  <c r="I304" i="21"/>
  <c r="I199" i="21"/>
  <c r="D3164" i="21"/>
  <c r="C1596" i="55"/>
  <c r="D1596" i="55" s="1"/>
  <c r="D3194" i="21"/>
  <c r="C1441" i="55"/>
  <c r="D1441" i="55" s="1"/>
  <c r="D3235" i="21"/>
  <c r="C1531" i="55"/>
  <c r="D1531" i="55" s="1"/>
  <c r="D3227" i="21"/>
  <c r="C1433" i="55"/>
  <c r="D1433" i="55" s="1"/>
  <c r="D3090" i="21"/>
  <c r="C1522" i="55"/>
  <c r="D1522" i="55" s="1"/>
  <c r="C1555" i="55"/>
  <c r="D1555" i="55" s="1"/>
  <c r="C1702" i="55"/>
  <c r="D1702" i="55" s="1"/>
  <c r="C1645" i="55"/>
  <c r="D1645" i="55" s="1"/>
  <c r="C1425" i="55"/>
  <c r="D1425" i="55" s="1"/>
  <c r="C1393" i="55"/>
  <c r="D1393" i="55" s="1"/>
  <c r="C1637" i="55"/>
  <c r="D1637" i="55" s="1"/>
  <c r="D3202" i="21"/>
  <c r="D1457" i="55"/>
  <c r="C1395" i="55"/>
  <c r="D1395" i="55" s="1"/>
  <c r="D1025" i="55"/>
  <c r="C40" i="55"/>
  <c r="C104" i="55"/>
  <c r="E1790" i="21"/>
  <c r="G1790" i="21" s="1"/>
  <c r="E1830" i="21"/>
  <c r="G1830" i="21" s="1"/>
  <c r="E2460" i="21"/>
  <c r="G2460" i="21" s="1"/>
  <c r="C171" i="55"/>
  <c r="D1321" i="55"/>
  <c r="D1313" i="55"/>
  <c r="D1305" i="55"/>
  <c r="D1289" i="55"/>
  <c r="D1281" i="55"/>
  <c r="D1273" i="55"/>
  <c r="D1257" i="55"/>
  <c r="D1241" i="55"/>
  <c r="D953" i="55"/>
  <c r="D1002" i="55"/>
  <c r="C72" i="55"/>
  <c r="B16" i="55"/>
  <c r="B80" i="55"/>
  <c r="B112" i="55"/>
  <c r="I59" i="21"/>
  <c r="E1838" i="21"/>
  <c r="G1838" i="21" s="1"/>
  <c r="E1878" i="21"/>
  <c r="G1878" i="21" s="1"/>
  <c r="I163" i="21"/>
  <c r="I344" i="21"/>
  <c r="B1075" i="21"/>
  <c r="D1075" i="21" s="1"/>
  <c r="D1201" i="55"/>
  <c r="D1193" i="55"/>
  <c r="D1169" i="55"/>
  <c r="C128" i="55"/>
  <c r="C136" i="55"/>
  <c r="B24" i="55"/>
  <c r="B56" i="55"/>
  <c r="B88" i="55"/>
  <c r="B120" i="55"/>
  <c r="B152" i="55"/>
  <c r="E1806" i="21"/>
  <c r="G1806" i="21" s="1"/>
  <c r="E1846" i="21"/>
  <c r="G1846" i="21" s="1"/>
  <c r="F741" i="21"/>
  <c r="I741" i="21" s="1"/>
  <c r="E2521" i="21"/>
  <c r="G2521" i="21" s="1"/>
  <c r="E2324" i="21"/>
  <c r="G2324" i="21" s="1"/>
  <c r="C120" i="55"/>
  <c r="C152" i="55"/>
  <c r="E1766" i="21"/>
  <c r="G1766" i="21" s="1"/>
  <c r="E1854" i="21"/>
  <c r="G1854" i="21" s="1"/>
  <c r="E1894" i="21"/>
  <c r="G1894" i="21" s="1"/>
  <c r="I328" i="21"/>
  <c r="E2476" i="21"/>
  <c r="G2476" i="21" s="1"/>
  <c r="E1774" i="21"/>
  <c r="G1774" i="21" s="1"/>
  <c r="E2380" i="21"/>
  <c r="G2380" i="21" s="1"/>
  <c r="B1259" i="21"/>
  <c r="D1259" i="21" s="1"/>
  <c r="B1251" i="21"/>
  <c r="D1251" i="21" s="1"/>
  <c r="B1195" i="21"/>
  <c r="D1195" i="21" s="1"/>
  <c r="B1187" i="21"/>
  <c r="D1187" i="21" s="1"/>
  <c r="C64" i="55"/>
  <c r="C32" i="55"/>
  <c r="B32" i="55"/>
  <c r="B64" i="55"/>
  <c r="B96" i="55"/>
  <c r="B128" i="55"/>
  <c r="B160" i="55"/>
  <c r="D969" i="21"/>
  <c r="E1862" i="21"/>
  <c r="G1862" i="21" s="1"/>
  <c r="I208" i="21"/>
  <c r="I189" i="21"/>
  <c r="I183" i="21"/>
  <c r="I393" i="21"/>
  <c r="I320" i="21"/>
  <c r="E2500" i="21"/>
  <c r="G2500" i="21" s="1"/>
  <c r="E2468" i="21"/>
  <c r="G2468" i="21" s="1"/>
  <c r="E2436" i="21"/>
  <c r="G2436" i="21" s="1"/>
  <c r="E2372" i="21"/>
  <c r="G2372" i="21" s="1"/>
  <c r="E2348" i="21"/>
  <c r="G2348" i="21" s="1"/>
  <c r="E2276" i="21"/>
  <c r="G2276" i="21" s="1"/>
  <c r="E2179" i="21"/>
  <c r="G2179" i="21" s="1"/>
  <c r="B1179" i="21"/>
  <c r="D1179" i="21" s="1"/>
  <c r="B1171" i="21"/>
  <c r="D1171" i="21" s="1"/>
  <c r="E2388" i="21"/>
  <c r="G2388" i="21" s="1"/>
  <c r="I352" i="21"/>
  <c r="I264" i="21"/>
  <c r="D961" i="21"/>
  <c r="E1814" i="21"/>
  <c r="G1814" i="21" s="1"/>
  <c r="I288" i="21"/>
  <c r="E1822" i="21"/>
  <c r="G1822" i="21" s="1"/>
  <c r="D969" i="55"/>
  <c r="I358" i="21"/>
  <c r="D974" i="55"/>
  <c r="I83" i="21"/>
  <c r="I99" i="21"/>
  <c r="E1782" i="21"/>
  <c r="G1782" i="21" s="1"/>
  <c r="E1870" i="21"/>
  <c r="G1870" i="21" s="1"/>
  <c r="E1795" i="21"/>
  <c r="G1795" i="21" s="1"/>
  <c r="E1835" i="21"/>
  <c r="G1835" i="21" s="1"/>
  <c r="I19" i="21"/>
  <c r="I57" i="21"/>
  <c r="I43" i="21"/>
  <c r="I32" i="21"/>
  <c r="E2492" i="21"/>
  <c r="G2492" i="21" s="1"/>
  <c r="E2441" i="21"/>
  <c r="G2441" i="21" s="1"/>
  <c r="E2428" i="21"/>
  <c r="G2428" i="21" s="1"/>
  <c r="E2409" i="21"/>
  <c r="G2409" i="21" s="1"/>
  <c r="E2404" i="21"/>
  <c r="G2404" i="21" s="1"/>
  <c r="E2353" i="21"/>
  <c r="G2353" i="21" s="1"/>
  <c r="E2308" i="21"/>
  <c r="G2308" i="21" s="1"/>
  <c r="E2300" i="21"/>
  <c r="G2300" i="21" s="1"/>
  <c r="E2256" i="21"/>
  <c r="G2256" i="21" s="1"/>
  <c r="E2184" i="21"/>
  <c r="G2184" i="21" s="1"/>
  <c r="B1115" i="21"/>
  <c r="D1115" i="21" s="1"/>
  <c r="B1107" i="21"/>
  <c r="D1107" i="21" s="1"/>
  <c r="D1139" i="55"/>
  <c r="D1123" i="55"/>
  <c r="D3308" i="21"/>
  <c r="C1405" i="55"/>
  <c r="D1405" i="55" s="1"/>
  <c r="C1494" i="55"/>
  <c r="D1494" i="55" s="1"/>
  <c r="C1632" i="55"/>
  <c r="D1632" i="55" s="1"/>
  <c r="G724" i="55"/>
  <c r="C1600" i="55"/>
  <c r="D1600" i="55" s="1"/>
  <c r="D1657" i="55"/>
  <c r="C1641" i="55"/>
  <c r="D1641" i="55" s="1"/>
  <c r="C1575" i="55"/>
  <c r="D1575" i="55" s="1"/>
  <c r="D3272" i="21"/>
  <c r="D3150" i="21"/>
  <c r="C1469" i="55"/>
  <c r="D1469" i="55" s="1"/>
  <c r="C1510" i="55"/>
  <c r="D1510" i="55" s="1"/>
  <c r="C1486" i="55"/>
  <c r="D1486" i="55" s="1"/>
  <c r="C1584" i="55"/>
  <c r="D1584" i="55" s="1"/>
  <c r="C1678" i="55"/>
  <c r="D1678" i="55" s="1"/>
  <c r="I229" i="21"/>
  <c r="I317" i="21"/>
  <c r="I642" i="21"/>
  <c r="I284" i="21"/>
  <c r="G176" i="21"/>
  <c r="I176" i="21" s="1"/>
  <c r="D1012" i="21"/>
  <c r="D953" i="21"/>
  <c r="D945" i="21"/>
  <c r="D937" i="21"/>
  <c r="G157" i="21"/>
  <c r="I157" i="21" s="1"/>
  <c r="I312" i="21"/>
  <c r="I240" i="21"/>
  <c r="G348" i="21"/>
  <c r="I348" i="21" s="1"/>
  <c r="G329" i="21"/>
  <c r="I329" i="21" s="1"/>
  <c r="G332" i="21"/>
  <c r="I332" i="21" s="1"/>
  <c r="I160" i="21"/>
  <c r="I80" i="21"/>
  <c r="I96" i="21"/>
  <c r="I56" i="21"/>
  <c r="I396" i="21"/>
  <c r="I385" i="21"/>
  <c r="I209" i="21"/>
  <c r="I345" i="21"/>
  <c r="I604" i="21"/>
  <c r="I575" i="21"/>
  <c r="I562" i="21"/>
  <c r="K600" i="47"/>
  <c r="G600" i="47"/>
  <c r="I639" i="21"/>
  <c r="I695" i="21"/>
  <c r="I674" i="21"/>
  <c r="I476" i="21"/>
  <c r="I610" i="21"/>
  <c r="I451" i="21"/>
  <c r="I628" i="21"/>
  <c r="I666" i="21"/>
  <c r="I596" i="21"/>
  <c r="I706" i="21"/>
  <c r="I693" i="21"/>
  <c r="I504" i="21"/>
  <c r="I516" i="21"/>
  <c r="I409" i="21"/>
  <c r="I634" i="21"/>
  <c r="I485" i="21"/>
  <c r="I692" i="21"/>
  <c r="I629" i="21"/>
  <c r="I417" i="21"/>
  <c r="I580" i="21"/>
  <c r="I619" i="21"/>
  <c r="I641" i="21"/>
  <c r="I524" i="21"/>
  <c r="I627" i="21"/>
  <c r="F600" i="47"/>
  <c r="I482" i="21"/>
  <c r="I636" i="21"/>
  <c r="I523" i="21"/>
  <c r="I559" i="21"/>
  <c r="I479" i="21"/>
  <c r="I452" i="21"/>
  <c r="I411" i="21"/>
  <c r="I501" i="21"/>
  <c r="E616" i="55"/>
  <c r="G616" i="55" s="1"/>
  <c r="E600" i="55"/>
  <c r="G600" i="55" s="1"/>
  <c r="E584" i="55"/>
  <c r="G584" i="55" s="1"/>
  <c r="E568" i="55"/>
  <c r="G568" i="55" s="1"/>
  <c r="E552" i="55"/>
  <c r="G552" i="55" s="1"/>
  <c r="E536" i="55"/>
  <c r="G536" i="55" s="1"/>
  <c r="E515" i="55"/>
  <c r="G515" i="55" s="1"/>
  <c r="E417" i="55"/>
  <c r="G417" i="55" s="1"/>
  <c r="E608" i="55"/>
  <c r="G608" i="55" s="1"/>
  <c r="E592" i="55"/>
  <c r="G592" i="55" s="1"/>
  <c r="E576" i="55"/>
  <c r="G576" i="55" s="1"/>
  <c r="E560" i="55"/>
  <c r="G560" i="55" s="1"/>
  <c r="E544" i="55"/>
  <c r="G544" i="55" s="1"/>
  <c r="E475" i="55"/>
  <c r="G475" i="55" s="1"/>
  <c r="G126" i="21"/>
  <c r="I126" i="21" s="1"/>
  <c r="C20" i="58"/>
  <c r="H600" i="47"/>
  <c r="E32" i="58"/>
  <c r="L296" i="47"/>
  <c r="G394" i="21"/>
  <c r="I394" i="21" s="1"/>
  <c r="I277" i="21"/>
  <c r="I245" i="21"/>
  <c r="I373" i="21"/>
  <c r="I333" i="21"/>
  <c r="G60" i="21"/>
  <c r="I60" i="21" s="1"/>
  <c r="G214" i="21"/>
  <c r="I214" i="21" s="1"/>
  <c r="E27" i="58"/>
  <c r="G376" i="21"/>
  <c r="I376" i="21" s="1"/>
  <c r="G363" i="21"/>
  <c r="I363" i="21" s="1"/>
  <c r="G305" i="21"/>
  <c r="I305" i="21" s="1"/>
  <c r="G234" i="21"/>
  <c r="I234" i="21" s="1"/>
  <c r="I195" i="21"/>
  <c r="I372" i="21"/>
  <c r="I260" i="21"/>
  <c r="D600" i="47"/>
  <c r="G173" i="21"/>
  <c r="I173" i="21" s="1"/>
  <c r="G402" i="21"/>
  <c r="I402" i="21" s="1"/>
  <c r="E39" i="58"/>
  <c r="E33" i="58" s="1"/>
  <c r="I389" i="21"/>
  <c r="I192" i="21"/>
  <c r="I397" i="21"/>
  <c r="I293" i="21"/>
  <c r="I221" i="21"/>
  <c r="G37" i="21"/>
  <c r="I37" i="21" s="1"/>
  <c r="G49" i="21"/>
  <c r="I49" i="21" s="1"/>
  <c r="G227" i="21"/>
  <c r="I227" i="21" s="1"/>
  <c r="G187" i="21"/>
  <c r="I187" i="21" s="1"/>
  <c r="I600" i="47"/>
  <c r="G198" i="21"/>
  <c r="I198" i="21" s="1"/>
  <c r="G175" i="21"/>
  <c r="I175" i="21" s="1"/>
  <c r="G172" i="21"/>
  <c r="I172" i="21" s="1"/>
  <c r="G357" i="21"/>
  <c r="I357" i="21" s="1"/>
  <c r="G271" i="21"/>
  <c r="I271" i="21" s="1"/>
  <c r="G246" i="21"/>
  <c r="I246" i="21" s="1"/>
  <c r="G237" i="21"/>
  <c r="I237" i="21" s="1"/>
  <c r="E18" i="58"/>
  <c r="G249" i="21"/>
  <c r="I249" i="21" s="1"/>
  <c r="G359" i="21"/>
  <c r="I359" i="21" s="1"/>
  <c r="G356" i="21"/>
  <c r="I356" i="21" s="1"/>
  <c r="G350" i="21"/>
  <c r="I350" i="21" s="1"/>
  <c r="G331" i="21"/>
  <c r="I331" i="21" s="1"/>
  <c r="G321" i="21"/>
  <c r="I321" i="21" s="1"/>
  <c r="G286" i="21"/>
  <c r="I286" i="21" s="1"/>
  <c r="G269" i="21"/>
  <c r="I269" i="21" s="1"/>
  <c r="G252" i="21"/>
  <c r="I252" i="21" s="1"/>
  <c r="G242" i="21"/>
  <c r="I242" i="21" s="1"/>
  <c r="L104" i="47"/>
  <c r="E25" i="58"/>
  <c r="G184" i="21"/>
  <c r="I184" i="21" s="1"/>
  <c r="G224" i="21"/>
  <c r="I224" i="21" s="1"/>
  <c r="G202" i="21"/>
  <c r="I202" i="21" s="1"/>
  <c r="G365" i="21"/>
  <c r="I365" i="21" s="1"/>
  <c r="G313" i="21"/>
  <c r="I313" i="21" s="1"/>
  <c r="G301" i="21"/>
  <c r="I301" i="21" s="1"/>
  <c r="G292" i="21"/>
  <c r="I292" i="21" s="1"/>
  <c r="G257" i="21"/>
  <c r="I257" i="21" s="1"/>
  <c r="G247" i="21"/>
  <c r="I247" i="21" s="1"/>
  <c r="E13" i="58"/>
  <c r="E20" i="58"/>
  <c r="G174" i="21"/>
  <c r="I174" i="21" s="1"/>
  <c r="I335" i="21"/>
  <c r="I319" i="21"/>
  <c r="I287" i="21"/>
  <c r="I279" i="21"/>
  <c r="I239" i="21"/>
  <c r="G201" i="21"/>
  <c r="I201" i="21" s="1"/>
  <c r="E600" i="47"/>
  <c r="D1020" i="21"/>
  <c r="C1077" i="55"/>
  <c r="D1077" i="55" s="1"/>
  <c r="D1057" i="55"/>
  <c r="I178" i="21"/>
  <c r="I250" i="21"/>
  <c r="I165" i="21"/>
  <c r="D1282" i="55"/>
  <c r="D1274" i="55"/>
  <c r="D1266" i="55"/>
  <c r="D1258" i="55"/>
  <c r="D1080" i="55"/>
  <c r="I122" i="21"/>
  <c r="F222" i="21"/>
  <c r="I181" i="21"/>
  <c r="I197" i="21"/>
  <c r="I388" i="21"/>
  <c r="I225" i="21"/>
  <c r="I244" i="21"/>
  <c r="I399" i="21"/>
  <c r="I387" i="21"/>
  <c r="E2234" i="21"/>
  <c r="G2234" i="21" s="1"/>
  <c r="E2170" i="21"/>
  <c r="G2170" i="21" s="1"/>
  <c r="D1194" i="55"/>
  <c r="D1186" i="55"/>
  <c r="D1178" i="55"/>
  <c r="E1915" i="21"/>
  <c r="G1915" i="21" s="1"/>
  <c r="D948" i="21"/>
  <c r="D900" i="21"/>
  <c r="D892" i="21"/>
  <c r="D884" i="21"/>
  <c r="D876" i="21"/>
  <c r="E2258" i="21"/>
  <c r="G2258" i="21" s="1"/>
  <c r="E2186" i="21"/>
  <c r="G2186" i="21" s="1"/>
  <c r="E1913" i="21"/>
  <c r="G1913" i="21" s="1"/>
  <c r="I36" i="21"/>
  <c r="I61" i="21"/>
  <c r="I20" i="21"/>
  <c r="I44" i="21"/>
  <c r="I22" i="21"/>
  <c r="I117" i="21"/>
  <c r="I164" i="21"/>
  <c r="I108" i="21"/>
  <c r="I69" i="21"/>
  <c r="F451" i="21"/>
  <c r="F443" i="21"/>
  <c r="F435" i="21"/>
  <c r="B1180" i="21"/>
  <c r="D1180" i="21" s="1"/>
  <c r="F634" i="21"/>
  <c r="F498" i="21"/>
  <c r="F490" i="21"/>
  <c r="F482" i="21"/>
  <c r="F426" i="21"/>
  <c r="F418" i="21"/>
  <c r="F679" i="21"/>
  <c r="B1267" i="21"/>
  <c r="D1267" i="21" s="1"/>
  <c r="B1235" i="21"/>
  <c r="D1235" i="21" s="1"/>
  <c r="B1227" i="21"/>
  <c r="D1227" i="21" s="1"/>
  <c r="B1203" i="21"/>
  <c r="D1203" i="21" s="1"/>
  <c r="B1163" i="21"/>
  <c r="D1163" i="21" s="1"/>
  <c r="B1155" i="21"/>
  <c r="D1155" i="21" s="1"/>
  <c r="B1123" i="21"/>
  <c r="D1123" i="21" s="1"/>
  <c r="B1099" i="21"/>
  <c r="D1099" i="21" s="1"/>
  <c r="B1043" i="21"/>
  <c r="D1043" i="21" s="1"/>
  <c r="F553" i="21"/>
  <c r="F545" i="21"/>
  <c r="F537" i="21"/>
  <c r="F529" i="21"/>
  <c r="F513" i="21"/>
  <c r="F505" i="21"/>
  <c r="F489" i="21"/>
  <c r="F473" i="21"/>
  <c r="F465" i="21"/>
  <c r="F425" i="21"/>
  <c r="F417" i="21"/>
  <c r="F409" i="21"/>
  <c r="F686" i="21"/>
  <c r="F673" i="21"/>
  <c r="F656" i="21"/>
  <c r="F504" i="21"/>
  <c r="F488" i="21"/>
  <c r="F464" i="21"/>
  <c r="F456" i="21"/>
  <c r="F440" i="21"/>
  <c r="F423" i="21"/>
  <c r="F415" i="21"/>
  <c r="F407" i="21"/>
  <c r="F422" i="21"/>
  <c r="F414" i="21"/>
  <c r="F406" i="21"/>
  <c r="F715" i="21"/>
  <c r="F707" i="21"/>
  <c r="F691" i="21"/>
  <c r="F637" i="21"/>
  <c r="F429" i="21"/>
  <c r="F421" i="21"/>
  <c r="F413" i="21"/>
  <c r="B403" i="21"/>
  <c r="F698" i="21"/>
  <c r="F682" i="21"/>
  <c r="F678" i="21"/>
  <c r="F654" i="21"/>
  <c r="F646" i="21"/>
  <c r="F532" i="21"/>
  <c r="F524" i="21"/>
  <c r="F508" i="21"/>
  <c r="F500" i="21"/>
  <c r="F492" i="21"/>
  <c r="F484" i="21"/>
  <c r="F476" i="21"/>
  <c r="F468" i="21"/>
  <c r="F428" i="21"/>
  <c r="F412" i="21"/>
  <c r="F630" i="21"/>
  <c r="F622" i="21"/>
  <c r="F606" i="21"/>
  <c r="F590" i="21"/>
  <c r="F582" i="21"/>
  <c r="F566" i="21"/>
  <c r="F558" i="21"/>
  <c r="F542" i="21"/>
  <c r="F526" i="21"/>
  <c r="F510" i="21"/>
  <c r="F494" i="21"/>
  <c r="F486" i="21"/>
  <c r="F470" i="21"/>
  <c r="F446" i="21"/>
  <c r="F683" i="21"/>
  <c r="F677" i="21"/>
  <c r="F669" i="21"/>
  <c r="F653" i="21"/>
  <c r="F645" i="21"/>
  <c r="F629" i="21"/>
  <c r="F621" i="21"/>
  <c r="F613" i="21"/>
  <c r="F605" i="21"/>
  <c r="F597" i="21"/>
  <c r="F589" i="21"/>
  <c r="F581" i="21"/>
  <c r="F573" i="21"/>
  <c r="F565" i="21"/>
  <c r="F557" i="21"/>
  <c r="F549" i="21"/>
  <c r="F541" i="21"/>
  <c r="F533" i="21"/>
  <c r="F525" i="21"/>
  <c r="F517" i="21"/>
  <c r="F509" i="21"/>
  <c r="F501" i="21"/>
  <c r="F493" i="21"/>
  <c r="F485" i="21"/>
  <c r="F477" i="21"/>
  <c r="F469" i="21"/>
  <c r="F461" i="21"/>
  <c r="F453" i="21"/>
  <c r="F445" i="21"/>
  <c r="F437" i="21"/>
  <c r="F714" i="21"/>
  <c r="F670" i="21"/>
  <c r="F662" i="21"/>
  <c r="F676" i="21"/>
  <c r="F668" i="21"/>
  <c r="F660" i="21"/>
  <c r="F652" i="21"/>
  <c r="F644" i="21"/>
  <c r="F636" i="21"/>
  <c r="F628" i="21"/>
  <c r="F620" i="21"/>
  <c r="F612" i="21"/>
  <c r="F604" i="21"/>
  <c r="F596" i="21"/>
  <c r="F588" i="21"/>
  <c r="F580" i="21"/>
  <c r="F572" i="21"/>
  <c r="F564" i="21"/>
  <c r="F556" i="21"/>
  <c r="F548" i="21"/>
  <c r="F540" i="21"/>
  <c r="F452" i="21"/>
  <c r="F444" i="21"/>
  <c r="F436" i="21"/>
  <c r="E1242" i="46"/>
  <c r="F713" i="21"/>
  <c r="F697" i="21"/>
  <c r="F689" i="21"/>
  <c r="F681" i="21"/>
  <c r="F675" i="21"/>
  <c r="F667" i="21"/>
  <c r="F651" i="21"/>
  <c r="F643" i="21"/>
  <c r="F635" i="21"/>
  <c r="F627" i="21"/>
  <c r="F619" i="21"/>
  <c r="F611" i="21"/>
  <c r="F603" i="21"/>
  <c r="F595" i="21"/>
  <c r="F587" i="21"/>
  <c r="F579" i="21"/>
  <c r="F571" i="21"/>
  <c r="F563" i="21"/>
  <c r="F555" i="21"/>
  <c r="F547" i="21"/>
  <c r="F539" i="21"/>
  <c r="F531" i="21"/>
  <c r="F523" i="21"/>
  <c r="F515" i="21"/>
  <c r="F507" i="21"/>
  <c r="F499" i="21"/>
  <c r="F491" i="21"/>
  <c r="F483" i="21"/>
  <c r="F475" i="21"/>
  <c r="F467" i="21"/>
  <c r="F459" i="21"/>
  <c r="F712" i="21"/>
  <c r="F704" i="21"/>
  <c r="F696" i="21"/>
  <c r="F688" i="21"/>
  <c r="F680" i="21"/>
  <c r="F638" i="21"/>
  <c r="F614" i="21"/>
  <c r="F598" i="21"/>
  <c r="F574" i="21"/>
  <c r="F550" i="21"/>
  <c r="F534" i="21"/>
  <c r="F518" i="21"/>
  <c r="F502" i="21"/>
  <c r="F478" i="21"/>
  <c r="F462" i="21"/>
  <c r="F454" i="21"/>
  <c r="F438" i="21"/>
  <c r="F430" i="21"/>
  <c r="F674" i="21"/>
  <c r="F666" i="21"/>
  <c r="F642" i="21"/>
  <c r="F626" i="21"/>
  <c r="F618" i="21"/>
  <c r="F610" i="21"/>
  <c r="F602" i="21"/>
  <c r="F586" i="21"/>
  <c r="F578" i="21"/>
  <c r="F570" i="21"/>
  <c r="F562" i="21"/>
  <c r="F554" i="21"/>
  <c r="F546" i="21"/>
  <c r="F538" i="21"/>
  <c r="F530" i="21"/>
  <c r="F522" i="21"/>
  <c r="F514" i="21"/>
  <c r="F506" i="21"/>
  <c r="F474" i="21"/>
  <c r="F466" i="21"/>
  <c r="F458" i="21"/>
  <c r="F450" i="21"/>
  <c r="F442" i="21"/>
  <c r="F434" i="21"/>
  <c r="F711" i="21"/>
  <c r="F703" i="21"/>
  <c r="F695" i="21"/>
  <c r="F687" i="21"/>
  <c r="F641" i="21"/>
  <c r="F633" i="21"/>
  <c r="F625" i="21"/>
  <c r="F617" i="21"/>
  <c r="F609" i="21"/>
  <c r="F601" i="21"/>
  <c r="F593" i="21"/>
  <c r="F585" i="21"/>
  <c r="F577" i="21"/>
  <c r="F569" i="21"/>
  <c r="F449" i="21"/>
  <c r="F441" i="21"/>
  <c r="F433" i="21"/>
  <c r="F718" i="21"/>
  <c r="F710" i="21"/>
  <c r="F694" i="21"/>
  <c r="F671" i="21"/>
  <c r="F663" i="21"/>
  <c r="F655" i="21"/>
  <c r="F647" i="21"/>
  <c r="F639" i="21"/>
  <c r="F631" i="21"/>
  <c r="F623" i="21"/>
  <c r="F615" i="21"/>
  <c r="F607" i="21"/>
  <c r="F599" i="21"/>
  <c r="F591" i="21"/>
  <c r="F583" i="21"/>
  <c r="F575" i="21"/>
  <c r="F567" i="21"/>
  <c r="F559" i="21"/>
  <c r="F551" i="21"/>
  <c r="F543" i="21"/>
  <c r="F535" i="21"/>
  <c r="F527" i="21"/>
  <c r="F519" i="21"/>
  <c r="F511" i="21"/>
  <c r="F503" i="21"/>
  <c r="F495" i="21"/>
  <c r="F487" i="21"/>
  <c r="F479" i="21"/>
  <c r="F471" i="21"/>
  <c r="F463" i="21"/>
  <c r="F455" i="21"/>
  <c r="F447" i="21"/>
  <c r="F439" i="21"/>
  <c r="F431" i="21"/>
  <c r="F716" i="21"/>
  <c r="F708" i="21"/>
  <c r="F700" i="21"/>
  <c r="F692" i="21"/>
  <c r="F684" i="21"/>
  <c r="F699" i="21"/>
  <c r="F665" i="21"/>
  <c r="F672" i="21"/>
  <c r="F664" i="21"/>
  <c r="F640" i="21"/>
  <c r="F632" i="21"/>
  <c r="F624" i="21"/>
  <c r="F616" i="21"/>
  <c r="F608" i="21"/>
  <c r="F600" i="21"/>
  <c r="F592" i="21"/>
  <c r="F584" i="21"/>
  <c r="F576" i="21"/>
  <c r="F568" i="21"/>
  <c r="F560" i="21"/>
  <c r="F552" i="21"/>
  <c r="F544" i="21"/>
  <c r="F536" i="21"/>
  <c r="F528" i="21"/>
  <c r="F520" i="21"/>
  <c r="F512" i="21"/>
  <c r="F701" i="21"/>
  <c r="F693" i="21"/>
  <c r="F685" i="21"/>
  <c r="F286" i="21"/>
  <c r="I166" i="21"/>
  <c r="B1678" i="46"/>
  <c r="I391" i="21"/>
  <c r="I367" i="21"/>
  <c r="I231" i="21"/>
  <c r="I386" i="21"/>
  <c r="I369" i="21"/>
  <c r="I217" i="21"/>
  <c r="B1067" i="21"/>
  <c r="D1067" i="21" s="1"/>
  <c r="B1059" i="21"/>
  <c r="D1059" i="21" s="1"/>
  <c r="B1051" i="21"/>
  <c r="D1051" i="21" s="1"/>
  <c r="I241" i="21"/>
  <c r="B1035" i="21"/>
  <c r="D1035" i="21" s="1"/>
  <c r="I398" i="21"/>
  <c r="I374" i="21"/>
  <c r="I230" i="21"/>
  <c r="C1108" i="21"/>
  <c r="C1052" i="21"/>
  <c r="D1052" i="21" s="1"/>
  <c r="B1243" i="21"/>
  <c r="D1243" i="21" s="1"/>
  <c r="B1147" i="21"/>
  <c r="D1147" i="21" s="1"/>
  <c r="B1139" i="21"/>
  <c r="D1139" i="21" s="1"/>
  <c r="B1131" i="21"/>
  <c r="D1131" i="21" s="1"/>
  <c r="B1091" i="21"/>
  <c r="D1091" i="21" s="1"/>
  <c r="I351" i="21"/>
  <c r="I190" i="21"/>
  <c r="I204" i="21"/>
  <c r="I383" i="21"/>
  <c r="I326" i="21"/>
  <c r="I256" i="21"/>
  <c r="I215" i="21"/>
  <c r="I253" i="21"/>
  <c r="I327" i="21"/>
  <c r="B1219" i="21"/>
  <c r="D1219" i="21" s="1"/>
  <c r="B1211" i="21"/>
  <c r="D1211" i="21" s="1"/>
  <c r="B1083" i="21"/>
  <c r="D1083" i="21" s="1"/>
  <c r="I302" i="21"/>
  <c r="I222" i="21"/>
  <c r="B1104" i="21"/>
  <c r="D1104" i="21" s="1"/>
  <c r="B1116" i="21"/>
  <c r="D1116" i="21" s="1"/>
  <c r="B1036" i="21"/>
  <c r="D1036" i="21" s="1"/>
  <c r="I294" i="21"/>
  <c r="I325" i="21"/>
  <c r="I349" i="21"/>
  <c r="I377" i="21"/>
  <c r="C1044" i="21"/>
  <c r="D1044" i="21" s="1"/>
  <c r="B1220" i="21"/>
  <c r="D1220" i="21" s="1"/>
  <c r="B1212" i="21"/>
  <c r="D1212" i="21" s="1"/>
  <c r="B1156" i="21"/>
  <c r="D1156" i="21" s="1"/>
  <c r="I205" i="21"/>
  <c r="B1252" i="21"/>
  <c r="D1252" i="21" s="1"/>
  <c r="I196" i="21"/>
  <c r="I334" i="21"/>
  <c r="I238" i="21"/>
  <c r="I213" i="21"/>
  <c r="B1188" i="21"/>
  <c r="D1188" i="21" s="1"/>
  <c r="B1132" i="21"/>
  <c r="D1132" i="21" s="1"/>
  <c r="B1124" i="21"/>
  <c r="D1124" i="21" s="1"/>
  <c r="B1060" i="21"/>
  <c r="D1060" i="21" s="1"/>
  <c r="I318" i="21"/>
  <c r="I254" i="21"/>
  <c r="I390" i="21"/>
  <c r="I366" i="21"/>
  <c r="I258" i="21"/>
  <c r="B1092" i="21"/>
  <c r="D1092" i="21" s="1"/>
  <c r="C1188" i="55"/>
  <c r="D1188" i="55" s="1"/>
  <c r="D2925" i="21"/>
  <c r="I188" i="21"/>
  <c r="D1067" i="55"/>
  <c r="D1269" i="21"/>
  <c r="I155" i="21"/>
  <c r="B172" i="55"/>
  <c r="E172" i="55" s="1"/>
  <c r="G172" i="55" s="1"/>
  <c r="I233" i="21"/>
  <c r="I18" i="21"/>
  <c r="I78" i="21"/>
  <c r="D935" i="21"/>
  <c r="D931" i="21"/>
  <c r="D927" i="21"/>
  <c r="D923" i="21"/>
  <c r="D919" i="21"/>
  <c r="D915" i="21"/>
  <c r="D911" i="21"/>
  <c r="D907" i="21"/>
  <c r="D903" i="21"/>
  <c r="D899" i="21"/>
  <c r="D895" i="21"/>
  <c r="D891" i="21"/>
  <c r="D887" i="21"/>
  <c r="D883" i="21"/>
  <c r="D879" i="21"/>
  <c r="D875" i="21"/>
  <c r="D975" i="21"/>
  <c r="D967" i="21"/>
  <c r="D959" i="21"/>
  <c r="D951" i="21"/>
  <c r="D943" i="21"/>
  <c r="I98" i="21"/>
  <c r="I139" i="21"/>
  <c r="I114" i="21"/>
  <c r="I131" i="21"/>
  <c r="I35" i="21"/>
  <c r="I58" i="21"/>
  <c r="I27" i="21"/>
  <c r="I107" i="21"/>
  <c r="I26" i="21"/>
  <c r="I106" i="21"/>
  <c r="I67" i="21"/>
  <c r="I11" i="21"/>
  <c r="I147" i="21"/>
  <c r="I75" i="21"/>
  <c r="I50" i="21"/>
  <c r="I10" i="21"/>
  <c r="I146" i="21"/>
  <c r="I74" i="21"/>
  <c r="C1185" i="55"/>
  <c r="D1185" i="55" s="1"/>
  <c r="D2922" i="21"/>
  <c r="C1251" i="55"/>
  <c r="D1251" i="55" s="1"/>
  <c r="D2988" i="21"/>
  <c r="C1213" i="55"/>
  <c r="D1213" i="55" s="1"/>
  <c r="D2950" i="21"/>
  <c r="C1329" i="55"/>
  <c r="D1329" i="55" s="1"/>
  <c r="D3066" i="21"/>
  <c r="C1110" i="55"/>
  <c r="D1110" i="55" s="1"/>
  <c r="D2847" i="21"/>
  <c r="C1203" i="55"/>
  <c r="D1203" i="55" s="1"/>
  <c r="D2940" i="21"/>
  <c r="C1219" i="55"/>
  <c r="D1219" i="55" s="1"/>
  <c r="D2956" i="21"/>
  <c r="D937" i="55"/>
  <c r="D984" i="55"/>
  <c r="D977" i="55"/>
  <c r="I243" i="21"/>
  <c r="F318" i="21"/>
  <c r="E92" i="55"/>
  <c r="G92" i="55" s="1"/>
  <c r="I255" i="21"/>
  <c r="I182" i="21"/>
  <c r="I303" i="21"/>
  <c r="I362" i="21"/>
  <c r="I338" i="21"/>
  <c r="I330" i="21"/>
  <c r="I364" i="21"/>
  <c r="I179" i="21"/>
  <c r="D932" i="55"/>
  <c r="D1010" i="55"/>
  <c r="I360" i="21"/>
  <c r="D933" i="21"/>
  <c r="D929" i="21"/>
  <c r="D925" i="21"/>
  <c r="D921" i="21"/>
  <c r="D917" i="21"/>
  <c r="D913" i="21"/>
  <c r="D909" i="21"/>
  <c r="D905" i="21"/>
  <c r="D901" i="21"/>
  <c r="D897" i="21"/>
  <c r="D893" i="21"/>
  <c r="D889" i="21"/>
  <c r="D885" i="21"/>
  <c r="D881" i="21"/>
  <c r="D877" i="21"/>
  <c r="I171" i="21"/>
  <c r="D1017" i="21"/>
  <c r="D930" i="21"/>
  <c r="D1002" i="21"/>
  <c r="D978" i="21"/>
  <c r="D970" i="21"/>
  <c r="D962" i="21"/>
  <c r="D954" i="21"/>
  <c r="D946" i="21"/>
  <c r="D938" i="21"/>
  <c r="D1026" i="21"/>
  <c r="D973" i="21"/>
  <c r="D994" i="21"/>
  <c r="D986" i="21"/>
  <c r="D1018" i="21"/>
  <c r="D1010" i="21"/>
  <c r="D965" i="21"/>
  <c r="D957" i="21"/>
  <c r="D949" i="21"/>
  <c r="D941" i="21"/>
  <c r="D1005" i="21"/>
  <c r="D997" i="21"/>
  <c r="D989" i="21"/>
  <c r="D981" i="21"/>
  <c r="D1029" i="21"/>
  <c r="D1021" i="21"/>
  <c r="D1013" i="21"/>
  <c r="C1165" i="55"/>
  <c r="D1165" i="55" s="1"/>
  <c r="D2902" i="21"/>
  <c r="C1149" i="55"/>
  <c r="D1149" i="55" s="1"/>
  <c r="D2886" i="21"/>
  <c r="C1164" i="55"/>
  <c r="D1164" i="55" s="1"/>
  <c r="D2901" i="21"/>
  <c r="C1336" i="55"/>
  <c r="D1336" i="55" s="1"/>
  <c r="D3073" i="21"/>
  <c r="C1335" i="55"/>
  <c r="D1335" i="55" s="1"/>
  <c r="D3072" i="21"/>
  <c r="C1109" i="55"/>
  <c r="D1109" i="55" s="1"/>
  <c r="D2846" i="21"/>
  <c r="C1297" i="55"/>
  <c r="D1297" i="55" s="1"/>
  <c r="D3034" i="21"/>
  <c r="C1137" i="55"/>
  <c r="D1137" i="55" s="1"/>
  <c r="D2874" i="21"/>
  <c r="C1121" i="55"/>
  <c r="D1121" i="55" s="1"/>
  <c r="D2858" i="21"/>
  <c r="C1107" i="55"/>
  <c r="D1107" i="55" s="1"/>
  <c r="D2844" i="21"/>
  <c r="C1303" i="55"/>
  <c r="D1303" i="55" s="1"/>
  <c r="D3040" i="21"/>
  <c r="C1288" i="55"/>
  <c r="D1288" i="55" s="1"/>
  <c r="D3025" i="21"/>
  <c r="D3002" i="21"/>
  <c r="C1265" i="55"/>
  <c r="D1265" i="55" s="1"/>
  <c r="C1235" i="55"/>
  <c r="D1235" i="55" s="1"/>
  <c r="D2972" i="21"/>
  <c r="I180" i="21"/>
  <c r="D1175" i="55"/>
  <c r="D1151" i="55"/>
  <c r="E1900" i="21"/>
  <c r="G1900" i="21" s="1"/>
  <c r="C964" i="55"/>
  <c r="D964" i="55" s="1"/>
  <c r="D931" i="55"/>
  <c r="D1007" i="21"/>
  <c r="D999" i="21"/>
  <c r="D991" i="21"/>
  <c r="D983" i="21"/>
  <c r="D2727" i="21"/>
  <c r="H7" i="21"/>
  <c r="D1214" i="55"/>
  <c r="D1280" i="55"/>
  <c r="D1215" i="55"/>
  <c r="D1209" i="55"/>
  <c r="E1868" i="21"/>
  <c r="G1868" i="21" s="1"/>
  <c r="E1788" i="21"/>
  <c r="G1788" i="21" s="1"/>
  <c r="D1159" i="55"/>
  <c r="D1135" i="55"/>
  <c r="D1129" i="55"/>
  <c r="D1105" i="55"/>
  <c r="F247" i="21"/>
  <c r="I380" i="21"/>
  <c r="I337" i="21"/>
  <c r="I316" i="21"/>
  <c r="I285" i="21"/>
  <c r="I378" i="21"/>
  <c r="I370" i="21"/>
  <c r="I314" i="21"/>
  <c r="I306" i="21"/>
  <c r="I290" i="21"/>
  <c r="I274" i="21"/>
  <c r="I169" i="21"/>
  <c r="D1231" i="55"/>
  <c r="D1225" i="55"/>
  <c r="D1127" i="55"/>
  <c r="E2479" i="21"/>
  <c r="G2479" i="21" s="1"/>
  <c r="E2503" i="21"/>
  <c r="G2503" i="21" s="1"/>
  <c r="E2439" i="21"/>
  <c r="G2439" i="21" s="1"/>
  <c r="E2407" i="21"/>
  <c r="G2407" i="21" s="1"/>
  <c r="E2375" i="21"/>
  <c r="G2375" i="21" s="1"/>
  <c r="E2351" i="21"/>
  <c r="G2351" i="21" s="1"/>
  <c r="E2311" i="21"/>
  <c r="G2311" i="21" s="1"/>
  <c r="E2279" i="21"/>
  <c r="G2279" i="21" s="1"/>
  <c r="E2156" i="21"/>
  <c r="G2156" i="21" s="1"/>
  <c r="E2495" i="21"/>
  <c r="G2495" i="21" s="1"/>
  <c r="E2471" i="21"/>
  <c r="G2471" i="21" s="1"/>
  <c r="E2431" i="21"/>
  <c r="G2431" i="21" s="1"/>
  <c r="E2463" i="21"/>
  <c r="G2463" i="21" s="1"/>
  <c r="E2412" i="21"/>
  <c r="G2412" i="21" s="1"/>
  <c r="E2400" i="21"/>
  <c r="G2400" i="21" s="1"/>
  <c r="E2368" i="21"/>
  <c r="G2368" i="21" s="1"/>
  <c r="E2356" i="21"/>
  <c r="G2356" i="21" s="1"/>
  <c r="E2337" i="21"/>
  <c r="G2337" i="21" s="1"/>
  <c r="E2303" i="21"/>
  <c r="G2303" i="21" s="1"/>
  <c r="E2296" i="21"/>
  <c r="G2296" i="21" s="1"/>
  <c r="E2272" i="21"/>
  <c r="G2272" i="21" s="1"/>
  <c r="E2252" i="21"/>
  <c r="G2252" i="21" s="1"/>
  <c r="E2245" i="21"/>
  <c r="G2245" i="21" s="1"/>
  <c r="E2239" i="21"/>
  <c r="G2239" i="21" s="1"/>
  <c r="E2218" i="21"/>
  <c r="G2218" i="21" s="1"/>
  <c r="E2212" i="21"/>
  <c r="G2212" i="21" s="1"/>
  <c r="E2162" i="21"/>
  <c r="G2162" i="21" s="1"/>
  <c r="E2399" i="21"/>
  <c r="G2399" i="21" s="1"/>
  <c r="E2367" i="21"/>
  <c r="G2367" i="21" s="1"/>
  <c r="E2343" i="21"/>
  <c r="G2343" i="21" s="1"/>
  <c r="E2277" i="21"/>
  <c r="G2277" i="21" s="1"/>
  <c r="E2152" i="21"/>
  <c r="G2152" i="21" s="1"/>
  <c r="E2487" i="21"/>
  <c r="G2487" i="21" s="1"/>
  <c r="E2455" i="21"/>
  <c r="G2455" i="21" s="1"/>
  <c r="E2423" i="21"/>
  <c r="G2423" i="21" s="1"/>
  <c r="E2335" i="21"/>
  <c r="G2335" i="21" s="1"/>
  <c r="E2295" i="21"/>
  <c r="G2295" i="21" s="1"/>
  <c r="E771" i="55"/>
  <c r="G771" i="55" s="1"/>
  <c r="E755" i="55"/>
  <c r="G755" i="55" s="1"/>
  <c r="E739" i="55"/>
  <c r="G739" i="55" s="1"/>
  <c r="E723" i="55"/>
  <c r="G723" i="55" s="1"/>
  <c r="E707" i="55"/>
  <c r="G707" i="55" s="1"/>
  <c r="E691" i="55"/>
  <c r="G691" i="55" s="1"/>
  <c r="E675" i="55"/>
  <c r="G675" i="55" s="1"/>
  <c r="E659" i="55"/>
  <c r="G659" i="55" s="1"/>
  <c r="E643" i="55"/>
  <c r="G643" i="55" s="1"/>
  <c r="E627" i="55"/>
  <c r="G627" i="55" s="1"/>
  <c r="G575" i="55"/>
  <c r="G654" i="55"/>
  <c r="E614" i="55"/>
  <c r="G614" i="55" s="1"/>
  <c r="E598" i="55"/>
  <c r="G598" i="55" s="1"/>
  <c r="E582" i="55"/>
  <c r="G582" i="55" s="1"/>
  <c r="E566" i="55"/>
  <c r="G566" i="55" s="1"/>
  <c r="E550" i="55"/>
  <c r="G550" i="55" s="1"/>
  <c r="E534" i="55"/>
  <c r="G534" i="55" s="1"/>
  <c r="K29" i="58"/>
  <c r="E605" i="55"/>
  <c r="G605" i="55" s="1"/>
  <c r="E589" i="55"/>
  <c r="G589" i="55" s="1"/>
  <c r="E573" i="55"/>
  <c r="G573" i="55" s="1"/>
  <c r="E557" i="55"/>
  <c r="G557" i="55" s="1"/>
  <c r="E541" i="55"/>
  <c r="G541" i="55" s="1"/>
  <c r="E525" i="55"/>
  <c r="G525" i="55" s="1"/>
  <c r="E509" i="55"/>
  <c r="G509" i="55" s="1"/>
  <c r="E493" i="55"/>
  <c r="G493" i="55" s="1"/>
  <c r="G716" i="55"/>
  <c r="G740" i="55"/>
  <c r="G709" i="55"/>
  <c r="E477" i="55"/>
  <c r="G477" i="55" s="1"/>
  <c r="E461" i="55"/>
  <c r="G461" i="55" s="1"/>
  <c r="E445" i="55"/>
  <c r="G445" i="55" s="1"/>
  <c r="E429" i="55"/>
  <c r="G429" i="55" s="1"/>
  <c r="E779" i="55"/>
  <c r="G779" i="55" s="1"/>
  <c r="E763" i="55"/>
  <c r="G763" i="55" s="1"/>
  <c r="E747" i="55"/>
  <c r="G747" i="55" s="1"/>
  <c r="E731" i="55"/>
  <c r="G731" i="55" s="1"/>
  <c r="E715" i="55"/>
  <c r="G715" i="55" s="1"/>
  <c r="E699" i="55"/>
  <c r="G699" i="55" s="1"/>
  <c r="E683" i="55"/>
  <c r="G683" i="55" s="1"/>
  <c r="E667" i="55"/>
  <c r="G667" i="55" s="1"/>
  <c r="E651" i="55"/>
  <c r="G651" i="55" s="1"/>
  <c r="E635" i="55"/>
  <c r="G635" i="55" s="1"/>
  <c r="E581" i="55"/>
  <c r="G581" i="55" s="1"/>
  <c r="E565" i="55"/>
  <c r="G565" i="55" s="1"/>
  <c r="E549" i="55"/>
  <c r="G549" i="55" s="1"/>
  <c r="E533" i="55"/>
  <c r="G533" i="55" s="1"/>
  <c r="E517" i="55"/>
  <c r="E501" i="55"/>
  <c r="G501" i="55" s="1"/>
  <c r="E485" i="55"/>
  <c r="G485" i="55" s="1"/>
  <c r="G520" i="55"/>
  <c r="E469" i="55"/>
  <c r="G469" i="55" s="1"/>
  <c r="E453" i="55"/>
  <c r="G453" i="55" s="1"/>
  <c r="E437" i="55"/>
  <c r="G437" i="55" s="1"/>
  <c r="E421" i="55"/>
  <c r="G421" i="55" s="1"/>
  <c r="D2660" i="21"/>
  <c r="E198" i="55"/>
  <c r="G198" i="55" s="1"/>
  <c r="E254" i="55"/>
  <c r="G254" i="55" s="1"/>
  <c r="E222" i="55"/>
  <c r="G222" i="55" s="1"/>
  <c r="E302" i="55"/>
  <c r="G302" i="55" s="1"/>
  <c r="J27" i="60"/>
  <c r="E392" i="55"/>
  <c r="G392" i="55" s="1"/>
  <c r="E248" i="55"/>
  <c r="G248" i="55" s="1"/>
  <c r="H28" i="60"/>
  <c r="E296" i="55"/>
  <c r="G296" i="55" s="1"/>
  <c r="E288" i="55"/>
  <c r="G288" i="55" s="1"/>
  <c r="E1893" i="21"/>
  <c r="G1893" i="21" s="1"/>
  <c r="E1904" i="21"/>
  <c r="G1904" i="21" s="1"/>
  <c r="C1744" i="21"/>
  <c r="E1797" i="21"/>
  <c r="G1797" i="21" s="1"/>
  <c r="E1845" i="21"/>
  <c r="G1845" i="21" s="1"/>
  <c r="E1749" i="21"/>
  <c r="G1749" i="21" s="1"/>
  <c r="E78" i="55"/>
  <c r="G78" i="55" s="1"/>
  <c r="E146" i="55"/>
  <c r="E1757" i="21"/>
  <c r="G1757" i="21" s="1"/>
  <c r="E1861" i="21"/>
  <c r="G1861" i="21" s="1"/>
  <c r="E1756" i="21"/>
  <c r="G1756" i="21" s="1"/>
  <c r="E1796" i="21"/>
  <c r="G1796" i="21" s="1"/>
  <c r="E1892" i="21"/>
  <c r="G1892" i="21" s="1"/>
  <c r="E68" i="55"/>
  <c r="G68" i="55" s="1"/>
  <c r="E1765" i="21"/>
  <c r="G1765" i="21" s="1"/>
  <c r="E1813" i="21"/>
  <c r="G1813" i="21" s="1"/>
  <c r="E1869" i="21"/>
  <c r="G1869" i="21" s="1"/>
  <c r="E1899" i="21"/>
  <c r="G1899" i="21" s="1"/>
  <c r="E1804" i="21"/>
  <c r="G1804" i="21" s="1"/>
  <c r="E1844" i="21"/>
  <c r="G1844" i="21" s="1"/>
  <c r="E1909" i="21"/>
  <c r="G1909" i="21" s="1"/>
  <c r="E1745" i="21"/>
  <c r="G1745" i="21" s="1"/>
  <c r="E1773" i="21"/>
  <c r="G1773" i="21" s="1"/>
  <c r="E1821" i="21"/>
  <c r="G1821" i="21" s="1"/>
  <c r="E1876" i="21"/>
  <c r="G1876" i="21" s="1"/>
  <c r="E1764" i="21"/>
  <c r="G1764" i="21" s="1"/>
  <c r="E1852" i="21"/>
  <c r="G1852" i="21" s="1"/>
  <c r="E1829" i="21"/>
  <c r="G1829" i="21" s="1"/>
  <c r="E1877" i="21"/>
  <c r="G1877" i="21" s="1"/>
  <c r="E1772" i="21"/>
  <c r="G1772" i="21" s="1"/>
  <c r="E1812" i="21"/>
  <c r="G1812" i="21" s="1"/>
  <c r="G26" i="60"/>
  <c r="E134" i="55"/>
  <c r="G134" i="55" s="1"/>
  <c r="E1781" i="21"/>
  <c r="G1781" i="21" s="1"/>
  <c r="E1837" i="21"/>
  <c r="G1837" i="21" s="1"/>
  <c r="E1885" i="21"/>
  <c r="G1885" i="21" s="1"/>
  <c r="E1820" i="21"/>
  <c r="G1820" i="21" s="1"/>
  <c r="E1860" i="21"/>
  <c r="G1860" i="21" s="1"/>
  <c r="E1789" i="21"/>
  <c r="G1789" i="21" s="1"/>
  <c r="E1780" i="21"/>
  <c r="G1780" i="21" s="1"/>
  <c r="E190" i="55"/>
  <c r="G190" i="55" s="1"/>
  <c r="E246" i="55"/>
  <c r="G246" i="55" s="1"/>
  <c r="E310" i="55"/>
  <c r="G310" i="55" s="1"/>
  <c r="E376" i="55"/>
  <c r="G376" i="55" s="1"/>
  <c r="E398" i="55"/>
  <c r="G398" i="55" s="1"/>
  <c r="E328" i="55"/>
  <c r="G328" i="55" s="1"/>
  <c r="E334" i="55"/>
  <c r="G334" i="55" s="1"/>
  <c r="B2823" i="19"/>
  <c r="E408" i="55"/>
  <c r="G408" i="55" s="1"/>
  <c r="E280" i="55"/>
  <c r="G280" i="55" s="1"/>
  <c r="E382" i="55"/>
  <c r="G382" i="55" s="1"/>
  <c r="E374" i="55"/>
  <c r="G374" i="55" s="1"/>
  <c r="E344" i="55"/>
  <c r="G344" i="55" s="1"/>
  <c r="E406" i="55"/>
  <c r="G406" i="55" s="1"/>
  <c r="E312" i="55"/>
  <c r="G312" i="55" s="1"/>
  <c r="E240" i="55"/>
  <c r="G240" i="55" s="1"/>
  <c r="E262" i="55"/>
  <c r="G262" i="55" s="1"/>
  <c r="E320" i="55"/>
  <c r="G320" i="55" s="1"/>
  <c r="E342" i="55"/>
  <c r="G342" i="55" s="1"/>
  <c r="E352" i="55"/>
  <c r="G352" i="55" s="1"/>
  <c r="E366" i="55"/>
  <c r="G366" i="55" s="1"/>
  <c r="E188" i="55"/>
  <c r="G188" i="55" s="1"/>
  <c r="E264" i="55"/>
  <c r="G264" i="55" s="1"/>
  <c r="E200" i="55"/>
  <c r="G200" i="55" s="1"/>
  <c r="E208" i="55"/>
  <c r="G208" i="55" s="1"/>
  <c r="E336" i="55"/>
  <c r="G336" i="55" s="1"/>
  <c r="E368" i="55"/>
  <c r="G368" i="55" s="1"/>
  <c r="E390" i="55"/>
  <c r="G390" i="55" s="1"/>
  <c r="E230" i="55"/>
  <c r="G230" i="55" s="1"/>
  <c r="G403" i="55"/>
  <c r="E2415" i="21"/>
  <c r="G2415" i="21" s="1"/>
  <c r="E2408" i="21"/>
  <c r="G2408" i="21" s="1"/>
  <c r="E2396" i="21"/>
  <c r="G2396" i="21" s="1"/>
  <c r="E2383" i="21"/>
  <c r="G2383" i="21" s="1"/>
  <c r="E2376" i="21"/>
  <c r="G2376" i="21" s="1"/>
  <c r="E2370" i="21"/>
  <c r="G2370" i="21" s="1"/>
  <c r="E2364" i="21"/>
  <c r="G2364" i="21" s="1"/>
  <c r="E2340" i="21"/>
  <c r="G2340" i="21" s="1"/>
  <c r="E2319" i="21"/>
  <c r="G2319" i="21" s="1"/>
  <c r="E2312" i="21"/>
  <c r="G2312" i="21" s="1"/>
  <c r="E2306" i="21"/>
  <c r="G2306" i="21" s="1"/>
  <c r="E2298" i="21"/>
  <c r="G2298" i="21" s="1"/>
  <c r="E2287" i="21"/>
  <c r="G2287" i="21" s="1"/>
  <c r="E2280" i="21"/>
  <c r="G2280" i="21" s="1"/>
  <c r="E2274" i="21"/>
  <c r="G2274" i="21" s="1"/>
  <c r="E2208" i="21"/>
  <c r="G2208" i="21" s="1"/>
  <c r="E2202" i="21"/>
  <c r="G2202" i="21" s="1"/>
  <c r="E2176" i="21"/>
  <c r="G2176" i="21" s="1"/>
  <c r="D3141" i="21"/>
  <c r="D3230" i="21"/>
  <c r="D3295" i="21"/>
  <c r="D3426" i="21"/>
  <c r="C1664" i="55"/>
  <c r="D1664" i="55" s="1"/>
  <c r="D3093" i="21"/>
  <c r="C1372" i="55"/>
  <c r="D1372" i="55" s="1"/>
  <c r="D3279" i="21"/>
  <c r="C1444" i="55"/>
  <c r="D1444" i="55" s="1"/>
  <c r="D3085" i="21"/>
  <c r="C1526" i="55"/>
  <c r="D1526" i="55" s="1"/>
  <c r="D3117" i="21"/>
  <c r="C1436" i="55"/>
  <c r="D1436" i="55" s="1"/>
  <c r="C1428" i="55"/>
  <c r="D1428" i="55" s="1"/>
  <c r="D3393" i="21"/>
  <c r="D3149" i="21"/>
  <c r="C1509" i="55"/>
  <c r="D1509" i="55" s="1"/>
  <c r="C1476" i="55"/>
  <c r="D1476" i="55" s="1"/>
  <c r="D3101" i="21"/>
  <c r="D3125" i="21"/>
  <c r="D3418" i="21"/>
  <c r="D3077" i="21"/>
  <c r="E620" i="55"/>
  <c r="G620" i="55" s="1"/>
  <c r="E604" i="55"/>
  <c r="G604" i="55" s="1"/>
  <c r="E588" i="55"/>
  <c r="G588" i="55" s="1"/>
  <c r="E572" i="55"/>
  <c r="G572" i="55" s="1"/>
  <c r="E556" i="55"/>
  <c r="G556" i="55" s="1"/>
  <c r="G456" i="55"/>
  <c r="E416" i="55"/>
  <c r="G416" i="55" s="1"/>
  <c r="E607" i="55"/>
  <c r="G607" i="55" s="1"/>
  <c r="E597" i="55"/>
  <c r="G597" i="55" s="1"/>
  <c r="E591" i="55"/>
  <c r="G591" i="55" s="1"/>
  <c r="E595" i="55"/>
  <c r="G595" i="55" s="1"/>
  <c r="E2271" i="21"/>
  <c r="G2271" i="21" s="1"/>
  <c r="E2332" i="21"/>
  <c r="G2332" i="21" s="1"/>
  <c r="E2268" i="21"/>
  <c r="G2268" i="21" s="1"/>
  <c r="E2247" i="21"/>
  <c r="G2247" i="21" s="1"/>
  <c r="E2228" i="21"/>
  <c r="G2228" i="21" s="1"/>
  <c r="E2196" i="21"/>
  <c r="G2196" i="21" s="1"/>
  <c r="E2292" i="21"/>
  <c r="G2292" i="21" s="1"/>
  <c r="E2220" i="21"/>
  <c r="G2220" i="21" s="1"/>
  <c r="E2207" i="21"/>
  <c r="G2207" i="21" s="1"/>
  <c r="E778" i="55"/>
  <c r="G778" i="55" s="1"/>
  <c r="E762" i="55"/>
  <c r="G762" i="55" s="1"/>
  <c r="E746" i="55"/>
  <c r="G746" i="55" s="1"/>
  <c r="E730" i="55"/>
  <c r="G730" i="55" s="1"/>
  <c r="E714" i="55"/>
  <c r="G714" i="55" s="1"/>
  <c r="E698" i="55"/>
  <c r="G698" i="55" s="1"/>
  <c r="E682" i="55"/>
  <c r="G682" i="55" s="1"/>
  <c r="E666" i="55"/>
  <c r="G666" i="55" s="1"/>
  <c r="E650" i="55"/>
  <c r="G650" i="55" s="1"/>
  <c r="E634" i="55"/>
  <c r="G634" i="55" s="1"/>
  <c r="E540" i="55"/>
  <c r="G540" i="55" s="1"/>
  <c r="E524" i="55"/>
  <c r="G524" i="55" s="1"/>
  <c r="E508" i="55"/>
  <c r="G508" i="55" s="1"/>
  <c r="E492" i="55"/>
  <c r="G492" i="55" s="1"/>
  <c r="E458" i="55"/>
  <c r="G458" i="55" s="1"/>
  <c r="E426" i="55"/>
  <c r="G426" i="55" s="1"/>
  <c r="E476" i="55"/>
  <c r="G476" i="55" s="1"/>
  <c r="E460" i="55"/>
  <c r="G460" i="55" s="1"/>
  <c r="E612" i="55"/>
  <c r="G612" i="55" s="1"/>
  <c r="E596" i="55"/>
  <c r="G596" i="55" s="1"/>
  <c r="E580" i="55"/>
  <c r="G580" i="55" s="1"/>
  <c r="E564" i="55"/>
  <c r="G564" i="55" s="1"/>
  <c r="E548" i="55"/>
  <c r="G548" i="55" s="1"/>
  <c r="E444" i="55"/>
  <c r="G444" i="55" s="1"/>
  <c r="E428" i="55"/>
  <c r="E770" i="55"/>
  <c r="G770" i="55" s="1"/>
  <c r="E754" i="55"/>
  <c r="G754" i="55" s="1"/>
  <c r="E738" i="55"/>
  <c r="G738" i="55" s="1"/>
  <c r="E722" i="55"/>
  <c r="G722" i="55" s="1"/>
  <c r="E706" i="55"/>
  <c r="G706" i="55" s="1"/>
  <c r="E690" i="55"/>
  <c r="G690" i="55" s="1"/>
  <c r="E674" i="55"/>
  <c r="G674" i="55" s="1"/>
  <c r="E658" i="55"/>
  <c r="G658" i="55" s="1"/>
  <c r="E642" i="55"/>
  <c r="G642" i="55" s="1"/>
  <c r="E532" i="55"/>
  <c r="G532" i="55" s="1"/>
  <c r="E626" i="55"/>
  <c r="G626" i="55" s="1"/>
  <c r="E516" i="55"/>
  <c r="G516" i="55" s="1"/>
  <c r="E500" i="55"/>
  <c r="G500" i="55" s="1"/>
  <c r="E484" i="55"/>
  <c r="G484" i="55" s="1"/>
  <c r="E468" i="55"/>
  <c r="G468" i="55" s="1"/>
  <c r="E2384" i="21"/>
  <c r="G2384" i="21" s="1"/>
  <c r="E2377" i="21"/>
  <c r="G2377" i="21" s="1"/>
  <c r="E2359" i="21"/>
  <c r="G2359" i="21" s="1"/>
  <c r="E2352" i="21"/>
  <c r="G2352" i="21" s="1"/>
  <c r="E2346" i="21"/>
  <c r="G2346" i="21" s="1"/>
  <c r="E2313" i="21"/>
  <c r="G2313" i="21" s="1"/>
  <c r="E2281" i="21"/>
  <c r="G2281" i="21" s="1"/>
  <c r="E2263" i="21"/>
  <c r="G2263" i="21" s="1"/>
  <c r="E2255" i="21"/>
  <c r="G2255" i="21" s="1"/>
  <c r="E2248" i="21"/>
  <c r="G2248" i="21" s="1"/>
  <c r="E2242" i="21"/>
  <c r="G2242" i="21" s="1"/>
  <c r="E2215" i="21"/>
  <c r="G2215" i="21" s="1"/>
  <c r="E2209" i="21"/>
  <c r="G2209" i="21" s="1"/>
  <c r="E2183" i="21"/>
  <c r="G2183" i="21" s="1"/>
  <c r="E2177" i="21"/>
  <c r="G2177" i="21" s="1"/>
  <c r="E2159" i="21"/>
  <c r="G2159" i="21" s="1"/>
  <c r="E2153" i="21"/>
  <c r="G2153" i="21" s="1"/>
  <c r="E2232" i="21"/>
  <c r="G2232" i="21" s="1"/>
  <c r="E2200" i="21"/>
  <c r="G2200" i="21" s="1"/>
  <c r="E2168" i="21"/>
  <c r="G2168" i="21" s="1"/>
  <c r="E2192" i="21"/>
  <c r="G2192" i="21" s="1"/>
  <c r="E2160" i="21"/>
  <c r="G2160" i="21" s="1"/>
  <c r="H167" i="21"/>
  <c r="F332" i="21"/>
  <c r="F316" i="21"/>
  <c r="I298" i="21"/>
  <c r="I322" i="21"/>
  <c r="I354" i="21"/>
  <c r="I382" i="21"/>
  <c r="D3237" i="21"/>
  <c r="C1467" i="55"/>
  <c r="D1467" i="55" s="1"/>
  <c r="G692" i="55"/>
  <c r="D3253" i="21"/>
  <c r="C1347" i="55"/>
  <c r="D1347" i="55" s="1"/>
  <c r="C1614" i="55"/>
  <c r="D1614" i="55" s="1"/>
  <c r="D3229" i="21"/>
  <c r="D3180" i="21"/>
  <c r="D3100" i="21"/>
  <c r="D3140" i="21"/>
  <c r="C1484" i="55"/>
  <c r="D1484" i="55" s="1"/>
  <c r="D3270" i="21"/>
  <c r="D3172" i="21"/>
  <c r="C1541" i="55"/>
  <c r="D1541" i="55" s="1"/>
  <c r="C1565" i="55"/>
  <c r="D1565" i="55" s="1"/>
  <c r="D3124" i="21"/>
  <c r="D3425" i="21"/>
  <c r="C1355" i="55"/>
  <c r="D1355" i="55" s="1"/>
  <c r="C1680" i="55"/>
  <c r="D1680" i="55" s="1"/>
  <c r="C1508" i="55"/>
  <c r="D1508" i="55" s="1"/>
  <c r="F262" i="21"/>
  <c r="F231" i="21"/>
  <c r="F367" i="21"/>
  <c r="F230" i="21"/>
  <c r="F348" i="21"/>
  <c r="K77" i="58"/>
  <c r="C27" i="58"/>
  <c r="D934" i="21"/>
  <c r="D926" i="21"/>
  <c r="D918" i="21"/>
  <c r="D910" i="21"/>
  <c r="D902" i="21"/>
  <c r="D894" i="21"/>
  <c r="D886" i="21"/>
  <c r="D878" i="21"/>
  <c r="K16" i="58"/>
  <c r="D1006" i="21"/>
  <c r="D998" i="21"/>
  <c r="D990" i="21"/>
  <c r="D982" i="21"/>
  <c r="D974" i="21"/>
  <c r="D966" i="21"/>
  <c r="D958" i="21"/>
  <c r="D950" i="21"/>
  <c r="D942" i="21"/>
  <c r="D1030" i="21"/>
  <c r="D1022" i="21"/>
  <c r="D1014" i="21"/>
  <c r="G28" i="21"/>
  <c r="I28" i="21" s="1"/>
  <c r="K56" i="58"/>
  <c r="K51" i="58"/>
  <c r="K86" i="58"/>
  <c r="G120" i="21"/>
  <c r="I120" i="21" s="1"/>
  <c r="B1258" i="21"/>
  <c r="D1258" i="21" s="1"/>
  <c r="B1250" i="21"/>
  <c r="D1250" i="21" s="1"/>
  <c r="B1242" i="21"/>
  <c r="D1242" i="21" s="1"/>
  <c r="B1218" i="21"/>
  <c r="D1218" i="21" s="1"/>
  <c r="B1210" i="21"/>
  <c r="D1210" i="21" s="1"/>
  <c r="B1194" i="21"/>
  <c r="D1194" i="21" s="1"/>
  <c r="B1186" i="21"/>
  <c r="D1186" i="21" s="1"/>
  <c r="B1178" i="21"/>
  <c r="D1178" i="21" s="1"/>
  <c r="B1162" i="21"/>
  <c r="D1162" i="21" s="1"/>
  <c r="B1154" i="21"/>
  <c r="D1154" i="21" s="1"/>
  <c r="B1130" i="21"/>
  <c r="D1130" i="21" s="1"/>
  <c r="B1114" i="21"/>
  <c r="D1114" i="21" s="1"/>
  <c r="B1098" i="21"/>
  <c r="D1098" i="21" s="1"/>
  <c r="B1090" i="21"/>
  <c r="D1090" i="21" s="1"/>
  <c r="B1066" i="21"/>
  <c r="D1066" i="21" s="1"/>
  <c r="B1058" i="21"/>
  <c r="D1058" i="21" s="1"/>
  <c r="B1050" i="21"/>
  <c r="D1050" i="21" s="1"/>
  <c r="F398" i="21"/>
  <c r="B1096" i="21"/>
  <c r="B1040" i="21"/>
  <c r="D1054" i="21"/>
  <c r="F342" i="21"/>
  <c r="E168" i="46"/>
  <c r="E8" i="46"/>
  <c r="B873" i="21" s="1"/>
  <c r="D873" i="21" s="1"/>
  <c r="E1558" i="46"/>
  <c r="C1678" i="46"/>
  <c r="O37" i="52" s="1"/>
  <c r="D1678" i="46"/>
  <c r="C25" i="58"/>
  <c r="C18" i="58"/>
  <c r="I61" i="58"/>
  <c r="K71" i="58"/>
  <c r="K48" i="58"/>
  <c r="K73" i="58"/>
  <c r="K72" i="58"/>
  <c r="K69" i="58"/>
  <c r="K21" i="58"/>
  <c r="K38" i="58"/>
  <c r="K55" i="58"/>
  <c r="G115" i="21"/>
  <c r="I115" i="21" s="1"/>
  <c r="C13" i="58"/>
  <c r="I142" i="21"/>
  <c r="I134" i="21"/>
  <c r="I102" i="21"/>
  <c r="I94" i="21"/>
  <c r="I70" i="21"/>
  <c r="G159" i="21"/>
  <c r="I159" i="21" s="1"/>
  <c r="I148" i="21"/>
  <c r="I132" i="21"/>
  <c r="I100" i="21"/>
  <c r="I76" i="21"/>
  <c r="K70" i="58"/>
  <c r="K65" i="58"/>
  <c r="I47" i="58"/>
  <c r="C32" i="58"/>
  <c r="G123" i="21"/>
  <c r="I123" i="21" s="1"/>
  <c r="K83" i="58"/>
  <c r="G79" i="21"/>
  <c r="I79" i="21" s="1"/>
  <c r="I150" i="21"/>
  <c r="I14" i="21"/>
  <c r="I140" i="21"/>
  <c r="I92" i="21"/>
  <c r="I110" i="21"/>
  <c r="I86" i="21"/>
  <c r="I68" i="21"/>
  <c r="I52" i="21"/>
  <c r="I30" i="21"/>
  <c r="I12" i="21"/>
  <c r="I156" i="21"/>
  <c r="I38" i="21"/>
  <c r="I118" i="21"/>
  <c r="I62" i="21"/>
  <c r="G115" i="58"/>
  <c r="I158" i="21"/>
  <c r="I116" i="21"/>
  <c r="D3099" i="21"/>
  <c r="C1532" i="55"/>
  <c r="D1532" i="55" s="1"/>
  <c r="C1402" i="55"/>
  <c r="D1402" i="55" s="1"/>
  <c r="C1426" i="55"/>
  <c r="D1426" i="55" s="1"/>
  <c r="C1394" i="55"/>
  <c r="D1394" i="55" s="1"/>
  <c r="D3301" i="21"/>
  <c r="D3187" i="21"/>
  <c r="D3091" i="21"/>
  <c r="C1418" i="55"/>
  <c r="D1418" i="55" s="1"/>
  <c r="D3342" i="21"/>
  <c r="D3350" i="21"/>
  <c r="D3326" i="21"/>
  <c r="C1466" i="55"/>
  <c r="D1466" i="55" s="1"/>
  <c r="C1572" i="55"/>
  <c r="D1572" i="55" s="1"/>
  <c r="D3366" i="21"/>
  <c r="C1556" i="55"/>
  <c r="D1556" i="55" s="1"/>
  <c r="D3083" i="21"/>
  <c r="D3107" i="21"/>
  <c r="F129" i="21"/>
  <c r="D3171" i="21"/>
  <c r="C1434" i="55"/>
  <c r="D1434" i="55" s="1"/>
  <c r="E114" i="55"/>
  <c r="G114" i="55" s="1"/>
  <c r="F294" i="21"/>
  <c r="B86" i="55"/>
  <c r="C86" i="55"/>
  <c r="B22" i="55"/>
  <c r="D971" i="21"/>
  <c r="D987" i="21"/>
  <c r="D979" i="21"/>
  <c r="D947" i="21"/>
  <c r="D939" i="21"/>
  <c r="E2310" i="21"/>
  <c r="G2310" i="21" s="1"/>
  <c r="E2278" i="21"/>
  <c r="G2278" i="21" s="1"/>
  <c r="E2174" i="21"/>
  <c r="G2174" i="21" s="1"/>
  <c r="D1003" i="21"/>
  <c r="D995" i="21"/>
  <c r="D963" i="21"/>
  <c r="D955" i="21"/>
  <c r="E65" i="55"/>
  <c r="G65" i="55" s="1"/>
  <c r="E2398" i="21"/>
  <c r="G2398" i="21" s="1"/>
  <c r="I21" i="21"/>
  <c r="E91" i="55"/>
  <c r="C1195" i="55"/>
  <c r="D1195" i="55" s="1"/>
  <c r="D2932" i="21"/>
  <c r="D1004" i="21"/>
  <c r="D996" i="21"/>
  <c r="I109" i="21"/>
  <c r="E1805" i="21"/>
  <c r="G1805" i="21" s="1"/>
  <c r="E1853" i="21"/>
  <c r="G1853" i="21" s="1"/>
  <c r="I101" i="21"/>
  <c r="I263" i="21"/>
  <c r="I341" i="21"/>
  <c r="I220" i="21"/>
  <c r="I311" i="21"/>
  <c r="F340" i="21"/>
  <c r="F324" i="21"/>
  <c r="F341" i="21"/>
  <c r="F301" i="21"/>
  <c r="I200" i="21"/>
  <c r="I381" i="21"/>
  <c r="I368" i="21"/>
  <c r="I210" i="21"/>
  <c r="I371" i="21"/>
  <c r="I355" i="21"/>
  <c r="I339" i="21"/>
  <c r="I275" i="21"/>
  <c r="I235" i="21"/>
  <c r="I194" i="21"/>
  <c r="E2502" i="21"/>
  <c r="G2502" i="21" s="1"/>
  <c r="E2494" i="21"/>
  <c r="G2494" i="21" s="1"/>
  <c r="E2470" i="21"/>
  <c r="G2470" i="21" s="1"/>
  <c r="E2438" i="21"/>
  <c r="G2438" i="21" s="1"/>
  <c r="E2430" i="21"/>
  <c r="G2430" i="21" s="1"/>
  <c r="E2406" i="21"/>
  <c r="G2406" i="21" s="1"/>
  <c r="E2318" i="21"/>
  <c r="G2318" i="21" s="1"/>
  <c r="E2286" i="21"/>
  <c r="G2286" i="21" s="1"/>
  <c r="E2246" i="21"/>
  <c r="G2246" i="21" s="1"/>
  <c r="E2158" i="21"/>
  <c r="G2158" i="21" s="1"/>
  <c r="I248" i="21"/>
  <c r="I223" i="21"/>
  <c r="E2462" i="21"/>
  <c r="G2462" i="21" s="1"/>
  <c r="E2382" i="21"/>
  <c r="G2382" i="21" s="1"/>
  <c r="E2374" i="21"/>
  <c r="G2374" i="21" s="1"/>
  <c r="E2350" i="21"/>
  <c r="G2350" i="21" s="1"/>
  <c r="E2206" i="21"/>
  <c r="G2206" i="21" s="1"/>
  <c r="D1224" i="55"/>
  <c r="D1176" i="55"/>
  <c r="D1160" i="55"/>
  <c r="D1144" i="55"/>
  <c r="D1128" i="55"/>
  <c r="F181" i="21"/>
  <c r="F173" i="21"/>
  <c r="F329" i="21"/>
  <c r="D1055" i="21"/>
  <c r="E2518" i="21"/>
  <c r="G2518" i="21" s="1"/>
  <c r="E2486" i="21"/>
  <c r="G2486" i="21" s="1"/>
  <c r="E2454" i="21"/>
  <c r="G2454" i="21" s="1"/>
  <c r="E2422" i="21"/>
  <c r="G2422" i="21" s="1"/>
  <c r="E2302" i="21"/>
  <c r="G2302" i="21" s="1"/>
  <c r="E2238" i="21"/>
  <c r="G2238" i="21" s="1"/>
  <c r="B1232" i="21"/>
  <c r="D1232" i="21" s="1"/>
  <c r="B1048" i="21"/>
  <c r="D1048" i="21" s="1"/>
  <c r="D1222" i="55"/>
  <c r="D1206" i="55"/>
  <c r="D1190" i="55"/>
  <c r="D1174" i="55"/>
  <c r="D1158" i="55"/>
  <c r="D1142" i="55"/>
  <c r="D1126" i="55"/>
  <c r="D1268" i="21"/>
  <c r="B1102" i="55"/>
  <c r="E2510" i="21"/>
  <c r="G2510" i="21" s="1"/>
  <c r="E2446" i="21"/>
  <c r="G2446" i="21" s="1"/>
  <c r="E2366" i="21"/>
  <c r="G2366" i="21" s="1"/>
  <c r="E2342" i="21"/>
  <c r="G2342" i="21" s="1"/>
  <c r="E2270" i="21"/>
  <c r="G2270" i="21" s="1"/>
  <c r="D1318" i="55"/>
  <c r="I133" i="21"/>
  <c r="I93" i="21"/>
  <c r="D1024" i="21"/>
  <c r="D968" i="21"/>
  <c r="D960" i="21"/>
  <c r="I384" i="21"/>
  <c r="I272" i="21"/>
  <c r="E2334" i="21"/>
  <c r="G2334" i="21" s="1"/>
  <c r="E2294" i="21"/>
  <c r="G2294" i="21" s="1"/>
  <c r="E2230" i="21"/>
  <c r="G2230" i="21" s="1"/>
  <c r="E2222" i="21"/>
  <c r="G2222" i="21" s="1"/>
  <c r="E2198" i="21"/>
  <c r="G2198" i="21" s="1"/>
  <c r="E2166" i="21"/>
  <c r="G2166" i="21" s="1"/>
  <c r="D1232" i="55"/>
  <c r="D1216" i="55"/>
  <c r="D1200" i="55"/>
  <c r="D1184" i="55"/>
  <c r="D1168" i="55"/>
  <c r="D1152" i="55"/>
  <c r="E1908" i="21"/>
  <c r="G1908" i="21" s="1"/>
  <c r="I353" i="21"/>
  <c r="E2478" i="21"/>
  <c r="G2478" i="21" s="1"/>
  <c r="E2414" i="21"/>
  <c r="G2414" i="21" s="1"/>
  <c r="E2390" i="21"/>
  <c r="G2390" i="21" s="1"/>
  <c r="E2326" i="21"/>
  <c r="G2326" i="21" s="1"/>
  <c r="E2190" i="21"/>
  <c r="G2190" i="21" s="1"/>
  <c r="B1176" i="21"/>
  <c r="D1176" i="21" s="1"/>
  <c r="D1278" i="55"/>
  <c r="E2358" i="21"/>
  <c r="G2358" i="21" s="1"/>
  <c r="E2262" i="21"/>
  <c r="G2262" i="21" s="1"/>
  <c r="E2254" i="21"/>
  <c r="G2254" i="21" s="1"/>
  <c r="E2214" i="21"/>
  <c r="G2214" i="21" s="1"/>
  <c r="E2182" i="21"/>
  <c r="G2182" i="21" s="1"/>
  <c r="G1887" i="21"/>
  <c r="D1038" i="55"/>
  <c r="B170" i="55"/>
  <c r="B1088" i="21"/>
  <c r="D1088" i="21" s="1"/>
  <c r="D1262" i="55"/>
  <c r="D1246" i="55"/>
  <c r="D1230" i="55"/>
  <c r="D1198" i="55"/>
  <c r="D1182" i="55"/>
  <c r="D1166" i="55"/>
  <c r="D1150" i="55"/>
  <c r="D1134" i="55"/>
  <c r="E1912" i="21"/>
  <c r="G1912" i="21" s="1"/>
  <c r="J66" i="60"/>
  <c r="P46" i="60"/>
  <c r="I307" i="21"/>
  <c r="F56" i="21"/>
  <c r="F308" i="21"/>
  <c r="F67" i="21"/>
  <c r="F158" i="21"/>
  <c r="I251" i="21"/>
  <c r="I379" i="21"/>
  <c r="I315" i="21"/>
  <c r="B1240" i="21"/>
  <c r="D1240" i="21" s="1"/>
  <c r="B1184" i="21"/>
  <c r="D1184" i="21" s="1"/>
  <c r="B1128" i="21"/>
  <c r="D1128" i="21" s="1"/>
  <c r="B1072" i="21"/>
  <c r="D1072" i="21" s="1"/>
  <c r="I226" i="21"/>
  <c r="I54" i="21"/>
  <c r="I46" i="21"/>
  <c r="F333" i="21"/>
  <c r="F325" i="21"/>
  <c r="F317" i="21"/>
  <c r="F309" i="21"/>
  <c r="C1096" i="21"/>
  <c r="C1040" i="21"/>
  <c r="B1264" i="21"/>
  <c r="D1264" i="21" s="1"/>
  <c r="B1208" i="21"/>
  <c r="D1208" i="21" s="1"/>
  <c r="B1202" i="21"/>
  <c r="D1202" i="21" s="1"/>
  <c r="B1152" i="21"/>
  <c r="D1152" i="21" s="1"/>
  <c r="D1238" i="21"/>
  <c r="D1182" i="21"/>
  <c r="B1200" i="21"/>
  <c r="D1200" i="21" s="1"/>
  <c r="B1169" i="21"/>
  <c r="D1169" i="21" s="1"/>
  <c r="B1144" i="21"/>
  <c r="D1144" i="21" s="1"/>
  <c r="B1138" i="21"/>
  <c r="D1138" i="21" s="1"/>
  <c r="B1120" i="21"/>
  <c r="D1120" i="21" s="1"/>
  <c r="B1065" i="21"/>
  <c r="D1065" i="21" s="1"/>
  <c r="B1041" i="21"/>
  <c r="D1041" i="21" s="1"/>
  <c r="B1256" i="21"/>
  <c r="D1256" i="21" s="1"/>
  <c r="B1225" i="21"/>
  <c r="D1225" i="21" s="1"/>
  <c r="B1168" i="21"/>
  <c r="D1168" i="21" s="1"/>
  <c r="B1137" i="21"/>
  <c r="D1137" i="21" s="1"/>
  <c r="B1081" i="21"/>
  <c r="D1081" i="21" s="1"/>
  <c r="B1064" i="21"/>
  <c r="D1064" i="21" s="1"/>
  <c r="F397" i="21"/>
  <c r="F389" i="21"/>
  <c r="F381" i="21"/>
  <c r="F373" i="21"/>
  <c r="F365" i="21"/>
  <c r="F357" i="21"/>
  <c r="F349" i="21"/>
  <c r="F293" i="21"/>
  <c r="F285" i="21"/>
  <c r="F277" i="21"/>
  <c r="F269" i="21"/>
  <c r="F261" i="21"/>
  <c r="F253" i="21"/>
  <c r="F245" i="21"/>
  <c r="F237" i="21"/>
  <c r="F229" i="21"/>
  <c r="F221" i="21"/>
  <c r="F213" i="21"/>
  <c r="F205" i="21"/>
  <c r="F197" i="21"/>
  <c r="F189" i="21"/>
  <c r="B1249" i="21"/>
  <c r="D1249" i="21" s="1"/>
  <c r="B1224" i="21"/>
  <c r="D1224" i="21" s="1"/>
  <c r="B1193" i="21"/>
  <c r="D1193" i="21" s="1"/>
  <c r="B1136" i="21"/>
  <c r="D1136" i="21" s="1"/>
  <c r="B1097" i="21"/>
  <c r="D1097" i="21" s="1"/>
  <c r="B1080" i="21"/>
  <c r="D1080" i="21" s="1"/>
  <c r="F396" i="21"/>
  <c r="F388" i="21"/>
  <c r="F380" i="21"/>
  <c r="F372" i="21"/>
  <c r="F364" i="21"/>
  <c r="F356" i="21"/>
  <c r="F300" i="21"/>
  <c r="F292" i="21"/>
  <c r="F284" i="21"/>
  <c r="F276" i="21"/>
  <c r="F268" i="21"/>
  <c r="F260" i="21"/>
  <c r="F252" i="21"/>
  <c r="F244" i="21"/>
  <c r="F236" i="21"/>
  <c r="F228" i="21"/>
  <c r="F220" i="21"/>
  <c r="F212" i="21"/>
  <c r="F204" i="21"/>
  <c r="F196" i="21"/>
  <c r="F188" i="21"/>
  <c r="F180" i="21"/>
  <c r="F172" i="21"/>
  <c r="F328" i="21"/>
  <c r="F320" i="21"/>
  <c r="B1248" i="21"/>
  <c r="D1248" i="21" s="1"/>
  <c r="B1217" i="21"/>
  <c r="D1217" i="21" s="1"/>
  <c r="B1192" i="21"/>
  <c r="D1192" i="21" s="1"/>
  <c r="B1161" i="21"/>
  <c r="D1161" i="21" s="1"/>
  <c r="B1113" i="21"/>
  <c r="D1113" i="21" s="1"/>
  <c r="B1074" i="21"/>
  <c r="D1074" i="21" s="1"/>
  <c r="B1057" i="21"/>
  <c r="D1057" i="21" s="1"/>
  <c r="F319" i="21"/>
  <c r="F311" i="21"/>
  <c r="D1082" i="21"/>
  <c r="B1266" i="21"/>
  <c r="D1266" i="21" s="1"/>
  <c r="B1241" i="21"/>
  <c r="D1241" i="21" s="1"/>
  <c r="B1216" i="21"/>
  <c r="D1216" i="21" s="1"/>
  <c r="B1185" i="21"/>
  <c r="D1185" i="21" s="1"/>
  <c r="B1160" i="21"/>
  <c r="D1160" i="21" s="1"/>
  <c r="B1129" i="21"/>
  <c r="D1129" i="21" s="1"/>
  <c r="B1112" i="21"/>
  <c r="D1112" i="21" s="1"/>
  <c r="B1073" i="21"/>
  <c r="D1073" i="21" s="1"/>
  <c r="B1056" i="21"/>
  <c r="D1056" i="21" s="1"/>
  <c r="G636" i="55"/>
  <c r="E490" i="55"/>
  <c r="G490" i="55" s="1"/>
  <c r="E586" i="55"/>
  <c r="G586" i="55" s="1"/>
  <c r="B415" i="55"/>
  <c r="E776" i="55"/>
  <c r="G776" i="55" s="1"/>
  <c r="E712" i="55"/>
  <c r="G712" i="55" s="1"/>
  <c r="E640" i="55"/>
  <c r="G640" i="55" s="1"/>
  <c r="G471" i="55"/>
  <c r="G653" i="55"/>
  <c r="G693" i="55"/>
  <c r="G773" i="55"/>
  <c r="G748" i="55"/>
  <c r="E760" i="55"/>
  <c r="G760" i="55" s="1"/>
  <c r="E736" i="55"/>
  <c r="G736" i="55" s="1"/>
  <c r="E538" i="55"/>
  <c r="G538" i="55" s="1"/>
  <c r="G765" i="55"/>
  <c r="G590" i="55"/>
  <c r="G606" i="55"/>
  <c r="G685" i="55"/>
  <c r="E664" i="55"/>
  <c r="G664" i="55" s="1"/>
  <c r="E562" i="55"/>
  <c r="G562" i="55" s="1"/>
  <c r="E466" i="55"/>
  <c r="G466" i="55" s="1"/>
  <c r="G526" i="55"/>
  <c r="G660" i="55"/>
  <c r="E688" i="55"/>
  <c r="G688" i="55" s="1"/>
  <c r="C1455" i="55"/>
  <c r="D1455" i="55" s="1"/>
  <c r="G438" i="55"/>
  <c r="D3112" i="21"/>
  <c r="C1367" i="55"/>
  <c r="D1367" i="55" s="1"/>
  <c r="C1512" i="55"/>
  <c r="D1512" i="55" s="1"/>
  <c r="D3128" i="21"/>
  <c r="D3404" i="21"/>
  <c r="D3406" i="21"/>
  <c r="D3241" i="21"/>
  <c r="C1674" i="55"/>
  <c r="D1674" i="55" s="1"/>
  <c r="C1578" i="55"/>
  <c r="D1578" i="55" s="1"/>
  <c r="D3208" i="21"/>
  <c r="D3323" i="21"/>
  <c r="C1650" i="55"/>
  <c r="D1650" i="55" s="1"/>
  <c r="D3120" i="21"/>
  <c r="C1415" i="55"/>
  <c r="D1415" i="55" s="1"/>
  <c r="D3160" i="21"/>
  <c r="D3331" i="21"/>
  <c r="C1344" i="55"/>
  <c r="D1344" i="55" s="1"/>
  <c r="D3370" i="21"/>
  <c r="D3151" i="21"/>
  <c r="C1477" i="55"/>
  <c r="D1477" i="55" s="1"/>
  <c r="G2484" i="21"/>
  <c r="D3166" i="21"/>
  <c r="C1574" i="55"/>
  <c r="D1574" i="55" s="1"/>
  <c r="D3375" i="21"/>
  <c r="D3424" i="21"/>
  <c r="D3111" i="21"/>
  <c r="D3256" i="21"/>
  <c r="D3183" i="21"/>
  <c r="C1366" i="55"/>
  <c r="D1366" i="55" s="1"/>
  <c r="C1381" i="55"/>
  <c r="D1381" i="55" s="1"/>
  <c r="D3407" i="21"/>
  <c r="D3358" i="21"/>
  <c r="C1357" i="55"/>
  <c r="D1357" i="55" s="1"/>
  <c r="C1445" i="55"/>
  <c r="D1445" i="55" s="1"/>
  <c r="C1559" i="55"/>
  <c r="D1559" i="55" s="1"/>
  <c r="C1607" i="55"/>
  <c r="D1607" i="55" s="1"/>
  <c r="C1421" i="55"/>
  <c r="D1421" i="55" s="1"/>
  <c r="D3383" i="21"/>
  <c r="D3391" i="21"/>
  <c r="C1567" i="55"/>
  <c r="D1567" i="55" s="1"/>
  <c r="D3287" i="21"/>
  <c r="C1349" i="55"/>
  <c r="D1349" i="55" s="1"/>
  <c r="C1437" i="55"/>
  <c r="D1437" i="55" s="1"/>
  <c r="D3367" i="21"/>
  <c r="D3359" i="21"/>
  <c r="C1543" i="55"/>
  <c r="D1543" i="55" s="1"/>
  <c r="D3224" i="21"/>
  <c r="D3248" i="21"/>
  <c r="C1454" i="55"/>
  <c r="D1454" i="55" s="1"/>
  <c r="D3288" i="21"/>
  <c r="D3087" i="21"/>
  <c r="C1518" i="55"/>
  <c r="D1518" i="55" s="1"/>
  <c r="C1502" i="55"/>
  <c r="D1502" i="55" s="1"/>
  <c r="C1703" i="55"/>
  <c r="D1703" i="55" s="1"/>
  <c r="D3335" i="21"/>
  <c r="C1373" i="55"/>
  <c r="D1373" i="55" s="1"/>
  <c r="C1470" i="55"/>
  <c r="D1470" i="55" s="1"/>
  <c r="D3384" i="21"/>
  <c r="D3215" i="21"/>
  <c r="D3327" i="21"/>
  <c r="C1453" i="55"/>
  <c r="D1453" i="55" s="1"/>
  <c r="D3400" i="21"/>
  <c r="C1606" i="55"/>
  <c r="D1606" i="55" s="1"/>
  <c r="C1528" i="55"/>
  <c r="D1528" i="55" s="1"/>
  <c r="D3371" i="21"/>
  <c r="C1461" i="55"/>
  <c r="D1461" i="55" s="1"/>
  <c r="C1544" i="55"/>
  <c r="D1544" i="55" s="1"/>
  <c r="D3127" i="21"/>
  <c r="G1770" i="21"/>
  <c r="D3602" i="21"/>
  <c r="F3602" i="21" s="1"/>
  <c r="D3379" i="21"/>
  <c r="E1491" i="35"/>
  <c r="E3601" i="21" s="1"/>
  <c r="D3427" i="21"/>
  <c r="D3346" i="21"/>
  <c r="D3419" i="21"/>
  <c r="C1624" i="55"/>
  <c r="D1624" i="55" s="1"/>
  <c r="C1610" i="55"/>
  <c r="D1610" i="55" s="1"/>
  <c r="D3273" i="21"/>
  <c r="D1863" i="55"/>
  <c r="F1863" i="55" s="1"/>
  <c r="D3339" i="21"/>
  <c r="A1395" i="35"/>
  <c r="A1412" i="35" s="1"/>
  <c r="D2799" i="21"/>
  <c r="D2742" i="21"/>
  <c r="D2693" i="21"/>
  <c r="D956" i="55"/>
  <c r="D2807" i="21"/>
  <c r="D2829" i="21"/>
  <c r="D2696" i="21"/>
  <c r="D2709" i="21"/>
  <c r="C1048" i="55"/>
  <c r="D1048" i="55" s="1"/>
  <c r="C1090" i="55"/>
  <c r="D1090" i="55" s="1"/>
  <c r="D3053" i="21"/>
  <c r="D2938" i="21"/>
  <c r="C1153" i="55"/>
  <c r="D1153" i="55" s="1"/>
  <c r="C1325" i="55"/>
  <c r="D1325" i="55" s="1"/>
  <c r="C1161" i="55"/>
  <c r="D1161" i="55" s="1"/>
  <c r="D2911" i="21"/>
  <c r="D2974" i="21"/>
  <c r="D3041" i="21"/>
  <c r="G340" i="55"/>
  <c r="G356" i="55"/>
  <c r="G268" i="55"/>
  <c r="D3067" i="21"/>
  <c r="D2910" i="21"/>
  <c r="D2926" i="21"/>
  <c r="G300" i="55"/>
  <c r="G236" i="55"/>
  <c r="D2989" i="21"/>
  <c r="G316" i="55"/>
  <c r="G276" i="55"/>
  <c r="G260" i="55"/>
  <c r="D3010" i="21"/>
  <c r="D3057" i="21"/>
  <c r="D2963" i="21"/>
  <c r="G2008" i="21"/>
  <c r="D2984" i="21"/>
  <c r="G2140" i="21"/>
  <c r="C1217" i="55"/>
  <c r="D1217" i="55" s="1"/>
  <c r="C1145" i="55"/>
  <c r="D1145" i="55" s="1"/>
  <c r="G228" i="55"/>
  <c r="D3052" i="21"/>
  <c r="D3000" i="21"/>
  <c r="D3189" i="21"/>
  <c r="C1552" i="55"/>
  <c r="D1552" i="55" s="1"/>
  <c r="D3360" i="21"/>
  <c r="C1530" i="55"/>
  <c r="D1530" i="55" s="1"/>
  <c r="G518" i="55"/>
  <c r="D3334" i="21"/>
  <c r="D3197" i="21"/>
  <c r="D3385" i="21"/>
  <c r="D3392" i="21"/>
  <c r="D3319" i="21"/>
  <c r="C1694" i="55"/>
  <c r="D1694" i="55" s="1"/>
  <c r="D3408" i="21"/>
  <c r="C1635" i="55"/>
  <c r="D1635" i="55" s="1"/>
  <c r="G2497" i="21"/>
  <c r="D3175" i="21"/>
  <c r="D3153" i="21"/>
  <c r="D3102" i="21"/>
  <c r="C1359" i="55"/>
  <c r="D1359" i="55" s="1"/>
  <c r="D3258" i="21"/>
  <c r="D3416" i="21"/>
  <c r="C1573" i="55"/>
  <c r="D1573" i="55" s="1"/>
  <c r="D3236" i="21"/>
  <c r="C1371" i="55"/>
  <c r="D1371" i="55" s="1"/>
  <c r="D3159" i="21"/>
  <c r="D3395" i="21"/>
  <c r="G2169" i="21"/>
  <c r="C1625" i="55"/>
  <c r="D1625" i="55" s="1"/>
  <c r="D3240" i="21"/>
  <c r="C1392" i="55"/>
  <c r="D1392" i="55" s="1"/>
  <c r="D3307" i="21"/>
  <c r="C1628" i="55"/>
  <c r="D1628" i="55" s="1"/>
  <c r="C1475" i="55"/>
  <c r="D1475" i="55" s="1"/>
  <c r="C1506" i="55"/>
  <c r="D1506" i="55" s="1"/>
  <c r="C1537" i="55"/>
  <c r="D1537" i="55" s="1"/>
  <c r="G2505" i="21"/>
  <c r="G479" i="55"/>
  <c r="E2477" i="21"/>
  <c r="G2477" i="21" s="1"/>
  <c r="E2397" i="21"/>
  <c r="G2397" i="21" s="1"/>
  <c r="E2237" i="21"/>
  <c r="G2237" i="21" s="1"/>
  <c r="E2173" i="21"/>
  <c r="G2173" i="21" s="1"/>
  <c r="E681" i="55"/>
  <c r="G681" i="55" s="1"/>
  <c r="E579" i="55"/>
  <c r="G579" i="55" s="1"/>
  <c r="E539" i="55"/>
  <c r="G539" i="55" s="1"/>
  <c r="E2413" i="21"/>
  <c r="G2413" i="21" s="1"/>
  <c r="E2365" i="21"/>
  <c r="G2365" i="21" s="1"/>
  <c r="E2341" i="21"/>
  <c r="G2341" i="21" s="1"/>
  <c r="E2333" i="21"/>
  <c r="G2333" i="21" s="1"/>
  <c r="E2269" i="21"/>
  <c r="G2269" i="21" s="1"/>
  <c r="E721" i="55"/>
  <c r="G721" i="55" s="1"/>
  <c r="E665" i="55"/>
  <c r="G665" i="55" s="1"/>
  <c r="E649" i="55"/>
  <c r="G649" i="55" s="1"/>
  <c r="E633" i="55"/>
  <c r="G633" i="55" s="1"/>
  <c r="E619" i="55"/>
  <c r="G619" i="55" s="1"/>
  <c r="E603" i="55"/>
  <c r="G603" i="55" s="1"/>
  <c r="E523" i="55"/>
  <c r="G523" i="55" s="1"/>
  <c r="E483" i="55"/>
  <c r="G483" i="55" s="1"/>
  <c r="E443" i="55"/>
  <c r="G443" i="55" s="1"/>
  <c r="E427" i="55"/>
  <c r="G427" i="55" s="1"/>
  <c r="E2501" i="21"/>
  <c r="G2501" i="21" s="1"/>
  <c r="E2493" i="21"/>
  <c r="G2493" i="21" s="1"/>
  <c r="E2293" i="21"/>
  <c r="G2293" i="21" s="1"/>
  <c r="E2229" i="21"/>
  <c r="G2229" i="21" s="1"/>
  <c r="E2197" i="21"/>
  <c r="G2197" i="21" s="1"/>
  <c r="E769" i="55"/>
  <c r="G769" i="55" s="1"/>
  <c r="E745" i="55"/>
  <c r="G745" i="55" s="1"/>
  <c r="E705" i="55"/>
  <c r="G705" i="55" s="1"/>
  <c r="E618" i="55"/>
  <c r="G618" i="55" s="1"/>
  <c r="E613" i="55"/>
  <c r="G613" i="55" s="1"/>
  <c r="E563" i="55"/>
  <c r="G563" i="55" s="1"/>
  <c r="E507" i="55"/>
  <c r="G507" i="55" s="1"/>
  <c r="E2469" i="21"/>
  <c r="G2469" i="21" s="1"/>
  <c r="E2437" i="21"/>
  <c r="G2437" i="21" s="1"/>
  <c r="E2429" i="21"/>
  <c r="G2429" i="21" s="1"/>
  <c r="E2389" i="21"/>
  <c r="G2389" i="21" s="1"/>
  <c r="E2325" i="21"/>
  <c r="G2325" i="21" s="1"/>
  <c r="E2221" i="21"/>
  <c r="G2221" i="21" s="1"/>
  <c r="E2165" i="21"/>
  <c r="G2165" i="21" s="1"/>
  <c r="E689" i="55"/>
  <c r="G689" i="55" s="1"/>
  <c r="E587" i="55"/>
  <c r="G587" i="55" s="1"/>
  <c r="E547" i="55"/>
  <c r="G547" i="55" s="1"/>
  <c r="E467" i="55"/>
  <c r="G467" i="55" s="1"/>
  <c r="E2461" i="21"/>
  <c r="G2461" i="21" s="1"/>
  <c r="E2405" i="21"/>
  <c r="G2405" i="21" s="1"/>
  <c r="E2357" i="21"/>
  <c r="G2357" i="21" s="1"/>
  <c r="E2317" i="21"/>
  <c r="G2317" i="21" s="1"/>
  <c r="E2285" i="21"/>
  <c r="G2285" i="21" s="1"/>
  <c r="E2261" i="21"/>
  <c r="G2261" i="21" s="1"/>
  <c r="E2189" i="21"/>
  <c r="G2189" i="21" s="1"/>
  <c r="E753" i="55"/>
  <c r="G753" i="55" s="1"/>
  <c r="E729" i="55"/>
  <c r="G729" i="55" s="1"/>
  <c r="E531" i="55"/>
  <c r="G531" i="55" s="1"/>
  <c r="E491" i="55"/>
  <c r="G491" i="55" s="1"/>
  <c r="E451" i="55"/>
  <c r="G451" i="55" s="1"/>
  <c r="E2381" i="21"/>
  <c r="G2381" i="21" s="1"/>
  <c r="E2253" i="21"/>
  <c r="G2253" i="21" s="1"/>
  <c r="E2213" i="21"/>
  <c r="G2213" i="21" s="1"/>
  <c r="E2181" i="21"/>
  <c r="G2181" i="21" s="1"/>
  <c r="E777" i="55"/>
  <c r="G777" i="55" s="1"/>
  <c r="E713" i="55"/>
  <c r="G713" i="55" s="1"/>
  <c r="E673" i="55"/>
  <c r="G673" i="55" s="1"/>
  <c r="E657" i="55"/>
  <c r="G657" i="55" s="1"/>
  <c r="E641" i="55"/>
  <c r="G641" i="55" s="1"/>
  <c r="E611" i="55"/>
  <c r="G611" i="55" s="1"/>
  <c r="E571" i="55"/>
  <c r="G571" i="55" s="1"/>
  <c r="E435" i="55"/>
  <c r="G435" i="55" s="1"/>
  <c r="G718" i="55"/>
  <c r="E2453" i="21"/>
  <c r="G2453" i="21" s="1"/>
  <c r="E2445" i="21"/>
  <c r="G2445" i="21" s="1"/>
  <c r="E2421" i="21"/>
  <c r="G2421" i="21" s="1"/>
  <c r="E2309" i="21"/>
  <c r="G2309" i="21" s="1"/>
  <c r="E2301" i="21"/>
  <c r="G2301" i="21" s="1"/>
  <c r="E2205" i="21"/>
  <c r="G2205" i="21" s="1"/>
  <c r="E761" i="55"/>
  <c r="G761" i="55" s="1"/>
  <c r="E737" i="55"/>
  <c r="G737" i="55" s="1"/>
  <c r="E697" i="55"/>
  <c r="G697" i="55" s="1"/>
  <c r="E499" i="55"/>
  <c r="G499" i="55" s="1"/>
  <c r="E459" i="55"/>
  <c r="G459" i="55" s="1"/>
  <c r="E2507" i="21"/>
  <c r="G2507" i="21" s="1"/>
  <c r="E2483" i="21"/>
  <c r="G2483" i="21" s="1"/>
  <c r="E2451" i="21"/>
  <c r="G2451" i="21" s="1"/>
  <c r="E2371" i="21"/>
  <c r="G2371" i="21" s="1"/>
  <c r="E2307" i="21"/>
  <c r="G2307" i="21" s="1"/>
  <c r="E2299" i="21"/>
  <c r="G2299" i="21" s="1"/>
  <c r="E2275" i="21"/>
  <c r="G2275" i="21" s="1"/>
  <c r="E2243" i="21"/>
  <c r="G2243" i="21" s="1"/>
  <c r="E2443" i="21"/>
  <c r="G2443" i="21" s="1"/>
  <c r="E2419" i="21"/>
  <c r="G2419" i="21" s="1"/>
  <c r="E2203" i="21"/>
  <c r="G2203" i="21" s="1"/>
  <c r="G428" i="55"/>
  <c r="E2475" i="21"/>
  <c r="G2475" i="21" s="1"/>
  <c r="E2411" i="21"/>
  <c r="G2411" i="21" s="1"/>
  <c r="E2395" i="21"/>
  <c r="G2395" i="21" s="1"/>
  <c r="E2339" i="21"/>
  <c r="G2339" i="21" s="1"/>
  <c r="E2235" i="21"/>
  <c r="G2235" i="21" s="1"/>
  <c r="E441" i="55"/>
  <c r="G441" i="55" s="1"/>
  <c r="G511" i="55"/>
  <c r="E2499" i="21"/>
  <c r="G2499" i="21" s="1"/>
  <c r="E2387" i="21"/>
  <c r="G2387" i="21" s="1"/>
  <c r="E2363" i="21"/>
  <c r="G2363" i="21" s="1"/>
  <c r="E2331" i="21"/>
  <c r="G2331" i="21" s="1"/>
  <c r="E2291" i="21"/>
  <c r="G2291" i="21" s="1"/>
  <c r="E2227" i="21"/>
  <c r="G2227" i="21" s="1"/>
  <c r="E2195" i="21"/>
  <c r="G2195" i="21" s="1"/>
  <c r="E663" i="55"/>
  <c r="G663" i="55" s="1"/>
  <c r="E2467" i="21"/>
  <c r="G2467" i="21" s="1"/>
  <c r="E2435" i="21"/>
  <c r="G2435" i="21" s="1"/>
  <c r="E2163" i="21"/>
  <c r="G2163" i="21" s="1"/>
  <c r="E465" i="55"/>
  <c r="G465" i="55" s="1"/>
  <c r="E2491" i="21"/>
  <c r="G2491" i="21" s="1"/>
  <c r="E2403" i="21"/>
  <c r="G2403" i="21" s="1"/>
  <c r="E2355" i="21"/>
  <c r="G2355" i="21" s="1"/>
  <c r="E2315" i="21"/>
  <c r="G2315" i="21" s="1"/>
  <c r="E2283" i="21"/>
  <c r="G2283" i="21" s="1"/>
  <c r="E2259" i="21"/>
  <c r="G2259" i="21" s="1"/>
  <c r="E2187" i="21"/>
  <c r="G2187" i="21" s="1"/>
  <c r="E687" i="55"/>
  <c r="G687" i="55" s="1"/>
  <c r="E2459" i="21"/>
  <c r="G2459" i="21" s="1"/>
  <c r="E2427" i="21"/>
  <c r="G2427" i="21" s="1"/>
  <c r="E2379" i="21"/>
  <c r="G2379" i="21" s="1"/>
  <c r="E2251" i="21"/>
  <c r="G2251" i="21" s="1"/>
  <c r="E751" i="55"/>
  <c r="G751" i="55" s="1"/>
  <c r="E727" i="55"/>
  <c r="G727" i="55" s="1"/>
  <c r="E54" i="58"/>
  <c r="D1008" i="21"/>
  <c r="D1000" i="21"/>
  <c r="C1039" i="55"/>
  <c r="D1039" i="55" s="1"/>
  <c r="K63" i="58"/>
  <c r="G54" i="58"/>
  <c r="K42" i="58"/>
  <c r="I68" i="58"/>
  <c r="K60" i="58"/>
  <c r="D839" i="46"/>
  <c r="C61" i="58"/>
  <c r="K44" i="58"/>
  <c r="K58" i="58"/>
  <c r="E68" i="58"/>
  <c r="K49" i="58"/>
  <c r="K67" i="58"/>
  <c r="K36" i="58"/>
  <c r="G81" i="21"/>
  <c r="I81" i="21" s="1"/>
  <c r="B1017" i="55"/>
  <c r="G91" i="21"/>
  <c r="I91" i="21" s="1"/>
  <c r="G519" i="55"/>
  <c r="G662" i="55"/>
  <c r="G732" i="55"/>
  <c r="D1640" i="55"/>
  <c r="D1633" i="55"/>
  <c r="D1627" i="55"/>
  <c r="D1581" i="55"/>
  <c r="D1529" i="55"/>
  <c r="D1520" i="55"/>
  <c r="D1481" i="55"/>
  <c r="D1474" i="55"/>
  <c r="D1429" i="55"/>
  <c r="D1350" i="55"/>
  <c r="D928" i="21"/>
  <c r="D920" i="21"/>
  <c r="D912" i="21"/>
  <c r="D904" i="21"/>
  <c r="D896" i="21"/>
  <c r="D888" i="21"/>
  <c r="D880" i="21"/>
  <c r="G84" i="21"/>
  <c r="I84" i="21" s="1"/>
  <c r="D1009" i="21"/>
  <c r="D999" i="55"/>
  <c r="D2720" i="21"/>
  <c r="B1098" i="55"/>
  <c r="D1098" i="55" s="1"/>
  <c r="D2835" i="21"/>
  <c r="D992" i="21"/>
  <c r="D984" i="21"/>
  <c r="D976" i="21"/>
  <c r="D952" i="21"/>
  <c r="D944" i="21"/>
  <c r="D1025" i="21"/>
  <c r="E639" i="55"/>
  <c r="G639" i="55" s="1"/>
  <c r="E12" i="55"/>
  <c r="G12" i="55" s="1"/>
  <c r="D1032" i="21"/>
  <c r="D1016" i="21"/>
  <c r="G90" i="21"/>
  <c r="I90" i="21" s="1"/>
  <c r="F1866" i="55"/>
  <c r="E554" i="55"/>
  <c r="G554" i="55" s="1"/>
  <c r="E514" i="55"/>
  <c r="G514" i="55" s="1"/>
  <c r="E418" i="55"/>
  <c r="G418" i="55" s="1"/>
  <c r="D1078" i="55"/>
  <c r="D1042" i="21"/>
  <c r="D1069" i="55"/>
  <c r="D1053" i="55"/>
  <c r="D1634" i="55"/>
  <c r="D944" i="55"/>
  <c r="D2819" i="21"/>
  <c r="I54" i="58"/>
  <c r="D1031" i="21"/>
  <c r="D1023" i="21"/>
  <c r="D1019" i="21"/>
  <c r="D1015" i="21"/>
  <c r="D1011" i="21"/>
  <c r="D1027" i="21"/>
  <c r="G113" i="21"/>
  <c r="I113" i="21" s="1"/>
  <c r="G1855" i="55"/>
  <c r="F3600" i="21"/>
  <c r="G1854" i="55"/>
  <c r="G3590" i="21"/>
  <c r="G2135" i="21"/>
  <c r="E54" i="55"/>
  <c r="B1845" i="55"/>
  <c r="D1845" i="55" s="1"/>
  <c r="G124" i="21"/>
  <c r="I124" i="21" s="1"/>
  <c r="D936" i="21"/>
  <c r="E601" i="55"/>
  <c r="G601" i="55" s="1"/>
  <c r="E577" i="55"/>
  <c r="G577" i="55" s="1"/>
  <c r="E522" i="55"/>
  <c r="G522" i="55" s="1"/>
  <c r="E442" i="55"/>
  <c r="G442" i="55" s="1"/>
  <c r="A1097" i="55"/>
  <c r="E2171" i="21"/>
  <c r="G2171" i="21" s="1"/>
  <c r="E759" i="55"/>
  <c r="G759" i="55" s="1"/>
  <c r="E735" i="55"/>
  <c r="G735" i="55" s="1"/>
  <c r="E711" i="55"/>
  <c r="G711" i="55" s="1"/>
  <c r="E624" i="55"/>
  <c r="G624" i="55" s="1"/>
  <c r="E610" i="55"/>
  <c r="G610" i="55" s="1"/>
  <c r="E561" i="55"/>
  <c r="G561" i="55" s="1"/>
  <c r="E537" i="55"/>
  <c r="G537" i="55" s="1"/>
  <c r="E513" i="55"/>
  <c r="G513" i="55" s="1"/>
  <c r="E489" i="55"/>
  <c r="G489" i="55" s="1"/>
  <c r="D2789" i="21"/>
  <c r="G455" i="55"/>
  <c r="G478" i="55"/>
  <c r="G512" i="55"/>
  <c r="D1692" i="55"/>
  <c r="D1602" i="55"/>
  <c r="D1587" i="55"/>
  <c r="D1550" i="55"/>
  <c r="D1536" i="55"/>
  <c r="D1519" i="55"/>
  <c r="D1458" i="55"/>
  <c r="D1450" i="55"/>
  <c r="D1414" i="55"/>
  <c r="D1398" i="55"/>
  <c r="D1369" i="55"/>
  <c r="J46" i="60"/>
  <c r="C1916" i="21"/>
  <c r="E2323" i="21"/>
  <c r="G2323" i="21" s="1"/>
  <c r="E2316" i="21"/>
  <c r="G2316" i="21" s="1"/>
  <c r="E2284" i="21"/>
  <c r="G2284" i="21" s="1"/>
  <c r="E2267" i="21"/>
  <c r="G2267" i="21" s="1"/>
  <c r="E2260" i="21"/>
  <c r="G2260" i="21" s="1"/>
  <c r="E2219" i="21"/>
  <c r="G2219" i="21" s="1"/>
  <c r="E2188" i="21"/>
  <c r="G2188" i="21" s="1"/>
  <c r="E2164" i="21"/>
  <c r="G2164" i="21" s="1"/>
  <c r="E720" i="55"/>
  <c r="G720" i="55" s="1"/>
  <c r="E696" i="55"/>
  <c r="G696" i="55" s="1"/>
  <c r="E672" i="55"/>
  <c r="G672" i="55" s="1"/>
  <c r="E648" i="55"/>
  <c r="G648" i="55" s="1"/>
  <c r="E623" i="55"/>
  <c r="G623" i="55" s="1"/>
  <c r="E609" i="55"/>
  <c r="G609" i="55" s="1"/>
  <c r="E585" i="55"/>
  <c r="G585" i="55" s="1"/>
  <c r="E498" i="55"/>
  <c r="G498" i="55" s="1"/>
  <c r="E474" i="55"/>
  <c r="G474" i="55" s="1"/>
  <c r="E450" i="55"/>
  <c r="G450" i="55" s="1"/>
  <c r="D1083" i="55"/>
  <c r="D2781" i="21"/>
  <c r="D1013" i="55"/>
  <c r="D996" i="55"/>
  <c r="D972" i="55"/>
  <c r="G480" i="55"/>
  <c r="G646" i="55"/>
  <c r="G702" i="55"/>
  <c r="G766" i="55"/>
  <c r="D1669" i="55"/>
  <c r="D1652" i="55"/>
  <c r="D1638" i="55"/>
  <c r="D1613" i="55"/>
  <c r="D1601" i="55"/>
  <c r="D1586" i="55"/>
  <c r="D1579" i="55"/>
  <c r="D1557" i="55"/>
  <c r="D1549" i="55"/>
  <c r="D1496" i="55"/>
  <c r="D1442" i="55"/>
  <c r="D1427" i="55"/>
  <c r="D1419" i="55"/>
  <c r="D1375" i="55"/>
  <c r="D1343" i="55"/>
  <c r="G66" i="60"/>
  <c r="P66" i="60"/>
  <c r="H36" i="52"/>
  <c r="D18" i="52"/>
  <c r="D37" i="52" s="1"/>
  <c r="H38" i="52"/>
  <c r="I37" i="52"/>
  <c r="I48" i="52" s="1"/>
  <c r="L36" i="52"/>
  <c r="L37" i="52"/>
  <c r="D25" i="52"/>
  <c r="D38" i="52" s="1"/>
  <c r="C415" i="55"/>
  <c r="C2151" i="21"/>
  <c r="H3592" i="21"/>
  <c r="E1907" i="21"/>
  <c r="G1907" i="21" s="1"/>
  <c r="E768" i="55"/>
  <c r="G768" i="55" s="1"/>
  <c r="E744" i="55"/>
  <c r="G744" i="55" s="1"/>
  <c r="E719" i="55"/>
  <c r="G719" i="55" s="1"/>
  <c r="E695" i="55"/>
  <c r="G695" i="55" s="1"/>
  <c r="E671" i="55"/>
  <c r="G671" i="55" s="1"/>
  <c r="E647" i="55"/>
  <c r="G647" i="55" s="1"/>
  <c r="E594" i="55"/>
  <c r="G594" i="55" s="1"/>
  <c r="E570" i="55"/>
  <c r="G570" i="55" s="1"/>
  <c r="E546" i="55"/>
  <c r="G546" i="55" s="1"/>
  <c r="E497" i="55"/>
  <c r="G497" i="55" s="1"/>
  <c r="E473" i="55"/>
  <c r="G473" i="55" s="1"/>
  <c r="E449" i="55"/>
  <c r="G449" i="55" s="1"/>
  <c r="E425" i="55"/>
  <c r="G425" i="55" s="1"/>
  <c r="D1074" i="55"/>
  <c r="D2749" i="21"/>
  <c r="D2732" i="21"/>
  <c r="E175" i="55"/>
  <c r="G175" i="55" s="1"/>
  <c r="D1698" i="55"/>
  <c r="D1682" i="55"/>
  <c r="D1659" i="55"/>
  <c r="D1503" i="55"/>
  <c r="D1495" i="55"/>
  <c r="D1487" i="55"/>
  <c r="D1412" i="55"/>
  <c r="D1404" i="55"/>
  <c r="D1348" i="55"/>
  <c r="D1342" i="55"/>
  <c r="I45" i="60"/>
  <c r="J39" i="60" s="1"/>
  <c r="E36" i="52"/>
  <c r="H1855" i="55"/>
  <c r="E1911" i="21"/>
  <c r="G1911" i="21" s="1"/>
  <c r="E2244" i="21"/>
  <c r="G2244" i="21" s="1"/>
  <c r="E2180" i="21"/>
  <c r="G2180" i="21" s="1"/>
  <c r="E2155" i="21"/>
  <c r="G2155" i="21" s="1"/>
  <c r="E767" i="55"/>
  <c r="G767" i="55" s="1"/>
  <c r="E743" i="55"/>
  <c r="G743" i="55" s="1"/>
  <c r="E656" i="55"/>
  <c r="G656" i="55" s="1"/>
  <c r="E632" i="55"/>
  <c r="G632" i="55" s="1"/>
  <c r="E593" i="55"/>
  <c r="G593" i="55" s="1"/>
  <c r="E569" i="55"/>
  <c r="G569" i="55" s="1"/>
  <c r="E545" i="55"/>
  <c r="G545" i="55" s="1"/>
  <c r="E521" i="55"/>
  <c r="G521" i="55" s="1"/>
  <c r="E434" i="55"/>
  <c r="G434" i="55" s="1"/>
  <c r="D1081" i="55"/>
  <c r="D2786" i="21"/>
  <c r="D1034" i="55"/>
  <c r="D2672" i="21"/>
  <c r="G462" i="55"/>
  <c r="G637" i="55"/>
  <c r="G717" i="55"/>
  <c r="D1704" i="55"/>
  <c r="D1697" i="55"/>
  <c r="D1689" i="55"/>
  <c r="D1631" i="55"/>
  <c r="D1618" i="55"/>
  <c r="D1611" i="55"/>
  <c r="D1592" i="55"/>
  <c r="D1570" i="55"/>
  <c r="D1411" i="55"/>
  <c r="D1387" i="55"/>
  <c r="M46" i="60"/>
  <c r="B1261" i="21"/>
  <c r="D1261" i="21" s="1"/>
  <c r="B1253" i="21"/>
  <c r="D1253" i="21" s="1"/>
  <c r="B1245" i="21"/>
  <c r="D1245" i="21" s="1"/>
  <c r="B1237" i="21"/>
  <c r="D1237" i="21" s="1"/>
  <c r="B1229" i="21"/>
  <c r="D1229" i="21" s="1"/>
  <c r="B1221" i="21"/>
  <c r="D1221" i="21" s="1"/>
  <c r="B1213" i="21"/>
  <c r="D1213" i="21" s="1"/>
  <c r="B1205" i="21"/>
  <c r="D1205" i="21" s="1"/>
  <c r="B1197" i="21"/>
  <c r="D1197" i="21" s="1"/>
  <c r="B1189" i="21"/>
  <c r="D1189" i="21" s="1"/>
  <c r="B1181" i="21"/>
  <c r="D1181" i="21" s="1"/>
  <c r="B1173" i="21"/>
  <c r="D1173" i="21" s="1"/>
  <c r="B1165" i="21"/>
  <c r="D1165" i="21" s="1"/>
  <c r="B1157" i="21"/>
  <c r="D1157" i="21" s="1"/>
  <c r="B1149" i="21"/>
  <c r="D1149" i="21" s="1"/>
  <c r="B1141" i="21"/>
  <c r="D1141" i="21" s="1"/>
  <c r="B1133" i="21"/>
  <c r="D1133" i="21" s="1"/>
  <c r="B1125" i="21"/>
  <c r="D1125" i="21" s="1"/>
  <c r="B1117" i="21"/>
  <c r="D1117" i="21" s="1"/>
  <c r="B1109" i="21"/>
  <c r="D1109" i="21" s="1"/>
  <c r="B1101" i="21"/>
  <c r="D1101" i="21" s="1"/>
  <c r="B1093" i="21"/>
  <c r="D1093" i="21" s="1"/>
  <c r="B1085" i="21"/>
  <c r="D1085" i="21" s="1"/>
  <c r="B1077" i="21"/>
  <c r="D1077" i="21" s="1"/>
  <c r="B1069" i="21"/>
  <c r="D1069" i="21" s="1"/>
  <c r="B1061" i="21"/>
  <c r="D1061" i="21" s="1"/>
  <c r="B1053" i="21"/>
  <c r="D1053" i="21" s="1"/>
  <c r="B1045" i="21"/>
  <c r="D1045" i="21" s="1"/>
  <c r="B1037" i="21"/>
  <c r="A1099" i="55"/>
  <c r="E2211" i="21"/>
  <c r="G2211" i="21" s="1"/>
  <c r="E2204" i="21"/>
  <c r="G2204" i="21" s="1"/>
  <c r="E752" i="55"/>
  <c r="G752" i="55" s="1"/>
  <c r="E728" i="55"/>
  <c r="G728" i="55" s="1"/>
  <c r="E704" i="55"/>
  <c r="G704" i="55" s="1"/>
  <c r="E680" i="55"/>
  <c r="G680" i="55" s="1"/>
  <c r="E655" i="55"/>
  <c r="G655" i="55" s="1"/>
  <c r="E631" i="55"/>
  <c r="G631" i="55" s="1"/>
  <c r="E617" i="55"/>
  <c r="G617" i="55" s="1"/>
  <c r="E530" i="55"/>
  <c r="G530" i="55" s="1"/>
  <c r="E506" i="55"/>
  <c r="G506" i="55" s="1"/>
  <c r="E482" i="55"/>
  <c r="G482" i="55" s="1"/>
  <c r="E433" i="55"/>
  <c r="G433" i="55" s="1"/>
  <c r="D2809" i="21"/>
  <c r="D2793" i="21"/>
  <c r="D1009" i="55"/>
  <c r="D993" i="55"/>
  <c r="G1865" i="55"/>
  <c r="G463" i="55"/>
  <c r="D1696" i="55"/>
  <c r="D1673" i="55"/>
  <c r="D1591" i="55"/>
  <c r="D1569" i="55"/>
  <c r="D1539" i="55"/>
  <c r="D1515" i="55"/>
  <c r="D1379" i="55"/>
  <c r="D1360" i="55"/>
  <c r="F1491" i="35"/>
  <c r="E1864" i="55" s="1"/>
  <c r="E1910" i="21"/>
  <c r="G1910" i="21" s="1"/>
  <c r="E703" i="55"/>
  <c r="G703" i="55" s="1"/>
  <c r="E679" i="55"/>
  <c r="G679" i="55" s="1"/>
  <c r="E602" i="55"/>
  <c r="G602" i="55" s="1"/>
  <c r="E578" i="55"/>
  <c r="G578" i="55" s="1"/>
  <c r="E529" i="55"/>
  <c r="G529" i="55" s="1"/>
  <c r="E505" i="55"/>
  <c r="G505" i="55" s="1"/>
  <c r="E481" i="55"/>
  <c r="G481" i="55" s="1"/>
  <c r="E457" i="55"/>
  <c r="G457" i="55" s="1"/>
  <c r="D1008" i="55"/>
  <c r="D950" i="55"/>
  <c r="G452" i="55"/>
  <c r="G464" i="55"/>
  <c r="G495" i="55"/>
  <c r="G517" i="55"/>
  <c r="G551" i="55"/>
  <c r="G758" i="55"/>
  <c r="D1656" i="55"/>
  <c r="D1642" i="55"/>
  <c r="D1636" i="55"/>
  <c r="D1623" i="55"/>
  <c r="D1545" i="55"/>
  <c r="D1507" i="55"/>
  <c r="D1492" i="55"/>
  <c r="D1409" i="55"/>
  <c r="D1386" i="55"/>
  <c r="D1378" i="55"/>
  <c r="D1525" i="55"/>
  <c r="G46" i="60"/>
  <c r="M66" i="60"/>
  <c r="C24" i="52"/>
  <c r="G1866" i="55"/>
  <c r="G272" i="55"/>
  <c r="G3602" i="21"/>
  <c r="E1413" i="35"/>
  <c r="D1413" i="35"/>
  <c r="E1856" i="55"/>
  <c r="G1856" i="55" s="1"/>
  <c r="F1413" i="35"/>
  <c r="E1853" i="55"/>
  <c r="G1853" i="55" s="1"/>
  <c r="D2803" i="21"/>
  <c r="D2714" i="21"/>
  <c r="D2747" i="21"/>
  <c r="D2763" i="21"/>
  <c r="C1023" i="55"/>
  <c r="D1023" i="55" s="1"/>
  <c r="D2702" i="21"/>
  <c r="D2762" i="21"/>
  <c r="D2745" i="21"/>
  <c r="D2775" i="21"/>
  <c r="C1060" i="55"/>
  <c r="D1060" i="55" s="1"/>
  <c r="D2797" i="21"/>
  <c r="C1037" i="55"/>
  <c r="D1037" i="55" s="1"/>
  <c r="D2774" i="21"/>
  <c r="D2738" i="21"/>
  <c r="C1001" i="55"/>
  <c r="D1001" i="55" s="1"/>
  <c r="C1065" i="55"/>
  <c r="D1065" i="55" s="1"/>
  <c r="D2802" i="21"/>
  <c r="C940" i="55"/>
  <c r="D940" i="55" s="1"/>
  <c r="D2677" i="21"/>
  <c r="C1084" i="55"/>
  <c r="D1084" i="55" s="1"/>
  <c r="D2670" i="21"/>
  <c r="D2806" i="21"/>
  <c r="C1056" i="55"/>
  <c r="D1056" i="55" s="1"/>
  <c r="D2832" i="21"/>
  <c r="D2687" i="21"/>
  <c r="C1012" i="55"/>
  <c r="D1012" i="55" s="1"/>
  <c r="D2750" i="21"/>
  <c r="D2815" i="21"/>
  <c r="C935" i="55"/>
  <c r="D935" i="55" s="1"/>
  <c r="C1073" i="55"/>
  <c r="D1073" i="55" s="1"/>
  <c r="C1087" i="55"/>
  <c r="D1087" i="55" s="1"/>
  <c r="D2691" i="21"/>
  <c r="D2746" i="21"/>
  <c r="D2736" i="21"/>
  <c r="D2771" i="21"/>
  <c r="D2734" i="21"/>
  <c r="D2692" i="21"/>
  <c r="D2711" i="21"/>
  <c r="D2753" i="21"/>
  <c r="D2748" i="21"/>
  <c r="D2739" i="21"/>
  <c r="D2695" i="21"/>
  <c r="D2790" i="21"/>
  <c r="D3080" i="21"/>
  <c r="C1389" i="55"/>
  <c r="D1389" i="55" s="1"/>
  <c r="C1431" i="55"/>
  <c r="D1431" i="55" s="1"/>
  <c r="D3324" i="21"/>
  <c r="D3276" i="21"/>
  <c r="C1672" i="55"/>
  <c r="D1672" i="55" s="1"/>
  <c r="C1451" i="55"/>
  <c r="D1451" i="55" s="1"/>
  <c r="C1540" i="55"/>
  <c r="D1540" i="55" s="1"/>
  <c r="C1561" i="55"/>
  <c r="D1561" i="55" s="1"/>
  <c r="C1684" i="55"/>
  <c r="D1684" i="55" s="1"/>
  <c r="C1368" i="55"/>
  <c r="D1368" i="55" s="1"/>
  <c r="C1653" i="55"/>
  <c r="D1653" i="55" s="1"/>
  <c r="D3433" i="21"/>
  <c r="D3338" i="21"/>
  <c r="C1473" i="55"/>
  <c r="D1473" i="55" s="1"/>
  <c r="C1417" i="55"/>
  <c r="D1417" i="55" s="1"/>
  <c r="D3179" i="21"/>
  <c r="D3146" i="21"/>
  <c r="C1485" i="55"/>
  <c r="D1485" i="55" s="1"/>
  <c r="D3115" i="21"/>
  <c r="C1599" i="55"/>
  <c r="D1599" i="55" s="1"/>
  <c r="D3148" i="21"/>
  <c r="D3261" i="21"/>
  <c r="C1397" i="55"/>
  <c r="D1397" i="55" s="1"/>
  <c r="D3195" i="21"/>
  <c r="C1400" i="55"/>
  <c r="D1400" i="55" s="1"/>
  <c r="D3147" i="21"/>
  <c r="D3135" i="21"/>
  <c r="C1491" i="55"/>
  <c r="D1491" i="55" s="1"/>
  <c r="C1616" i="55"/>
  <c r="D1616" i="55" s="1"/>
  <c r="C1420" i="55"/>
  <c r="D1420" i="55" s="1"/>
  <c r="G2322" i="21"/>
  <c r="D3297" i="21"/>
  <c r="C1666" i="55"/>
  <c r="D1666" i="55" s="1"/>
  <c r="C1459" i="55"/>
  <c r="D1459" i="55" s="1"/>
  <c r="C1338" i="55"/>
  <c r="D1338" i="55" s="1"/>
  <c r="D3133" i="21"/>
  <c r="D3219" i="21"/>
  <c r="D3368" i="21"/>
  <c r="D3116" i="21"/>
  <c r="C1361" i="55"/>
  <c r="D1361" i="55" s="1"/>
  <c r="D3316" i="21"/>
  <c r="C1523" i="55"/>
  <c r="D1523" i="55" s="1"/>
  <c r="D3306" i="21"/>
  <c r="D3123" i="21"/>
  <c r="C1351" i="55"/>
  <c r="D1351" i="55" s="1"/>
  <c r="D3242" i="21"/>
  <c r="G2201" i="21"/>
  <c r="D3211" i="21"/>
  <c r="D3156" i="21"/>
  <c r="C1661" i="55"/>
  <c r="D1661" i="55" s="1"/>
  <c r="C1686" i="55"/>
  <c r="D1686" i="55" s="1"/>
  <c r="C1580" i="55"/>
  <c r="D1580" i="55" s="1"/>
  <c r="D3377" i="21"/>
  <c r="D3294" i="21"/>
  <c r="C1538" i="55"/>
  <c r="D1538" i="55" s="1"/>
  <c r="C1385" i="55"/>
  <c r="D1385" i="55" s="1"/>
  <c r="D3233" i="21"/>
  <c r="D3434" i="21"/>
  <c r="C1617" i="55"/>
  <c r="D1617" i="55" s="1"/>
  <c r="D3143" i="21"/>
  <c r="C1479" i="55"/>
  <c r="D1479" i="55" s="1"/>
  <c r="D3410" i="21"/>
  <c r="C1480" i="55"/>
  <c r="D1480" i="55" s="1"/>
  <c r="D3106" i="21"/>
  <c r="D3282" i="21"/>
  <c r="C1588" i="55"/>
  <c r="D1588" i="55" s="1"/>
  <c r="D3441" i="21"/>
  <c r="C1517" i="55"/>
  <c r="D1517" i="55" s="1"/>
  <c r="D3429" i="21"/>
  <c r="D3389" i="21"/>
  <c r="D3262" i="21"/>
  <c r="C1399" i="55"/>
  <c r="D1399" i="55" s="1"/>
  <c r="C1430" i="55"/>
  <c r="D1430" i="55" s="1"/>
  <c r="C1440" i="55"/>
  <c r="D1440" i="55" s="1"/>
  <c r="C1463" i="55"/>
  <c r="D1463" i="55" s="1"/>
  <c r="C1651" i="55"/>
  <c r="D1651" i="55" s="1"/>
  <c r="D3184" i="21"/>
  <c r="D3396" i="21"/>
  <c r="C1546" i="55"/>
  <c r="D1546" i="55" s="1"/>
  <c r="D3355" i="21"/>
  <c r="D3244" i="21"/>
  <c r="D3328" i="21"/>
  <c r="D3352" i="21"/>
  <c r="D3232" i="21"/>
  <c r="C1665" i="55"/>
  <c r="D1665" i="55" s="1"/>
  <c r="D3264" i="21"/>
  <c r="D3252" i="21"/>
  <c r="D3266" i="21"/>
  <c r="D3435" i="21"/>
  <c r="C1513" i="55"/>
  <c r="D1513" i="55" s="1"/>
  <c r="C1358" i="55"/>
  <c r="D1358" i="55" s="1"/>
  <c r="D3329" i="21"/>
  <c r="G2452" i="21"/>
  <c r="G2282" i="21"/>
  <c r="D3286" i="21"/>
  <c r="G2442" i="21"/>
  <c r="D3318" i="21"/>
  <c r="D3097" i="21"/>
  <c r="C1548" i="55"/>
  <c r="D1548" i="55" s="1"/>
  <c r="C986" i="55"/>
  <c r="D986" i="55" s="1"/>
  <c r="C1049" i="55"/>
  <c r="D1049" i="55" s="1"/>
  <c r="D2733" i="21"/>
  <c r="D958" i="55"/>
  <c r="C1079" i="55"/>
  <c r="D1079" i="55" s="1"/>
  <c r="D2761" i="21"/>
  <c r="D2676" i="21"/>
  <c r="C1072" i="55"/>
  <c r="D1072" i="55" s="1"/>
  <c r="C987" i="55"/>
  <c r="D987" i="55" s="1"/>
  <c r="D2680" i="21"/>
  <c r="D2823" i="21"/>
  <c r="C1076" i="55"/>
  <c r="D1076" i="55" s="1"/>
  <c r="G1843" i="21"/>
  <c r="D2758" i="21"/>
  <c r="D1086" i="55"/>
  <c r="D2725" i="21"/>
  <c r="D2729" i="21"/>
  <c r="C963" i="55"/>
  <c r="D963" i="55" s="1"/>
  <c r="D2721" i="21"/>
  <c r="D1094" i="55"/>
  <c r="D2794" i="21"/>
  <c r="D998" i="55"/>
  <c r="D988" i="55"/>
  <c r="D1062" i="55"/>
  <c r="D1052" i="55"/>
  <c r="C1018" i="55"/>
  <c r="D1018" i="55" s="1"/>
  <c r="C1043" i="55"/>
  <c r="D1043" i="55" s="1"/>
  <c r="C1006" i="55"/>
  <c r="D1006" i="55" s="1"/>
  <c r="D992" i="55"/>
  <c r="D2820" i="21"/>
  <c r="C968" i="55"/>
  <c r="D968" i="55" s="1"/>
  <c r="C1662" i="55"/>
  <c r="D1662" i="55" s="1"/>
  <c r="D3399" i="21"/>
  <c r="D3161" i="21"/>
  <c r="C1424" i="55"/>
  <c r="D1424" i="55" s="1"/>
  <c r="D3284" i="21"/>
  <c r="C1547" i="55"/>
  <c r="D1547" i="55" s="1"/>
  <c r="C1676" i="55"/>
  <c r="D1676" i="55" s="1"/>
  <c r="D3413" i="21"/>
  <c r="D3345" i="21"/>
  <c r="C1608" i="55"/>
  <c r="D1608" i="55" s="1"/>
  <c r="C1553" i="55"/>
  <c r="D1553" i="55" s="1"/>
  <c r="D3290" i="21"/>
  <c r="C1382" i="55"/>
  <c r="D1382" i="55" s="1"/>
  <c r="D3119" i="21"/>
  <c r="D3113" i="21"/>
  <c r="C1376" i="55"/>
  <c r="D1376" i="55" s="1"/>
  <c r="D3076" i="21"/>
  <c r="C1339" i="55"/>
  <c r="D1339" i="55" s="1"/>
  <c r="D3376" i="21"/>
  <c r="C1639" i="55"/>
  <c r="D1639" i="55" s="1"/>
  <c r="D3349" i="21"/>
  <c r="C1612" i="55"/>
  <c r="D1612" i="55" s="1"/>
  <c r="D3218" i="21"/>
  <c r="D3225" i="21"/>
  <c r="C1644" i="55"/>
  <c r="D1644" i="55" s="1"/>
  <c r="D3381" i="21"/>
  <c r="D3303" i="21"/>
  <c r="C1566" i="55"/>
  <c r="D1566" i="55" s="1"/>
  <c r="C1468" i="55"/>
  <c r="D1468" i="55" s="1"/>
  <c r="D3205" i="21"/>
  <c r="C1534" i="55"/>
  <c r="D1534" i="55" s="1"/>
  <c r="C1695" i="55"/>
  <c r="D1695" i="55" s="1"/>
  <c r="D3432" i="21"/>
  <c r="D3238" i="21"/>
  <c r="C1501" i="55"/>
  <c r="D1501" i="55" s="1"/>
  <c r="D3186" i="21"/>
  <c r="C1449" i="55"/>
  <c r="D1449" i="55" s="1"/>
  <c r="D3357" i="21"/>
  <c r="C1620" i="55"/>
  <c r="D1620" i="55" s="1"/>
  <c r="C1407" i="55"/>
  <c r="D1407" i="55" s="1"/>
  <c r="D3144" i="21"/>
  <c r="D3320" i="21"/>
  <c r="C1583" i="55"/>
  <c r="D1583" i="55" s="1"/>
  <c r="C1462" i="55"/>
  <c r="D1462" i="55" s="1"/>
  <c r="D3199" i="21"/>
  <c r="D3251" i="21"/>
  <c r="C1649" i="55"/>
  <c r="D1649" i="55" s="1"/>
  <c r="C1675" i="55"/>
  <c r="D1675" i="55" s="1"/>
  <c r="G2448" i="21"/>
  <c r="K28" i="58"/>
  <c r="K43" i="58"/>
  <c r="E40" i="58"/>
  <c r="C47" i="58"/>
  <c r="K53" i="58"/>
  <c r="F3594" i="21"/>
  <c r="H3593" i="21"/>
  <c r="D3603" i="21"/>
  <c r="G3593" i="21"/>
  <c r="F1857" i="55"/>
  <c r="F185" i="21"/>
  <c r="F184" i="21"/>
  <c r="F183" i="21"/>
  <c r="F177" i="21"/>
  <c r="F175" i="21"/>
  <c r="F401" i="21"/>
  <c r="F394" i="21"/>
  <c r="F393" i="21"/>
  <c r="F386" i="21"/>
  <c r="F385" i="21"/>
  <c r="F378" i="21"/>
  <c r="F376" i="21"/>
  <c r="F375" i="21"/>
  <c r="F370" i="21"/>
  <c r="F369" i="21"/>
  <c r="F362" i="21"/>
  <c r="F361" i="21"/>
  <c r="F354" i="21"/>
  <c r="F353" i="21"/>
  <c r="F352" i="21"/>
  <c r="F351" i="21"/>
  <c r="F346" i="21"/>
  <c r="F338" i="21"/>
  <c r="F334" i="21"/>
  <c r="F330" i="21"/>
  <c r="F322" i="21"/>
  <c r="F314" i="21"/>
  <c r="F310" i="21"/>
  <c r="F306" i="21"/>
  <c r="F297" i="21"/>
  <c r="F290" i="21"/>
  <c r="F289" i="21"/>
  <c r="F288" i="21"/>
  <c r="F287" i="21"/>
  <c r="F282" i="21"/>
  <c r="F281" i="21"/>
  <c r="F274" i="21"/>
  <c r="F273" i="21"/>
  <c r="F266" i="21"/>
  <c r="F265" i="21"/>
  <c r="F258" i="21"/>
  <c r="F257" i="21"/>
  <c r="F250" i="21"/>
  <c r="F249" i="21"/>
  <c r="F248" i="21"/>
  <c r="F242" i="21"/>
  <c r="F241" i="21"/>
  <c r="F234" i="21"/>
  <c r="F233" i="21"/>
  <c r="F226" i="21"/>
  <c r="F225" i="21"/>
  <c r="F224" i="21"/>
  <c r="F218" i="21"/>
  <c r="F217" i="21"/>
  <c r="F210" i="21"/>
  <c r="F209" i="21"/>
  <c r="F208" i="21"/>
  <c r="F202" i="21"/>
  <c r="F201" i="21"/>
  <c r="F199" i="21"/>
  <c r="F194" i="21"/>
  <c r="F193" i="21"/>
  <c r="F192" i="21"/>
  <c r="F191" i="21"/>
  <c r="F168" i="21"/>
  <c r="F347" i="21"/>
  <c r="F339" i="21"/>
  <c r="F331" i="21"/>
  <c r="F323" i="21"/>
  <c r="F315" i="21"/>
  <c r="F307" i="21"/>
  <c r="F299" i="21"/>
  <c r="F291" i="21"/>
  <c r="F275" i="21"/>
  <c r="F235" i="21"/>
  <c r="F227" i="21"/>
  <c r="F219" i="21"/>
  <c r="F211" i="21"/>
  <c r="F203" i="21"/>
  <c r="F179" i="21"/>
  <c r="F171" i="21"/>
  <c r="D1222" i="21"/>
  <c r="D1110" i="21"/>
  <c r="E403" i="46"/>
  <c r="D1111" i="21"/>
  <c r="D1166" i="21"/>
  <c r="D1102" i="21"/>
  <c r="D1070" i="21"/>
  <c r="B839" i="46"/>
  <c r="D988" i="21"/>
  <c r="D1126" i="21"/>
  <c r="C1115" i="55"/>
  <c r="D1115" i="55" s="1"/>
  <c r="D2852" i="21"/>
  <c r="C1218" i="55"/>
  <c r="D1218" i="55" s="1"/>
  <c r="D2955" i="21"/>
  <c r="C1125" i="55"/>
  <c r="D1125" i="55" s="1"/>
  <c r="D2862" i="21"/>
  <c r="C1255" i="55"/>
  <c r="D1255" i="55" s="1"/>
  <c r="D2992" i="21"/>
  <c r="C1223" i="55"/>
  <c r="D1223" i="55" s="1"/>
  <c r="D2960" i="21"/>
  <c r="C1103" i="55"/>
  <c r="D1103" i="55" s="1"/>
  <c r="D2840" i="21"/>
  <c r="C1249" i="55"/>
  <c r="D1249" i="55" s="1"/>
  <c r="D2986" i="21"/>
  <c r="C1238" i="55"/>
  <c r="D1238" i="55" s="1"/>
  <c r="D2975" i="21"/>
  <c r="C1233" i="55"/>
  <c r="D1233" i="55" s="1"/>
  <c r="D2970" i="21"/>
  <c r="C1207" i="55"/>
  <c r="D1207" i="55" s="1"/>
  <c r="D2944" i="21"/>
  <c r="C1202" i="55"/>
  <c r="D1202" i="55" s="1"/>
  <c r="D2939" i="21"/>
  <c r="C1192" i="55"/>
  <c r="D1192" i="55" s="1"/>
  <c r="D2929" i="21"/>
  <c r="D3059" i="21"/>
  <c r="D3043" i="21"/>
  <c r="D2889" i="21"/>
  <c r="C1177" i="55"/>
  <c r="D1177" i="55" s="1"/>
  <c r="D2914" i="21"/>
  <c r="H262" i="35"/>
  <c r="H263" i="35" s="1"/>
  <c r="H264" i="35" s="1"/>
  <c r="H265" i="35" s="1"/>
  <c r="H266" i="35" s="1"/>
  <c r="H267" i="35" s="1"/>
  <c r="H268" i="35" s="1"/>
  <c r="H269" i="35" s="1"/>
  <c r="H270" i="35" s="1"/>
  <c r="C1312" i="55"/>
  <c r="D1312" i="55" s="1"/>
  <c r="D3049" i="21"/>
  <c r="C1239" i="55"/>
  <c r="D1239" i="55" s="1"/>
  <c r="D2976" i="21"/>
  <c r="C1136" i="55"/>
  <c r="D1136" i="55" s="1"/>
  <c r="D2873" i="21"/>
  <c r="C1323" i="55"/>
  <c r="D1323" i="55" s="1"/>
  <c r="D3060" i="21"/>
  <c r="C1275" i="55"/>
  <c r="D1275" i="55" s="1"/>
  <c r="D3012" i="21"/>
  <c r="C1234" i="55"/>
  <c r="D1234" i="55" s="1"/>
  <c r="D2971" i="21"/>
  <c r="C1146" i="55"/>
  <c r="D1146" i="55" s="1"/>
  <c r="D2883" i="21"/>
  <c r="C1250" i="55"/>
  <c r="D1250" i="55" s="1"/>
  <c r="D2987" i="21"/>
  <c r="C1228" i="55"/>
  <c r="D1228" i="55" s="1"/>
  <c r="D2965" i="21"/>
  <c r="C1208" i="55"/>
  <c r="D1208" i="55" s="1"/>
  <c r="D2945" i="21"/>
  <c r="D3044" i="21"/>
  <c r="C1327" i="55"/>
  <c r="D1327" i="55" s="1"/>
  <c r="D3064" i="21"/>
  <c r="C1291" i="55"/>
  <c r="D1291" i="55" s="1"/>
  <c r="D3028" i="21"/>
  <c r="C1254" i="55"/>
  <c r="D1254" i="55" s="1"/>
  <c r="D2991" i="21"/>
  <c r="D3055" i="21"/>
  <c r="D2888" i="21"/>
  <c r="G346" i="55"/>
  <c r="D3070" i="21"/>
  <c r="D2980" i="21"/>
  <c r="D2907" i="21"/>
  <c r="D2871" i="21"/>
  <c r="D2897" i="21"/>
  <c r="G283" i="55"/>
  <c r="G307" i="55"/>
  <c r="D3042" i="21"/>
  <c r="D2872" i="21"/>
  <c r="G311" i="55"/>
  <c r="D3014" i="21"/>
  <c r="D2943" i="21"/>
  <c r="D2916" i="21"/>
  <c r="G371" i="55"/>
  <c r="G199" i="55"/>
  <c r="G281" i="55"/>
  <c r="D3037" i="21"/>
  <c r="D3027" i="21"/>
  <c r="D2996" i="21"/>
  <c r="D2953" i="21"/>
  <c r="D2928" i="21"/>
  <c r="D2896" i="21"/>
  <c r="D2866" i="21"/>
  <c r="G259" i="55"/>
  <c r="G235" i="55"/>
  <c r="D3032" i="21"/>
  <c r="G256" i="55"/>
  <c r="G233" i="55"/>
  <c r="G297" i="55"/>
  <c r="G193" i="55"/>
  <c r="D3015" i="21"/>
  <c r="D2969" i="21"/>
  <c r="D2861" i="21"/>
  <c r="G413" i="55"/>
  <c r="G217" i="55"/>
  <c r="D2906" i="21"/>
  <c r="D2867" i="21"/>
  <c r="G263" i="55"/>
  <c r="D3048" i="21"/>
  <c r="D3036" i="21"/>
  <c r="D3026" i="21"/>
  <c r="D3011" i="21"/>
  <c r="D2995" i="21"/>
  <c r="D2964" i="21"/>
  <c r="D2927" i="21"/>
  <c r="D2891" i="21"/>
  <c r="D2876" i="21"/>
  <c r="D2865" i="21"/>
  <c r="C1285" i="55"/>
  <c r="D1285" i="55" s="1"/>
  <c r="C1113" i="55"/>
  <c r="D1113" i="55" s="1"/>
  <c r="D3007" i="21"/>
  <c r="D2952" i="21"/>
  <c r="D2962" i="21"/>
  <c r="G1987" i="21"/>
  <c r="C1301" i="55"/>
  <c r="D1301" i="55" s="1"/>
  <c r="C1294" i="55"/>
  <c r="D1294" i="55" s="1"/>
  <c r="D3031" i="21"/>
  <c r="C1268" i="55"/>
  <c r="D1268" i="55" s="1"/>
  <c r="D3005" i="21"/>
  <c r="C1163" i="55"/>
  <c r="D1163" i="55" s="1"/>
  <c r="D2900" i="21"/>
  <c r="F180" i="55"/>
  <c r="C1212" i="55"/>
  <c r="D1212" i="55" s="1"/>
  <c r="D2949" i="21"/>
  <c r="C1197" i="55"/>
  <c r="D1197" i="55" s="1"/>
  <c r="D2934" i="21"/>
  <c r="C1187" i="55"/>
  <c r="D1187" i="55" s="1"/>
  <c r="D2924" i="21"/>
  <c r="C1172" i="55"/>
  <c r="D1172" i="55" s="1"/>
  <c r="D2909" i="21"/>
  <c r="C1117" i="55"/>
  <c r="D1117" i="55" s="1"/>
  <c r="D2854" i="21"/>
  <c r="C1276" i="55"/>
  <c r="D1276" i="55" s="1"/>
  <c r="D3013" i="21"/>
  <c r="C1261" i="55"/>
  <c r="D1261" i="55" s="1"/>
  <c r="D2998" i="21"/>
  <c r="C1236" i="55"/>
  <c r="D1236" i="55" s="1"/>
  <c r="D2973" i="21"/>
  <c r="C1221" i="55"/>
  <c r="D1221" i="55" s="1"/>
  <c r="D2958" i="21"/>
  <c r="C1147" i="55"/>
  <c r="D1147" i="55" s="1"/>
  <c r="D2884" i="21"/>
  <c r="C1132" i="55"/>
  <c r="D1132" i="55" s="1"/>
  <c r="D2869" i="21"/>
  <c r="D3056" i="21"/>
  <c r="G2139" i="21"/>
  <c r="D3065" i="21"/>
  <c r="D2895" i="21"/>
  <c r="D2860" i="21"/>
  <c r="G315" i="55"/>
  <c r="D3024" i="21"/>
  <c r="D2894" i="21"/>
  <c r="C1317" i="55"/>
  <c r="D1317" i="55" s="1"/>
  <c r="D3054" i="21"/>
  <c r="C1245" i="55"/>
  <c r="D1245" i="55" s="1"/>
  <c r="D2982" i="21"/>
  <c r="C1196" i="55"/>
  <c r="D1196" i="55" s="1"/>
  <c r="D2933" i="21"/>
  <c r="C1171" i="55"/>
  <c r="D1171" i="55" s="1"/>
  <c r="D2908" i="21"/>
  <c r="C1156" i="55"/>
  <c r="D1156" i="55" s="1"/>
  <c r="D2893" i="21"/>
  <c r="C1116" i="55"/>
  <c r="D1116" i="55" s="1"/>
  <c r="D2853" i="21"/>
  <c r="G227" i="55"/>
  <c r="G405" i="55"/>
  <c r="D3061" i="21"/>
  <c r="D2930" i="21"/>
  <c r="D2881" i="21"/>
  <c r="G353" i="55"/>
  <c r="D2979" i="21"/>
  <c r="D2920" i="21"/>
  <c r="D2880" i="21"/>
  <c r="C1326" i="55"/>
  <c r="D1326" i="55" s="1"/>
  <c r="D3063" i="21"/>
  <c r="C1286" i="55"/>
  <c r="D1286" i="55" s="1"/>
  <c r="D3023" i="21"/>
  <c r="C1260" i="55"/>
  <c r="D1260" i="55" s="1"/>
  <c r="D2997" i="21"/>
  <c r="C1220" i="55"/>
  <c r="D1220" i="55" s="1"/>
  <c r="D2957" i="21"/>
  <c r="C1205" i="55"/>
  <c r="D1205" i="55" s="1"/>
  <c r="D2942" i="21"/>
  <c r="C1180" i="55"/>
  <c r="D1180" i="55" s="1"/>
  <c r="D2917" i="21"/>
  <c r="C1131" i="55"/>
  <c r="D1131" i="55" s="1"/>
  <c r="D2868" i="21"/>
  <c r="G414" i="55"/>
  <c r="C1334" i="55"/>
  <c r="D1334" i="55" s="1"/>
  <c r="D3071" i="21"/>
  <c r="C1302" i="55"/>
  <c r="D1302" i="55" s="1"/>
  <c r="D3039" i="21"/>
  <c r="D3001" i="21"/>
  <c r="D3069" i="21"/>
  <c r="D3050" i="21"/>
  <c r="D3029" i="21"/>
  <c r="D3019" i="21"/>
  <c r="D3009" i="21"/>
  <c r="D2919" i="21"/>
  <c r="D2870" i="21"/>
  <c r="C1310" i="55"/>
  <c r="D1310" i="55" s="1"/>
  <c r="D3047" i="21"/>
  <c r="C1269" i="55"/>
  <c r="D1269" i="55" s="1"/>
  <c r="D3006" i="21"/>
  <c r="C1244" i="55"/>
  <c r="D1244" i="55" s="1"/>
  <c r="D2981" i="21"/>
  <c r="C1229" i="55"/>
  <c r="D1229" i="55" s="1"/>
  <c r="D2966" i="21"/>
  <c r="C1155" i="55"/>
  <c r="D1155" i="55" s="1"/>
  <c r="D2892" i="21"/>
  <c r="C1140" i="55"/>
  <c r="D1140" i="55" s="1"/>
  <c r="D2877" i="21"/>
  <c r="C1148" i="55"/>
  <c r="D1148" i="55" s="1"/>
  <c r="D2885" i="21"/>
  <c r="G337" i="55"/>
  <c r="G275" i="55"/>
  <c r="G289" i="55"/>
  <c r="G2150" i="21"/>
  <c r="D3058" i="21"/>
  <c r="D3018" i="21"/>
  <c r="D3008" i="21"/>
  <c r="D2968" i="21"/>
  <c r="D2959" i="21"/>
  <c r="D2948" i="21"/>
  <c r="D2918" i="21"/>
  <c r="D2878" i="21"/>
  <c r="F1916" i="21"/>
  <c r="C1309" i="55"/>
  <c r="D1309" i="55" s="1"/>
  <c r="C1253" i="55"/>
  <c r="D1253" i="55" s="1"/>
  <c r="D2990" i="21"/>
  <c r="C1204" i="55"/>
  <c r="D1204" i="55" s="1"/>
  <c r="D2941" i="21"/>
  <c r="G2006" i="21"/>
  <c r="G396" i="55"/>
  <c r="G412" i="55"/>
  <c r="G397" i="55"/>
  <c r="G335" i="55"/>
  <c r="G389" i="55"/>
  <c r="G327" i="55"/>
  <c r="G3603" i="21"/>
  <c r="I1337" i="19"/>
  <c r="B2151" i="21"/>
  <c r="G1844" i="19"/>
  <c r="E2385" i="21"/>
  <c r="G2385" i="21" s="1"/>
  <c r="E37" i="52"/>
  <c r="C21" i="52"/>
  <c r="C37" i="52" s="1"/>
  <c r="F392" i="21"/>
  <c r="F232" i="21"/>
  <c r="F303" i="21"/>
  <c r="F54" i="21"/>
  <c r="F390" i="21"/>
  <c r="F374" i="21"/>
  <c r="F214" i="21"/>
  <c r="F187" i="21"/>
  <c r="F298" i="21"/>
  <c r="F148" i="21"/>
  <c r="F377" i="21"/>
  <c r="F360" i="21"/>
  <c r="F216" i="21"/>
  <c r="F383" i="21"/>
  <c r="F295" i="21"/>
  <c r="F263" i="21"/>
  <c r="F382" i="21"/>
  <c r="F366" i="21"/>
  <c r="F358" i="21"/>
  <c r="F350" i="21"/>
  <c r="F278" i="21"/>
  <c r="F270" i="21"/>
  <c r="F254" i="21"/>
  <c r="F246" i="21"/>
  <c r="F238" i="21"/>
  <c r="F206" i="21"/>
  <c r="F198" i="21"/>
  <c r="F190" i="21"/>
  <c r="F174" i="21"/>
  <c r="F166" i="21"/>
  <c r="B86" i="36"/>
  <c r="F43" i="21"/>
  <c r="F176" i="21"/>
  <c r="F400" i="21"/>
  <c r="F384" i="21"/>
  <c r="F368" i="21"/>
  <c r="F344" i="21"/>
  <c r="F336" i="21"/>
  <c r="F312" i="21"/>
  <c r="F304" i="21"/>
  <c r="F296" i="21"/>
  <c r="F280" i="21"/>
  <c r="F272" i="21"/>
  <c r="F264" i="21"/>
  <c r="F256" i="21"/>
  <c r="F240" i="21"/>
  <c r="F200" i="21"/>
  <c r="C86" i="36"/>
  <c r="O41" i="52" s="1"/>
  <c r="F163" i="21"/>
  <c r="F83" i="21"/>
  <c r="F186" i="21"/>
  <c r="F178" i="21"/>
  <c r="F170" i="21"/>
  <c r="F326" i="21"/>
  <c r="F302" i="21"/>
  <c r="F182" i="21"/>
  <c r="F399" i="21"/>
  <c r="F391" i="21"/>
  <c r="F359" i="21"/>
  <c r="F343" i="21"/>
  <c r="F335" i="21"/>
  <c r="F327" i="21"/>
  <c r="F279" i="21"/>
  <c r="F271" i="21"/>
  <c r="F255" i="21"/>
  <c r="F239" i="21"/>
  <c r="F223" i="21"/>
  <c r="F215" i="21"/>
  <c r="F207" i="21"/>
  <c r="F22" i="21"/>
  <c r="F150" i="21"/>
  <c r="F155" i="21"/>
  <c r="C167" i="21"/>
  <c r="C866" i="21" s="1"/>
  <c r="F345" i="21"/>
  <c r="F337" i="21"/>
  <c r="F321" i="21"/>
  <c r="F313" i="21"/>
  <c r="F305" i="21"/>
  <c r="E167" i="21"/>
  <c r="E866" i="21" s="1"/>
  <c r="F61" i="21"/>
  <c r="F395" i="21"/>
  <c r="F387" i="21"/>
  <c r="F379" i="21"/>
  <c r="F371" i="21"/>
  <c r="F363" i="21"/>
  <c r="F355" i="21"/>
  <c r="F283" i="21"/>
  <c r="F267" i="21"/>
  <c r="F259" i="21"/>
  <c r="F251" i="21"/>
  <c r="F243" i="21"/>
  <c r="F195" i="21"/>
  <c r="F50" i="21"/>
  <c r="F32" i="21"/>
  <c r="F169" i="21"/>
  <c r="F145" i="21"/>
  <c r="F77" i="21"/>
  <c r="F144" i="21"/>
  <c r="F136" i="21"/>
  <c r="F64" i="21"/>
  <c r="F120" i="21"/>
  <c r="F71" i="21"/>
  <c r="F68" i="21"/>
  <c r="D167" i="21"/>
  <c r="D866" i="21" s="1"/>
  <c r="F121" i="21"/>
  <c r="F84" i="21"/>
  <c r="F146" i="21"/>
  <c r="F130" i="21"/>
  <c r="F45" i="21"/>
  <c r="F20" i="21"/>
  <c r="F36" i="21"/>
  <c r="F160" i="21"/>
  <c r="F42" i="21"/>
  <c r="F149" i="21"/>
  <c r="F23" i="21"/>
  <c r="F402" i="21"/>
  <c r="F104" i="21"/>
  <c r="F79" i="21"/>
  <c r="F157" i="21"/>
  <c r="F125" i="21"/>
  <c r="F44" i="21"/>
  <c r="F141" i="21"/>
  <c r="E38" i="52"/>
  <c r="E48" i="52" s="1"/>
  <c r="C12" i="52"/>
  <c r="H1476" i="35"/>
  <c r="H1477" i="35" s="1"/>
  <c r="H1478" i="35" s="1"/>
  <c r="H1479" i="35" s="1"/>
  <c r="H1480" i="35" s="1"/>
  <c r="H1481" i="35" s="1"/>
  <c r="H1482" i="35" s="1"/>
  <c r="H1483" i="35" s="1"/>
  <c r="H1484" i="35" s="1"/>
  <c r="H1485" i="35" s="1"/>
  <c r="H1486" i="35" s="1"/>
  <c r="H1487" i="35" s="1"/>
  <c r="H1488" i="35" s="1"/>
  <c r="H1489" i="35" s="1"/>
  <c r="H1490" i="35" s="1"/>
  <c r="H1461" i="35"/>
  <c r="H1462" i="35" s="1"/>
  <c r="H1463" i="35" s="1"/>
  <c r="H1464" i="35" s="1"/>
  <c r="H1465" i="35" s="1"/>
  <c r="H1466" i="35" s="1"/>
  <c r="H1467" i="35" s="1"/>
  <c r="H1468" i="35" s="1"/>
  <c r="H1469" i="35" s="1"/>
  <c r="A18" i="59"/>
  <c r="I117" i="60"/>
  <c r="C121" i="60"/>
  <c r="O117" i="60"/>
  <c r="L117" i="60"/>
  <c r="D1024" i="55"/>
  <c r="E1748" i="21"/>
  <c r="G1748" i="21" s="1"/>
  <c r="B1744" i="21"/>
  <c r="E116" i="58"/>
  <c r="D116" i="58"/>
  <c r="C116" i="58"/>
  <c r="F116" i="58"/>
  <c r="D1092" i="55"/>
  <c r="D990" i="55"/>
  <c r="B180" i="55"/>
  <c r="E182" i="55"/>
  <c r="G182" i="55" s="1"/>
  <c r="L111" i="60"/>
  <c r="I91" i="60"/>
  <c r="I2024" i="19"/>
  <c r="K52" i="58"/>
  <c r="E1844" i="19"/>
  <c r="H68" i="35"/>
  <c r="G28" i="60"/>
  <c r="P28" i="60"/>
  <c r="M27" i="60"/>
  <c r="F26" i="60"/>
  <c r="I37" i="60"/>
  <c r="K36" i="60"/>
  <c r="O37" i="60"/>
  <c r="C982" i="55"/>
  <c r="D982" i="55" s="1"/>
  <c r="D2804" i="21"/>
  <c r="Q162" i="61"/>
  <c r="Q163" i="61" s="1"/>
  <c r="C1120" i="55"/>
  <c r="D1120" i="55" s="1"/>
  <c r="D2857" i="21"/>
  <c r="C1119" i="55"/>
  <c r="D1119" i="55" s="1"/>
  <c r="D2856" i="21"/>
  <c r="D2851" i="21"/>
  <c r="C1114" i="55"/>
  <c r="D1114" i="55" s="1"/>
  <c r="C1104" i="55"/>
  <c r="D1104" i="55" s="1"/>
  <c r="C2839" i="21"/>
  <c r="D2839" i="21" s="1"/>
  <c r="D2841" i="21"/>
  <c r="C138" i="60"/>
  <c r="K41" i="58"/>
  <c r="D2674" i="21"/>
  <c r="C970" i="55"/>
  <c r="D970" i="55" s="1"/>
  <c r="D2735" i="21"/>
  <c r="D2669" i="21"/>
  <c r="E2157" i="21"/>
  <c r="G2157" i="21" s="1"/>
  <c r="I7" i="19"/>
  <c r="B59" i="21"/>
  <c r="F59" i="21" s="1"/>
  <c r="B102" i="21"/>
  <c r="F102" i="21" s="1"/>
  <c r="B12" i="21"/>
  <c r="F12" i="21" s="1"/>
  <c r="B98" i="21"/>
  <c r="F98" i="21" s="1"/>
  <c r="B10" i="21"/>
  <c r="F10" i="21" s="1"/>
  <c r="B103" i="21"/>
  <c r="F103" i="21" s="1"/>
  <c r="B128" i="21"/>
  <c r="F128" i="21" s="1"/>
  <c r="B58" i="21"/>
  <c r="F58" i="21" s="1"/>
  <c r="B96" i="21"/>
  <c r="F96" i="21" s="1"/>
  <c r="B92" i="21"/>
  <c r="F92" i="21" s="1"/>
  <c r="B13" i="21"/>
  <c r="F13" i="21" s="1"/>
  <c r="B112" i="21"/>
  <c r="F112" i="21" s="1"/>
  <c r="B134" i="21"/>
  <c r="F134" i="21" s="1"/>
  <c r="E1007" i="46"/>
  <c r="C1040" i="55"/>
  <c r="D1040" i="55" s="1"/>
  <c r="C1068" i="55"/>
  <c r="D1068" i="55" s="1"/>
  <c r="F28" i="60"/>
  <c r="P26" i="60"/>
  <c r="L28" i="60"/>
  <c r="I28" i="60"/>
  <c r="L26" i="60"/>
  <c r="F37" i="60"/>
  <c r="O36" i="60"/>
  <c r="I36" i="60"/>
  <c r="B1022" i="55"/>
  <c r="A1433" i="35"/>
  <c r="A1456" i="35"/>
  <c r="A1457" i="35" s="1"/>
  <c r="A1458" i="35" s="1"/>
  <c r="A1459" i="35" s="1"/>
  <c r="A1460" i="35" s="1"/>
  <c r="A1429" i="35"/>
  <c r="C1118" i="55"/>
  <c r="D1118" i="55" s="1"/>
  <c r="D2855" i="21"/>
  <c r="B1097" i="55"/>
  <c r="D1097" i="55" s="1"/>
  <c r="D2834" i="21"/>
  <c r="D3" i="36"/>
  <c r="D3" i="52"/>
  <c r="D2845" i="21"/>
  <c r="C1108" i="55"/>
  <c r="D1108" i="55" s="1"/>
  <c r="C1082" i="55"/>
  <c r="D1082" i="55" s="1"/>
  <c r="C981" i="55"/>
  <c r="D981" i="55" s="1"/>
  <c r="C1075" i="55"/>
  <c r="D1075" i="55" s="1"/>
  <c r="D2859" i="21"/>
  <c r="C1122" i="55"/>
  <c r="D1122" i="55" s="1"/>
  <c r="B167" i="21"/>
  <c r="C1112" i="55"/>
  <c r="D1112" i="55" s="1"/>
  <c r="D2849" i="21"/>
  <c r="B1101" i="55"/>
  <c r="I111" i="60"/>
  <c r="C68" i="58"/>
  <c r="C1051" i="55"/>
  <c r="D1051" i="55" s="1"/>
  <c r="C109" i="60"/>
  <c r="B147" i="21"/>
  <c r="F147" i="21" s="1"/>
  <c r="B80" i="21"/>
  <c r="F80" i="21" s="1"/>
  <c r="B34" i="21"/>
  <c r="F34" i="21" s="1"/>
  <c r="B81" i="21"/>
  <c r="F81" i="21" s="1"/>
  <c r="B57" i="21"/>
  <c r="F57" i="21" s="1"/>
  <c r="B131" i="21"/>
  <c r="F131" i="21" s="1"/>
  <c r="B19" i="21"/>
  <c r="F19" i="21" s="1"/>
  <c r="B156" i="21"/>
  <c r="F156" i="21" s="1"/>
  <c r="B100" i="21"/>
  <c r="F100" i="21" s="1"/>
  <c r="B30" i="21"/>
  <c r="F30" i="21" s="1"/>
  <c r="B41" i="21"/>
  <c r="F41" i="21" s="1"/>
  <c r="B35" i="21"/>
  <c r="F35" i="21" s="1"/>
  <c r="B47" i="21"/>
  <c r="F47" i="21" s="1"/>
  <c r="B28" i="21"/>
  <c r="F28" i="21" s="1"/>
  <c r="B152" i="21"/>
  <c r="F152" i="21" s="1"/>
  <c r="O26" i="60"/>
  <c r="G27" i="60"/>
  <c r="H27" i="60"/>
  <c r="N28" i="60"/>
  <c r="P36" i="60"/>
  <c r="E37" i="60"/>
  <c r="D2837" i="21"/>
  <c r="B1100" i="55"/>
  <c r="D1100" i="55" s="1"/>
  <c r="P27" i="60"/>
  <c r="I27" i="60"/>
  <c r="O28" i="60"/>
  <c r="B7" i="56"/>
  <c r="B11" i="56" s="1"/>
  <c r="D2843" i="21"/>
  <c r="C1106" i="55"/>
  <c r="D1106" i="55" s="1"/>
  <c r="D2836" i="21"/>
  <c r="B1099" i="55"/>
  <c r="D1099" i="55" s="1"/>
  <c r="C60" i="60"/>
  <c r="A1449" i="35"/>
  <c r="A1450" i="35" s="1"/>
  <c r="A1451" i="35" s="1"/>
  <c r="A1452" i="35" s="1"/>
  <c r="A1453" i="35" s="1"/>
  <c r="A1454" i="35" s="1"/>
  <c r="A1455" i="35" s="1"/>
  <c r="A1096" i="55"/>
  <c r="B997" i="55"/>
  <c r="D997" i="55" s="1"/>
  <c r="B965" i="55"/>
  <c r="D965" i="55" s="1"/>
  <c r="L38" i="52"/>
  <c r="L48" i="52" s="1"/>
  <c r="D13" i="52"/>
  <c r="D36" i="52" s="1"/>
  <c r="A1422" i="35"/>
  <c r="A1423" i="35" s="1"/>
  <c r="A1424" i="35" s="1"/>
  <c r="A1425" i="35" s="1"/>
  <c r="A1426" i="35" s="1"/>
  <c r="A1427" i="35" s="1"/>
  <c r="C2838" i="21"/>
  <c r="C1101" i="55" s="1"/>
  <c r="L10" i="60"/>
  <c r="D31" i="52"/>
  <c r="D39" i="52" s="1"/>
  <c r="C11" i="60"/>
  <c r="O10" i="60"/>
  <c r="C179" i="55"/>
  <c r="F33" i="58"/>
  <c r="F89" i="58" s="1"/>
  <c r="A1411" i="35"/>
  <c r="B179" i="55"/>
  <c r="H37" i="52"/>
  <c r="G54" i="55" l="1"/>
  <c r="D2694" i="21"/>
  <c r="D2697" i="21"/>
  <c r="E82" i="58"/>
  <c r="C82" i="58"/>
  <c r="C54" i="58"/>
  <c r="G75" i="58"/>
  <c r="K76" i="58"/>
  <c r="I79" i="60"/>
  <c r="O79" i="60"/>
  <c r="L79" i="60"/>
  <c r="D2744" i="21"/>
  <c r="E61" i="58"/>
  <c r="I26" i="58"/>
  <c r="E47" i="58"/>
  <c r="G68" i="58"/>
  <c r="K59" i="58"/>
  <c r="K87" i="58"/>
  <c r="G118" i="58"/>
  <c r="G114" i="58"/>
  <c r="G122" i="58"/>
  <c r="I12" i="58"/>
  <c r="I40" i="58"/>
  <c r="K84" i="58"/>
  <c r="K34" i="58"/>
  <c r="K46" i="58"/>
  <c r="K80" i="58"/>
  <c r="D1095" i="21"/>
  <c r="K79" i="58"/>
  <c r="F79" i="60"/>
  <c r="D1034" i="21"/>
  <c r="D1228" i="21"/>
  <c r="D1148" i="21"/>
  <c r="D1068" i="21"/>
  <c r="D1260" i="21"/>
  <c r="D1236" i="21"/>
  <c r="E77" i="55"/>
  <c r="G77" i="55" s="1"/>
  <c r="G112" i="58"/>
  <c r="I75" i="58"/>
  <c r="K81" i="58"/>
  <c r="G82" i="58"/>
  <c r="I82" i="58"/>
  <c r="C40" i="58"/>
  <c r="K18" i="58"/>
  <c r="K45" i="58"/>
  <c r="K50" i="58"/>
  <c r="I33" i="58"/>
  <c r="K88" i="58"/>
  <c r="C117" i="58"/>
  <c r="F117" i="58"/>
  <c r="G121" i="58"/>
  <c r="K64" i="58"/>
  <c r="C33" i="58"/>
  <c r="C75" i="58"/>
  <c r="D110" i="58"/>
  <c r="E117" i="58"/>
  <c r="G113" i="58"/>
  <c r="C110" i="58"/>
  <c r="G120" i="58"/>
  <c r="G123" i="58"/>
  <c r="D1118" i="21"/>
  <c r="G111" i="58"/>
  <c r="K39" i="58"/>
  <c r="F110" i="58"/>
  <c r="G61" i="58"/>
  <c r="G89" i="58" s="1"/>
  <c r="E75" i="58"/>
  <c r="D117" i="58"/>
  <c r="E110" i="58"/>
  <c r="G119" i="58"/>
  <c r="N37" i="52"/>
  <c r="A204" i="60"/>
  <c r="C208" i="60" s="1"/>
  <c r="D1244" i="21"/>
  <c r="D1204" i="21"/>
  <c r="D1084" i="21"/>
  <c r="D1140" i="21"/>
  <c r="D1164" i="21"/>
  <c r="D1108" i="21"/>
  <c r="D1076" i="21"/>
  <c r="D1100" i="21"/>
  <c r="D1196" i="21"/>
  <c r="E90" i="55"/>
  <c r="G90" i="55" s="1"/>
  <c r="E62" i="55"/>
  <c r="G62" i="55" s="1"/>
  <c r="E37" i="55"/>
  <c r="E103" i="55"/>
  <c r="G103" i="55" s="1"/>
  <c r="E79" i="55"/>
  <c r="G79" i="55" s="1"/>
  <c r="E121" i="55"/>
  <c r="G121" i="55" s="1"/>
  <c r="E22" i="55"/>
  <c r="G22" i="55" s="1"/>
  <c r="G174" i="55"/>
  <c r="E35" i="55"/>
  <c r="G35" i="55" s="1"/>
  <c r="E112" i="55"/>
  <c r="E176" i="55"/>
  <c r="G176" i="55" s="1"/>
  <c r="E162" i="55"/>
  <c r="G162" i="55" s="1"/>
  <c r="E170" i="55"/>
  <c r="G170" i="55" s="1"/>
  <c r="E10" i="55"/>
  <c r="G10" i="55" s="1"/>
  <c r="E63" i="55"/>
  <c r="G63" i="55" s="1"/>
  <c r="E38" i="55"/>
  <c r="G38" i="55" s="1"/>
  <c r="E106" i="55"/>
  <c r="G106" i="55" s="1"/>
  <c r="E50" i="55"/>
  <c r="G50" i="55" s="1"/>
  <c r="E105" i="55"/>
  <c r="E1678" i="46"/>
  <c r="D1679" i="46" s="1"/>
  <c r="G3601" i="21"/>
  <c r="G3604" i="21" s="1"/>
  <c r="E107" i="55"/>
  <c r="G107" i="55" s="1"/>
  <c r="E167" i="55"/>
  <c r="G167" i="55" s="1"/>
  <c r="E75" i="55"/>
  <c r="E56" i="55"/>
  <c r="G56" i="55" s="1"/>
  <c r="E39" i="55"/>
  <c r="G39" i="55" s="1"/>
  <c r="E166" i="55"/>
  <c r="G166" i="55" s="1"/>
  <c r="E17" i="55"/>
  <c r="G17" i="55" s="1"/>
  <c r="E140" i="55"/>
  <c r="G140" i="55" s="1"/>
  <c r="E24" i="55"/>
  <c r="G24" i="55" s="1"/>
  <c r="F1865" i="55"/>
  <c r="F1867" i="55" s="1"/>
  <c r="E135" i="55"/>
  <c r="G135" i="55" s="1"/>
  <c r="E67" i="55"/>
  <c r="G67" i="55" s="1"/>
  <c r="E117" i="55"/>
  <c r="G117" i="55" s="1"/>
  <c r="B3604" i="21"/>
  <c r="E51" i="55"/>
  <c r="G51" i="55" s="1"/>
  <c r="E110" i="55"/>
  <c r="G110" i="55" s="1"/>
  <c r="E161" i="55"/>
  <c r="G161" i="55" s="1"/>
  <c r="E23" i="55"/>
  <c r="G23" i="55" s="1"/>
  <c r="E168" i="55"/>
  <c r="G168" i="55" s="1"/>
  <c r="E11" i="55"/>
  <c r="G11" i="55" s="1"/>
  <c r="E178" i="55"/>
  <c r="G178" i="55" s="1"/>
  <c r="E94" i="55"/>
  <c r="G94" i="55" s="1"/>
  <c r="E82" i="55"/>
  <c r="G82" i="55" s="1"/>
  <c r="D2757" i="21"/>
  <c r="D2831" i="21"/>
  <c r="E160" i="55"/>
  <c r="G160" i="55" s="1"/>
  <c r="E88" i="55"/>
  <c r="G88" i="55" s="1"/>
  <c r="E48" i="55"/>
  <c r="E93" i="55"/>
  <c r="G93" i="55" s="1"/>
  <c r="E25" i="55"/>
  <c r="G25" i="55" s="1"/>
  <c r="E138" i="55"/>
  <c r="G138" i="55" s="1"/>
  <c r="A177" i="60"/>
  <c r="O174" i="60" s="1"/>
  <c r="E33" i="55"/>
  <c r="G33" i="55" s="1"/>
  <c r="E139" i="55"/>
  <c r="G139" i="55" s="1"/>
  <c r="E44" i="55"/>
  <c r="G44" i="55" s="1"/>
  <c r="E133" i="55"/>
  <c r="G133" i="55" s="1"/>
  <c r="E87" i="55"/>
  <c r="G87" i="55" s="1"/>
  <c r="E40" i="55"/>
  <c r="G40" i="55" s="1"/>
  <c r="E47" i="55"/>
  <c r="G47" i="55" s="1"/>
  <c r="E132" i="55"/>
  <c r="G132" i="55" s="1"/>
  <c r="E169" i="55"/>
  <c r="G169" i="55" s="1"/>
  <c r="E98" i="55"/>
  <c r="G98" i="55" s="1"/>
  <c r="I2765" i="19"/>
  <c r="E21" i="55"/>
  <c r="G21" i="55" s="1"/>
  <c r="E102" i="55"/>
  <c r="G102" i="55" s="1"/>
  <c r="E145" i="55"/>
  <c r="G145" i="55" s="1"/>
  <c r="E34" i="55"/>
  <c r="E20" i="55"/>
  <c r="G20" i="55" s="1"/>
  <c r="E119" i="55"/>
  <c r="G119" i="55" s="1"/>
  <c r="E55" i="55"/>
  <c r="G55" i="55" s="1"/>
  <c r="E84" i="55"/>
  <c r="G84" i="55" s="1"/>
  <c r="E96" i="55"/>
  <c r="G96" i="55" s="1"/>
  <c r="E59" i="55"/>
  <c r="G59" i="55" s="1"/>
  <c r="E76" i="55"/>
  <c r="E49" i="55"/>
  <c r="G49" i="55" s="1"/>
  <c r="E147" i="55"/>
  <c r="G147" i="55" s="1"/>
  <c r="E29" i="55"/>
  <c r="G29" i="55" s="1"/>
  <c r="G66" i="55"/>
  <c r="E9" i="55"/>
  <c r="G9" i="55" s="1"/>
  <c r="E42" i="55"/>
  <c r="G42" i="55" s="1"/>
  <c r="E85" i="55"/>
  <c r="G85" i="55" s="1"/>
  <c r="G105" i="55"/>
  <c r="G91" i="55"/>
  <c r="G34" i="55"/>
  <c r="G69" i="55"/>
  <c r="G37" i="55"/>
  <c r="G76" i="55"/>
  <c r="E31" i="55"/>
  <c r="G31" i="55" s="1"/>
  <c r="E118" i="55"/>
  <c r="G118" i="55" s="1"/>
  <c r="E159" i="55"/>
  <c r="G159" i="55" s="1"/>
  <c r="E41" i="55"/>
  <c r="G41" i="55" s="1"/>
  <c r="E97" i="55"/>
  <c r="G97" i="55" s="1"/>
  <c r="E61" i="55"/>
  <c r="G61" i="55" s="1"/>
  <c r="E108" i="55"/>
  <c r="G108" i="55" s="1"/>
  <c r="E104" i="55"/>
  <c r="G104" i="55" s="1"/>
  <c r="E19" i="55"/>
  <c r="G19" i="55" s="1"/>
  <c r="E70" i="55"/>
  <c r="G70" i="55" s="1"/>
  <c r="E116" i="55"/>
  <c r="G116" i="55" s="1"/>
  <c r="E143" i="55"/>
  <c r="G143" i="55" s="1"/>
  <c r="E58" i="55"/>
  <c r="G58" i="55" s="1"/>
  <c r="E142" i="55"/>
  <c r="G142" i="55" s="1"/>
  <c r="F8" i="55"/>
  <c r="E130" i="55"/>
  <c r="G130" i="55" s="1"/>
  <c r="E127" i="55"/>
  <c r="G127" i="55" s="1"/>
  <c r="G146" i="55"/>
  <c r="E155" i="55"/>
  <c r="G155" i="55" s="1"/>
  <c r="E71" i="55"/>
  <c r="G71" i="55" s="1"/>
  <c r="E72" i="55"/>
  <c r="G72" i="55" s="1"/>
  <c r="E74" i="55"/>
  <c r="G74" i="55" s="1"/>
  <c r="E30" i="55"/>
  <c r="G30" i="55" s="1"/>
  <c r="E144" i="55"/>
  <c r="G144" i="55" s="1"/>
  <c r="E129" i="55"/>
  <c r="G129" i="55" s="1"/>
  <c r="E28" i="55"/>
  <c r="G28" i="55" s="1"/>
  <c r="E83" i="55"/>
  <c r="G83" i="55" s="1"/>
  <c r="E89" i="55"/>
  <c r="G89" i="55" s="1"/>
  <c r="G75" i="55"/>
  <c r="E141" i="55"/>
  <c r="G141" i="55" s="1"/>
  <c r="E156" i="55"/>
  <c r="G156" i="55" s="1"/>
  <c r="E15" i="55"/>
  <c r="G15" i="55" s="1"/>
  <c r="E99" i="55"/>
  <c r="G99" i="55" s="1"/>
  <c r="E113" i="55"/>
  <c r="G113" i="55" s="1"/>
  <c r="E57" i="55"/>
  <c r="G57" i="55" s="1"/>
  <c r="E157" i="55"/>
  <c r="G157" i="55" s="1"/>
  <c r="E111" i="55"/>
  <c r="G111" i="55" s="1"/>
  <c r="E43" i="55"/>
  <c r="G43" i="55" s="1"/>
  <c r="G126" i="55"/>
  <c r="E13" i="55"/>
  <c r="G13" i="55" s="1"/>
  <c r="G112" i="55"/>
  <c r="E18" i="55"/>
  <c r="G18" i="55" s="1"/>
  <c r="G46" i="55"/>
  <c r="E73" i="55"/>
  <c r="G73" i="55" s="1"/>
  <c r="E115" i="55"/>
  <c r="G115" i="55" s="1"/>
  <c r="E158" i="55"/>
  <c r="G158" i="55" s="1"/>
  <c r="E154" i="55"/>
  <c r="G154" i="55" s="1"/>
  <c r="E60" i="55"/>
  <c r="G60" i="55" s="1"/>
  <c r="E100" i="55"/>
  <c r="G100" i="55" s="1"/>
  <c r="G45" i="55"/>
  <c r="E128" i="55"/>
  <c r="G128" i="55" s="1"/>
  <c r="E152" i="55"/>
  <c r="G152" i="55" s="1"/>
  <c r="E171" i="55"/>
  <c r="G171" i="55" s="1"/>
  <c r="E173" i="55"/>
  <c r="G173" i="55" s="1"/>
  <c r="D2737" i="21"/>
  <c r="D2782" i="21"/>
  <c r="D2671" i="21"/>
  <c r="D2808" i="21"/>
  <c r="D2796" i="21"/>
  <c r="D2710" i="21"/>
  <c r="D2698" i="21"/>
  <c r="D2772" i="21"/>
  <c r="D2728" i="21"/>
  <c r="C978" i="55"/>
  <c r="D978" i="55" s="1"/>
  <c r="D2731" i="21"/>
  <c r="D2784" i="21"/>
  <c r="D2765" i="21"/>
  <c r="D2675" i="21"/>
  <c r="D2756" i="21"/>
  <c r="D2685" i="21"/>
  <c r="D2822" i="21"/>
  <c r="D2712" i="21"/>
  <c r="D2779" i="21"/>
  <c r="D2773" i="21"/>
  <c r="D2726" i="21"/>
  <c r="D2741" i="21"/>
  <c r="D2798" i="21"/>
  <c r="D2682" i="21"/>
  <c r="D2770" i="21"/>
  <c r="D2754" i="21"/>
  <c r="D1017" i="55"/>
  <c r="D2792" i="21"/>
  <c r="D2828" i="21"/>
  <c r="D1091" i="55"/>
  <c r="D2801" i="21"/>
  <c r="D2722" i="21"/>
  <c r="D2800" i="21"/>
  <c r="E120" i="55"/>
  <c r="G120" i="55" s="1"/>
  <c r="E80" i="55"/>
  <c r="G80" i="55" s="1"/>
  <c r="C1014" i="55"/>
  <c r="D1014" i="55" s="1"/>
  <c r="C1857" i="55"/>
  <c r="E136" i="55"/>
  <c r="G136" i="55" s="1"/>
  <c r="D2791" i="21"/>
  <c r="D2787" i="21"/>
  <c r="C976" i="55"/>
  <c r="D976" i="55" s="1"/>
  <c r="D2703" i="21"/>
  <c r="D2686" i="21"/>
  <c r="D2684" i="21"/>
  <c r="D2778" i="21"/>
  <c r="D2783" i="21"/>
  <c r="D2769" i="21"/>
  <c r="D2699" i="21"/>
  <c r="D2767" i="21"/>
  <c r="C946" i="55"/>
  <c r="D946" i="55" s="1"/>
  <c r="D2766" i="21"/>
  <c r="D2795" i="21"/>
  <c r="D2717" i="21"/>
  <c r="D2825" i="21"/>
  <c r="D1022" i="55"/>
  <c r="D2759" i="21"/>
  <c r="I1844" i="19"/>
  <c r="C1027" i="55"/>
  <c r="D1027" i="55" s="1"/>
  <c r="C183" i="60"/>
  <c r="C145" i="60"/>
  <c r="C200" i="60"/>
  <c r="C162" i="60"/>
  <c r="I129" i="60"/>
  <c r="L129" i="60"/>
  <c r="O129" i="60"/>
  <c r="F129" i="60"/>
  <c r="F111" i="60"/>
  <c r="O111" i="60"/>
  <c r="A115" i="60"/>
  <c r="A116" i="60" s="1"/>
  <c r="F91" i="60"/>
  <c r="C100" i="60"/>
  <c r="C101" i="60" s="1"/>
  <c r="L91" i="60"/>
  <c r="M29" i="60"/>
  <c r="G48" i="55"/>
  <c r="E3604" i="21"/>
  <c r="E3594" i="21"/>
  <c r="D1867" i="55"/>
  <c r="H1857" i="55"/>
  <c r="C1864" i="55"/>
  <c r="C1867" i="55" s="1"/>
  <c r="I2888" i="19"/>
  <c r="B1916" i="21"/>
  <c r="E1916" i="21" s="1"/>
  <c r="G1916" i="21" s="1"/>
  <c r="J29" i="60"/>
  <c r="E165" i="55"/>
  <c r="G165" i="55" s="1"/>
  <c r="E32" i="55"/>
  <c r="G32" i="55" s="1"/>
  <c r="E1917" i="21"/>
  <c r="G1917" i="21" s="1"/>
  <c r="I923" i="19"/>
  <c r="E64" i="55"/>
  <c r="G64" i="55" s="1"/>
  <c r="G167" i="21"/>
  <c r="E180" i="55"/>
  <c r="G180" i="55" s="1"/>
  <c r="C38" i="52"/>
  <c r="C36" i="52"/>
  <c r="D1096" i="21"/>
  <c r="E16" i="55"/>
  <c r="G16" i="55" s="1"/>
  <c r="L600" i="47"/>
  <c r="K25" i="58"/>
  <c r="E19" i="58"/>
  <c r="C19" i="58"/>
  <c r="K32" i="58"/>
  <c r="E26" i="58"/>
  <c r="E12" i="58"/>
  <c r="K27" i="58"/>
  <c r="I637" i="21"/>
  <c r="G403" i="21"/>
  <c r="K20" i="58"/>
  <c r="K13" i="58"/>
  <c r="F405" i="21"/>
  <c r="F403" i="21" s="1"/>
  <c r="E839" i="46"/>
  <c r="C840" i="46" s="1"/>
  <c r="B866" i="21"/>
  <c r="H866" i="21"/>
  <c r="C8" i="55"/>
  <c r="C924" i="55" s="1"/>
  <c r="G18" i="60"/>
  <c r="E2151" i="21"/>
  <c r="G2151" i="21" s="1"/>
  <c r="D3604" i="21"/>
  <c r="K68" i="58"/>
  <c r="C12" i="58"/>
  <c r="C26" i="58"/>
  <c r="K54" i="58"/>
  <c r="N38" i="52"/>
  <c r="O38" i="52"/>
  <c r="H3594" i="21"/>
  <c r="C2660" i="21"/>
  <c r="E86" i="55"/>
  <c r="G86" i="55" s="1"/>
  <c r="B1033" i="21"/>
  <c r="D1040" i="21"/>
  <c r="C1033" i="21"/>
  <c r="C1716" i="21" s="1"/>
  <c r="E415" i="55"/>
  <c r="G415" i="55" s="1"/>
  <c r="E1867" i="55"/>
  <c r="G1857" i="55"/>
  <c r="G3594" i="21"/>
  <c r="M18" i="60"/>
  <c r="G7" i="21"/>
  <c r="P18" i="60"/>
  <c r="G29" i="60"/>
  <c r="D1037" i="21"/>
  <c r="H48" i="52"/>
  <c r="P29" i="60"/>
  <c r="J18" i="60"/>
  <c r="F3603" i="21"/>
  <c r="F3604" i="21" s="1"/>
  <c r="E1857" i="55"/>
  <c r="F2660" i="21"/>
  <c r="C1337" i="55"/>
  <c r="D1337" i="55" s="1"/>
  <c r="D3074" i="21"/>
  <c r="K47" i="58"/>
  <c r="C1102" i="55"/>
  <c r="D1102" i="55" s="1"/>
  <c r="H271" i="35"/>
  <c r="H272" i="35"/>
  <c r="H274" i="35" s="1"/>
  <c r="H276" i="35" s="1"/>
  <c r="H278" i="35" s="1"/>
  <c r="H280" i="35" s="1"/>
  <c r="H282" i="35" s="1"/>
  <c r="H284" i="35" s="1"/>
  <c r="H286" i="35" s="1"/>
  <c r="H288" i="35" s="1"/>
  <c r="H289" i="35" s="1"/>
  <c r="H290" i="35" s="1"/>
  <c r="H291" i="35" s="1"/>
  <c r="H292" i="35" s="1"/>
  <c r="H293" i="35" s="1"/>
  <c r="H294" i="35" s="1"/>
  <c r="H295" i="35" s="1"/>
  <c r="H296" i="35" s="1"/>
  <c r="H297" i="35" s="1"/>
  <c r="H298" i="35" s="1"/>
  <c r="H299" i="35" s="1"/>
  <c r="H300" i="35" s="1"/>
  <c r="H301" i="35" s="1"/>
  <c r="H302" i="35" s="1"/>
  <c r="H303" i="35" s="1"/>
  <c r="H304" i="35" s="1"/>
  <c r="H305" i="35" s="1"/>
  <c r="H306" i="35" s="1"/>
  <c r="H307" i="35" s="1"/>
  <c r="H308" i="35" s="1"/>
  <c r="H309" i="35" s="1"/>
  <c r="H310" i="35" s="1"/>
  <c r="H311" i="35" s="1"/>
  <c r="H312" i="35" s="1"/>
  <c r="H313" i="35" s="1"/>
  <c r="H314" i="35" s="1"/>
  <c r="H315" i="35" s="1"/>
  <c r="H316" i="35" s="1"/>
  <c r="H317" i="35" s="1"/>
  <c r="H318" i="35" s="1"/>
  <c r="H319" i="35" s="1"/>
  <c r="H320" i="35" s="1"/>
  <c r="H321" i="35" s="1"/>
  <c r="H322" i="35" s="1"/>
  <c r="H323" i="35" s="1"/>
  <c r="H324" i="35" s="1"/>
  <c r="H325" i="35" s="1"/>
  <c r="H326" i="35" s="1"/>
  <c r="H327" i="35" s="1"/>
  <c r="H328" i="35" s="1"/>
  <c r="H329" i="35" s="1"/>
  <c r="H330" i="35" s="1"/>
  <c r="H331" i="35" s="1"/>
  <c r="H332" i="35" s="1"/>
  <c r="H333" i="35" s="1"/>
  <c r="H334" i="35" s="1"/>
  <c r="H335" i="35" s="1"/>
  <c r="H336" i="35" s="1"/>
  <c r="H337" i="35" s="1"/>
  <c r="H338" i="35" s="1"/>
  <c r="H339" i="35" s="1"/>
  <c r="H340" i="35" s="1"/>
  <c r="H341" i="35" s="1"/>
  <c r="H342" i="35" s="1"/>
  <c r="H343" i="35" s="1"/>
  <c r="H344" i="35" s="1"/>
  <c r="H345" i="35" s="1"/>
  <c r="H346" i="35" s="1"/>
  <c r="H347" i="35" s="1"/>
  <c r="H348" i="35" s="1"/>
  <c r="H349" i="35" s="1"/>
  <c r="H350" i="35" s="1"/>
  <c r="H351" i="35" s="1"/>
  <c r="H352" i="35" s="1"/>
  <c r="H353" i="35" s="1"/>
  <c r="H354" i="35" s="1"/>
  <c r="H355" i="35" s="1"/>
  <c r="H356" i="35" s="1"/>
  <c r="H357" i="35" s="1"/>
  <c r="H358" i="35" s="1"/>
  <c r="H359" i="35" s="1"/>
  <c r="H360" i="35" s="1"/>
  <c r="H361" i="35" s="1"/>
  <c r="H362" i="35" s="1"/>
  <c r="H363" i="35" s="1"/>
  <c r="H364" i="35" s="1"/>
  <c r="H365" i="35" s="1"/>
  <c r="H366" i="35" s="1"/>
  <c r="H367" i="35" s="1"/>
  <c r="H368" i="35" s="1"/>
  <c r="H369" i="35" s="1"/>
  <c r="H370" i="35" s="1"/>
  <c r="H371" i="35" s="1"/>
  <c r="H372" i="35" s="1"/>
  <c r="H373" i="35" s="1"/>
  <c r="H374" i="35" s="1"/>
  <c r="H375" i="35" s="1"/>
  <c r="H376" i="35" s="1"/>
  <c r="H377" i="35" s="1"/>
  <c r="H378" i="35" s="1"/>
  <c r="H379" i="35" s="1"/>
  <c r="H380" i="35" s="1"/>
  <c r="H381" i="35" s="1"/>
  <c r="H382" i="35" s="1"/>
  <c r="H383" i="35" s="1"/>
  <c r="H384" i="35" s="1"/>
  <c r="H385" i="35" s="1"/>
  <c r="H386" i="35" s="1"/>
  <c r="H387" i="35" s="1"/>
  <c r="H388" i="35" s="1"/>
  <c r="H389" i="35" s="1"/>
  <c r="H390" i="35" s="1"/>
  <c r="O39" i="52"/>
  <c r="F167" i="21"/>
  <c r="N36" i="52"/>
  <c r="C48" i="52"/>
  <c r="C173" i="60"/>
  <c r="O165" i="60"/>
  <c r="I165" i="60"/>
  <c r="L165" i="60"/>
  <c r="F165" i="60"/>
  <c r="H69" i="35"/>
  <c r="E179" i="55"/>
  <c r="B8" i="55"/>
  <c r="B924" i="55" s="1"/>
  <c r="O102" i="60"/>
  <c r="F102" i="60"/>
  <c r="L102" i="60"/>
  <c r="I102" i="60"/>
  <c r="C110" i="60"/>
  <c r="C122" i="60"/>
  <c r="A19" i="59"/>
  <c r="H1475" i="35"/>
  <c r="H1474" i="35"/>
  <c r="H1472" i="35"/>
  <c r="H1470" i="35"/>
  <c r="H1471" i="35"/>
  <c r="H1473" i="35"/>
  <c r="L33" i="58"/>
  <c r="L89" i="58" s="1"/>
  <c r="D2838" i="21"/>
  <c r="C61" i="60"/>
  <c r="O60" i="60"/>
  <c r="F60" i="60"/>
  <c r="L60" i="60"/>
  <c r="I60" i="60"/>
  <c r="D1101" i="55"/>
  <c r="B930" i="55"/>
  <c r="A1434" i="35"/>
  <c r="A1430" i="35"/>
  <c r="C86" i="60"/>
  <c r="C2667" i="21"/>
  <c r="L11" i="60"/>
  <c r="F11" i="60"/>
  <c r="I11" i="60"/>
  <c r="O11" i="60"/>
  <c r="C12" i="60"/>
  <c r="D48" i="52"/>
  <c r="O36" i="52"/>
  <c r="C246" i="60"/>
  <c r="C139" i="60"/>
  <c r="G116" i="58"/>
  <c r="E1744" i="21"/>
  <c r="K82" i="58" l="1"/>
  <c r="C225" i="60"/>
  <c r="A267" i="60"/>
  <c r="C326" i="60" s="1"/>
  <c r="C263" i="60"/>
  <c r="K40" i="58"/>
  <c r="K61" i="58"/>
  <c r="C124" i="58"/>
  <c r="F124" i="58"/>
  <c r="G117" i="58"/>
  <c r="E124" i="58"/>
  <c r="I89" i="58"/>
  <c r="K33" i="58"/>
  <c r="A240" i="60"/>
  <c r="A241" i="60" s="1"/>
  <c r="C235" i="60"/>
  <c r="C236" i="60" s="1"/>
  <c r="B840" i="46"/>
  <c r="K75" i="58"/>
  <c r="D124" i="58"/>
  <c r="G110" i="58"/>
  <c r="K26" i="58"/>
  <c r="I174" i="60"/>
  <c r="A178" i="60"/>
  <c r="A179" i="60" s="1"/>
  <c r="D840" i="46"/>
  <c r="L174" i="60"/>
  <c r="F174" i="60"/>
  <c r="C1679" i="46"/>
  <c r="B1679" i="46"/>
  <c r="F924" i="55"/>
  <c r="G1864" i="55"/>
  <c r="G1867" i="55" s="1"/>
  <c r="C930" i="55"/>
  <c r="C1846" i="55" s="1"/>
  <c r="B2660" i="21"/>
  <c r="O154" i="60"/>
  <c r="L154" i="60"/>
  <c r="C163" i="60"/>
  <c r="C164" i="60" s="1"/>
  <c r="I154" i="60"/>
  <c r="F154" i="60"/>
  <c r="L192" i="60"/>
  <c r="C201" i="60"/>
  <c r="C202" i="60" s="1"/>
  <c r="O192" i="60"/>
  <c r="F192" i="60"/>
  <c r="I192" i="60"/>
  <c r="C146" i="60"/>
  <c r="C147" i="60" s="1"/>
  <c r="C148" i="60" s="1"/>
  <c r="C149" i="60" s="1"/>
  <c r="I142" i="60"/>
  <c r="L142" i="60"/>
  <c r="O142" i="60"/>
  <c r="F142" i="60"/>
  <c r="F180" i="60"/>
  <c r="O180" i="60"/>
  <c r="L180" i="60"/>
  <c r="I180" i="60"/>
  <c r="C184" i="60"/>
  <c r="C185" i="60" s="1"/>
  <c r="C186" i="60" s="1"/>
  <c r="E89" i="58"/>
  <c r="K19" i="58"/>
  <c r="K12" i="58"/>
  <c r="G866" i="21"/>
  <c r="I403" i="21"/>
  <c r="F866" i="21"/>
  <c r="C89" i="58"/>
  <c r="D1033" i="21"/>
  <c r="D1716" i="21" s="1"/>
  <c r="I7" i="21"/>
  <c r="B1716" i="21"/>
  <c r="H70" i="35"/>
  <c r="H391" i="35"/>
  <c r="H392" i="35" s="1"/>
  <c r="H393" i="35" s="1"/>
  <c r="H394" i="35" s="1"/>
  <c r="H395" i="35" s="1"/>
  <c r="H397" i="35" s="1"/>
  <c r="H273" i="35"/>
  <c r="H275" i="35" s="1"/>
  <c r="H277" i="35" s="1"/>
  <c r="H279" i="35" s="1"/>
  <c r="H281" i="35" s="1"/>
  <c r="H283" i="35" s="1"/>
  <c r="H285" i="35" s="1"/>
  <c r="H287" i="35" s="1"/>
  <c r="I167" i="21"/>
  <c r="A20" i="59"/>
  <c r="C87" i="60"/>
  <c r="O243" i="60"/>
  <c r="I243" i="60"/>
  <c r="F243" i="60"/>
  <c r="C247" i="60"/>
  <c r="L243" i="60"/>
  <c r="G1744" i="21"/>
  <c r="G2660" i="21" s="1"/>
  <c r="E2660" i="21"/>
  <c r="C209" i="60"/>
  <c r="L205" i="60"/>
  <c r="O205" i="60"/>
  <c r="F205" i="60"/>
  <c r="I205" i="60"/>
  <c r="F217" i="60"/>
  <c r="O217" i="60"/>
  <c r="I217" i="60"/>
  <c r="L217" i="60"/>
  <c r="C226" i="60"/>
  <c r="F237" i="60"/>
  <c r="C62" i="60"/>
  <c r="I61" i="60"/>
  <c r="L61" i="60"/>
  <c r="O61" i="60"/>
  <c r="F61" i="60"/>
  <c r="G179" i="55"/>
  <c r="G8" i="55" s="1"/>
  <c r="G924" i="55" s="1"/>
  <c r="E8" i="55"/>
  <c r="E924" i="55" s="1"/>
  <c r="B1846" i="55"/>
  <c r="C123" i="60"/>
  <c r="O12" i="60"/>
  <c r="I12" i="60"/>
  <c r="L12" i="60"/>
  <c r="F12" i="60"/>
  <c r="C13" i="60"/>
  <c r="A330" i="60"/>
  <c r="C288" i="60"/>
  <c r="A303" i="60"/>
  <c r="D2667" i="21"/>
  <c r="D3583" i="21" s="1"/>
  <c r="C3583" i="21"/>
  <c r="C264" i="60"/>
  <c r="O255" i="60"/>
  <c r="F255" i="60"/>
  <c r="I255" i="60"/>
  <c r="L255" i="60"/>
  <c r="A1435" i="35"/>
  <c r="A1431" i="35"/>
  <c r="C298" i="60" l="1"/>
  <c r="C309" i="60"/>
  <c r="C271" i="60"/>
  <c r="I228" i="60"/>
  <c r="G124" i="58"/>
  <c r="K89" i="58"/>
  <c r="E1679" i="46"/>
  <c r="L228" i="60"/>
  <c r="F228" i="60"/>
  <c r="L237" i="60"/>
  <c r="O237" i="60"/>
  <c r="O228" i="60"/>
  <c r="I237" i="60"/>
  <c r="E840" i="46"/>
  <c r="D930" i="55"/>
  <c r="D1846" i="55" s="1"/>
  <c r="I866" i="21"/>
  <c r="H396" i="35"/>
  <c r="H398" i="35"/>
  <c r="H399" i="35" s="1"/>
  <c r="H400" i="35" s="1"/>
  <c r="H401" i="35" s="1"/>
  <c r="H402" i="35" s="1"/>
  <c r="H403" i="35" s="1"/>
  <c r="H404" i="35" s="1"/>
  <c r="H405" i="35" s="1"/>
  <c r="H406" i="35" s="1"/>
  <c r="H407" i="35" s="1"/>
  <c r="H408" i="35" s="1"/>
  <c r="H409" i="35" s="1"/>
  <c r="H410" i="35" s="1"/>
  <c r="H411" i="35" s="1"/>
  <c r="H412" i="35" s="1"/>
  <c r="H413" i="35" s="1"/>
  <c r="H414" i="35" s="1"/>
  <c r="H415" i="35" s="1"/>
  <c r="H416" i="35" s="1"/>
  <c r="H417" i="35" s="1"/>
  <c r="H418" i="35" s="1"/>
  <c r="H419" i="35" s="1"/>
  <c r="H420" i="35" s="1"/>
  <c r="H421" i="35" s="1"/>
  <c r="H422" i="35" s="1"/>
  <c r="H423" i="35" s="1"/>
  <c r="H424" i="35" s="1"/>
  <c r="H425" i="35" s="1"/>
  <c r="H426" i="35" s="1"/>
  <c r="H427" i="35" s="1"/>
  <c r="H428" i="35" s="1"/>
  <c r="H429" i="35" s="1"/>
  <c r="H430" i="35" s="1"/>
  <c r="H431" i="35" s="1"/>
  <c r="H432" i="35" s="1"/>
  <c r="H433" i="35" s="1"/>
  <c r="H434" i="35" s="1"/>
  <c r="H435" i="35" s="1"/>
  <c r="H436" i="35" s="1"/>
  <c r="H437" i="35" s="1"/>
  <c r="H438" i="35" s="1"/>
  <c r="H439" i="35" s="1"/>
  <c r="H440" i="35" s="1"/>
  <c r="H441" i="35" s="1"/>
  <c r="H442" i="35" s="1"/>
  <c r="H443" i="35" s="1"/>
  <c r="H444" i="35" s="1"/>
  <c r="H445" i="35" s="1"/>
  <c r="H446" i="35" s="1"/>
  <c r="H447" i="35" s="1"/>
  <c r="H448" i="35" s="1"/>
  <c r="H449" i="35" s="1"/>
  <c r="H450" i="35" s="1"/>
  <c r="H451" i="35" s="1"/>
  <c r="H452" i="35" s="1"/>
  <c r="H453" i="35" s="1"/>
  <c r="H454" i="35" s="1"/>
  <c r="H455" i="35" s="1"/>
  <c r="H456" i="35" s="1"/>
  <c r="H457" i="35" s="1"/>
  <c r="H458" i="35" s="1"/>
  <c r="H459" i="35" s="1"/>
  <c r="H460" i="35" s="1"/>
  <c r="H461" i="35" s="1"/>
  <c r="H462" i="35" s="1"/>
  <c r="H463" i="35" s="1"/>
  <c r="H464" i="35" s="1"/>
  <c r="H465" i="35" s="1"/>
  <c r="H466" i="35" s="1"/>
  <c r="H467" i="35" s="1"/>
  <c r="H468" i="35" s="1"/>
  <c r="H469" i="35" s="1"/>
  <c r="H470" i="35" s="1"/>
  <c r="H471" i="35" s="1"/>
  <c r="H472" i="35" s="1"/>
  <c r="H473" i="35" s="1"/>
  <c r="H474" i="35" s="1"/>
  <c r="H475" i="35" s="1"/>
  <c r="H476" i="35" s="1"/>
  <c r="H477" i="35" s="1"/>
  <c r="H478" i="35" s="1"/>
  <c r="H479" i="35" s="1"/>
  <c r="H480" i="35" s="1"/>
  <c r="H481" i="35" s="1"/>
  <c r="H482" i="35" s="1"/>
  <c r="H483" i="35" s="1"/>
  <c r="H484" i="35" s="1"/>
  <c r="H485" i="35" s="1"/>
  <c r="H486" i="35" s="1"/>
  <c r="H487" i="35" s="1"/>
  <c r="H488" i="35" s="1"/>
  <c r="H489" i="35" s="1"/>
  <c r="H490" i="35" s="1"/>
  <c r="H491" i="35" s="1"/>
  <c r="H492" i="35" s="1"/>
  <c r="H493" i="35" s="1"/>
  <c r="H494" i="35" s="1"/>
  <c r="H495" i="35" s="1"/>
  <c r="H496" i="35" s="1"/>
  <c r="H497" i="35" s="1"/>
  <c r="H498" i="35" s="1"/>
  <c r="H499" i="35" s="1"/>
  <c r="H500" i="35" s="1"/>
  <c r="H71" i="35"/>
  <c r="C150" i="60"/>
  <c r="I13" i="60"/>
  <c r="L13" i="60"/>
  <c r="F13" i="60"/>
  <c r="C14" i="60"/>
  <c r="O13" i="60"/>
  <c r="O268" i="60"/>
  <c r="L268" i="60"/>
  <c r="C272" i="60"/>
  <c r="I268" i="60"/>
  <c r="F268" i="60"/>
  <c r="L62" i="60"/>
  <c r="C63" i="60"/>
  <c r="O62" i="60"/>
  <c r="F62" i="60"/>
  <c r="I62" i="60"/>
  <c r="C248" i="60"/>
  <c r="C88" i="60"/>
  <c r="C389" i="60"/>
  <c r="C334" i="60"/>
  <c r="C372" i="60"/>
  <c r="A393" i="60"/>
  <c r="A366" i="60"/>
  <c r="C361" i="60"/>
  <c r="C351" i="60"/>
  <c r="O318" i="60"/>
  <c r="C327" i="60"/>
  <c r="I318" i="60"/>
  <c r="F318" i="60"/>
  <c r="L318" i="60"/>
  <c r="A242" i="60"/>
  <c r="C124" i="60"/>
  <c r="C210" i="60"/>
  <c r="A21" i="59"/>
  <c r="C187" i="60"/>
  <c r="A1436" i="35"/>
  <c r="A1432" i="35"/>
  <c r="F300" i="60"/>
  <c r="L300" i="60"/>
  <c r="A304" i="60"/>
  <c r="O300" i="60"/>
  <c r="I300" i="60"/>
  <c r="L280" i="60"/>
  <c r="F280" i="60"/>
  <c r="C289" i="60"/>
  <c r="O280" i="60"/>
  <c r="I280" i="60"/>
  <c r="C265" i="60"/>
  <c r="F291" i="60"/>
  <c r="O291" i="60"/>
  <c r="L291" i="60"/>
  <c r="I291" i="60"/>
  <c r="C299" i="60"/>
  <c r="I306" i="60"/>
  <c r="O306" i="60"/>
  <c r="F306" i="60"/>
  <c r="C310" i="60"/>
  <c r="L306" i="60"/>
  <c r="C227" i="60"/>
  <c r="H564" i="35" l="1"/>
  <c r="H565" i="35" s="1"/>
  <c r="H566" i="35" s="1"/>
  <c r="H567" i="35" s="1"/>
  <c r="H568" i="35" s="1"/>
  <c r="H569" i="35" s="1"/>
  <c r="H570" i="35" s="1"/>
  <c r="H571" i="35" s="1"/>
  <c r="H572" i="35" s="1"/>
  <c r="H573" i="35" s="1"/>
  <c r="H574" i="35" s="1"/>
  <c r="H575" i="35" s="1"/>
  <c r="H576" i="35" s="1"/>
  <c r="H577" i="35" s="1"/>
  <c r="H578" i="35" s="1"/>
  <c r="H579" i="35" s="1"/>
  <c r="H580" i="35" s="1"/>
  <c r="H581" i="35" s="1"/>
  <c r="H582" i="35" s="1"/>
  <c r="H583" i="35" s="1"/>
  <c r="H584" i="35" s="1"/>
  <c r="H585" i="35" s="1"/>
  <c r="H586" i="35" s="1"/>
  <c r="H587" i="35" s="1"/>
  <c r="H588" i="35" s="1"/>
  <c r="H589" i="35" s="1"/>
  <c r="H590" i="35" s="1"/>
  <c r="H591" i="35" s="1"/>
  <c r="H592" i="35" s="1"/>
  <c r="H593" i="35" s="1"/>
  <c r="H594" i="35" s="1"/>
  <c r="H595" i="35" s="1"/>
  <c r="H596" i="35" s="1"/>
  <c r="H597" i="35" s="1"/>
  <c r="H598" i="35" s="1"/>
  <c r="H599" i="35" s="1"/>
  <c r="H600" i="35" s="1"/>
  <c r="H601" i="35" s="1"/>
  <c r="H602" i="35" s="1"/>
  <c r="H603" i="35" s="1"/>
  <c r="H604" i="35" s="1"/>
  <c r="H605" i="35" s="1"/>
  <c r="H606" i="35" s="1"/>
  <c r="H607" i="35" s="1"/>
  <c r="H608" i="35" s="1"/>
  <c r="H609" i="35" s="1"/>
  <c r="H610" i="35" s="1"/>
  <c r="H611" i="35" s="1"/>
  <c r="H612" i="35" s="1"/>
  <c r="H613" i="35" s="1"/>
  <c r="H614" i="35" s="1"/>
  <c r="H615" i="35" s="1"/>
  <c r="H616" i="35" s="1"/>
  <c r="H617" i="35" s="1"/>
  <c r="H618" i="35" s="1"/>
  <c r="H619" i="35" s="1"/>
  <c r="H620" i="35" s="1"/>
  <c r="H621" i="35" s="1"/>
  <c r="H622" i="35" s="1"/>
  <c r="H623" i="35" s="1"/>
  <c r="H624" i="35" s="1"/>
  <c r="H625" i="35" s="1"/>
  <c r="H660" i="35" s="1"/>
  <c r="H661" i="35" s="1"/>
  <c r="H662" i="35" s="1"/>
  <c r="H663" i="35" s="1"/>
  <c r="H664" i="35" s="1"/>
  <c r="H665" i="35" s="1"/>
  <c r="H666" i="35" s="1"/>
  <c r="H667" i="35" s="1"/>
  <c r="H668" i="35" s="1"/>
  <c r="H669" i="35" s="1"/>
  <c r="H670" i="35" s="1"/>
  <c r="H671" i="35" s="1"/>
  <c r="H672" i="35" s="1"/>
  <c r="H673" i="35" s="1"/>
  <c r="H674" i="35" s="1"/>
  <c r="H675" i="35" s="1"/>
  <c r="H676" i="35" s="1"/>
  <c r="H677" i="35" s="1"/>
  <c r="H678" i="35" s="1"/>
  <c r="H679" i="35" s="1"/>
  <c r="H680" i="35" s="1"/>
  <c r="H681" i="35" s="1"/>
  <c r="H682" i="35" s="1"/>
  <c r="H683" i="35" s="1"/>
  <c r="H72" i="35"/>
  <c r="H501" i="35"/>
  <c r="H502" i="35" s="1"/>
  <c r="H503" i="35" s="1"/>
  <c r="H504" i="35" s="1"/>
  <c r="H505" i="35" s="1"/>
  <c r="H506" i="35" s="1"/>
  <c r="H507" i="35" s="1"/>
  <c r="H508" i="35" s="1"/>
  <c r="H509" i="35" s="1"/>
  <c r="H510" i="35" s="1"/>
  <c r="H511" i="35" s="1"/>
  <c r="H512" i="35" s="1"/>
  <c r="H513" i="35" s="1"/>
  <c r="H514" i="35" s="1"/>
  <c r="H515" i="35" s="1"/>
  <c r="H516" i="35" s="1"/>
  <c r="H517" i="35" s="1"/>
  <c r="H518" i="35" s="1"/>
  <c r="H519" i="35" s="1"/>
  <c r="H520" i="35" s="1"/>
  <c r="H521" i="35" s="1"/>
  <c r="H522" i="35" s="1"/>
  <c r="H523" i="35" s="1"/>
  <c r="H524" i="35" s="1"/>
  <c r="H525" i="35" s="1"/>
  <c r="H526" i="35" s="1"/>
  <c r="H527" i="35" s="1"/>
  <c r="H528" i="35" s="1"/>
  <c r="H529" i="35" s="1"/>
  <c r="H530" i="35" s="1"/>
  <c r="H531" i="35" s="1"/>
  <c r="H532" i="35" s="1"/>
  <c r="H533" i="35" s="1"/>
  <c r="H534" i="35" s="1"/>
  <c r="H535" i="35" s="1"/>
  <c r="I369" i="60"/>
  <c r="C373" i="60"/>
  <c r="O369" i="60"/>
  <c r="L369" i="60"/>
  <c r="F369" i="60"/>
  <c r="C273" i="60"/>
  <c r="C328" i="60"/>
  <c r="I331" i="60"/>
  <c r="O331" i="60"/>
  <c r="L331" i="60"/>
  <c r="C335" i="60"/>
  <c r="F331" i="60"/>
  <c r="C249" i="60"/>
  <c r="L63" i="60"/>
  <c r="C64" i="60"/>
  <c r="F63" i="60"/>
  <c r="O63" i="60"/>
  <c r="I63" i="60"/>
  <c r="C290" i="60"/>
  <c r="L381" i="60"/>
  <c r="I381" i="60"/>
  <c r="F381" i="60"/>
  <c r="C390" i="60"/>
  <c r="O381" i="60"/>
  <c r="A22" i="59"/>
  <c r="A305" i="60"/>
  <c r="A1437" i="35"/>
  <c r="C352" i="60"/>
  <c r="L343" i="60"/>
  <c r="I343" i="60"/>
  <c r="F343" i="60"/>
  <c r="O343" i="60"/>
  <c r="C151" i="60"/>
  <c r="C311" i="60"/>
  <c r="O303" i="60"/>
  <c r="L241" i="60"/>
  <c r="I354" i="60"/>
  <c r="L354" i="60"/>
  <c r="F354" i="60"/>
  <c r="C362" i="60"/>
  <c r="O354" i="60"/>
  <c r="C188" i="60"/>
  <c r="C125" i="60"/>
  <c r="F241" i="60"/>
  <c r="A367" i="60"/>
  <c r="L363" i="60"/>
  <c r="I363" i="60"/>
  <c r="O366" i="60"/>
  <c r="O363" i="60"/>
  <c r="F363" i="60"/>
  <c r="L366" i="60"/>
  <c r="O14" i="60"/>
  <c r="I14" i="60"/>
  <c r="L14" i="60"/>
  <c r="C15" i="60"/>
  <c r="F14" i="60"/>
  <c r="C211" i="60"/>
  <c r="L242" i="60"/>
  <c r="C452" i="60"/>
  <c r="C424" i="60"/>
  <c r="C397" i="60"/>
  <c r="C435" i="60"/>
  <c r="A429" i="60"/>
  <c r="C414" i="60"/>
  <c r="A456" i="60"/>
  <c r="C89" i="60"/>
  <c r="H626" i="35" l="1"/>
  <c r="H627" i="35" s="1"/>
  <c r="H628" i="35" s="1"/>
  <c r="H629" i="35" s="1"/>
  <c r="H630" i="35" s="1"/>
  <c r="H631" i="35" s="1"/>
  <c r="H632" i="35" s="1"/>
  <c r="H633" i="35" s="1"/>
  <c r="H634" i="35" s="1"/>
  <c r="H635" i="35" s="1"/>
  <c r="H636" i="35" s="1"/>
  <c r="H637" i="35" s="1"/>
  <c r="H638" i="35" s="1"/>
  <c r="H639" i="35" s="1"/>
  <c r="H640" i="35" s="1"/>
  <c r="H641" i="35" s="1"/>
  <c r="H642" i="35" s="1"/>
  <c r="H643" i="35" s="1"/>
  <c r="H644" i="35" s="1"/>
  <c r="H645" i="35" s="1"/>
  <c r="H646" i="35" s="1"/>
  <c r="H647" i="35" s="1"/>
  <c r="H648" i="35" s="1"/>
  <c r="H649" i="35" s="1"/>
  <c r="H650" i="35" s="1"/>
  <c r="H651" i="35" s="1"/>
  <c r="H652" i="35" s="1"/>
  <c r="H653" i="35" s="1"/>
  <c r="H654" i="35" s="1"/>
  <c r="H655" i="35" s="1"/>
  <c r="H656" i="35" s="1"/>
  <c r="H657" i="35" s="1"/>
  <c r="H658" i="35" s="1"/>
  <c r="H659" i="35" s="1"/>
  <c r="L304" i="60"/>
  <c r="F242" i="60"/>
  <c r="L303" i="60"/>
  <c r="I242" i="60"/>
  <c r="O304" i="60"/>
  <c r="I366" i="60"/>
  <c r="O241" i="60"/>
  <c r="O242" i="60"/>
  <c r="F366" i="60"/>
  <c r="F240" i="60"/>
  <c r="H73" i="35"/>
  <c r="H537" i="35"/>
  <c r="H538" i="35" s="1"/>
  <c r="H539" i="35" s="1"/>
  <c r="H540" i="35" s="1"/>
  <c r="H541" i="35" s="1"/>
  <c r="H542" i="35" s="1"/>
  <c r="H543" i="35" s="1"/>
  <c r="H544" i="35" s="1"/>
  <c r="H545" i="35" s="1"/>
  <c r="H546" i="35" s="1"/>
  <c r="H547" i="35" s="1"/>
  <c r="H548" i="35" s="1"/>
  <c r="H549" i="35" s="1"/>
  <c r="H550" i="35" s="1"/>
  <c r="H551" i="35" s="1"/>
  <c r="H552" i="35" s="1"/>
  <c r="H553" i="35" s="1"/>
  <c r="H554" i="35" s="1"/>
  <c r="H555" i="35" s="1"/>
  <c r="H556" i="35" s="1"/>
  <c r="H557" i="35" s="1"/>
  <c r="H559" i="35" s="1"/>
  <c r="H560" i="35" s="1"/>
  <c r="H561" i="35" s="1"/>
  <c r="H562" i="35" s="1"/>
  <c r="H563" i="35" s="1"/>
  <c r="H536" i="35"/>
  <c r="H684" i="35"/>
  <c r="H685" i="35" s="1"/>
  <c r="H686" i="35" s="1"/>
  <c r="H687" i="35" s="1"/>
  <c r="H688" i="35" s="1"/>
  <c r="H689" i="35" s="1"/>
  <c r="H690" i="35" s="1"/>
  <c r="H691" i="35" s="1"/>
  <c r="H692" i="35" s="1"/>
  <c r="H693" i="35" s="1"/>
  <c r="F444" i="60"/>
  <c r="L444" i="60"/>
  <c r="O444" i="60"/>
  <c r="I444" i="60"/>
  <c r="C453" i="60"/>
  <c r="C460" i="60"/>
  <c r="C515" i="60"/>
  <c r="C477" i="60"/>
  <c r="R456" i="60"/>
  <c r="T460" i="60" s="1"/>
  <c r="C498" i="60"/>
  <c r="A492" i="60"/>
  <c r="C487" i="60"/>
  <c r="A519" i="60"/>
  <c r="C152" i="60"/>
  <c r="I303" i="60"/>
  <c r="C374" i="60"/>
  <c r="I241" i="60"/>
  <c r="F426" i="60"/>
  <c r="L426" i="60"/>
  <c r="L429" i="60"/>
  <c r="A430" i="60"/>
  <c r="O426" i="60"/>
  <c r="I426" i="60"/>
  <c r="F429" i="60"/>
  <c r="O429" i="60"/>
  <c r="I429" i="60"/>
  <c r="O15" i="60"/>
  <c r="O17" i="60" s="1"/>
  <c r="P6" i="60" s="1"/>
  <c r="F15" i="60"/>
  <c r="F17" i="60" s="1"/>
  <c r="G6" i="60" s="1"/>
  <c r="L15" i="60"/>
  <c r="L17" i="60" s="1"/>
  <c r="M6" i="60" s="1"/>
  <c r="I15" i="60"/>
  <c r="I17" i="60" s="1"/>
  <c r="J6" i="60" s="1"/>
  <c r="C274" i="60"/>
  <c r="L240" i="60"/>
  <c r="M237" i="60" s="1"/>
  <c r="I64" i="60"/>
  <c r="I65" i="60" s="1"/>
  <c r="J55" i="60" s="1"/>
  <c r="F64" i="60"/>
  <c r="F65" i="60" s="1"/>
  <c r="G55" i="60" s="1"/>
  <c r="L64" i="60"/>
  <c r="L65" i="60" s="1"/>
  <c r="M55" i="60" s="1"/>
  <c r="O64" i="60"/>
  <c r="O65" i="60" s="1"/>
  <c r="P55" i="60" s="1"/>
  <c r="L394" i="60"/>
  <c r="F394" i="60"/>
  <c r="C398" i="60"/>
  <c r="O394" i="60"/>
  <c r="I394" i="60"/>
  <c r="C212" i="60"/>
  <c r="C189" i="60"/>
  <c r="I406" i="60"/>
  <c r="C415" i="60"/>
  <c r="O406" i="60"/>
  <c r="L406" i="60"/>
  <c r="F406" i="60"/>
  <c r="L417" i="60"/>
  <c r="I417" i="60"/>
  <c r="F417" i="60"/>
  <c r="C425" i="60"/>
  <c r="O417" i="60"/>
  <c r="A368" i="60"/>
  <c r="F367" i="60"/>
  <c r="O367" i="60"/>
  <c r="I367" i="60"/>
  <c r="L367" i="60"/>
  <c r="C126" i="60"/>
  <c r="I305" i="60"/>
  <c r="O305" i="60"/>
  <c r="F305" i="60"/>
  <c r="L305" i="60"/>
  <c r="I240" i="60"/>
  <c r="L432" i="60"/>
  <c r="F432" i="60"/>
  <c r="C436" i="60"/>
  <c r="I432" i="60"/>
  <c r="O432" i="60"/>
  <c r="C90" i="60"/>
  <c r="C312" i="60"/>
  <c r="C353" i="60"/>
  <c r="F304" i="60"/>
  <c r="C391" i="60"/>
  <c r="C250" i="60"/>
  <c r="C336" i="60"/>
  <c r="O240" i="60"/>
  <c r="F303" i="60"/>
  <c r="I304" i="60"/>
  <c r="A23" i="59"/>
  <c r="H424" i="60" l="1"/>
  <c r="P237" i="60"/>
  <c r="H264" i="60"/>
  <c r="L264" i="60"/>
  <c r="F264" i="60"/>
  <c r="I226" i="60"/>
  <c r="P300" i="60"/>
  <c r="E389" i="60"/>
  <c r="H425" i="60"/>
  <c r="F226" i="60"/>
  <c r="K264" i="60"/>
  <c r="F236" i="60"/>
  <c r="F298" i="60"/>
  <c r="M226" i="60"/>
  <c r="O247" i="60"/>
  <c r="L263" i="60"/>
  <c r="F210" i="60"/>
  <c r="E22" i="59"/>
  <c r="G17" i="59"/>
  <c r="L362" i="60"/>
  <c r="P328" i="60"/>
  <c r="I249" i="60"/>
  <c r="K352" i="60"/>
  <c r="G424" i="60"/>
  <c r="E452" i="60"/>
  <c r="G16" i="59"/>
  <c r="D22" i="59"/>
  <c r="F19" i="59"/>
  <c r="O362" i="60"/>
  <c r="O328" i="60"/>
  <c r="F249" i="60"/>
  <c r="F389" i="60"/>
  <c r="J352" i="60"/>
  <c r="L435" i="60"/>
  <c r="G20" i="59"/>
  <c r="L397" i="60"/>
  <c r="O273" i="60"/>
  <c r="B18" i="59"/>
  <c r="H226" i="60"/>
  <c r="I298" i="60"/>
  <c r="O326" i="60"/>
  <c r="N264" i="60"/>
  <c r="P298" i="60"/>
  <c r="N236" i="60"/>
  <c r="H487" i="60"/>
  <c r="H326" i="60"/>
  <c r="E20" i="59"/>
  <c r="F247" i="60"/>
  <c r="L290" i="60"/>
  <c r="B15" i="59"/>
  <c r="H328" i="60"/>
  <c r="E390" i="60"/>
  <c r="N424" i="60"/>
  <c r="O211" i="60"/>
  <c r="I271" i="60"/>
  <c r="O334" i="60"/>
  <c r="B21" i="59"/>
  <c r="G452" i="60"/>
  <c r="E264" i="60"/>
  <c r="L236" i="60"/>
  <c r="P236" i="60"/>
  <c r="H550" i="60"/>
  <c r="I247" i="60"/>
  <c r="E235" i="60"/>
  <c r="F263" i="60"/>
  <c r="H21" i="59"/>
  <c r="N352" i="60"/>
  <c r="P424" i="60"/>
  <c r="L273" i="60"/>
  <c r="F452" i="60"/>
  <c r="L298" i="60"/>
  <c r="J264" i="60"/>
  <c r="I264" i="60"/>
  <c r="I22" i="59"/>
  <c r="K362" i="60"/>
  <c r="O311" i="60"/>
  <c r="F290" i="60"/>
  <c r="F22" i="59"/>
  <c r="I18" i="59"/>
  <c r="N362" i="60"/>
  <c r="J328" i="60"/>
  <c r="N390" i="60"/>
  <c r="G352" i="60"/>
  <c r="L311" i="60"/>
  <c r="F424" i="60"/>
  <c r="F211" i="60"/>
  <c r="I20" i="59"/>
  <c r="F334" i="60"/>
  <c r="D15" i="59"/>
  <c r="O452" i="60"/>
  <c r="M452" i="60"/>
  <c r="O236" i="60"/>
  <c r="L209" i="60"/>
  <c r="L226" i="60"/>
  <c r="P326" i="60"/>
  <c r="G236" i="60"/>
  <c r="M263" i="60"/>
  <c r="H236" i="60"/>
  <c r="H173" i="60"/>
  <c r="M326" i="60"/>
  <c r="H298" i="60"/>
  <c r="I326" i="60"/>
  <c r="I309" i="60"/>
  <c r="O209" i="60"/>
  <c r="E298" i="60"/>
  <c r="I246" i="60"/>
  <c r="N226" i="60"/>
  <c r="I263" i="60"/>
  <c r="N235" i="60"/>
  <c r="I209" i="60"/>
  <c r="M290" i="60"/>
  <c r="C14" i="59"/>
  <c r="L335" i="60"/>
  <c r="F352" i="60"/>
  <c r="I435" i="60"/>
  <c r="G389" i="60"/>
  <c r="I290" i="60"/>
  <c r="E362" i="60"/>
  <c r="J424" i="60"/>
  <c r="I424" i="60"/>
  <c r="O397" i="60"/>
  <c r="L373" i="60"/>
  <c r="I15" i="59"/>
  <c r="B20" i="59"/>
  <c r="L247" i="60"/>
  <c r="M264" i="60"/>
  <c r="H488" i="60"/>
  <c r="J298" i="60"/>
  <c r="K236" i="60"/>
  <c r="F209" i="60"/>
  <c r="G226" i="60"/>
  <c r="K235" i="60"/>
  <c r="G22" i="59"/>
  <c r="J362" i="60"/>
  <c r="G390" i="60"/>
  <c r="I311" i="60"/>
  <c r="L424" i="60"/>
  <c r="I211" i="60"/>
  <c r="N452" i="60"/>
  <c r="B14" i="59"/>
  <c r="J390" i="60"/>
  <c r="J290" i="60"/>
  <c r="G21" i="59"/>
  <c r="I16" i="59"/>
  <c r="M362" i="60"/>
  <c r="F335" i="60"/>
  <c r="H390" i="60"/>
  <c r="M352" i="60"/>
  <c r="I334" i="60"/>
  <c r="M424" i="60"/>
  <c r="I397" i="60"/>
  <c r="I373" i="60"/>
  <c r="E17" i="59"/>
  <c r="H452" i="60"/>
  <c r="B16" i="59"/>
  <c r="J326" i="60"/>
  <c r="H299" i="60"/>
  <c r="J226" i="60"/>
  <c r="P226" i="60"/>
  <c r="M298" i="60"/>
  <c r="I210" i="60"/>
  <c r="K263" i="60"/>
  <c r="O335" i="60"/>
  <c r="M390" i="60"/>
  <c r="E352" i="60"/>
  <c r="G19" i="59"/>
  <c r="K424" i="60"/>
  <c r="F271" i="60"/>
  <c r="P452" i="60"/>
  <c r="H551" i="60"/>
  <c r="O226" i="60"/>
  <c r="F309" i="60"/>
  <c r="N298" i="60"/>
  <c r="K326" i="60"/>
  <c r="M235" i="60"/>
  <c r="I352" i="60"/>
  <c r="I21" i="59"/>
  <c r="F373" i="60"/>
  <c r="B17" i="59"/>
  <c r="H362" i="60"/>
  <c r="P235" i="60"/>
  <c r="G298" i="60"/>
  <c r="E226" i="60"/>
  <c r="E236" i="60"/>
  <c r="O235" i="60"/>
  <c r="H235" i="60"/>
  <c r="H361" i="60"/>
  <c r="O264" i="60"/>
  <c r="K298" i="60"/>
  <c r="L326" i="60"/>
  <c r="J263" i="60"/>
  <c r="G290" i="60"/>
  <c r="I17" i="59"/>
  <c r="I362" i="60"/>
  <c r="I328" i="60"/>
  <c r="O249" i="60"/>
  <c r="K390" i="60"/>
  <c r="O352" i="60"/>
  <c r="F435" i="60"/>
  <c r="O424" i="60"/>
  <c r="I273" i="60"/>
  <c r="K452" i="60"/>
  <c r="I235" i="60"/>
  <c r="F246" i="60"/>
  <c r="J236" i="60"/>
  <c r="K226" i="60"/>
  <c r="G264" i="60"/>
  <c r="L309" i="60"/>
  <c r="O309" i="60"/>
  <c r="M236" i="60"/>
  <c r="L246" i="60"/>
  <c r="G235" i="60"/>
  <c r="O210" i="60"/>
  <c r="H172" i="60"/>
  <c r="G237" i="60"/>
  <c r="K361" i="60"/>
  <c r="P227" i="60"/>
  <c r="J361" i="60"/>
  <c r="J289" i="60"/>
  <c r="K299" i="60"/>
  <c r="I227" i="60"/>
  <c r="O272" i="60"/>
  <c r="E289" i="60"/>
  <c r="E361" i="60"/>
  <c r="F227" i="60"/>
  <c r="N361" i="60"/>
  <c r="L361" i="60"/>
  <c r="G227" i="60"/>
  <c r="L389" i="60"/>
  <c r="H263" i="60"/>
  <c r="M361" i="60"/>
  <c r="N299" i="60"/>
  <c r="M227" i="60"/>
  <c r="G289" i="60"/>
  <c r="I299" i="60"/>
  <c r="K227" i="60"/>
  <c r="E299" i="60"/>
  <c r="O227" i="60"/>
  <c r="O289" i="60"/>
  <c r="M300" i="60"/>
  <c r="N263" i="60"/>
  <c r="O372" i="60"/>
  <c r="I272" i="60"/>
  <c r="I327" i="60"/>
  <c r="F248" i="60"/>
  <c r="K289" i="60"/>
  <c r="L289" i="60"/>
  <c r="G263" i="60"/>
  <c r="H17" i="59"/>
  <c r="G15" i="59"/>
  <c r="P361" i="60"/>
  <c r="E16" i="59"/>
  <c r="G299" i="60"/>
  <c r="J227" i="60"/>
  <c r="L227" i="60"/>
  <c r="I265" i="60"/>
  <c r="C16" i="59"/>
  <c r="L210" i="60"/>
  <c r="N227" i="60"/>
  <c r="F17" i="59"/>
  <c r="I372" i="60"/>
  <c r="O248" i="60"/>
  <c r="F272" i="60"/>
  <c r="J327" i="60"/>
  <c r="H289" i="60"/>
  <c r="I289" i="60"/>
  <c r="M389" i="60"/>
  <c r="O208" i="60"/>
  <c r="E15" i="59"/>
  <c r="G361" i="60"/>
  <c r="P299" i="60"/>
  <c r="L299" i="60"/>
  <c r="D18" i="59"/>
  <c r="P265" i="60"/>
  <c r="F361" i="60"/>
  <c r="J299" i="60"/>
  <c r="O299" i="60"/>
  <c r="G327" i="60"/>
  <c r="F265" i="60"/>
  <c r="F15" i="59"/>
  <c r="I310" i="60"/>
  <c r="M265" i="60"/>
  <c r="N327" i="60"/>
  <c r="M289" i="60"/>
  <c r="F289" i="60"/>
  <c r="H389" i="60"/>
  <c r="O271" i="60"/>
  <c r="H15" i="59"/>
  <c r="E18" i="59"/>
  <c r="H227" i="60"/>
  <c r="F16" i="59"/>
  <c r="N265" i="60"/>
  <c r="H16" i="59"/>
  <c r="H19" i="59"/>
  <c r="O246" i="60"/>
  <c r="L248" i="60"/>
  <c r="F372" i="60"/>
  <c r="L327" i="60"/>
  <c r="P327" i="60"/>
  <c r="N289" i="60"/>
  <c r="K389" i="60"/>
  <c r="F310" i="60"/>
  <c r="H18" i="59"/>
  <c r="I361" i="60"/>
  <c r="O361" i="60"/>
  <c r="F299" i="60"/>
  <c r="M299" i="60"/>
  <c r="E227" i="60"/>
  <c r="H265" i="60"/>
  <c r="C15" i="59"/>
  <c r="O327" i="60"/>
  <c r="P389" i="60"/>
  <c r="L235" i="60"/>
  <c r="J235" i="60"/>
  <c r="F235" i="60"/>
  <c r="L372" i="60"/>
  <c r="L272" i="60"/>
  <c r="F327" i="60"/>
  <c r="M327" i="60"/>
  <c r="P289" i="60"/>
  <c r="N389" i="60"/>
  <c r="J389" i="60"/>
  <c r="O310" i="60"/>
  <c r="D20" i="59"/>
  <c r="F20" i="59"/>
  <c r="J265" i="60"/>
  <c r="O265" i="60"/>
  <c r="E19" i="59"/>
  <c r="L265" i="60"/>
  <c r="E263" i="60"/>
  <c r="P263" i="60"/>
  <c r="E327" i="60"/>
  <c r="H327" i="60"/>
  <c r="I248" i="60"/>
  <c r="O389" i="60"/>
  <c r="L310" i="60"/>
  <c r="K265" i="60"/>
  <c r="K327" i="60"/>
  <c r="I389" i="60"/>
  <c r="G326" i="60"/>
  <c r="D14" i="59"/>
  <c r="H74" i="35"/>
  <c r="G300" i="60"/>
  <c r="J237" i="60"/>
  <c r="O336" i="60"/>
  <c r="L336" i="60"/>
  <c r="F336" i="60"/>
  <c r="C337" i="60"/>
  <c r="I336" i="60"/>
  <c r="C190" i="60"/>
  <c r="L398" i="60"/>
  <c r="O398" i="60"/>
  <c r="C399" i="60"/>
  <c r="F398" i="60"/>
  <c r="I398" i="60"/>
  <c r="T461" i="60"/>
  <c r="Z457" i="60"/>
  <c r="W457" i="60"/>
  <c r="AF460" i="60"/>
  <c r="AF457" i="60"/>
  <c r="AC457" i="60"/>
  <c r="W460" i="60"/>
  <c r="AC460" i="60"/>
  <c r="Z460" i="60"/>
  <c r="C213" i="60"/>
  <c r="I212" i="60"/>
  <c r="L212" i="60"/>
  <c r="O212" i="60"/>
  <c r="F212" i="60"/>
  <c r="L469" i="60"/>
  <c r="F469" i="60"/>
  <c r="I469" i="60"/>
  <c r="C478" i="60"/>
  <c r="O469" i="60"/>
  <c r="C153" i="60"/>
  <c r="I507" i="60"/>
  <c r="M515" i="60"/>
  <c r="J515" i="60"/>
  <c r="H515" i="60"/>
  <c r="L515" i="60"/>
  <c r="F507" i="60"/>
  <c r="I515" i="60"/>
  <c r="L507" i="60"/>
  <c r="O507" i="60"/>
  <c r="K515" i="60"/>
  <c r="F515" i="60"/>
  <c r="O515" i="60"/>
  <c r="P515" i="60"/>
  <c r="G515" i="60"/>
  <c r="C516" i="60"/>
  <c r="N515" i="60"/>
  <c r="E515" i="60"/>
  <c r="F415" i="60"/>
  <c r="P415" i="60"/>
  <c r="E415" i="60"/>
  <c r="N415" i="60"/>
  <c r="L415" i="60"/>
  <c r="M415" i="60"/>
  <c r="J415" i="60"/>
  <c r="G415" i="60"/>
  <c r="C416" i="60"/>
  <c r="K415" i="60"/>
  <c r="I415" i="60"/>
  <c r="O415" i="60"/>
  <c r="H415" i="60"/>
  <c r="A431" i="60"/>
  <c r="L430" i="60"/>
  <c r="F430" i="60"/>
  <c r="I430" i="60"/>
  <c r="O430" i="60"/>
  <c r="F460" i="60"/>
  <c r="C461" i="60"/>
  <c r="L457" i="60"/>
  <c r="I457" i="60"/>
  <c r="L460" i="60"/>
  <c r="O457" i="60"/>
  <c r="O460" i="60"/>
  <c r="I460" i="60"/>
  <c r="F457" i="60"/>
  <c r="H14" i="59"/>
  <c r="C17" i="59"/>
  <c r="F18" i="59"/>
  <c r="F14" i="59"/>
  <c r="G14" i="59"/>
  <c r="D21" i="59"/>
  <c r="E21" i="59"/>
  <c r="C21" i="59"/>
  <c r="F21" i="59"/>
  <c r="C20" i="59"/>
  <c r="G18" i="59"/>
  <c r="I19" i="59"/>
  <c r="A24" i="59"/>
  <c r="G23" i="59"/>
  <c r="C23" i="59"/>
  <c r="F23" i="59"/>
  <c r="D23" i="59"/>
  <c r="B23" i="59"/>
  <c r="I23" i="59"/>
  <c r="H23" i="59"/>
  <c r="E23" i="59"/>
  <c r="C251" i="60"/>
  <c r="L250" i="60"/>
  <c r="F250" i="60"/>
  <c r="O250" i="60"/>
  <c r="I250" i="60"/>
  <c r="C437" i="60"/>
  <c r="L436" i="60"/>
  <c r="I436" i="60"/>
  <c r="F436" i="60"/>
  <c r="O436" i="60"/>
  <c r="C127" i="60"/>
  <c r="J300" i="60"/>
  <c r="A582" i="60"/>
  <c r="C561" i="60"/>
  <c r="A555" i="60"/>
  <c r="C523" i="60"/>
  <c r="C578" i="60"/>
  <c r="C540" i="60"/>
  <c r="R519" i="60"/>
  <c r="T523" i="60" s="1"/>
  <c r="C550" i="60"/>
  <c r="I453" i="60"/>
  <c r="E453" i="60"/>
  <c r="H453" i="60"/>
  <c r="J453" i="60"/>
  <c r="C454" i="60"/>
  <c r="P453" i="60"/>
  <c r="F453" i="60"/>
  <c r="K453" i="60"/>
  <c r="O453" i="60"/>
  <c r="M453" i="60"/>
  <c r="N453" i="60"/>
  <c r="L453" i="60"/>
  <c r="G453" i="60"/>
  <c r="L368" i="60"/>
  <c r="M363" i="60" s="1"/>
  <c r="O368" i="60"/>
  <c r="P363" i="60" s="1"/>
  <c r="I368" i="60"/>
  <c r="J363" i="60" s="1"/>
  <c r="F368" i="60"/>
  <c r="G363" i="60" s="1"/>
  <c r="E425" i="60"/>
  <c r="O425" i="60"/>
  <c r="N425" i="60"/>
  <c r="J425" i="60"/>
  <c r="K425" i="60"/>
  <c r="M425" i="60"/>
  <c r="G425" i="60"/>
  <c r="P425" i="60"/>
  <c r="I425" i="60"/>
  <c r="F425" i="60"/>
  <c r="L425" i="60"/>
  <c r="F480" i="60"/>
  <c r="O480" i="60"/>
  <c r="F487" i="60"/>
  <c r="C488" i="60"/>
  <c r="L480" i="60"/>
  <c r="N487" i="60"/>
  <c r="M487" i="60"/>
  <c r="J487" i="60"/>
  <c r="K487" i="60"/>
  <c r="I480" i="60"/>
  <c r="I487" i="60"/>
  <c r="L487" i="60"/>
  <c r="E487" i="60"/>
  <c r="P487" i="60"/>
  <c r="O487" i="60"/>
  <c r="G487" i="60"/>
  <c r="I374" i="60"/>
  <c r="F374" i="60"/>
  <c r="C375" i="60"/>
  <c r="L374" i="60"/>
  <c r="O374" i="60"/>
  <c r="A493" i="60"/>
  <c r="O492" i="60"/>
  <c r="L489" i="60"/>
  <c r="I489" i="60"/>
  <c r="F489" i="60"/>
  <c r="I492" i="60"/>
  <c r="F492" i="60"/>
  <c r="L492" i="60"/>
  <c r="O489" i="60"/>
  <c r="P391" i="60"/>
  <c r="K391" i="60"/>
  <c r="H391" i="60"/>
  <c r="M391" i="60"/>
  <c r="F391" i="60"/>
  <c r="I391" i="60"/>
  <c r="O391" i="60"/>
  <c r="J391" i="60"/>
  <c r="L391" i="60"/>
  <c r="N391" i="60"/>
  <c r="M353" i="60"/>
  <c r="E353" i="60"/>
  <c r="I353" i="60"/>
  <c r="F353" i="60"/>
  <c r="G353" i="60"/>
  <c r="P353" i="60"/>
  <c r="L353" i="60"/>
  <c r="N353" i="60"/>
  <c r="H353" i="60"/>
  <c r="O353" i="60"/>
  <c r="J353" i="60"/>
  <c r="K353" i="60"/>
  <c r="C313" i="60"/>
  <c r="F312" i="60"/>
  <c r="I312" i="60"/>
  <c r="L312" i="60"/>
  <c r="O312" i="60"/>
  <c r="O274" i="60"/>
  <c r="L274" i="60"/>
  <c r="F274" i="60"/>
  <c r="I274" i="60"/>
  <c r="C275" i="60"/>
  <c r="F495" i="60"/>
  <c r="L495" i="60"/>
  <c r="I495" i="60"/>
  <c r="C499" i="60"/>
  <c r="F498" i="60"/>
  <c r="L498" i="60"/>
  <c r="I498" i="60"/>
  <c r="O498" i="60"/>
  <c r="O495" i="60"/>
  <c r="F152" i="60" l="1"/>
  <c r="L149" i="60"/>
  <c r="M164" i="60"/>
  <c r="I150" i="60"/>
  <c r="O152" i="60"/>
  <c r="O150" i="60"/>
  <c r="I152" i="60"/>
  <c r="I163" i="60"/>
  <c r="I147" i="60"/>
  <c r="L152" i="60"/>
  <c r="N173" i="60"/>
  <c r="O149" i="60"/>
  <c r="K163" i="60"/>
  <c r="J164" i="60"/>
  <c r="I149" i="60"/>
  <c r="L146" i="60"/>
  <c r="K164" i="60"/>
  <c r="P172" i="60"/>
  <c r="E163" i="60"/>
  <c r="E173" i="60"/>
  <c r="J173" i="60"/>
  <c r="F147" i="60"/>
  <c r="L163" i="60"/>
  <c r="G173" i="60"/>
  <c r="O146" i="60"/>
  <c r="I148" i="60"/>
  <c r="L150" i="60"/>
  <c r="K16" i="59"/>
  <c r="F150" i="60"/>
  <c r="F146" i="60"/>
  <c r="J163" i="60"/>
  <c r="O164" i="60"/>
  <c r="F148" i="60"/>
  <c r="K173" i="60"/>
  <c r="I146" i="60"/>
  <c r="K172" i="60"/>
  <c r="L173" i="60"/>
  <c r="I172" i="60"/>
  <c r="I164" i="60"/>
  <c r="O172" i="60"/>
  <c r="J172" i="60"/>
  <c r="O148" i="60"/>
  <c r="E164" i="60"/>
  <c r="G164" i="60"/>
  <c r="H164" i="60"/>
  <c r="H163" i="60"/>
  <c r="N163" i="60"/>
  <c r="G172" i="60"/>
  <c r="P163" i="60"/>
  <c r="N202" i="60"/>
  <c r="F184" i="60"/>
  <c r="J200" i="60"/>
  <c r="L164" i="60"/>
  <c r="L148" i="60"/>
  <c r="P228" i="60"/>
  <c r="O173" i="60"/>
  <c r="I173" i="60"/>
  <c r="F173" i="60"/>
  <c r="O185" i="60"/>
  <c r="P200" i="60"/>
  <c r="O202" i="60"/>
  <c r="L185" i="60"/>
  <c r="N164" i="60"/>
  <c r="K202" i="60"/>
  <c r="I201" i="60"/>
  <c r="E172" i="60"/>
  <c r="O187" i="60"/>
  <c r="G200" i="60"/>
  <c r="E200" i="60"/>
  <c r="N201" i="60"/>
  <c r="L189" i="60"/>
  <c r="J202" i="60"/>
  <c r="L187" i="60"/>
  <c r="I200" i="60"/>
  <c r="L183" i="60"/>
  <c r="I189" i="60"/>
  <c r="I184" i="60"/>
  <c r="P202" i="60"/>
  <c r="J201" i="60"/>
  <c r="P173" i="60"/>
  <c r="L188" i="60"/>
  <c r="N172" i="60"/>
  <c r="P164" i="60"/>
  <c r="O200" i="60"/>
  <c r="M202" i="60"/>
  <c r="O189" i="60"/>
  <c r="I185" i="60"/>
  <c r="F187" i="60"/>
  <c r="N200" i="60"/>
  <c r="K201" i="60"/>
  <c r="I186" i="60"/>
  <c r="M172" i="60"/>
  <c r="M163" i="60"/>
  <c r="M173" i="60"/>
  <c r="F164" i="60"/>
  <c r="F189" i="60"/>
  <c r="P201" i="60"/>
  <c r="H202" i="60"/>
  <c r="L200" i="60"/>
  <c r="O183" i="60"/>
  <c r="O186" i="60"/>
  <c r="O163" i="60"/>
  <c r="O147" i="60"/>
  <c r="F172" i="60"/>
  <c r="M228" i="60"/>
  <c r="K17" i="59"/>
  <c r="K20" i="59"/>
  <c r="J354" i="60"/>
  <c r="P290" i="60"/>
  <c r="K290" i="60"/>
  <c r="E14" i="59"/>
  <c r="L172" i="60"/>
  <c r="O298" i="60"/>
  <c r="P291" i="60" s="1"/>
  <c r="C18" i="59"/>
  <c r="K18" i="59" s="1"/>
  <c r="N328" i="60"/>
  <c r="N290" i="60"/>
  <c r="I390" i="60"/>
  <c r="J381" i="60" s="1"/>
  <c r="L249" i="60"/>
  <c r="L328" i="60"/>
  <c r="D16" i="59"/>
  <c r="J16" i="59" s="1"/>
  <c r="O390" i="60"/>
  <c r="K328" i="60"/>
  <c r="B19" i="59"/>
  <c r="P264" i="60"/>
  <c r="F100" i="60"/>
  <c r="F362" i="60"/>
  <c r="I83" i="60"/>
  <c r="D19" i="59"/>
  <c r="L211" i="60"/>
  <c r="E424" i="60"/>
  <c r="G417" i="60" s="1"/>
  <c r="O435" i="60"/>
  <c r="F311" i="60"/>
  <c r="H22" i="59"/>
  <c r="G163" i="60"/>
  <c r="L452" i="60"/>
  <c r="J452" i="60"/>
  <c r="E326" i="60"/>
  <c r="F109" i="60"/>
  <c r="H352" i="60"/>
  <c r="L147" i="60"/>
  <c r="P390" i="60"/>
  <c r="G362" i="60"/>
  <c r="O290" i="60"/>
  <c r="L89" i="60"/>
  <c r="F328" i="60"/>
  <c r="P352" i="60"/>
  <c r="P362" i="60"/>
  <c r="P354" i="60" s="1"/>
  <c r="E290" i="60"/>
  <c r="I236" i="60"/>
  <c r="J228" i="60" s="1"/>
  <c r="M328" i="60"/>
  <c r="I14" i="59"/>
  <c r="B22" i="59"/>
  <c r="L390" i="60"/>
  <c r="M381" i="60" s="1"/>
  <c r="H20" i="59"/>
  <c r="J20" i="59" s="1"/>
  <c r="F273" i="60"/>
  <c r="F390" i="60"/>
  <c r="L85" i="60"/>
  <c r="N326" i="60"/>
  <c r="I452" i="60"/>
  <c r="F326" i="60"/>
  <c r="C22" i="59"/>
  <c r="K22" i="59" s="1"/>
  <c r="O373" i="60"/>
  <c r="F397" i="60"/>
  <c r="L352" i="60"/>
  <c r="D17" i="59"/>
  <c r="J17" i="59" s="1"/>
  <c r="H290" i="60"/>
  <c r="I335" i="60"/>
  <c r="O263" i="60"/>
  <c r="F163" i="60"/>
  <c r="L334" i="60"/>
  <c r="G228" i="60"/>
  <c r="M255" i="60"/>
  <c r="J15" i="59"/>
  <c r="J18" i="59"/>
  <c r="J318" i="60"/>
  <c r="J291" i="60"/>
  <c r="G291" i="60"/>
  <c r="K15" i="59"/>
  <c r="M354" i="60"/>
  <c r="F186" i="60"/>
  <c r="L186" i="60"/>
  <c r="I188" i="60"/>
  <c r="F188" i="60"/>
  <c r="F200" i="60"/>
  <c r="F201" i="60"/>
  <c r="I183" i="60"/>
  <c r="L201" i="60"/>
  <c r="O201" i="60"/>
  <c r="O188" i="60"/>
  <c r="H201" i="60"/>
  <c r="J255" i="60"/>
  <c r="M291" i="60"/>
  <c r="H75" i="35"/>
  <c r="F149" i="60" s="1"/>
  <c r="J417" i="60"/>
  <c r="J21" i="59"/>
  <c r="J23" i="59"/>
  <c r="M417" i="60"/>
  <c r="P417" i="60"/>
  <c r="K21" i="59"/>
  <c r="C551" i="60"/>
  <c r="L550" i="60"/>
  <c r="F543" i="60"/>
  <c r="I543" i="60"/>
  <c r="F550" i="60"/>
  <c r="P550" i="60"/>
  <c r="O550" i="60"/>
  <c r="K550" i="60"/>
  <c r="L543" i="60"/>
  <c r="E550" i="60"/>
  <c r="O543" i="60"/>
  <c r="G550" i="60"/>
  <c r="J550" i="60"/>
  <c r="N550" i="60"/>
  <c r="M550" i="60"/>
  <c r="I550" i="60"/>
  <c r="F127" i="60"/>
  <c r="I127" i="60"/>
  <c r="L127" i="60"/>
  <c r="O127" i="60"/>
  <c r="I251" i="60"/>
  <c r="L251" i="60"/>
  <c r="O251" i="60"/>
  <c r="C252" i="60"/>
  <c r="F251" i="60"/>
  <c r="L337" i="60"/>
  <c r="I337" i="60"/>
  <c r="F337" i="60"/>
  <c r="O337" i="60"/>
  <c r="C338" i="60"/>
  <c r="W523" i="60"/>
  <c r="AC520" i="60"/>
  <c r="Z520" i="60"/>
  <c r="W520" i="60"/>
  <c r="AC523" i="60"/>
  <c r="AF523" i="60"/>
  <c r="Z523" i="60"/>
  <c r="AF520" i="60"/>
  <c r="T524" i="60"/>
  <c r="C438" i="60"/>
  <c r="O437" i="60"/>
  <c r="I437" i="60"/>
  <c r="L437" i="60"/>
  <c r="F437" i="60"/>
  <c r="O431" i="60"/>
  <c r="P426" i="60" s="1"/>
  <c r="F431" i="60"/>
  <c r="G426" i="60" s="1"/>
  <c r="I431" i="60"/>
  <c r="J426" i="60" s="1"/>
  <c r="L431" i="60"/>
  <c r="M426" i="60" s="1"/>
  <c r="C400" i="60"/>
  <c r="O399" i="60"/>
  <c r="I399" i="60"/>
  <c r="F399" i="60"/>
  <c r="L399" i="60"/>
  <c r="A25" i="59"/>
  <c r="E24" i="59"/>
  <c r="G24" i="59"/>
  <c r="H24" i="59"/>
  <c r="F24" i="59"/>
  <c r="B24" i="59"/>
  <c r="I24" i="59"/>
  <c r="C24" i="59"/>
  <c r="D24" i="59"/>
  <c r="F461" i="60"/>
  <c r="C462" i="60"/>
  <c r="O461" i="60"/>
  <c r="L461" i="60"/>
  <c r="I461" i="60"/>
  <c r="G478" i="60"/>
  <c r="I478" i="60"/>
  <c r="H478" i="60"/>
  <c r="C479" i="60"/>
  <c r="O478" i="60"/>
  <c r="F478" i="60"/>
  <c r="P478" i="60"/>
  <c r="E478" i="60"/>
  <c r="N478" i="60"/>
  <c r="J478" i="60"/>
  <c r="M478" i="60"/>
  <c r="L478" i="60"/>
  <c r="K478" i="60"/>
  <c r="C214" i="60"/>
  <c r="L213" i="60"/>
  <c r="F213" i="60"/>
  <c r="O213" i="60"/>
  <c r="I213" i="60"/>
  <c r="AF461" i="60"/>
  <c r="T462" i="60"/>
  <c r="AC461" i="60"/>
  <c r="Z461" i="60"/>
  <c r="W461" i="60"/>
  <c r="P488" i="60"/>
  <c r="I488" i="60"/>
  <c r="N488" i="60"/>
  <c r="F488" i="60"/>
  <c r="L488" i="60"/>
  <c r="O488" i="60"/>
  <c r="E488" i="60"/>
  <c r="M488" i="60"/>
  <c r="K488" i="60"/>
  <c r="G488" i="60"/>
  <c r="J488" i="60"/>
  <c r="I520" i="60"/>
  <c r="F520" i="60"/>
  <c r="O523" i="60"/>
  <c r="L523" i="60"/>
  <c r="L520" i="60"/>
  <c r="O520" i="60"/>
  <c r="C524" i="60"/>
  <c r="F523" i="60"/>
  <c r="I523" i="60"/>
  <c r="K23" i="59"/>
  <c r="O516" i="60"/>
  <c r="C517" i="60"/>
  <c r="I516" i="60"/>
  <c r="E516" i="60"/>
  <c r="F516" i="60"/>
  <c r="L516" i="60"/>
  <c r="P516" i="60"/>
  <c r="K516" i="60"/>
  <c r="N516" i="60"/>
  <c r="G516" i="60"/>
  <c r="J516" i="60"/>
  <c r="M516" i="60"/>
  <c r="H516" i="60"/>
  <c r="L375" i="60"/>
  <c r="I375" i="60"/>
  <c r="F375" i="60"/>
  <c r="O375" i="60"/>
  <c r="C376" i="60"/>
  <c r="I532" i="60"/>
  <c r="C541" i="60"/>
  <c r="L532" i="60"/>
  <c r="O532" i="60"/>
  <c r="F532" i="60"/>
  <c r="C314" i="60"/>
  <c r="O313" i="60"/>
  <c r="I313" i="60"/>
  <c r="F313" i="60"/>
  <c r="L313" i="60"/>
  <c r="A494" i="60"/>
  <c r="F493" i="60"/>
  <c r="I493" i="60"/>
  <c r="L493" i="60"/>
  <c r="O493" i="60"/>
  <c r="F555" i="60"/>
  <c r="O552" i="60"/>
  <c r="I555" i="60"/>
  <c r="L552" i="60"/>
  <c r="I552" i="60"/>
  <c r="A556" i="60"/>
  <c r="L555" i="60"/>
  <c r="O555" i="60"/>
  <c r="F552" i="60"/>
  <c r="J14" i="59"/>
  <c r="F416" i="60"/>
  <c r="K416" i="60"/>
  <c r="P416" i="60"/>
  <c r="O416" i="60"/>
  <c r="M416" i="60"/>
  <c r="L416" i="60"/>
  <c r="H416" i="60"/>
  <c r="G416" i="60"/>
  <c r="I416" i="60"/>
  <c r="E416" i="60"/>
  <c r="N416" i="60"/>
  <c r="J416" i="60"/>
  <c r="O275" i="60"/>
  <c r="I275" i="60"/>
  <c r="F275" i="60"/>
  <c r="L275" i="60"/>
  <c r="C276" i="60"/>
  <c r="I558" i="60"/>
  <c r="L558" i="60"/>
  <c r="L561" i="60"/>
  <c r="F558" i="60"/>
  <c r="O561" i="60"/>
  <c r="C562" i="60"/>
  <c r="O558" i="60"/>
  <c r="F561" i="60"/>
  <c r="I561" i="60"/>
  <c r="O190" i="60"/>
  <c r="L190" i="60"/>
  <c r="F190" i="60"/>
  <c r="I190" i="60"/>
  <c r="I570" i="60"/>
  <c r="N578" i="60"/>
  <c r="O570" i="60"/>
  <c r="F578" i="60"/>
  <c r="L570" i="60"/>
  <c r="K578" i="60"/>
  <c r="H578" i="60"/>
  <c r="O578" i="60"/>
  <c r="M578" i="60"/>
  <c r="C579" i="60"/>
  <c r="F570" i="60"/>
  <c r="G578" i="60"/>
  <c r="J578" i="60"/>
  <c r="P578" i="60"/>
  <c r="L578" i="60"/>
  <c r="I578" i="60"/>
  <c r="E578" i="60"/>
  <c r="O499" i="60"/>
  <c r="C500" i="60"/>
  <c r="L499" i="60"/>
  <c r="F499" i="60"/>
  <c r="I499" i="60"/>
  <c r="H454" i="60"/>
  <c r="N454" i="60"/>
  <c r="I454" i="60"/>
  <c r="P454" i="60"/>
  <c r="K454" i="60"/>
  <c r="F454" i="60"/>
  <c r="J454" i="60"/>
  <c r="O454" i="60"/>
  <c r="M454" i="60"/>
  <c r="L454" i="60"/>
  <c r="C586" i="60"/>
  <c r="A598" i="60"/>
  <c r="R582" i="60"/>
  <c r="T586" i="60" s="1"/>
  <c r="F208" i="60"/>
  <c r="I208" i="60"/>
  <c r="L208" i="60"/>
  <c r="L271" i="60"/>
  <c r="J165" i="60" l="1"/>
  <c r="M165" i="60"/>
  <c r="P165" i="60"/>
  <c r="P255" i="60"/>
  <c r="G165" i="60"/>
  <c r="G354" i="60"/>
  <c r="G201" i="60"/>
  <c r="L184" i="60"/>
  <c r="L191" i="60" s="1"/>
  <c r="M180" i="60" s="1"/>
  <c r="O184" i="60"/>
  <c r="O191" i="60" s="1"/>
  <c r="P180" i="60" s="1"/>
  <c r="F202" i="60"/>
  <c r="M201" i="60"/>
  <c r="I202" i="60"/>
  <c r="K200" i="60"/>
  <c r="I187" i="60"/>
  <c r="I191" i="60" s="1"/>
  <c r="J180" i="60" s="1"/>
  <c r="F185" i="60"/>
  <c r="M200" i="60"/>
  <c r="E201" i="60"/>
  <c r="F183" i="60"/>
  <c r="H200" i="60"/>
  <c r="L202" i="60"/>
  <c r="K14" i="59"/>
  <c r="P381" i="60"/>
  <c r="P192" i="60"/>
  <c r="J19" i="59"/>
  <c r="P318" i="60"/>
  <c r="J22" i="59"/>
  <c r="M318" i="60"/>
  <c r="H76" i="35"/>
  <c r="P480" i="60"/>
  <c r="M480" i="60"/>
  <c r="P444" i="60"/>
  <c r="K24" i="59"/>
  <c r="J444" i="60"/>
  <c r="J24" i="59"/>
  <c r="M444" i="60"/>
  <c r="G480" i="60"/>
  <c r="J480" i="60"/>
  <c r="E541" i="60"/>
  <c r="K541" i="60"/>
  <c r="C542" i="60"/>
  <c r="P541" i="60"/>
  <c r="L541" i="60"/>
  <c r="N541" i="60"/>
  <c r="I541" i="60"/>
  <c r="F541" i="60"/>
  <c r="G541" i="60"/>
  <c r="O541" i="60"/>
  <c r="M541" i="60"/>
  <c r="J541" i="60"/>
  <c r="H541" i="60"/>
  <c r="F500" i="60"/>
  <c r="O500" i="60"/>
  <c r="C501" i="60"/>
  <c r="I500" i="60"/>
  <c r="L500" i="60"/>
  <c r="I583" i="60"/>
  <c r="F586" i="60"/>
  <c r="L583" i="60"/>
  <c r="C587" i="60"/>
  <c r="F583" i="60"/>
  <c r="I586" i="60"/>
  <c r="O583" i="60"/>
  <c r="L586" i="60"/>
  <c r="O586" i="60"/>
  <c r="O314" i="60"/>
  <c r="I314" i="60"/>
  <c r="C315" i="60"/>
  <c r="F314" i="60"/>
  <c r="L314" i="60"/>
  <c r="C215" i="60"/>
  <c r="O400" i="60"/>
  <c r="I400" i="60"/>
  <c r="L400" i="60"/>
  <c r="C401" i="60"/>
  <c r="F400" i="60"/>
  <c r="L252" i="60"/>
  <c r="I252" i="60"/>
  <c r="F252" i="60"/>
  <c r="O252" i="60"/>
  <c r="C253" i="60"/>
  <c r="A557" i="60"/>
  <c r="L556" i="60"/>
  <c r="O556" i="60"/>
  <c r="I556" i="60"/>
  <c r="F556" i="60"/>
  <c r="J479" i="60"/>
  <c r="I479" i="60"/>
  <c r="M479" i="60"/>
  <c r="E479" i="60"/>
  <c r="H479" i="60"/>
  <c r="O479" i="60"/>
  <c r="G479" i="60"/>
  <c r="P479" i="60"/>
  <c r="F479" i="60"/>
  <c r="N479" i="60"/>
  <c r="L479" i="60"/>
  <c r="K479" i="60"/>
  <c r="F524" i="60"/>
  <c r="O524" i="60"/>
  <c r="L524" i="60"/>
  <c r="I524" i="60"/>
  <c r="C525" i="60"/>
  <c r="AC524" i="60"/>
  <c r="W524" i="60"/>
  <c r="T525" i="60"/>
  <c r="Z524" i="60"/>
  <c r="AF524" i="60"/>
  <c r="J579" i="60"/>
  <c r="G579" i="60"/>
  <c r="F579" i="60"/>
  <c r="C580" i="60"/>
  <c r="H579" i="60"/>
  <c r="E579" i="60"/>
  <c r="I579" i="60"/>
  <c r="M579" i="60"/>
  <c r="P579" i="60"/>
  <c r="L579" i="60"/>
  <c r="K579" i="60"/>
  <c r="O579" i="60"/>
  <c r="N579" i="60"/>
  <c r="L276" i="60"/>
  <c r="I276" i="60"/>
  <c r="C277" i="60"/>
  <c r="O276" i="60"/>
  <c r="F276" i="60"/>
  <c r="I376" i="60"/>
  <c r="L376" i="60"/>
  <c r="O376" i="60"/>
  <c r="C377" i="60"/>
  <c r="F376" i="60"/>
  <c r="O494" i="60"/>
  <c r="P489" i="60" s="1"/>
  <c r="L494" i="60"/>
  <c r="M489" i="60" s="1"/>
  <c r="I494" i="60"/>
  <c r="J489" i="60" s="1"/>
  <c r="F494" i="60"/>
  <c r="G489" i="60" s="1"/>
  <c r="W583" i="60"/>
  <c r="W586" i="60"/>
  <c r="T587" i="60"/>
  <c r="Z586" i="60"/>
  <c r="Z583" i="60"/>
  <c r="W462" i="60"/>
  <c r="Z462" i="60"/>
  <c r="AC462" i="60"/>
  <c r="T463" i="60"/>
  <c r="AF462" i="60"/>
  <c r="I438" i="60"/>
  <c r="C439" i="60"/>
  <c r="L438" i="60"/>
  <c r="F438" i="60"/>
  <c r="O438" i="60"/>
  <c r="I551" i="60"/>
  <c r="J551" i="60"/>
  <c r="M551" i="60"/>
  <c r="G551" i="60"/>
  <c r="E551" i="60"/>
  <c r="L551" i="60"/>
  <c r="P551" i="60"/>
  <c r="N551" i="60"/>
  <c r="K551" i="60"/>
  <c r="F551" i="60"/>
  <c r="O551" i="60"/>
  <c r="I517" i="60"/>
  <c r="J517" i="60"/>
  <c r="O517" i="60"/>
  <c r="K517" i="60"/>
  <c r="N517" i="60"/>
  <c r="H517" i="60"/>
  <c r="F517" i="60"/>
  <c r="M517" i="60"/>
  <c r="P517" i="60"/>
  <c r="L517" i="60"/>
  <c r="R598" i="60"/>
  <c r="T602" i="60" s="1"/>
  <c r="C602" i="60"/>
  <c r="A614" i="60"/>
  <c r="O562" i="60"/>
  <c r="C563" i="60"/>
  <c r="I562" i="60"/>
  <c r="L562" i="60"/>
  <c r="F562" i="60"/>
  <c r="O462" i="60"/>
  <c r="C463" i="60"/>
  <c r="I462" i="60"/>
  <c r="F462" i="60"/>
  <c r="L462" i="60"/>
  <c r="H25" i="59"/>
  <c r="D25" i="59"/>
  <c r="E25" i="59"/>
  <c r="G25" i="59"/>
  <c r="C25" i="59"/>
  <c r="F25" i="59"/>
  <c r="I25" i="59"/>
  <c r="B25" i="59"/>
  <c r="L338" i="60"/>
  <c r="O338" i="60"/>
  <c r="F338" i="60"/>
  <c r="I338" i="60"/>
  <c r="C339" i="60"/>
  <c r="M192" i="60" l="1"/>
  <c r="J192" i="60"/>
  <c r="F191" i="60"/>
  <c r="G180" i="60" s="1"/>
  <c r="H77" i="35"/>
  <c r="J543" i="60"/>
  <c r="J507" i="60"/>
  <c r="M543" i="60"/>
  <c r="G543" i="60"/>
  <c r="P507" i="60"/>
  <c r="K25" i="59"/>
  <c r="P543" i="60"/>
  <c r="M507" i="60"/>
  <c r="O557" i="60"/>
  <c r="P552" i="60" s="1"/>
  <c r="F557" i="60"/>
  <c r="G552" i="60" s="1"/>
  <c r="L557" i="60"/>
  <c r="M552" i="60" s="1"/>
  <c r="I557" i="60"/>
  <c r="J552" i="60" s="1"/>
  <c r="F401" i="60"/>
  <c r="L401" i="60"/>
  <c r="I401" i="60"/>
  <c r="C402" i="60"/>
  <c r="O401" i="60"/>
  <c r="O587" i="60"/>
  <c r="F587" i="60"/>
  <c r="L587" i="60"/>
  <c r="C588" i="60"/>
  <c r="I587" i="60"/>
  <c r="I563" i="60"/>
  <c r="O563" i="60"/>
  <c r="F563" i="60"/>
  <c r="L563" i="60"/>
  <c r="C564" i="60"/>
  <c r="C278" i="60"/>
  <c r="O315" i="60"/>
  <c r="F315" i="60"/>
  <c r="C316" i="60"/>
  <c r="L315" i="60"/>
  <c r="I315" i="60"/>
  <c r="C440" i="60"/>
  <c r="L439" i="60"/>
  <c r="O439" i="60"/>
  <c r="I439" i="60"/>
  <c r="F439" i="60"/>
  <c r="C340" i="60"/>
  <c r="I339" i="60"/>
  <c r="L339" i="60"/>
  <c r="F339" i="60"/>
  <c r="O339" i="60"/>
  <c r="C378" i="60"/>
  <c r="O377" i="60"/>
  <c r="F377" i="60"/>
  <c r="I377" i="60"/>
  <c r="L377" i="60"/>
  <c r="W599" i="60"/>
  <c r="Z602" i="60"/>
  <c r="W602" i="60"/>
  <c r="T603" i="60"/>
  <c r="Z599" i="60"/>
  <c r="I525" i="60"/>
  <c r="O525" i="60"/>
  <c r="C526" i="60"/>
  <c r="L525" i="60"/>
  <c r="F525" i="60"/>
  <c r="T588" i="60"/>
  <c r="W587" i="60"/>
  <c r="Z587" i="60"/>
  <c r="I463" i="60"/>
  <c r="L463" i="60"/>
  <c r="O463" i="60"/>
  <c r="F463" i="60"/>
  <c r="C464" i="60"/>
  <c r="Z525" i="60"/>
  <c r="T526" i="60"/>
  <c r="W525" i="60"/>
  <c r="AC525" i="60"/>
  <c r="AF525" i="60"/>
  <c r="J25" i="59"/>
  <c r="Z463" i="60"/>
  <c r="W463" i="60"/>
  <c r="AF463" i="60"/>
  <c r="AC463" i="60"/>
  <c r="T464" i="60"/>
  <c r="F253" i="60"/>
  <c r="F254" i="60" s="1"/>
  <c r="G243" i="60" s="1"/>
  <c r="O253" i="60"/>
  <c r="O254" i="60" s="1"/>
  <c r="P243" i="60" s="1"/>
  <c r="I253" i="60"/>
  <c r="I254" i="60" s="1"/>
  <c r="J243" i="60" s="1"/>
  <c r="L253" i="60"/>
  <c r="L254" i="60" s="1"/>
  <c r="M243" i="60" s="1"/>
  <c r="C502" i="60"/>
  <c r="L501" i="60"/>
  <c r="O501" i="60"/>
  <c r="F501" i="60"/>
  <c r="I501" i="60"/>
  <c r="N542" i="60"/>
  <c r="I542" i="60"/>
  <c r="G542" i="60"/>
  <c r="L542" i="60"/>
  <c r="F542" i="60"/>
  <c r="J542" i="60"/>
  <c r="P542" i="60"/>
  <c r="M542" i="60"/>
  <c r="K542" i="60"/>
  <c r="H542" i="60"/>
  <c r="O542" i="60"/>
  <c r="E542" i="60"/>
  <c r="O602" i="60"/>
  <c r="I599" i="60"/>
  <c r="F602" i="60"/>
  <c r="C603" i="60"/>
  <c r="F599" i="60"/>
  <c r="I602" i="60"/>
  <c r="O599" i="60"/>
  <c r="L599" i="60"/>
  <c r="L602" i="60"/>
  <c r="C618" i="60"/>
  <c r="R614" i="60"/>
  <c r="T618" i="60" s="1"/>
  <c r="A630" i="60"/>
  <c r="J580" i="60"/>
  <c r="O580" i="60"/>
  <c r="L580" i="60"/>
  <c r="M580" i="60"/>
  <c r="I580" i="60"/>
  <c r="P580" i="60"/>
  <c r="N580" i="60"/>
  <c r="H580" i="60"/>
  <c r="K580" i="60"/>
  <c r="F580" i="60"/>
  <c r="F215" i="60"/>
  <c r="O215" i="60"/>
  <c r="I215" i="60"/>
  <c r="C216" i="60"/>
  <c r="L215" i="60"/>
  <c r="H78" i="35" l="1"/>
  <c r="M570" i="60"/>
  <c r="T619" i="60"/>
  <c r="Z618" i="60"/>
  <c r="W618" i="60"/>
  <c r="Z615" i="60"/>
  <c r="W615" i="60"/>
  <c r="F502" i="60"/>
  <c r="I502" i="60"/>
  <c r="L502" i="60"/>
  <c r="C503" i="60"/>
  <c r="O502" i="60"/>
  <c r="O618" i="60"/>
  <c r="F618" i="60"/>
  <c r="C619" i="60"/>
  <c r="O615" i="60"/>
  <c r="L618" i="60"/>
  <c r="L615" i="60"/>
  <c r="F615" i="60"/>
  <c r="I618" i="60"/>
  <c r="I615" i="60"/>
  <c r="T589" i="60"/>
  <c r="W588" i="60"/>
  <c r="Z588" i="60"/>
  <c r="F278" i="60"/>
  <c r="O278" i="60"/>
  <c r="I278" i="60"/>
  <c r="L278" i="60"/>
  <c r="C279" i="60"/>
  <c r="I526" i="60"/>
  <c r="C527" i="60"/>
  <c r="L526" i="60"/>
  <c r="O526" i="60"/>
  <c r="F526" i="60"/>
  <c r="C441" i="60"/>
  <c r="I440" i="60"/>
  <c r="F440" i="60"/>
  <c r="O440" i="60"/>
  <c r="L440" i="60"/>
  <c r="W603" i="60"/>
  <c r="T604" i="60"/>
  <c r="Z603" i="60"/>
  <c r="O588" i="60"/>
  <c r="I588" i="60"/>
  <c r="F588" i="60"/>
  <c r="C589" i="60"/>
  <c r="L588" i="60"/>
  <c r="C341" i="60"/>
  <c r="I603" i="60"/>
  <c r="C604" i="60"/>
  <c r="L603" i="60"/>
  <c r="O603" i="60"/>
  <c r="F603" i="60"/>
  <c r="T465" i="60"/>
  <c r="AF464" i="60"/>
  <c r="Z464" i="60"/>
  <c r="W464" i="60"/>
  <c r="AC464" i="60"/>
  <c r="W526" i="60"/>
  <c r="Z526" i="60"/>
  <c r="AC526" i="60"/>
  <c r="T527" i="60"/>
  <c r="AF526" i="60"/>
  <c r="C565" i="60"/>
  <c r="L564" i="60"/>
  <c r="I564" i="60"/>
  <c r="O564" i="60"/>
  <c r="F564" i="60"/>
  <c r="P570" i="60"/>
  <c r="R630" i="60"/>
  <c r="T634" i="60" s="1"/>
  <c r="C634" i="60"/>
  <c r="L464" i="60"/>
  <c r="I464" i="60"/>
  <c r="F464" i="60"/>
  <c r="O464" i="60"/>
  <c r="C465" i="60"/>
  <c r="L378" i="60"/>
  <c r="F378" i="60"/>
  <c r="C379" i="60"/>
  <c r="O378" i="60"/>
  <c r="I378" i="60"/>
  <c r="J570" i="60"/>
  <c r="O316" i="60"/>
  <c r="O317" i="60" s="1"/>
  <c r="P306" i="60" s="1"/>
  <c r="I316" i="60"/>
  <c r="I317" i="60" s="1"/>
  <c r="J306" i="60" s="1"/>
  <c r="L316" i="60"/>
  <c r="L317" i="60" s="1"/>
  <c r="M306" i="60" s="1"/>
  <c r="F316" i="60"/>
  <c r="F317" i="60" s="1"/>
  <c r="G306" i="60" s="1"/>
  <c r="F402" i="60"/>
  <c r="I402" i="60"/>
  <c r="O402" i="60"/>
  <c r="L402" i="60"/>
  <c r="C403" i="60"/>
  <c r="H79" i="35" l="1"/>
  <c r="F341" i="60"/>
  <c r="I341" i="60"/>
  <c r="L341" i="60"/>
  <c r="C342" i="60"/>
  <c r="O341" i="60"/>
  <c r="F604" i="60"/>
  <c r="I604" i="60"/>
  <c r="C605" i="60"/>
  <c r="L604" i="60"/>
  <c r="O604" i="60"/>
  <c r="O589" i="60"/>
  <c r="C590" i="60"/>
  <c r="F589" i="60"/>
  <c r="I589" i="60"/>
  <c r="L589" i="60"/>
  <c r="I527" i="60"/>
  <c r="C528" i="60"/>
  <c r="O527" i="60"/>
  <c r="L527" i="60"/>
  <c r="F527" i="60"/>
  <c r="L503" i="60"/>
  <c r="O503" i="60"/>
  <c r="I503" i="60"/>
  <c r="F503" i="60"/>
  <c r="C504" i="60"/>
  <c r="F565" i="60"/>
  <c r="L565" i="60"/>
  <c r="I565" i="60"/>
  <c r="C566" i="60"/>
  <c r="O565" i="60"/>
  <c r="C404" i="60"/>
  <c r="I619" i="60"/>
  <c r="C620" i="60"/>
  <c r="L619" i="60"/>
  <c r="O619" i="60"/>
  <c r="F619" i="60"/>
  <c r="W619" i="60"/>
  <c r="T620" i="60"/>
  <c r="Z619" i="60"/>
  <c r="Z527" i="60"/>
  <c r="AC527" i="60"/>
  <c r="T528" i="60"/>
  <c r="W527" i="60"/>
  <c r="AF527" i="60"/>
  <c r="T605" i="60"/>
  <c r="Z604" i="60"/>
  <c r="W604" i="60"/>
  <c r="I441" i="60"/>
  <c r="L441" i="60"/>
  <c r="C442" i="60"/>
  <c r="F441" i="60"/>
  <c r="O441" i="60"/>
  <c r="W589" i="60"/>
  <c r="T590" i="60"/>
  <c r="Z589" i="60"/>
  <c r="F379" i="60"/>
  <c r="F380" i="60" s="1"/>
  <c r="G369" i="60" s="1"/>
  <c r="L379" i="60"/>
  <c r="L380" i="60" s="1"/>
  <c r="M369" i="60" s="1"/>
  <c r="O379" i="60"/>
  <c r="O380" i="60" s="1"/>
  <c r="P369" i="60" s="1"/>
  <c r="I379" i="60"/>
  <c r="I380" i="60" s="1"/>
  <c r="J369" i="60" s="1"/>
  <c r="L465" i="60"/>
  <c r="F465" i="60"/>
  <c r="O465" i="60"/>
  <c r="I465" i="60"/>
  <c r="C466" i="60"/>
  <c r="C635" i="60"/>
  <c r="I634" i="60"/>
  <c r="I631" i="60"/>
  <c r="O634" i="60"/>
  <c r="F634" i="60"/>
  <c r="L634" i="60"/>
  <c r="F631" i="60"/>
  <c r="O631" i="60"/>
  <c r="L631" i="60"/>
  <c r="Z631" i="60"/>
  <c r="Z634" i="60"/>
  <c r="W631" i="60"/>
  <c r="T635" i="60"/>
  <c r="W634" i="60"/>
  <c r="T466" i="60"/>
  <c r="AC465" i="60"/>
  <c r="Z465" i="60"/>
  <c r="AF465" i="60"/>
  <c r="W465" i="60"/>
  <c r="H80" i="35" l="1"/>
  <c r="O528" i="60"/>
  <c r="F528" i="60"/>
  <c r="I528" i="60"/>
  <c r="L528" i="60"/>
  <c r="C529" i="60"/>
  <c r="W635" i="60"/>
  <c r="T636" i="60"/>
  <c r="Z635" i="60"/>
  <c r="Z590" i="60"/>
  <c r="T591" i="60"/>
  <c r="W590" i="60"/>
  <c r="T606" i="60"/>
  <c r="W605" i="60"/>
  <c r="Z605" i="60"/>
  <c r="O605" i="60"/>
  <c r="I605" i="60"/>
  <c r="L605" i="60"/>
  <c r="F605" i="60"/>
  <c r="C606" i="60"/>
  <c r="O504" i="60"/>
  <c r="I504" i="60"/>
  <c r="C505" i="60"/>
  <c r="L504" i="60"/>
  <c r="F504" i="60"/>
  <c r="I590" i="60"/>
  <c r="C591" i="60"/>
  <c r="O590" i="60"/>
  <c r="F590" i="60"/>
  <c r="L590" i="60"/>
  <c r="L635" i="60"/>
  <c r="I635" i="60"/>
  <c r="C636" i="60"/>
  <c r="O635" i="60"/>
  <c r="F635" i="60"/>
  <c r="T467" i="60"/>
  <c r="C467" i="60"/>
  <c r="L442" i="60"/>
  <c r="L443" i="60" s="1"/>
  <c r="M432" i="60" s="1"/>
  <c r="F442" i="60"/>
  <c r="F443" i="60" s="1"/>
  <c r="G432" i="60" s="1"/>
  <c r="O442" i="60"/>
  <c r="O443" i="60" s="1"/>
  <c r="P432" i="60" s="1"/>
  <c r="I442" i="60"/>
  <c r="I443" i="60" s="1"/>
  <c r="J432" i="60" s="1"/>
  <c r="W620" i="60"/>
  <c r="Z620" i="60"/>
  <c r="T621" i="60"/>
  <c r="I404" i="60"/>
  <c r="C405" i="60"/>
  <c r="L404" i="60"/>
  <c r="O404" i="60"/>
  <c r="F404" i="60"/>
  <c r="I566" i="60"/>
  <c r="O566" i="60"/>
  <c r="C567" i="60"/>
  <c r="L566" i="60"/>
  <c r="F566" i="60"/>
  <c r="F620" i="60"/>
  <c r="O620" i="60"/>
  <c r="L620" i="60"/>
  <c r="C621" i="60"/>
  <c r="I620" i="60"/>
  <c r="T529" i="60"/>
  <c r="W528" i="60"/>
  <c r="AC528" i="60"/>
  <c r="AF528" i="60"/>
  <c r="Z528" i="60"/>
  <c r="H81" i="35" l="1"/>
  <c r="F467" i="60"/>
  <c r="C468" i="60"/>
  <c r="I467" i="60"/>
  <c r="O467" i="60"/>
  <c r="L467" i="60"/>
  <c r="F505" i="60"/>
  <c r="F506" i="60" s="1"/>
  <c r="G495" i="60" s="1"/>
  <c r="L505" i="60"/>
  <c r="L506" i="60" s="1"/>
  <c r="M495" i="60" s="1"/>
  <c r="O505" i="60"/>
  <c r="O506" i="60" s="1"/>
  <c r="P495" i="60" s="1"/>
  <c r="I505" i="60"/>
  <c r="I506" i="60" s="1"/>
  <c r="J495" i="60" s="1"/>
  <c r="W636" i="60"/>
  <c r="Z636" i="60"/>
  <c r="T637" i="60"/>
  <c r="O621" i="60"/>
  <c r="I621" i="60"/>
  <c r="F621" i="60"/>
  <c r="C622" i="60"/>
  <c r="L621" i="60"/>
  <c r="W606" i="60"/>
  <c r="Z606" i="60"/>
  <c r="T607" i="60"/>
  <c r="Z591" i="60"/>
  <c r="W591" i="60"/>
  <c r="T592" i="60"/>
  <c r="C568" i="60"/>
  <c r="F567" i="60"/>
  <c r="I567" i="60"/>
  <c r="L567" i="60"/>
  <c r="O567" i="60"/>
  <c r="W621" i="60"/>
  <c r="Z621" i="60"/>
  <c r="T622" i="60"/>
  <c r="I591" i="60"/>
  <c r="F591" i="60"/>
  <c r="C592" i="60"/>
  <c r="L591" i="60"/>
  <c r="O591" i="60"/>
  <c r="T530" i="60"/>
  <c r="T468" i="60"/>
  <c r="AF467" i="60"/>
  <c r="W467" i="60"/>
  <c r="AC467" i="60"/>
  <c r="Z467" i="60"/>
  <c r="I636" i="60"/>
  <c r="C637" i="60"/>
  <c r="L636" i="60"/>
  <c r="F636" i="60"/>
  <c r="O636" i="60"/>
  <c r="O606" i="60"/>
  <c r="L606" i="60"/>
  <c r="C607" i="60"/>
  <c r="F606" i="60"/>
  <c r="I606" i="60"/>
  <c r="C530" i="60"/>
  <c r="H82" i="35" l="1"/>
  <c r="L607" i="60"/>
  <c r="F607" i="60"/>
  <c r="I607" i="60"/>
  <c r="O607" i="60"/>
  <c r="C608" i="60"/>
  <c r="W622" i="60"/>
  <c r="T623" i="60"/>
  <c r="Z622" i="60"/>
  <c r="L622" i="60"/>
  <c r="O622" i="60"/>
  <c r="C623" i="60"/>
  <c r="I622" i="60"/>
  <c r="F622" i="60"/>
  <c r="W637" i="60"/>
  <c r="T638" i="60"/>
  <c r="Z637" i="60"/>
  <c r="W607" i="60"/>
  <c r="Z607" i="60"/>
  <c r="T608" i="60"/>
  <c r="O568" i="60"/>
  <c r="O569" i="60" s="1"/>
  <c r="P558" i="60" s="1"/>
  <c r="L568" i="60"/>
  <c r="L569" i="60" s="1"/>
  <c r="M558" i="60" s="1"/>
  <c r="I568" i="60"/>
  <c r="I569" i="60" s="1"/>
  <c r="J558" i="60" s="1"/>
  <c r="F568" i="60"/>
  <c r="F569" i="60" s="1"/>
  <c r="G558" i="60" s="1"/>
  <c r="C593" i="60"/>
  <c r="F530" i="60"/>
  <c r="C531" i="60"/>
  <c r="L530" i="60"/>
  <c r="I530" i="60"/>
  <c r="O530" i="60"/>
  <c r="T531" i="60"/>
  <c r="AF530" i="60"/>
  <c r="Z530" i="60"/>
  <c r="W530" i="60"/>
  <c r="AC530" i="60"/>
  <c r="O637" i="60"/>
  <c r="L637" i="60"/>
  <c r="F637" i="60"/>
  <c r="I637" i="60"/>
  <c r="C638" i="60"/>
  <c r="T593" i="60"/>
  <c r="H83" i="35" l="1"/>
  <c r="H84" i="35" s="1"/>
  <c r="H85" i="35" s="1"/>
  <c r="H86" i="35" s="1"/>
  <c r="H87" i="35" s="1"/>
  <c r="H88" i="35" s="1"/>
  <c r="H89" i="35" s="1"/>
  <c r="H90" i="35" s="1"/>
  <c r="H91" i="35" s="1"/>
  <c r="H92" i="35" s="1"/>
  <c r="H93" i="35" s="1"/>
  <c r="H94" i="35" s="1"/>
  <c r="H95" i="35" s="1"/>
  <c r="H96" i="35" s="1"/>
  <c r="H97" i="35" s="1"/>
  <c r="H98" i="35" s="1"/>
  <c r="H99" i="35" s="1"/>
  <c r="H100" i="35" s="1"/>
  <c r="H101" i="35" s="1"/>
  <c r="H102" i="35" s="1"/>
  <c r="H103" i="35" s="1"/>
  <c r="H104" i="35" s="1"/>
  <c r="H105" i="35" s="1"/>
  <c r="H106" i="35" s="1"/>
  <c r="H107" i="35" s="1"/>
  <c r="H108" i="35" s="1"/>
  <c r="H109" i="35" s="1"/>
  <c r="H110" i="35" s="1"/>
  <c r="H111" i="35" s="1"/>
  <c r="H112" i="35" s="1"/>
  <c r="H113" i="35" s="1"/>
  <c r="H114" i="35" s="1"/>
  <c r="H115" i="35" s="1"/>
  <c r="H116" i="35" s="1"/>
  <c r="H117" i="35" s="1"/>
  <c r="H118" i="35" s="1"/>
  <c r="H119" i="35" s="1"/>
  <c r="H120" i="35" s="1"/>
  <c r="H121" i="35" s="1"/>
  <c r="H122" i="35" s="1"/>
  <c r="H123" i="35" s="1"/>
  <c r="H124" i="35" s="1"/>
  <c r="H125" i="35" s="1"/>
  <c r="H126" i="35" s="1"/>
  <c r="H127" i="35" s="1"/>
  <c r="H128" i="35" s="1"/>
  <c r="H129" i="35" s="1"/>
  <c r="H130" i="35" s="1"/>
  <c r="H131" i="35" s="1"/>
  <c r="H132" i="35" s="1"/>
  <c r="H133" i="35" s="1"/>
  <c r="C624" i="60"/>
  <c r="L623" i="60"/>
  <c r="O623" i="60"/>
  <c r="I623" i="60"/>
  <c r="F623" i="60"/>
  <c r="C609" i="60"/>
  <c r="W623" i="60"/>
  <c r="Z623" i="60"/>
  <c r="T624" i="60"/>
  <c r="W638" i="60"/>
  <c r="Z638" i="60"/>
  <c r="T639" i="60"/>
  <c r="F593" i="60"/>
  <c r="I593" i="60"/>
  <c r="L593" i="60"/>
  <c r="O593" i="60"/>
  <c r="C594" i="60"/>
  <c r="T594" i="60"/>
  <c r="Z593" i="60"/>
  <c r="W593" i="60"/>
  <c r="I638" i="60"/>
  <c r="C639" i="60"/>
  <c r="L638" i="60"/>
  <c r="F638" i="60"/>
  <c r="O638" i="60"/>
  <c r="T609" i="60"/>
  <c r="H134" i="35" l="1"/>
  <c r="H135" i="35" s="1"/>
  <c r="F83" i="60" s="1"/>
  <c r="O609" i="60"/>
  <c r="C610" i="60"/>
  <c r="F609" i="60"/>
  <c r="I609" i="60"/>
  <c r="L609" i="60"/>
  <c r="T625" i="60"/>
  <c r="W609" i="60"/>
  <c r="T610" i="60"/>
  <c r="Z609" i="60"/>
  <c r="C625" i="60"/>
  <c r="Z639" i="60"/>
  <c r="T640" i="60"/>
  <c r="W639" i="60"/>
  <c r="C640" i="60"/>
  <c r="L639" i="60"/>
  <c r="F639" i="60"/>
  <c r="O639" i="60"/>
  <c r="I639" i="60"/>
  <c r="M110" i="60" l="1"/>
  <c r="F87" i="60"/>
  <c r="H100" i="60"/>
  <c r="P109" i="60"/>
  <c r="O87" i="60"/>
  <c r="L87" i="60"/>
  <c r="O100" i="60"/>
  <c r="L110" i="60"/>
  <c r="O89" i="60"/>
  <c r="J100" i="60"/>
  <c r="F84" i="60"/>
  <c r="I87" i="60"/>
  <c r="K109" i="60"/>
  <c r="H101" i="60"/>
  <c r="F101" i="60"/>
  <c r="F110" i="60"/>
  <c r="J109" i="60"/>
  <c r="L84" i="60"/>
  <c r="O109" i="60"/>
  <c r="G109" i="60"/>
  <c r="I101" i="60"/>
  <c r="E100" i="60"/>
  <c r="F85" i="60"/>
  <c r="N109" i="60"/>
  <c r="P110" i="60"/>
  <c r="G110" i="60"/>
  <c r="J110" i="60"/>
  <c r="O83" i="60"/>
  <c r="I89" i="60"/>
  <c r="F89" i="60"/>
  <c r="K101" i="60"/>
  <c r="E101" i="60"/>
  <c r="L109" i="60"/>
  <c r="L100" i="60"/>
  <c r="I110" i="60"/>
  <c r="O101" i="60"/>
  <c r="O126" i="60"/>
  <c r="O85" i="60"/>
  <c r="L83" i="60"/>
  <c r="K110" i="60"/>
  <c r="L126" i="60"/>
  <c r="F126" i="60"/>
  <c r="N100" i="60"/>
  <c r="I84" i="60"/>
  <c r="K100" i="60"/>
  <c r="E110" i="60"/>
  <c r="G100" i="60"/>
  <c r="I126" i="60"/>
  <c r="G101" i="60"/>
  <c r="M101" i="60"/>
  <c r="M109" i="60"/>
  <c r="N101" i="60"/>
  <c r="J101" i="60"/>
  <c r="P100" i="60"/>
  <c r="O84" i="60"/>
  <c r="L137" i="60"/>
  <c r="H137" i="60"/>
  <c r="F139" i="60"/>
  <c r="L125" i="60"/>
  <c r="I120" i="60"/>
  <c r="M137" i="60"/>
  <c r="F120" i="60"/>
  <c r="K137" i="60"/>
  <c r="G137" i="60"/>
  <c r="O120" i="60"/>
  <c r="O122" i="60"/>
  <c r="I139" i="60"/>
  <c r="F137" i="60"/>
  <c r="E137" i="60"/>
  <c r="O125" i="60"/>
  <c r="L120" i="60"/>
  <c r="K139" i="60"/>
  <c r="P137" i="60"/>
  <c r="J137" i="60"/>
  <c r="O138" i="60"/>
  <c r="O137" i="60"/>
  <c r="J139" i="60"/>
  <c r="L139" i="60"/>
  <c r="I125" i="60"/>
  <c r="F122" i="60"/>
  <c r="G202" i="60"/>
  <c r="H139" i="60"/>
  <c r="M139" i="60"/>
  <c r="I122" i="60"/>
  <c r="F125" i="60"/>
  <c r="I137" i="60"/>
  <c r="N139" i="60"/>
  <c r="L122" i="60"/>
  <c r="O139" i="60"/>
  <c r="P139" i="60"/>
  <c r="E454" i="60"/>
  <c r="H138" i="60"/>
  <c r="E580" i="60"/>
  <c r="G138" i="60"/>
  <c r="F121" i="60"/>
  <c r="J138" i="60"/>
  <c r="N137" i="60"/>
  <c r="G265" i="60"/>
  <c r="E328" i="60"/>
  <c r="E139" i="60"/>
  <c r="L121" i="60"/>
  <c r="I121" i="60"/>
  <c r="G328" i="60"/>
  <c r="E265" i="60"/>
  <c r="E202" i="60"/>
  <c r="I138" i="60"/>
  <c r="G139" i="60"/>
  <c r="P138" i="60"/>
  <c r="K138" i="60"/>
  <c r="M138" i="60"/>
  <c r="F138" i="60"/>
  <c r="G580" i="60"/>
  <c r="E517" i="60"/>
  <c r="G517" i="60"/>
  <c r="G391" i="60"/>
  <c r="G454" i="60"/>
  <c r="O124" i="60"/>
  <c r="F124" i="60"/>
  <c r="E391" i="60"/>
  <c r="O121" i="60"/>
  <c r="E138" i="60"/>
  <c r="N138" i="60"/>
  <c r="L138" i="60"/>
  <c r="I124" i="60"/>
  <c r="L124" i="60"/>
  <c r="I145" i="60"/>
  <c r="I85" i="60"/>
  <c r="E109" i="60"/>
  <c r="I109" i="60"/>
  <c r="P101" i="60"/>
  <c r="H109" i="60"/>
  <c r="L101" i="60"/>
  <c r="M100" i="60"/>
  <c r="O110" i="60"/>
  <c r="I100" i="60"/>
  <c r="N110" i="60"/>
  <c r="H110" i="60"/>
  <c r="L123" i="60"/>
  <c r="I123" i="60"/>
  <c r="O123" i="60"/>
  <c r="F123" i="60"/>
  <c r="H136" i="35"/>
  <c r="W625" i="60"/>
  <c r="T626" i="60"/>
  <c r="Z625" i="60"/>
  <c r="T641" i="60"/>
  <c r="O625" i="60"/>
  <c r="F625" i="60"/>
  <c r="C626" i="60"/>
  <c r="I625" i="60"/>
  <c r="L625" i="60"/>
  <c r="C641" i="60"/>
  <c r="G102" i="60" l="1"/>
  <c r="M102" i="60"/>
  <c r="G192" i="60"/>
  <c r="F128" i="60"/>
  <c r="G117" i="60" s="1"/>
  <c r="G318" i="60"/>
  <c r="G507" i="60"/>
  <c r="G255" i="60"/>
  <c r="J129" i="60"/>
  <c r="L128" i="60"/>
  <c r="M117" i="60" s="1"/>
  <c r="O128" i="60"/>
  <c r="P117" i="60" s="1"/>
  <c r="G129" i="60"/>
  <c r="P129" i="60"/>
  <c r="G381" i="60"/>
  <c r="I128" i="60"/>
  <c r="J117" i="60" s="1"/>
  <c r="M129" i="60"/>
  <c r="G570" i="60"/>
  <c r="G444" i="60"/>
  <c r="J102" i="60"/>
  <c r="P102" i="60"/>
  <c r="C19" i="59"/>
  <c r="K19" i="59" s="1"/>
  <c r="H137" i="35"/>
  <c r="I641" i="60"/>
  <c r="F641" i="60"/>
  <c r="L641" i="60"/>
  <c r="C642" i="60"/>
  <c r="O641" i="60"/>
  <c r="Z641" i="60"/>
  <c r="W641" i="60"/>
  <c r="T642" i="60"/>
  <c r="H138" i="35" l="1"/>
  <c r="H139" i="35" l="1"/>
  <c r="H140" i="35" l="1"/>
  <c r="H141" i="35" l="1"/>
  <c r="H142" i="35" s="1"/>
  <c r="H143" i="35" s="1"/>
  <c r="H144" i="35" s="1"/>
  <c r="H145" i="35" s="1"/>
  <c r="H146" i="35" s="1"/>
  <c r="H147" i="35" s="1"/>
  <c r="H148" i="35" l="1"/>
  <c r="H149" i="35" l="1"/>
  <c r="H150" i="35" s="1"/>
  <c r="H151" i="35" l="1"/>
  <c r="H152" i="35" l="1"/>
  <c r="H153" i="35" l="1"/>
  <c r="H154" i="35" l="1"/>
  <c r="I466" i="60" l="1"/>
  <c r="I468" i="60" s="1"/>
  <c r="J457" i="60" s="1"/>
  <c r="Z466" i="60"/>
  <c r="Z468" i="60" s="1"/>
  <c r="AA457" i="60" s="1"/>
  <c r="AF466" i="60"/>
  <c r="AF468" i="60" s="1"/>
  <c r="AG457" i="60" s="1"/>
  <c r="W466" i="60"/>
  <c r="W468" i="60" s="1"/>
  <c r="X457" i="60" s="1"/>
  <c r="F151" i="60"/>
  <c r="O340" i="60"/>
  <c r="O342" i="60" s="1"/>
  <c r="P331" i="60" s="1"/>
  <c r="O214" i="60"/>
  <c r="O216" i="60" s="1"/>
  <c r="P205" i="60" s="1"/>
  <c r="F529" i="60"/>
  <c r="F531" i="60" s="1"/>
  <c r="G520" i="60" s="1"/>
  <c r="L214" i="60"/>
  <c r="L216" i="60" s="1"/>
  <c r="M205" i="60" s="1"/>
  <c r="Z529" i="60"/>
  <c r="Z531" i="60" s="1"/>
  <c r="AA520" i="60" s="1"/>
  <c r="O466" i="60"/>
  <c r="O468" i="60" s="1"/>
  <c r="P457" i="60" s="1"/>
  <c r="I403" i="60"/>
  <c r="I405" i="60" s="1"/>
  <c r="J394" i="60" s="1"/>
  <c r="L529" i="60"/>
  <c r="L531" i="60" s="1"/>
  <c r="M520" i="60" s="1"/>
  <c r="I88" i="60"/>
  <c r="I340" i="60"/>
  <c r="I342" i="60" s="1"/>
  <c r="J331" i="60" s="1"/>
  <c r="F466" i="60"/>
  <c r="F468" i="60" s="1"/>
  <c r="G457" i="60" s="1"/>
  <c r="I214" i="60"/>
  <c r="I216" i="60" s="1"/>
  <c r="J205" i="60" s="1"/>
  <c r="L403" i="60"/>
  <c r="L405" i="60" s="1"/>
  <c r="M394" i="60" s="1"/>
  <c r="L277" i="60"/>
  <c r="L279" i="60" s="1"/>
  <c r="M268" i="60" s="1"/>
  <c r="F340" i="60"/>
  <c r="F342" i="60" s="1"/>
  <c r="G331" i="60" s="1"/>
  <c r="L466" i="60"/>
  <c r="L468" i="60" s="1"/>
  <c r="M457" i="60" s="1"/>
  <c r="F214" i="60"/>
  <c r="F216" i="60" s="1"/>
  <c r="G205" i="60" s="1"/>
  <c r="F403" i="60"/>
  <c r="F405" i="60" s="1"/>
  <c r="G394" i="60" s="1"/>
  <c r="I529" i="60"/>
  <c r="I531" i="60" s="1"/>
  <c r="J520" i="60" s="1"/>
  <c r="L340" i="60"/>
  <c r="L342" i="60" s="1"/>
  <c r="M331" i="60" s="1"/>
  <c r="H155" i="35"/>
  <c r="H156" i="35" s="1"/>
  <c r="H157" i="35" s="1"/>
  <c r="H158" i="35" s="1"/>
  <c r="H159" i="35" s="1"/>
  <c r="H160" i="35" s="1"/>
  <c r="H161" i="35" s="1"/>
  <c r="H162" i="35" s="1"/>
  <c r="H163" i="35" s="1"/>
  <c r="H164" i="35" s="1"/>
  <c r="H165" i="35" s="1"/>
  <c r="H166" i="35" s="1"/>
  <c r="H167" i="35" s="1"/>
  <c r="H168" i="35" s="1"/>
  <c r="H169" i="35" s="1"/>
  <c r="H170" i="35" s="1"/>
  <c r="H171" i="35" s="1"/>
  <c r="H172" i="35" s="1"/>
  <c r="H173" i="35" s="1"/>
  <c r="H174" i="35" s="1"/>
  <c r="O403" i="60"/>
  <c r="O405" i="60" s="1"/>
  <c r="P394" i="60" s="1"/>
  <c r="F88" i="60"/>
  <c r="I277" i="60"/>
  <c r="I279" i="60" s="1"/>
  <c r="J268" i="60" s="1"/>
  <c r="O529" i="60"/>
  <c r="O531" i="60" s="1"/>
  <c r="P520" i="60" s="1"/>
  <c r="L151" i="60"/>
  <c r="I151" i="60"/>
  <c r="I153" i="60" s="1"/>
  <c r="J142" i="60" s="1"/>
  <c r="L88" i="60"/>
  <c r="O277" i="60"/>
  <c r="O279" i="60" s="1"/>
  <c r="P268" i="60" s="1"/>
  <c r="W529" i="60"/>
  <c r="W531" i="60" s="1"/>
  <c r="X520" i="60" s="1"/>
  <c r="O88" i="60"/>
  <c r="F277" i="60"/>
  <c r="F279" i="60" s="1"/>
  <c r="G268" i="60" s="1"/>
  <c r="AF529" i="60"/>
  <c r="AF531" i="60" s="1"/>
  <c r="AG520" i="60" s="1"/>
  <c r="AC529" i="60"/>
  <c r="AC531" i="60" s="1"/>
  <c r="AD520" i="60" s="1"/>
  <c r="AC466" i="60"/>
  <c r="AC468" i="60" s="1"/>
  <c r="AD457" i="60" s="1"/>
  <c r="O151" i="60"/>
  <c r="F592" i="60"/>
  <c r="F594" i="60" s="1"/>
  <c r="G583" i="60" s="1"/>
  <c r="W592" i="60"/>
  <c r="W594" i="60" s="1"/>
  <c r="X583" i="60" s="1"/>
  <c r="L592" i="60"/>
  <c r="L594" i="60" s="1"/>
  <c r="M583" i="60" s="1"/>
  <c r="I592" i="60"/>
  <c r="I594" i="60" s="1"/>
  <c r="J583" i="60" s="1"/>
  <c r="O592" i="60"/>
  <c r="O594" i="60" s="1"/>
  <c r="P583" i="60" s="1"/>
  <c r="Z592" i="60"/>
  <c r="Z594" i="60" s="1"/>
  <c r="AA583" i="60" s="1"/>
  <c r="O608" i="60"/>
  <c r="O610" i="60" s="1"/>
  <c r="P599" i="60" s="1"/>
  <c r="Z608" i="60"/>
  <c r="Z610" i="60" s="1"/>
  <c r="AA599" i="60" s="1"/>
  <c r="I608" i="60"/>
  <c r="I610" i="60" s="1"/>
  <c r="J599" i="60" s="1"/>
  <c r="W608" i="60"/>
  <c r="W610" i="60" s="1"/>
  <c r="X599" i="60" s="1"/>
  <c r="L608" i="60"/>
  <c r="L610" i="60" s="1"/>
  <c r="M599" i="60" s="1"/>
  <c r="F608" i="60"/>
  <c r="F610" i="60" s="1"/>
  <c r="G599" i="60" s="1"/>
  <c r="Z624" i="60"/>
  <c r="Z626" i="60" s="1"/>
  <c r="AA615" i="60" s="1"/>
  <c r="O624" i="60"/>
  <c r="O626" i="60" s="1"/>
  <c r="P615" i="60" s="1"/>
  <c r="I624" i="60"/>
  <c r="I626" i="60" s="1"/>
  <c r="J615" i="60" s="1"/>
  <c r="L624" i="60"/>
  <c r="L626" i="60" s="1"/>
  <c r="M615" i="60" s="1"/>
  <c r="F624" i="60"/>
  <c r="F626" i="60" s="1"/>
  <c r="G615" i="60" s="1"/>
  <c r="W624" i="60"/>
  <c r="W626" i="60" s="1"/>
  <c r="X615" i="60" s="1"/>
  <c r="Z640" i="60"/>
  <c r="Z642" i="60" s="1"/>
  <c r="AA631" i="60" s="1"/>
  <c r="L640" i="60"/>
  <c r="L642" i="60" s="1"/>
  <c r="M631" i="60" s="1"/>
  <c r="O640" i="60"/>
  <c r="O642" i="60" s="1"/>
  <c r="P631" i="60" s="1"/>
  <c r="W640" i="60"/>
  <c r="W642" i="60" s="1"/>
  <c r="X631" i="60" s="1"/>
  <c r="F640" i="60"/>
  <c r="F642" i="60" s="1"/>
  <c r="G631" i="60" s="1"/>
  <c r="I640" i="60"/>
  <c r="I642" i="60" s="1"/>
  <c r="J631" i="60" s="1"/>
  <c r="H175" i="35" l="1"/>
  <c r="H176" i="35" s="1"/>
  <c r="H177" i="35" s="1"/>
  <c r="H178" i="35" s="1"/>
  <c r="H179" i="35" s="1"/>
  <c r="H180" i="35" s="1"/>
  <c r="H181" i="35" s="1"/>
  <c r="H182" i="35" s="1"/>
  <c r="H183" i="35" s="1"/>
  <c r="H184" i="35" s="1"/>
  <c r="H185" i="35" s="1"/>
  <c r="H186" i="35" s="1"/>
  <c r="H187" i="35" s="1"/>
  <c r="H188" i="35" s="1"/>
  <c r="H189" i="35" s="1"/>
  <c r="H190" i="35" s="1"/>
  <c r="H191" i="35" s="1"/>
  <c r="H192" i="35" s="1"/>
  <c r="H193" i="35" s="1"/>
  <c r="H194" i="35" s="1"/>
  <c r="H195" i="35" s="1"/>
  <c r="H196" i="35" s="1"/>
  <c r="H197" i="35" s="1"/>
  <c r="H198" i="35" s="1"/>
  <c r="H199" i="35" s="1"/>
  <c r="H200" i="35" s="1"/>
  <c r="H201" i="35" s="1"/>
  <c r="H202" i="35" s="1"/>
  <c r="H203" i="35" s="1"/>
  <c r="H204" i="35" s="1"/>
  <c r="H205" i="35" s="1"/>
  <c r="H206" i="35" s="1"/>
  <c r="H207" i="35" s="1"/>
  <c r="H208" i="35" s="1"/>
  <c r="H209" i="35" s="1"/>
  <c r="H210" i="35" s="1"/>
  <c r="H211" i="35" s="1"/>
  <c r="H212" i="35" s="1"/>
  <c r="H213" i="35" s="1"/>
  <c r="H214" i="35" s="1"/>
  <c r="H215" i="35" s="1"/>
  <c r="H216" i="35" s="1"/>
  <c r="H217" i="35" s="1"/>
  <c r="H218" i="35" s="1"/>
  <c r="H219" i="35" s="1"/>
  <c r="H220" i="35" s="1"/>
  <c r="H221" i="35" s="1"/>
  <c r="H222" i="35" s="1"/>
  <c r="H223" i="35" s="1"/>
  <c r="H224" i="35" s="1"/>
  <c r="H225" i="35" s="1"/>
  <c r="F86" i="60"/>
  <c r="O86" i="60"/>
  <c r="I86" i="60"/>
  <c r="L86" i="60"/>
  <c r="P414" i="60" l="1"/>
  <c r="O414" i="60"/>
  <c r="K540" i="60"/>
  <c r="E351" i="60"/>
  <c r="G225" i="60"/>
  <c r="K288" i="60"/>
  <c r="M162" i="60"/>
  <c r="E225" i="60"/>
  <c r="O288" i="60"/>
  <c r="I225" i="60"/>
  <c r="N288" i="60"/>
  <c r="H225" i="60"/>
  <c r="H288" i="60"/>
  <c r="L414" i="60"/>
  <c r="L351" i="60"/>
  <c r="P540" i="60"/>
  <c r="E477" i="60"/>
  <c r="G540" i="60"/>
  <c r="J540" i="60"/>
  <c r="K351" i="60"/>
  <c r="L540" i="60"/>
  <c r="O540" i="60"/>
  <c r="J225" i="60"/>
  <c r="N351" i="60"/>
  <c r="O162" i="60"/>
  <c r="H351" i="60"/>
  <c r="O477" i="60"/>
  <c r="G414" i="60"/>
  <c r="P477" i="60"/>
  <c r="M351" i="60"/>
  <c r="N477" i="60"/>
  <c r="E414" i="60"/>
  <c r="J288" i="60"/>
  <c r="M477" i="60"/>
  <c r="P162" i="60"/>
  <c r="P225" i="60"/>
  <c r="J414" i="60"/>
  <c r="F414" i="60"/>
  <c r="F225" i="60"/>
  <c r="K162" i="60"/>
  <c r="K225" i="60"/>
  <c r="N162" i="60"/>
  <c r="F162" i="60"/>
  <c r="I414" i="60"/>
  <c r="J351" i="60"/>
  <c r="E540" i="60"/>
  <c r="M288" i="60"/>
  <c r="I162" i="60"/>
  <c r="P288" i="60"/>
  <c r="L288" i="60"/>
  <c r="G477" i="60"/>
  <c r="N225" i="60"/>
  <c r="F351" i="60"/>
  <c r="K414" i="60"/>
  <c r="I351" i="60"/>
  <c r="N414" i="60"/>
  <c r="K477" i="60"/>
  <c r="G288" i="60"/>
  <c r="O351" i="60"/>
  <c r="H540" i="60"/>
  <c r="M540" i="60"/>
  <c r="O225" i="60"/>
  <c r="I288" i="60"/>
  <c r="N540" i="60"/>
  <c r="M225" i="60"/>
  <c r="J162" i="60"/>
  <c r="L162" i="60"/>
  <c r="J477" i="60"/>
  <c r="H414" i="60"/>
  <c r="H477" i="60"/>
  <c r="G351" i="60"/>
  <c r="I477" i="60"/>
  <c r="I540" i="60"/>
  <c r="E288" i="60"/>
  <c r="F477" i="60"/>
  <c r="L225" i="60"/>
  <c r="P351" i="60"/>
  <c r="H162" i="60"/>
  <c r="E162" i="60"/>
  <c r="L477" i="60"/>
  <c r="G162" i="60"/>
  <c r="M414" i="60"/>
  <c r="F540" i="60"/>
  <c r="F288" i="60"/>
  <c r="H226" i="35"/>
  <c r="N99" i="60"/>
  <c r="G99" i="60"/>
  <c r="O99" i="60"/>
  <c r="K99" i="60"/>
  <c r="I99" i="60"/>
  <c r="J99" i="60"/>
  <c r="L99" i="60"/>
  <c r="E99" i="60"/>
  <c r="P99" i="60"/>
  <c r="M99" i="60"/>
  <c r="H99" i="60"/>
  <c r="F99" i="60"/>
  <c r="P406" i="60" l="1"/>
  <c r="J406" i="60"/>
  <c r="P532" i="60"/>
  <c r="J154" i="60"/>
  <c r="P280" i="60"/>
  <c r="M532" i="60"/>
  <c r="M154" i="60"/>
  <c r="G406" i="60"/>
  <c r="P343" i="60"/>
  <c r="G217" i="60"/>
  <c r="G154" i="60"/>
  <c r="P469" i="60"/>
  <c r="J469" i="60"/>
  <c r="M406" i="60"/>
  <c r="G532" i="60"/>
  <c r="M280" i="60"/>
  <c r="J280" i="60"/>
  <c r="J532" i="60"/>
  <c r="P217" i="60"/>
  <c r="M343" i="60"/>
  <c r="J217" i="60"/>
  <c r="G343" i="60"/>
  <c r="G280" i="60"/>
  <c r="P154" i="60"/>
  <c r="J343" i="60"/>
  <c r="M469" i="60"/>
  <c r="M217" i="60"/>
  <c r="G469" i="60"/>
  <c r="J91" i="60"/>
  <c r="G91" i="60"/>
  <c r="M91" i="60"/>
  <c r="P91" i="60"/>
  <c r="I179" i="60"/>
  <c r="I178" i="60"/>
  <c r="O178" i="60"/>
  <c r="I177" i="60"/>
  <c r="L178" i="60"/>
  <c r="O179" i="60"/>
  <c r="F177" i="60"/>
  <c r="F178" i="60"/>
  <c r="O177" i="60"/>
  <c r="O145" i="60"/>
  <c r="O153" i="60" s="1"/>
  <c r="P142" i="60" s="1"/>
  <c r="F179" i="60"/>
  <c r="L177" i="60"/>
  <c r="H13" i="59"/>
  <c r="L145" i="60"/>
  <c r="L153" i="60" s="1"/>
  <c r="M142" i="60" s="1"/>
  <c r="F145" i="60"/>
  <c r="F153" i="60" s="1"/>
  <c r="G142" i="60" s="1"/>
  <c r="G13" i="59"/>
  <c r="E13" i="59"/>
  <c r="C13" i="59"/>
  <c r="D13" i="59"/>
  <c r="L179" i="60"/>
  <c r="F13" i="59"/>
  <c r="I13" i="59"/>
  <c r="B13" i="59"/>
  <c r="L116" i="60"/>
  <c r="G12" i="59"/>
  <c r="H12" i="59"/>
  <c r="D12" i="59"/>
  <c r="O114" i="60"/>
  <c r="I116" i="60"/>
  <c r="L114" i="60"/>
  <c r="F115" i="60"/>
  <c r="I114" i="60"/>
  <c r="C12" i="59"/>
  <c r="F12" i="59"/>
  <c r="F116" i="60"/>
  <c r="B12" i="59"/>
  <c r="O116" i="60"/>
  <c r="L115" i="60"/>
  <c r="F114" i="60"/>
  <c r="I115" i="60"/>
  <c r="I12" i="59"/>
  <c r="E12" i="59"/>
  <c r="O115" i="60"/>
  <c r="I82" i="60"/>
  <c r="I90" i="60" s="1"/>
  <c r="J79" i="60" s="1"/>
  <c r="O82" i="60"/>
  <c r="O90" i="60" s="1"/>
  <c r="P79" i="60" s="1"/>
  <c r="F82" i="60"/>
  <c r="F90" i="60" s="1"/>
  <c r="G79" i="60" s="1"/>
  <c r="L82" i="60"/>
  <c r="L90" i="60" s="1"/>
  <c r="M79" i="60" s="1"/>
  <c r="C26" i="59" l="1"/>
  <c r="J111" i="60"/>
  <c r="B26" i="59"/>
  <c r="M174" i="60"/>
  <c r="E26" i="59"/>
  <c r="M111" i="60"/>
  <c r="G26" i="59"/>
  <c r="I26" i="59"/>
  <c r="K12" i="59"/>
  <c r="P111" i="60"/>
  <c r="J174" i="60"/>
  <c r="D26" i="59"/>
  <c r="J12" i="59"/>
  <c r="H26" i="59"/>
  <c r="G111" i="60"/>
  <c r="J13" i="59"/>
  <c r="P174" i="60"/>
  <c r="G174" i="60"/>
  <c r="F26" i="59"/>
  <c r="K13" i="59"/>
  <c r="K26" i="59" l="1"/>
  <c r="J26" i="5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tc={508AD6AB-D359-4FD5-B302-4CBF618EBF22}</author>
    <author>tc={7803A040-E6C6-4406-82FD-92285D05BDEA}</author>
    <author>tc={7DD65600-2DD3-40BA-B321-023382C867F0}</author>
    <author>tc={F7609E90-70E7-48B2-8859-5BE7C3D202CB}</author>
  </authors>
  <commentList>
    <comment ref="Q162" authorId="0" shapeId="0" xr:uid="{508AD6AB-D359-4FD5-B302-4CBF618EBF22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Ich habe die Plausiformel angepasst (WKNS wird jetzt abgezogen), da vorher die Summe inkl. WKNS mit der Summe der Zuschlagszahlungen verglichen wurde. </t>
      </text>
    </comment>
    <comment ref="N163" authorId="1" shapeId="0" xr:uid="{7803A040-E6C6-4406-82FD-92285D05BDEA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Ich habe die Plausiformel angepasst (WKNS wird jetzt abgezogen), da vorher die Summe inkl. WKNS mit der Summe der Zuschlagszahlungen verglichen wurde. </t>
      </text>
    </comment>
    <comment ref="O163" authorId="2" shapeId="0" xr:uid="{7DD65600-2DD3-40BA-B321-023382C867F0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Ich habe die Plausiformel angepasst (WKNS wird jetzt abgezogen), da vorher die Summe inkl. WKNS mit der Summe der Zuschlagszahlungen verglichen wurde. </t>
      </text>
    </comment>
    <comment ref="P163" authorId="3" shapeId="0" xr:uid="{F7609E90-70E7-48B2-8859-5BE7C3D202C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Ich habe die Plausiformel angepasst (WKNS wird jetzt abgezogen), da vorher die Summe inkl. WKNS mit der Summe der Zuschlagszahlungen verglichen wurde.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tc={023C37C6-32D5-459B-AF83-C1A9EB408AF1}</author>
    <author>tc={A740350E-F8EF-4CB9-82A9-62E2E101B5DE}</author>
    <author>tc={62C19DDF-6A85-4865-BBA4-412804C1E1C3}</author>
    <author>tc={0E54F90A-C0E5-4C20-BB6A-2506847DAE03}</author>
    <author>tc={613DC2AA-4774-49B9-A86F-7F95580A25EF}</author>
    <author>tc={2BE39F1A-97EA-4DFA-8BE7-2568FB4A3966}</author>
    <author>tc={ADF33D88-21C4-4050-A1F8-BE2F1758EB0D}</author>
    <author>tc={11A4B5ED-D890-4171-8ED3-65B5E43F4B46}</author>
    <author>tc={222C5B1C-C686-4FAF-BD65-4C3B4D1E105B}</author>
    <author>tc={2A9CA2BF-2996-49DE-9932-AFFE44E28CE0}</author>
    <author>tc={1E89F58D-77DE-48A0-800B-7C07108AE8E1}</author>
    <author>tc={7993945C-2FDC-47A5-8DBF-5B804FD733FC}</author>
  </authors>
  <commentList>
    <comment ref="B447" authorId="0" shapeId="0" xr:uid="{023C37C6-32D5-459B-AF83-C1A9EB408AF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783.624 kWh aus Kategorie „Grüner Wasserstoff“ in die Kategorie „Volle Umlage“ umgehängt, weil diese im Rahmen in der Abrechnung korrigiert werden</t>
      </text>
    </comment>
    <comment ref="E447" authorId="1" shapeId="0" xr:uid="{A740350E-F8EF-4CB9-82A9-62E2E101B5D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783.624 kWh aus Kategorie „Grüner Wasserstoff“ in die Kategorie „Volle Umlage“ umgehängt, weil diese im Rahmen in der Abrechnung korrigiert werden</t>
      </text>
    </comment>
    <comment ref="B708" authorId="2" shapeId="0" xr:uid="{62C19DDF-6A85-4865-BBA4-412804C1E1C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3.102.195 kWh aus der Kategorie „Grüner Wasserstoff“ umgehängt, weil diese im Rahmen in der Abrechnung korrigiert werden</t>
      </text>
    </comment>
    <comment ref="E708" authorId="3" shapeId="0" xr:uid="{0E54F90A-C0E5-4C20-BB6A-2506847DAE0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3.102.195 kWh aus Kategorie „Grüner Wasserstoff“ in die Kategorie „Volle Umlage“ umgehängt, weil diese im Rahmen in der Abrechnung korrigiert werden</t>
      </text>
    </comment>
    <comment ref="B1370" authorId="4" shapeId="0" xr:uid="{613DC2AA-4774-49B9-A86F-7F95580A25E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783.624 kWh aus Kategorie „Grüner Wasserstoff“ umgehängt, da diese im Rahmen der Abrechnung korrigiert werden</t>
      </text>
    </comment>
    <comment ref="E1370" authorId="5" shapeId="0" xr:uid="{2BE39F1A-97EA-4DFA-8BE7-2568FB4A396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783.624 kWh aus Kategorie „Grüner Wasserstoff“ umgehängt, da diese im Rahmen der Abrechnung korrigiert werden</t>
      </text>
    </comment>
    <comment ref="B1631" authorId="6" shapeId="0" xr:uid="{ADF33D88-21C4-4050-A1F8-BE2F1758EB0D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3.102.195 kWh aus Kategorie „Grüner Wasserstoff“ umgehängt, da diese im Rahmen der Abrechnung korrigiert werden</t>
      </text>
    </comment>
    <comment ref="E1631" authorId="7" shapeId="0" xr:uid="{11A4B5ED-D890-4171-8ED3-65B5E43F4B4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3.102.195 kWh aus Kategorie „Grüner Wasserstoff“ umgehängt, da diese im Rahmen der Abrechnung korrigiert werden</t>
      </text>
    </comment>
    <comment ref="B2291" authorId="8" shapeId="0" xr:uid="{222C5B1C-C686-4FAF-BD65-4C3B4D1E105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783.624 kWh aus Kategorie „Grüner Wasserstoff“ in die Kategorie „Volle Umlage“ umgehängt, weil diese im Rahmen in der Abrechnung korrigiert werden</t>
      </text>
    </comment>
    <comment ref="E2291" authorId="9" shapeId="0" xr:uid="{2A9CA2BF-2996-49DE-9932-AFFE44E28CE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783.624 kWh aus Kategorie „Grüner Wasserstoff“ in die Kategorie „Volle Umlage“ umgehängt, weil diese im Rahmen in der Abrechnung korrigiert werden</t>
      </text>
    </comment>
    <comment ref="B2552" authorId="10" shapeId="0" xr:uid="{1E89F58D-77DE-48A0-800B-7C07108AE8E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3.102.195 kWh aus Kategorie „Grüner Wasserstoff“ in die Kategorie „Volle Umlage“ umgehängt, weil diese im Rahmen in der Abrechnung korrigiert werden</t>
      </text>
    </comment>
    <comment ref="E2552" authorId="11" shapeId="0" xr:uid="{7993945C-2FDC-47A5-8DBF-5B804FD733F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3.102.195 kWh aus Kategorie „Grüner Wasserstoff“ in die Kategorie „Volle Umlage“ umgehängt, weil diese im Rahmen in der Abrechnung korrigiert werden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Ehlers, Sabrina</author>
  </authors>
  <commentList>
    <comment ref="G1390" authorId="0" shapeId="0" xr:uid="{9E5AA12A-D801-4A10-B35E-AB2679B4D20C}">
      <text>
        <r>
          <rPr>
            <b/>
            <sz val="9"/>
            <color indexed="81"/>
            <rFont val="Segoe UI"/>
            <family val="2"/>
          </rPr>
          <t>Ehlers, Sabrina:</t>
        </r>
        <r>
          <rPr>
            <sz val="9"/>
            <color indexed="81"/>
            <rFont val="Segoe UI"/>
            <family val="2"/>
          </rPr>
          <t xml:space="preserve">
inkl. Korrektur-Beträge Sanktion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tc={6A53519C-8830-4C64-A0CC-49D217A1AE7B}</author>
  </authors>
  <commentList>
    <comment ref="H834" authorId="0" shapeId="0" xr:uid="{6A53519C-8830-4C64-A0CC-49D217A1AE7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Wert korrigiert. RZ-Testierter Wert nicht korrekt. In Absprache mit RZ Testierer und D-Testierer erfolgt die Erfassung des richtigen Wertes. 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tc={BF68F7EF-4266-49F0-A466-DFA6662A995E}</author>
    <author>Noack Kati (50HzT EE-F)</author>
    <author>Ehlers, Sabrina</author>
  </authors>
  <commentList>
    <comment ref="G39" authorId="0" shapeId="0" xr:uid="{BF68F7EF-4266-49F0-A466-DFA6662A995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Sicherheitsaufschlag ist in begrenzter Umlage im Testat bereits enthalten</t>
      </text>
    </comment>
    <comment ref="D85" authorId="1" shapeId="0" xr:uid="{AC2959EF-46D9-4B61-9350-0DC915F4CCB5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89" authorId="1" shapeId="0" xr:uid="{FD503353-2AC3-4D7E-AC45-DDB018009F01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K115" authorId="2" shapeId="0" xr:uid="{6D50784B-F0BA-4602-A5B4-F1F3D924BD00}">
      <text>
        <r>
          <rPr>
            <b/>
            <sz val="9"/>
            <color indexed="81"/>
            <rFont val="Segoe UI"/>
            <family val="2"/>
          </rPr>
          <t>Ehlers, Sabrina:</t>
        </r>
        <r>
          <rPr>
            <sz val="9"/>
            <color indexed="81"/>
            <rFont val="Segoe UI"/>
            <family val="2"/>
          </rPr>
          <t xml:space="preserve">
Sanktion in Plausi nicht berücksichtigt</t>
        </r>
      </text>
    </comment>
    <comment ref="D123" authorId="1" shapeId="0" xr:uid="{042D3C63-E47F-471A-A656-EF1032CDA668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127" authorId="1" shapeId="0" xr:uid="{F8A8406D-EDA4-4BDE-B06E-7C9B4CACED84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148" authorId="1" shapeId="0" xr:uid="{5D4D2C00-71F8-4859-9239-7ED2D4E3271D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152" authorId="1" shapeId="0" xr:uid="{9BA41879-1246-4F13-9575-CF12E99924B5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186" authorId="1" shapeId="0" xr:uid="{639E64D2-2E46-41CE-BBC7-43C3C367DA8B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190" authorId="1" shapeId="0" xr:uid="{92D09FB6-8DA8-41DE-A168-0A4C09E01D6D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211" authorId="1" shapeId="0" xr:uid="{A6F92618-51A2-421E-B144-77C2AB349818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215" authorId="1" shapeId="0" xr:uid="{8214C06E-9E60-48C5-BA42-ED6064F5E979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249" authorId="1" shapeId="0" xr:uid="{081622EE-C99B-471D-B3E7-ADE57CF377F0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253" authorId="1" shapeId="0" xr:uid="{63664575-A4E1-4173-9EED-9C4F2A0B1F1C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274" authorId="1" shapeId="0" xr:uid="{08995B09-69C0-46DE-93AB-B5B5DA29EF58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278" authorId="1" shapeId="0" xr:uid="{641E617A-1AF0-4A71-8219-59AF773205A8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312" authorId="1" shapeId="0" xr:uid="{D3B5CF14-EE18-4819-9BE5-A41208F380C7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316" authorId="1" shapeId="0" xr:uid="{E9E6ABC6-9D14-4F7E-BF65-D2233E53F624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337" authorId="1" shapeId="0" xr:uid="{CDB8DB75-5A9E-4E63-8112-9F074DBF9482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341" authorId="1" shapeId="0" xr:uid="{627C623A-FD86-4C82-B422-0A46D61DB60F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375" authorId="1" shapeId="0" xr:uid="{A304DB7E-6B47-4E8B-B290-0A22FB94DFF1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379" authorId="1" shapeId="0" xr:uid="{EFC59E2E-D68F-4F08-B326-6B248AFE2AE6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400" authorId="1" shapeId="0" xr:uid="{EA003EBE-766E-4054-8E74-372608C99275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404" authorId="1" shapeId="0" xr:uid="{F95786C5-9877-4D13-8D44-190924DF3912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438" authorId="1" shapeId="0" xr:uid="{136697F6-B556-4829-8CC7-8B5C0A96D1D6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442" authorId="1" shapeId="0" xr:uid="{A8FB48CE-9133-40AF-BDBF-83F1AB9AC483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463" authorId="1" shapeId="0" xr:uid="{456099C9-438C-4ECD-AD58-9F3647EAB5AD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U463" authorId="1" shapeId="0" xr:uid="{ADCC6010-D0FC-42B4-B9F2-3FF10F25B26D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467" authorId="1" shapeId="0" xr:uid="{CDA8D9C1-204B-43ED-A4C2-7EB6F926529F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U467" authorId="1" shapeId="0" xr:uid="{7527F4DC-3A32-4372-A3E1-AF377B2765B9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501" authorId="1" shapeId="0" xr:uid="{96546A3E-DB13-49DF-84AA-CCA60DAAF675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505" authorId="1" shapeId="0" xr:uid="{D00C9A22-3D30-467E-A6D4-00861D4B1293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526" authorId="1" shapeId="0" xr:uid="{636A5973-018A-4936-B845-95A50996C4AC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U526" authorId="1" shapeId="0" xr:uid="{C094F583-FAC9-4362-BFC5-C20166819703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530" authorId="1" shapeId="0" xr:uid="{C2E85CE5-B4D9-4578-B546-F1A5968D7B28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U530" authorId="1" shapeId="0" xr:uid="{5D6F4F15-B5CE-448E-8982-22DF7290F618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564" authorId="1" shapeId="0" xr:uid="{2BE11CB6-267D-4DF0-9036-CE1139452952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568" authorId="1" shapeId="0" xr:uid="{6CEA1453-C8D0-4FD7-93DE-846F5943966E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589" authorId="1" shapeId="0" xr:uid="{3F424C48-2066-4702-991E-69BE9BE5FFF9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U589" authorId="1" shapeId="0" xr:uid="{376DED3B-F072-473C-B9AF-0E19196104A5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593" authorId="1" shapeId="0" xr:uid="{9677A1A3-3FA1-4668-AF50-C43D0B227C1F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U593" authorId="1" shapeId="0" xr:uid="{E2BE85FA-1B91-4E8C-8CA3-F886899A8CC2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605" authorId="1" shapeId="0" xr:uid="{8CC4C875-A006-4CE8-9561-3E28AFA271A8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U605" authorId="1" shapeId="0" xr:uid="{9A9D77F4-A697-473A-9E64-B8BE55DB79EB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609" authorId="1" shapeId="0" xr:uid="{D309BAEE-2792-4413-8360-033C310C07CA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U609" authorId="1" shapeId="0" xr:uid="{871B0B17-5C92-4DD6-B6A8-6F90F4B5B8E1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621" authorId="1" shapeId="0" xr:uid="{30623CB7-083E-42B3-94D5-0A236B4FA4FA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U621" authorId="1" shapeId="0" xr:uid="{744B671C-A704-4B7F-9D61-2F0CF2951D74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625" authorId="1" shapeId="0" xr:uid="{408663B8-D339-40E6-9708-FC01E3FB6DF9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U625" authorId="1" shapeId="0" xr:uid="{F4975337-AA69-4D42-B347-3F9302C750CD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D637" authorId="1" shapeId="0" xr:uid="{136521C5-8F59-4667-B291-F32E04D941A0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U637" authorId="1" shapeId="0" xr:uid="{E026BD61-2AF5-43AF-A2A7-3FE47B10D21E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Platzhalter</t>
        </r>
      </text>
    </comment>
    <comment ref="D641" authorId="1" shapeId="0" xr:uid="{6C8CBA2E-05A6-4E03-B3FD-B0E458251369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  <comment ref="U641" authorId="1" shapeId="0" xr:uid="{7F665036-829F-4246-8369-5A10240315F1}">
      <text>
        <r>
          <rPr>
            <b/>
            <sz val="9"/>
            <color indexed="81"/>
            <rFont val="Segoe UI"/>
            <family val="2"/>
          </rPr>
          <t>Noack Kati (50HzT EE-F):</t>
        </r>
        <r>
          <rPr>
            <sz val="9"/>
            <color indexed="81"/>
            <rFont val="Segoe UI"/>
            <family val="2"/>
          </rPr>
          <t xml:space="preserve">
fällt ab 2024 weg</t>
        </r>
      </text>
    </comment>
  </commentList>
</comments>
</file>

<file path=xl/sharedStrings.xml><?xml version="1.0" encoding="utf-8"?>
<sst xmlns="http://schemas.openxmlformats.org/spreadsheetml/2006/main" count="26113" uniqueCount="2565">
  <si>
    <t>Stand</t>
  </si>
  <si>
    <t xml:space="preserve">Aktuelle Jahresabrechnung </t>
  </si>
  <si>
    <t>Befüllen der Datei</t>
  </si>
  <si>
    <t>Übergreifend</t>
  </si>
  <si>
    <t>Tabellenblätter mit VNB erfordern (ggf. jährlich) unterschiedliche Anzahl von Netzbetreibern, daher</t>
  </si>
  <si>
    <t>bitte vorab die Zeilen/ VNB-Anzahl vor dem Kopieren der Daten prüfen und Reihenfolge prüfen</t>
  </si>
  <si>
    <t>Es sind nur VNB anzugeben, die relevant sind für die Abwicklung mit der Maßgabe […dass leere Angaben mit Null ausgegeben werden!]</t>
  </si>
  <si>
    <t>Blatt "Hinweise", "LV-Schlüssel" und "LV Testat", "Input_Zuschlagszahlungen_KAT" sind vor der Veröffentlichung auszublenden, Arbeitsmappe mit Kennwort schützen!</t>
  </si>
  <si>
    <t>Input_Zuschlagszahlungen_KAT</t>
  </si>
  <si>
    <t>Das Blatt bzw. die Eintragungen befüllen das Blatt Anlage 1f_ZuschlagszahlungenKAT</t>
  </si>
  <si>
    <t>Der Eingabebereich befindet sich je ÜNB in Spalte N bis U, und sieht eine Erfassung je Zuschlags-Kategorie vor</t>
  </si>
  <si>
    <t>In Spalte L und W sind parallel zu den Zuschlagskategorien die aggregierten Bezeichnungen in der IDW-Logik und der Prognosedatei um einen Abgleich zwischen den Jahren zu ermöglichen</t>
  </si>
  <si>
    <t>Bei Änderungen von Kategorien sind diese hier nachzupflegen, zudem erlaubt eine Zusammenfassung ab Zeile 150 die einfache Übertragung in die Prognosedatei</t>
  </si>
  <si>
    <t>Anlage 1a_Zuschlagszahlungen</t>
  </si>
  <si>
    <t>Tabelle 1: Eintragung der JAR-Mengen je VNB je Regelzone. Mengen für Pauschalierte Kategorien dürfen nicht mit aufgenommen werden (KWK12---73---0, KWK16---91---0)</t>
  </si>
  <si>
    <t>Tabelle 2: Eintragung der EUR-Beträge gem. JAR-Meldung je VNB je Regelzone</t>
  </si>
  <si>
    <t>Je Regelzone die Daten gruppieren und zusammenklappen (Formeln für die Summe der gesamten Regelzone anpassen)</t>
  </si>
  <si>
    <t>Hinweis: Kategorie 154 gehört zu den Daten nach KWKG 2023</t>
  </si>
  <si>
    <t>Anlage 1b_Abzüge_Pflicht, Boni</t>
  </si>
  <si>
    <t>Eintragung der EUR-Beträge gem. JAR-Meldung je VNB je Regelzone</t>
  </si>
  <si>
    <t>Hinweis: Abszugsbetrag Kat. 13a und 281</t>
  </si>
  <si>
    <t>Anlage 1c_Korrekturen</t>
  </si>
  <si>
    <t>In den Tabellen werden die Korrektur-Mengen und Korrektur Beträge je Kalenderjahr und VNB je Regelzone eingetragen</t>
  </si>
  <si>
    <t>In Spalte O muss der betreffende ÜNB angegeben werden (z. B. Regelzone TenneT (gesamt)). Diese Spalte wird für eine Verformelung im Reiter "Anlage 1g_Korrekurten_KG" benötigt.</t>
  </si>
  <si>
    <t>Hinweis: Kategorie 154 gehört zu den Daten nach KWKG 2025</t>
  </si>
  <si>
    <t>Hinweis: Kategorie Pauschalzahlungen, nur Euro einbeziehen; d.h. keine Pauschal-kWh in Mengenspalten berücksichtigen</t>
  </si>
  <si>
    <t>Anlage 1d_Pönalen</t>
  </si>
  <si>
    <t>Eintragung der Pönalzahlungen gem. RZ-Testat je ÜNB, Vorzeichen muss negativ sein</t>
  </si>
  <si>
    <t>Anlage 1e_WKNS</t>
  </si>
  <si>
    <t>Eintragung der WKNS Zahlungen gem. RZ-Testat je ÜNB</t>
  </si>
  <si>
    <t>ggf. weitere Vorjahre aufnehmen!</t>
  </si>
  <si>
    <t>Anlage 1f_ZuschlagszalungenKAT</t>
  </si>
  <si>
    <t>Diese Tabelle gibt die Zuschlagszahlungen, Abzüge, Boni, Plfichtverstöße, Pönalen und WKNS für 2024 nach Kategorien wieder. Dies ist eine Zusammenfassung aus den Tabellenblättern 1a, 1b, 1d und 1e</t>
  </si>
  <si>
    <t>Anlage 1g_Korrekturen_KG</t>
  </si>
  <si>
    <t>Tabelle 1: Zusammenfassung der Korrekturbeträge vom Tabellenblatt 1c sowie vom Tabellenblatt 1e</t>
  </si>
  <si>
    <t>Tabelle 2: Zusammenfassung der nachträglichen Korrekturzahlungen bei Pflichtverstößen nach § 52 Abs. 8 EEG 2023</t>
  </si>
  <si>
    <t>Anlage 2a_Letztverbrauch</t>
  </si>
  <si>
    <t>Tabelle 1 Umlagepflichtige Netzentnahmen in kWh (KWKG-Umlage / Offshore-Netzumlage): Eintragung der JAR-Mengen je VNB je Regelzone</t>
  </si>
  <si>
    <t>Ggf. noch mehr Zeilen einfügen für die VNB-scharfe Eintragung und nach ÜNB gruppieren</t>
  </si>
  <si>
    <t>Tabelle 2 Soll-Umlageeinnahmen in Euro aus der KWKG-Umlage für umlagepflichtige Netzentnahmen: Eintragung der KWKG-Umlagen in EUR je VNB je Regelzone</t>
  </si>
  <si>
    <t>Tabelle 3 Soll-Umlageeinnahmen in Euro aus der Offshore-Netzumlage für umlagepflichtige Netzentnahmen: Eintragung der ON-Umlagen in EUR je VNB je Regelzone</t>
  </si>
  <si>
    <t>Tabelle 4 Verringerung der KWKG-Umlage / Offshore-Netzumlage aufgrund von § 21 EnFG: Eintragung der Saldierung nach § 21 kWh und EUR, je VNB, je RZ</t>
  </si>
  <si>
    <t>Tabelle 5 Sanktionen gem. § 53 EnFG aufgrund eines Verstoßes gegen die Mitteilungspflichten nach § 52 EnFG: Eintragung der Sanktionsbeträge je VNB, je RZ</t>
  </si>
  <si>
    <t>Tabelle 6 Umlagepflichtige Netzentnahmen von aus dem Netz entnommenen und selbst verbrauchten Strommengen von stromkostenintensiven Unternehmen: Eintragung kWh und Umlage der BesAR Unternehmen je Regelzone</t>
  </si>
  <si>
    <t>Tabelle 7 Umlagepflichtige Netzentnahmen von aus dem Netz entnommenen und weitergeleiteten Strommengen von stromkostenintensiven Unternehmen in kWh (KWKG-Umlage / Offshore-Netzumlage): Eintragung der von BesAR weitergeleiteten Mengen in kWh je RZ</t>
  </si>
  <si>
    <t>Tabelle 8 Soll-Umlageeinnahmen in Euro aus der KWKG-Umlage für umlagepflichtige Netzentnahmen von aus dem Netz entnommenen und weitergeleiteten Strommengen von stromkostenintensiven Unternehmen: Eintragung der KWKG-Umlagen von BesAR in EUR  je Regelzone</t>
  </si>
  <si>
    <t>Tabelle 9 Soll-Umlageeinnahmen in Euro aus der Offshore-Netzumlage für umlagepflichtige Netzentnahmen von aus dem Netz entnommenen und weitergeleiteten Strommengen von stromkostenintensiven Unternehmen: Eintragung der ON-Umlagen von BesAR in EUR je Regelzone</t>
  </si>
  <si>
    <t>Tabelle 10 Verringerung der KWKG-Umlage / Offshore-Netzumlage aufgrund von § 21 EnFG - stromkostenintensive Unternehmen: Saldierungsbetrag von BesAR gem. § 21 EnFG</t>
  </si>
  <si>
    <t>Anlage 2b_Korrekturen</t>
  </si>
  <si>
    <t xml:space="preserve">Tabelle 1 bis 4 Angaben zu Korrekturen in der Regelzone: </t>
  </si>
  <si>
    <t>Eintraung der Korrekturen kWh und EUR, nach Jahren, Umlageart, je VNB, je Regelzone</t>
  </si>
  <si>
    <t>Ggf. doppelt eingetragene oder nicht relevante Strommengen in der Summe wieder abziehen. Z. B. Speichermengen/Sanktionen sind nicht relevant oder andere Bezeichnungen der Strommengen für KWKG und Offshore in den Jahren ab 2018 und davor.</t>
  </si>
  <si>
    <t>Tabelle 5 Korrekturen für Umlagepflichtige Netzentnahmen von aus dem Netz entnommenen und selbst verbrauchten Strommengen von stromkostenintensiven Unternehmen</t>
  </si>
  <si>
    <t>Eintragung der Korrekturen der BesAR je RZ nach Jahren</t>
  </si>
  <si>
    <t>Tabelle 6 bis 9 Korrekturen für Umlagepflichtige Netzentnahmen von aus dem Netz entnommenen und weitergeleiteten Strommengen von stromkostenintensiven Unternehmen:</t>
  </si>
  <si>
    <t>Eintragung der Korrekturen der Dritten je RZ nach Jahren; EUR und kWh</t>
  </si>
  <si>
    <t>inkl. der Eintragung der Korrekturen der Saldierungstatbeständen je RZ nach Jahren; EUR und kWh</t>
  </si>
  <si>
    <t>Hinweis: Änderung der Kategorien ab 2023 (da andere LV-Kategorien nach EnFG)</t>
  </si>
  <si>
    <t>In Spalte H muss der betreffende ÜNB angegeben werden (z. B. Regelzone TenneT (gesamt)). Diese Spalte wird für eine Verformelung im Reiter "Anlage 2c_Korrekurten_JA" benötigt.</t>
  </si>
  <si>
    <t>Anlage 2c_Korrekturen_JA</t>
  </si>
  <si>
    <t>keine Anpassung der Formeln erforderlich -ggfs. Daten prüfen</t>
  </si>
  <si>
    <t>Anlage 3_Zusammenfassung_KWKG</t>
  </si>
  <si>
    <t>Tabelle 1 Zusammenfassung der Zuschlagszahlungen sowie Abzugsbeträge, Pflichtverstoßzahlungen und Bonuszahlungen nach KWKG in Euro:</t>
  </si>
  <si>
    <t>Eintragung der Fördertatbestände in EUR je VNB je Regelzone</t>
  </si>
  <si>
    <t>Tabelle 2 Zusammenfassung der im Rahmen der Zuschlagszahlungen förderwirksamen Strommengen in kWh:</t>
  </si>
  <si>
    <t>Eintragung der Fördertatbestände in kWh je VNB je Regelzone</t>
  </si>
  <si>
    <t>Tabelle 3 Zusammenfassung für die vereinnahmten Pönalen nach § 21 Abs.  1 KWKAusV: Darstellung der eingetragenen Pönalen je Regelzone</t>
  </si>
  <si>
    <t>Tabelle 4 Zusammenfassung für die Förderung von Wärme-/Kältenetzen und von Wärme-/Kältespeichern (WKNS): Darstellung der eingetragenen WKNS je Regelzone</t>
  </si>
  <si>
    <t xml:space="preserve">Tabelle 5 Zusammenfassung der umlagepflichtigen Netzentnahmen zwischen den Netzbetreibern in Euro (KWKG-Umlage): </t>
  </si>
  <si>
    <t>Eintragung der KWKG-Umlagen in EUR je VNB je Regelzone, aktuelles Jahr und Korrekturen</t>
  </si>
  <si>
    <t>Tabelle 6 Zusammenfassung der umlagepflichtigen Strommengen zwischen den Netzbetreibern in kWh:</t>
  </si>
  <si>
    <r>
      <t xml:space="preserve">Eintragung der Netzentnahmen in kWh je VNB je Regelzone, aktuelles Jahr und Korrekturen </t>
    </r>
    <r>
      <rPr>
        <sz val="10"/>
        <color rgb="FF00B0F0"/>
        <rFont val="Arial"/>
        <family val="2"/>
      </rPr>
      <t>(Strommengen müssen mit Anlage 2b_Korrekturen übereinstimmen. Ggf. müssen VNB korrigiert werden, wenn Speichermengen dabei sind)</t>
    </r>
  </si>
  <si>
    <t>Tabelle 7 Zusammenfassung der umlagepflichtige Netzentnahmen von aus dem Netz entnommenen und selbst verbrauchten Strommengen von stromkostenintensiven Unternehmen:</t>
  </si>
  <si>
    <t>Daten aus Tabellenblatt 2a und 2b für BesAR werden hier zusammegefasst</t>
  </si>
  <si>
    <t>Tabelle 8 Zusammenfassung der umlagepflichtige Netzentnahmen von aus dem Netz entnommenen und weitergeleiteten Strommengen von stromkostenintensiven Unternehmen</t>
  </si>
  <si>
    <t>Daten aus Tabellenblatt 2a und 2b für Weiterleitungen werden hier zusammegefasst</t>
  </si>
  <si>
    <t>Anlage 3_Zusammenfassung_ONU</t>
  </si>
  <si>
    <t>Tabelle 1 Zusammenfassung der umlagepflichtigen Netzentnahmen zwischen den Netzbetreibern in Euro (Offshore-Netzumlage)</t>
  </si>
  <si>
    <t>Eintragung der ON-Umlagen in EUR je VNB je Regelzone, aktuelles Jahr und Korrekturen</t>
  </si>
  <si>
    <t>Tabelle 2 Zusammenfassung der umlagepflichtigen Strommengen zwischen den Netzbetreibern in kWh:</t>
  </si>
  <si>
    <t>Eintragung der Netzentnahmen in kWh je VNB je Regelzone, aktuelles Jahr und Korrekturen</t>
  </si>
  <si>
    <t>Tabelle 3 Zusammenfassung der umlagepflichtige Netzentnahmen von aus dem Netz entnommenen und selbst verbrauchten Strommengen von stromkostenintensiven Unternehmen:</t>
  </si>
  <si>
    <t>Tabelle 4 Zusammenfassung der umlagepflichtige Netzentnahmen von aus dem Netz entnommenen und weitergeleiteten Strommengen von stromkostenintensiven Unternehmen</t>
  </si>
  <si>
    <t>LV Testat</t>
  </si>
  <si>
    <t>gelbe Felder im Blatt LV-Testat mit Werten aus den RZ-Testaten befüllen (es sind keine Anpassung der Formeln erforderlich) -ggfs. Daten prüfen</t>
  </si>
  <si>
    <t>Anlage LV-Schlüssel</t>
  </si>
  <si>
    <t xml:space="preserve">Eintragung des testierten LV gem. VNB-Meldungen. Das sind lt. LK SN Beschluss in der 64. LK SN Sitzung zu TOP 2.2 die Summe der umlagepflichtigen Netzentnahmen der VNB Meldungen aus dem RZ-Testat je ÜNB. Also inkl. der BesAR-Strommengen, die der VNB uns mitteilt. </t>
  </si>
  <si>
    <t>KWKG-Zuschlagskategorientabelle</t>
  </si>
  <si>
    <t>Spalte 1</t>
  </si>
  <si>
    <t>Spalte 2</t>
  </si>
  <si>
    <t>Spalte 3</t>
  </si>
  <si>
    <t>Spalte 4</t>
  </si>
  <si>
    <t>Spalte 5</t>
  </si>
  <si>
    <t>Spalte 6</t>
  </si>
  <si>
    <t>Spalte 7</t>
  </si>
  <si>
    <t>Spalte 8</t>
  </si>
  <si>
    <t>Spalte 9</t>
  </si>
  <si>
    <t>Spalte 10</t>
  </si>
  <si>
    <t>50Hertz</t>
  </si>
  <si>
    <t>Amprion</t>
  </si>
  <si>
    <t>TenneT</t>
  </si>
  <si>
    <t>TransnetBW</t>
  </si>
  <si>
    <t>Bezeichnung</t>
  </si>
  <si>
    <t>Zuschlagsparagraph</t>
  </si>
  <si>
    <t>Bonus/Zuschlag</t>
  </si>
  <si>
    <t>Leistungsstufe und weitere Kriterien</t>
  </si>
  <si>
    <t>KWK-Zuschlagssatz
 in ct/kWh</t>
  </si>
  <si>
    <t>Max. förderfähige Vollbenutzungsstunden (VBh)</t>
  </si>
  <si>
    <t>Max. Förderzeitraum in Jahren</t>
  </si>
  <si>
    <t>Datum Aufnahme Dauerbetrieb bzw.  Modernisierung ab</t>
  </si>
  <si>
    <t>Datum Aufnahme Dauerbetrieb bzw.  Modernisierung bis</t>
  </si>
  <si>
    <t>Kategorie anwendbar bis</t>
  </si>
  <si>
    <t>Bezeichnung Kategorie für Prognoseabgleich</t>
  </si>
  <si>
    <t>Menge [kWh]</t>
  </si>
  <si>
    <t>Zuschlagszahlungen, Kürzungsbeträge, Erlöse, vermiedene Aufwendungen [€]</t>
  </si>
  <si>
    <t>Bezeichnung Kategorie IDW-Vorbild aus Jahresabrechnung</t>
  </si>
  <si>
    <t>Bonuszahlungen nach Kraft-Wärme-Kopplungsgesetz</t>
  </si>
  <si>
    <t>§ 7a Bonus für innovative erneuerbare Wärme</t>
  </si>
  <si>
    <t>KWK16--7a1i-10</t>
  </si>
  <si>
    <t>§ 7a Abs. 1 Nr. 1</t>
  </si>
  <si>
    <t>Bonus KWK-Strom nach § 7 Abs. 1 oder nach § 8a, mindestens   5% innovativer erneuerbarer Wärme</t>
  </si>
  <si>
    <t>KWK-Boni - § 7a-c KWKG 2025</t>
  </si>
  <si>
    <t>Bonus für innovative erneuerbare Wärme</t>
  </si>
  <si>
    <t>KWK16--7a1i-20</t>
  </si>
  <si>
    <t>§ 7a Abs. 1 Nr. 2</t>
  </si>
  <si>
    <t>Bonus KWK-Strom nach § 7 Abs. 1 oder nach § 8a, mindestens 10% innovativer erneuerbarer Wärme</t>
  </si>
  <si>
    <t>KWK16--7a1i-30</t>
  </si>
  <si>
    <t>§ 7a Abs. 1 Nr. 3</t>
  </si>
  <si>
    <t>Bonus KWK-Strom nach § 7 Abs. 1 oder nach § 8a, mindestens 15% innovativer erneuerbarer Wärme</t>
  </si>
  <si>
    <t>KWK16--7a1i-40</t>
  </si>
  <si>
    <t>§ 7a Abs. 1 Nr. 4</t>
  </si>
  <si>
    <t>Bonus KWK-Strom nach § 7 Abs. 1 oder nach § 8a, mindestens 20% innovativer erneuerbarer Wärme</t>
  </si>
  <si>
    <t>KWK16--7a1i-50</t>
  </si>
  <si>
    <t>§ 7a Abs. 1 Nr. 5</t>
  </si>
  <si>
    <t>Bonus KWK-Strom nach § 7 Abs. 1 oder nach § 8a, mindestens 25% innovativer erneuerbarer Wärme</t>
  </si>
  <si>
    <t>KWK16--7a1i-60</t>
  </si>
  <si>
    <t>§ 7a Abs. 1 Nr. 6</t>
  </si>
  <si>
    <t>Bonus KWK-Strom nach § 7 Abs. 1 oder nach § 8a, mindestens 30% innovativer erneuerbarer Wärme</t>
  </si>
  <si>
    <t>KWK16--7a1i-70</t>
  </si>
  <si>
    <t>§ 7a Abs. 1 Nr. 7</t>
  </si>
  <si>
    <t>Bonus KWK-Strom nach § 7 Abs. 1 oder nach § 8a, mindestens 35% innovativer erneuerbarer Wärme</t>
  </si>
  <si>
    <t>KWK16--7a1i-80</t>
  </si>
  <si>
    <t>§ 7a Abs. 1 Nr. 8</t>
  </si>
  <si>
    <t>Bonus KWK-Strom nach § 7 Abs. 1 oder nach § 8a, mindestens 40% innovativer erneuerbarer Wärme</t>
  </si>
  <si>
    <t>KWK16--7a1i-90</t>
  </si>
  <si>
    <t>§ 7a Abs. 1 Nr. 9</t>
  </si>
  <si>
    <t>Bonus KWK-Strom nach § 7 Abs. 1 oder nach § 8a, mindestens 45% innovativer erneuerbarer Wärme</t>
  </si>
  <si>
    <t>KWK16--7a1i100</t>
  </si>
  <si>
    <t>§ 7a Abs. 1 Nr. 10</t>
  </si>
  <si>
    <t>Bonus KWK-Strom nach § 7 Abs. 1 oder nach § 8a, mindestens 50% innovativer erneuerbarer Wärme</t>
  </si>
  <si>
    <r>
      <t xml:space="preserve">§ 7b Bonus für elektrische Wärmeerzeuger - Power-to-Heat-Bonus 
</t>
    </r>
    <r>
      <rPr>
        <sz val="10"/>
        <rFont val="Arial"/>
        <family val="2"/>
      </rPr>
      <t>-   Anwendung erst nach beihilferechtlicher Genehmigung durch die EU Komission -</t>
    </r>
  </si>
  <si>
    <t>KWK16--7b2e--0</t>
  </si>
  <si>
    <t>§ 7b Abs. 2</t>
  </si>
  <si>
    <t>Bonus 70 EUR je kW thermischer Leistung des elektrischen Wärmeerzeugers</t>
  </si>
  <si>
    <t>-</t>
  </si>
  <si>
    <t>Bonus für elektrische Wärmeerzeuger</t>
  </si>
  <si>
    <t>§ 7c Kohleersatzbonus</t>
  </si>
  <si>
    <t>KWK16--7c2k1-0</t>
  </si>
  <si>
    <t>§ 7c Abs. 2 Nr. 1</t>
  </si>
  <si>
    <t>Bonus je kW el. KWK-Leistung ersetzter KWK-Anlagen, die nach 31.12.1974, aber vor 01.01.1985 in Betrieb genommen wurden.</t>
  </si>
  <si>
    <t>Kohleersatzbonus</t>
  </si>
  <si>
    <t>KWK16--7c2k2-0</t>
  </si>
  <si>
    <t>§ 7c Abs. 2 Nr. 2</t>
  </si>
  <si>
    <t>Bonus je kW el. KWK-Leistung ersetzter KWK-Anlagen, die nach 31.12.1984, aber vor 01.01.1995 in Betrieb genommen wurden.</t>
  </si>
  <si>
    <t>KWK16--7c2k3-0</t>
  </si>
  <si>
    <t>§ 7c Abs. 2 Nr. 3</t>
  </si>
  <si>
    <t>Bonus je kW el. KWK-Leistung ersetzter KWK-Anlagen, die nach 31.12.1994 in Betrieb genommen wurden.</t>
  </si>
  <si>
    <r>
      <t xml:space="preserve">Zuschlagszahlungen nach Kraft-Wärme-Kopplungsgesetz
</t>
    </r>
    <r>
      <rPr>
        <sz val="14"/>
        <rFont val="Arial"/>
        <family val="2"/>
      </rPr>
      <t>mit Ausnahme von Anlagen, welche die Übergangsbestimmungen nach § 35 Abs. 3 bis 5 in Anspruch nehmen, sowie innovative KWK-Systeme und bestehende KWK-Anlagen mit Zuschlagsansprüchen nach §§ 6, 9 und 35 Abs. 17 KWKG</t>
    </r>
  </si>
  <si>
    <r>
      <rPr>
        <b/>
        <sz val="10"/>
        <rFont val="Arial"/>
        <family val="2"/>
      </rPr>
      <t xml:space="preserve">§§ 8a und 8b </t>
    </r>
    <r>
      <rPr>
        <sz val="10"/>
        <rFont val="Arial"/>
        <family val="2"/>
      </rPr>
      <t>KWK-Anlagen deren Zuschlagszahlungen im Rahmen einer Ausschreibung ermittelt werden (Überschussmenge), 
unter Berücksichtigung von Verringerung des Zuschlagswertes nach § 8a Abs. 5 i.V.m. § 8b Abs. 3 KWKG sowie §19 KWKAusV</t>
    </r>
  </si>
  <si>
    <t>KWK16--8ab---0</t>
  </si>
  <si>
    <t>§§ 8a und 8b</t>
  </si>
  <si>
    <t>KWK-Anlagen deren Zuschlagszahlungen im Rahmen einer Ausschreibung ermittelt werden (Überschussmenge)</t>
  </si>
  <si>
    <t>30000,45000</t>
  </si>
  <si>
    <t>KWK-Ausschreibungsanlagen - § 8a+b KWKG 2025</t>
  </si>
  <si>
    <t>§ 7.1, § 35 Abs. 17 und 20 KWKG neue, modernisierte und nachgerüstete KWK-Anlagen (Überschussmenge)</t>
  </si>
  <si>
    <t>KWK16---71---1</t>
  </si>
  <si>
    <t>§ 7 Abs. 1</t>
  </si>
  <si>
    <t>≤ 50 kWel</t>
  </si>
  <si>
    <t>60000,30000,15000,10000,6000</t>
  </si>
  <si>
    <t>KWK-Anlagen bis 2 MWel KWK-Leistung - KWKG 2016-2025 (abzüglich ggf. prognostierte Abzüge und ohne Selbstverbrauchsvergütung)</t>
  </si>
  <si>
    <t>KWK-Strom aus KWK-Anlagen, der in ein Netz der allg. Versorgung eingespeist wird</t>
  </si>
  <si>
    <t>KWK16---71---2</t>
  </si>
  <si>
    <t>&gt; 50 kWel und ≤ 100 kWel</t>
  </si>
  <si>
    <t>30000,15000,10000,6000</t>
  </si>
  <si>
    <t>KWK16---71---3</t>
  </si>
  <si>
    <t>&gt; 100 kWel und ≤ 250 kWel</t>
  </si>
  <si>
    <t>KWK16---71---4</t>
  </si>
  <si>
    <t>&gt; 250 kWel und ≤ 2 MWel</t>
  </si>
  <si>
    <t>KWK16---71---5</t>
  </si>
  <si>
    <t>§ 7 Abs. 1 Nr. 5 **</t>
  </si>
  <si>
    <t>&gt; 2 MWel (Aufnahme Dauerbetrieb oder Modernisierung bis 31.12.2020)</t>
  </si>
  <si>
    <t>KWK-Anlagen ab 2 MWel KWK-Leistung - KWKG 2016-2025 
(Anteil oberhalb der Leistungsgrenze von 2 MW inkl. SV Industrie KWK)</t>
  </si>
  <si>
    <t>KWK20-715a---5</t>
  </si>
  <si>
    <t>§ 7 Abs. 1 Nr. 5a</t>
  </si>
  <si>
    <t>&gt; 2 MWel (Aufnahme Dauerbetrieb ab 01.01.2021  - neue KWK-Anlagen)</t>
  </si>
  <si>
    <t>KWK20-715a2--5</t>
  </si>
  <si>
    <t>§ 7 Abs. 1 Nr. 5a i.V.m. S.2</t>
  </si>
  <si>
    <t>&gt; 2 MWel (Aufnahme Dauerbetrieb ab 01.01.2023  - neue KWK-Anlagen - Preisanpassung gem. § 7 Abs. 1 S. 2 KWKG)</t>
  </si>
  <si>
    <t>KWK20-715b---5</t>
  </si>
  <si>
    <t>§ 7 Abs. 1 Nr. 5b</t>
  </si>
  <si>
    <t>&gt; 2 MWel (Aufnahme Modernisierung ab 01.01.2021 - modernisierte KWK-Anlagen)</t>
  </si>
  <si>
    <t>30000,15000,6000</t>
  </si>
  <si>
    <t>KWK20-715c---5</t>
  </si>
  <si>
    <t>§ 7 Abs. 1 Nr. 5c</t>
  </si>
  <si>
    <t>&gt; 2 MWel (Aufnahme Dauerbetrieb oder Modernisierung ab 01.01.2021 - nachgerüstete KWK-Anlagen)</t>
  </si>
  <si>
    <t>30000,15000,10000</t>
  </si>
  <si>
    <t>KWK16---71-K-1</t>
  </si>
  <si>
    <t>§ 7 Abs. 2*</t>
  </si>
  <si>
    <t>≤ 50 kWel; Ersatz kohlebefeuerten KWK-Anlage 
(Leistungsanteil der ersetzten Anlage; Aufnahme Dauerbetrieb oder Modernisierung bis 13.08.2020)</t>
  </si>
  <si>
    <t>KWK16---71-K-2</t>
  </si>
  <si>
    <t>&gt; 50 kWel und ≤ 100 kWel; Ersatz kohlebefeuerten KWK-Anlage 
(Leistungsanteil der ersetzten Anlage; Aufnahme Dauerbetrieb oder Modernisierung bis 13.08.2020)</t>
  </si>
  <si>
    <t>KWK16---71-K-3</t>
  </si>
  <si>
    <t>&gt; 100 kWel und ≤ 250 kWel; Ersatz kohlebefeuerten KWK-Anlage 
(Leistungsanteil der ersetzten Anlage; Aufnahme Dauerbetrieb oder Modernisierung bis 13.08.2020)</t>
  </si>
  <si>
    <t>KWK16---71-K-4</t>
  </si>
  <si>
    <t>&gt; 250 kWel und ≤ 2 MWel; Ersatz kohlebefeuerten KWK-Anlage 
(Leistungsanteil der ersetzten Anlage; Aufnahme Dauerbetrieb oder Modernisierung bis 13.08.2020)</t>
  </si>
  <si>
    <t>KWK16---71-K-5</t>
  </si>
  <si>
    <t>&gt; 2 MWel; Ersatz kohlebefeuerten KWK-Anlage 
(Leistungsanteil der ersetzten Anlage; Aufnahme Dauerbetrieb oder Modernisierung bis 13.08.2020)</t>
  </si>
  <si>
    <t>KWK20-715a-K-5</t>
  </si>
  <si>
    <t xml:space="preserve">§ 7 Abs. 2* i.V.m. § 12* </t>
  </si>
  <si>
    <t>&gt; 2 MWel; Ersatz kohlebefeuerten KWK-Anlage
(Aufnahme Dauerbetrieb ab 01.01.2021  - neue KWK-Anlagen)</t>
  </si>
  <si>
    <t>KWK20-715b-K-5</t>
  </si>
  <si>
    <t>&gt; 2 MWel; Ersatz kohlebefeuerten KWK-Anlage
(Aufnahme Modernisierung ab 01.01.2021 - modernisierte KWK-Anlagen)</t>
  </si>
  <si>
    <t>KWK20-715c-K-5</t>
  </si>
  <si>
    <t>&gt; 2 MWel; Ersatz kohlebefeuerten KWK-Anlage
(Aufnahme Dauerbetrieb oder Modernisierung ab 01.01.2021 - nachgerüstete KWK-Anlagen)</t>
  </si>
  <si>
    <t>KWK16---71--T1</t>
  </si>
  <si>
    <t>§ 7 Abs. 4**</t>
  </si>
  <si>
    <t>≤ 50 kWel TEHG-Zuschlag 
(Aufnahme Dauerbetrieb oder Modernisierung bis 31.12.2020)</t>
  </si>
  <si>
    <t>KWK16---71--T2</t>
  </si>
  <si>
    <t>&gt; 50 kWel und ≤ 100 kWel TEHG-Zuschlag
(Aufnahme Dauerbetrieb oder Modernisierung bis 31.12.2020)</t>
  </si>
  <si>
    <t>KWK16---71--T3</t>
  </si>
  <si>
    <t>&gt; 100 kWel und ≤ 250 kWel TEHG-Zuschlag 
(Aufnahme Dauerbetrieb oder Modernisierung bis 31.12.2020)</t>
  </si>
  <si>
    <t>KWK16---71--T4</t>
  </si>
  <si>
    <t>&gt; 250 kWel und ≤ 2 MWel TEHG-Zuschlag 
(Aufnahme Dauerbetrieb oder Modernisierung bis 31.12.2020)</t>
  </si>
  <si>
    <t>KWK16---71--T5</t>
  </si>
  <si>
    <t>&gt; 2 MWel TEHG-Zuschlag 
(Aufnahme Dauerbetrieb oder Modernisierung bis 31.12.2020)</t>
  </si>
  <si>
    <t>KWK16---71-KT1</t>
  </si>
  <si>
    <t>§ 7 Abs. 4** und Abs. 2*</t>
  </si>
  <si>
    <t>≤ 50 kWel; Ersatz kohlebefeuerten KWK-Anlage (Leistungsanteil der ersetzten Anlage); TEHG-Zuschlag 
(Aufnahme Dauerbetrieb oder Modernisierung bis 13.08.2020)</t>
  </si>
  <si>
    <t>KWK16---71-KT2</t>
  </si>
  <si>
    <t>&gt; 50 kWel und ≤ 100 kWel; Ersatz kohlebefeuerten KWK-Anlage (Leistungsanteil der ersetzten Anlage); TEHG-Zuschlag 
(Aufnahme Dauerbetrieb oder Modernisierung bis 13.08.2020)</t>
  </si>
  <si>
    <t>KWK16---71-KT3</t>
  </si>
  <si>
    <t>&gt; 100 kWel und ≤ 250 kWel; Ersatz kohlebefeuerten KWK-Anlage (Leistungsanteil der ersetzten Anlage); TEHG-Zuschlag 
(Aufnahme Dauerbetrieb oder Modernisierung bis 13.08.2020)</t>
  </si>
  <si>
    <t>KWK16---71-KT4</t>
  </si>
  <si>
    <t>&gt; 250 kWel und ≤ 2 MWel; Ersatz kohlebefeuerten KWK-Anlage (Leistungsanteil der ersetzten Anlage); TEHG-Zuschlag 
(Aufnahme Dauerbetrieb oder Modernisierung bis 13.08.2020)</t>
  </si>
  <si>
    <t>KWK16---71-KT5</t>
  </si>
  <si>
    <t>&gt; 2 MWel; Ersatz kohlebefeuerten KWK-Anlage (Leistungsanteil der ersetzten Anlage); TEHG-Zuschlag 
(Aufnahme Dauerbetrieb oder Modernisierung bis 13.08.2020)</t>
  </si>
  <si>
    <t>§ 7.2, § 35 Abs. 17 und 20 KWKG neue, modernisierte und nachgerüstete KWK-Anlagen; Strom der nicht in ein Netz der allg. Versorgung einspeist wird</t>
  </si>
  <si>
    <t>KWK16--731---1</t>
  </si>
  <si>
    <t>§ 7 Abs. 2 Nr. 1, 
§ 35 Abs. 17 und 20</t>
  </si>
  <si>
    <t>≤ 50 kWel; keine Einspeisung in ein Netz der allg.Versorgung</t>
  </si>
  <si>
    <t>KWK-Anlagen bis 2 MWel KWK-Leistung - KWKG 2016-2025 (Anteil Selbstverbrauchsvergütung bis zur Leistungsgrenze von 2 MW)</t>
  </si>
  <si>
    <t>KWK-Strom aus KWK-Anlagen ≤ 100 kWel, der nicht in ein Netz der allg. Versorgung eingespeist wird</t>
  </si>
  <si>
    <t>KWK16--731---2</t>
  </si>
  <si>
    <t>&gt; 50 kWel und ≤ 100 kWel; keine Einspeisung in ein Netz der allg.Versorgung</t>
  </si>
  <si>
    <t>KWK16--731--T1</t>
  </si>
  <si>
    <t>≤ 50 kWel; keine Einspeisung in ein Netz der allg.Versorgung; TEHG-Zuschlag 
(Aufnahme Dauerbetrieb oder Modernisierung bis 31.12.2020)</t>
  </si>
  <si>
    <t>KWK16--731--T2</t>
  </si>
  <si>
    <t>&gt; 50 kWel und ≤ 100 kWel; keine Einspeisung in ein Netz der allg.Versorgung; TEHG-Zuschlag  
(Aufnahme Dauerbetrieb oder Modernisierung bis 31.12.2020)</t>
  </si>
  <si>
    <t>KWK16--732---1</t>
  </si>
  <si>
    <t>§ 7 Abs. 2 Nr. 2, 
§ 35 Abs. 17 und 20</t>
  </si>
  <si>
    <t>≤ 50 kWel; Lieferung in Kundenanlage oder geschlossene Verteilernetze</t>
  </si>
  <si>
    <t>KWK-Strom aus KWK-Anlagen, der an Letztverbraucher in einer Kundenanlage oder in einem geschlossenen Verteilernetz mit voller EEG-Umlage geliefert wird</t>
  </si>
  <si>
    <t>KWK16--732---2</t>
  </si>
  <si>
    <t>&gt; 50 kWel und ≤ 100 kWel; Lieferung in Kundenanlage oder geschlossene Verteilernetze</t>
  </si>
  <si>
    <t>KWK16--732---3</t>
  </si>
  <si>
    <t xml:space="preserve">&gt; 100 kWel und ≤ 250 kWel; Lieferung in Kundenanlage oder geschlossene Verteilernetze </t>
  </si>
  <si>
    <t>KWK16--732---4</t>
  </si>
  <si>
    <t xml:space="preserve">&gt; 250 kWel und ≤ 2 MWel; Lieferung in Kundenanlage oder geschlossene Verteilernetze </t>
  </si>
  <si>
    <t>KWK16--732---5</t>
  </si>
  <si>
    <t xml:space="preserve">&gt; 2 MWel; Lieferung in Kundenanlage oder geschlossene Verteilernetze </t>
  </si>
  <si>
    <t>KWK16--732--T1</t>
  </si>
  <si>
    <t>≤ 50 kWel; Lieferung in Kundenanlage oder geschlossene Verteilernetze; TEHG-Zuschlag 
(Aufnahme Dauerbetrieb oder Modernisierung bis 31.12.2020)</t>
  </si>
  <si>
    <t>KWK16--732--T2</t>
  </si>
  <si>
    <t>&gt; 50 kWel und ≤ 100 kWel; Lieferung in Kundenanlage oder geschlossene Verteilernetze; TEHG-Zuschlag 
(Aufnahme Dauerbetrieb oder Modernisierung bis 31.12.2020)</t>
  </si>
  <si>
    <t>KWK16--732--T3</t>
  </si>
  <si>
    <t>&gt; 100 kWel und ≤ 250 kWel; Lieferung in Kundenanlage oder geschlossene Verteilernetze; TEHG-Zuschlag 
(Aufnahme Dauerbetrieb oder Modernisierung bis 31.12.2020)</t>
  </si>
  <si>
    <t>KWK16--732--T4</t>
  </si>
  <si>
    <t>&gt; 250 kWel und ≤ 2 MWel; Lieferung in Kundenanlage oder geschlossene Verteilernetze; TEHG-Zuschlag 
(Aufnahme Dauerbetrieb oder Modernisierung bis 31.12.2020)</t>
  </si>
  <si>
    <t>KWK16--732--T5</t>
  </si>
  <si>
    <t>&gt; 2 MWel; Lieferung in Kundenanlage oder geschlossene Verteilernetze; TEHG-Zuschlag 
(Aufnahme Dauerbetrieb oder Modernisierung bis 31.12.2020)</t>
  </si>
  <si>
    <t>KWK16--733---1</t>
  </si>
  <si>
    <t>§ 7 Abs. 2 Nr. 3, 
§ 35 Abs. 17 und 20</t>
  </si>
  <si>
    <t>≤ 50 kWel; Einsatz und Verbrauch in stromkostenintensiven Unternehmen</t>
  </si>
  <si>
    <t>KWK-Strom aus KWK-Anlagen, die in stromkostenintensiven Unternehmen eingesetzt werden und deren KWK-Strom von diesem Unternehmen selbst verbraucht wird</t>
  </si>
  <si>
    <t>KWK16--733---2</t>
  </si>
  <si>
    <t>&gt; 50 kWel und ≤ 250 kWel; Einsatz und Verbrauch in stromkostenintensiven Unternehmen</t>
  </si>
  <si>
    <t>KWK16--733---3</t>
  </si>
  <si>
    <t>&gt; 250 kWel und ≤ 2 MWel; Einsatz und Verbrauch in stromkostenintensiven Unternehmen</t>
  </si>
  <si>
    <t>KWK16--733---4</t>
  </si>
  <si>
    <t>&gt; 2 MWel; Einsatz und Verbrauch in stromkostenintensiven Unternehmen</t>
  </si>
  <si>
    <t>KWK16--733--T1</t>
  </si>
  <si>
    <t>≤ 50 kWel; Einsatz und Verbrauch in stromkostenintensiven Unternehmen; TEHG-Zuschlag 
(Aufnahme Dauerbetrieb oder Modernisierung bis 31.12.2020)</t>
  </si>
  <si>
    <t>KWK16--733--T2</t>
  </si>
  <si>
    <t>&gt; 50 kWel und ≤ 250 kWel; Einsatz und Verbrauch in stromkostenintensiven Unternehmen; TEHG-Zuschlag 
(Aufnahme Dauerbetrieb oder Modernisierung bis 31.12.2020)</t>
  </si>
  <si>
    <t>KWK16--733--T3</t>
  </si>
  <si>
    <t>&gt; 250 kWel und ≤ 2 MWel; Einsatz und Verbrauch in stromkostenintensiven Unternehmen; TEHG-Zuschlag 
(Aufnahme Dauerbetrieb oder Modernisierung bis 31.12.2020)</t>
  </si>
  <si>
    <t>KWK16--733--T4</t>
  </si>
  <si>
    <t>&gt; 2 MWel; Einsatz und Verbrauch in stromkostenintensiven Unternehmen; TEHG-Zuschlag 
(Aufnahme Dauerbetrieb oder Modernisierung bis 31.12.2020)</t>
  </si>
  <si>
    <t>§ 7.3a neue KWK-Anlagen mit elektr. KWK-Leistung bis zu 50 kWel</t>
  </si>
  <si>
    <t>KWK16-73a1---0</t>
  </si>
  <si>
    <t>§ 7 Abs. 3a Nr. 1</t>
  </si>
  <si>
    <t>≤ 50 kWel; Einspeisung in ein Netz der allg.Versorgung</t>
  </si>
  <si>
    <t>KWK-Anlagen mit elektr. Leistung ≤ 50 kWel</t>
  </si>
  <si>
    <t>KWK16-73a2---0</t>
  </si>
  <si>
    <t>§ 7 Abs. 3a Nr. 2</t>
  </si>
  <si>
    <t>≤ 50 kWel; Einspeisung nicht in ein Netz der allg.Versorgung</t>
  </si>
  <si>
    <t>KWK16---91---0</t>
  </si>
  <si>
    <t>§ 9 Abs. 1</t>
  </si>
  <si>
    <r>
      <t xml:space="preserve">§ 9 Abs. 1 KWK-Strom aus KWK-Anlagen ≤ 2 kWel mit </t>
    </r>
    <r>
      <rPr>
        <u/>
        <sz val="10"/>
        <rFont val="Arial"/>
        <family val="2"/>
      </rPr>
      <t>pauschalierten Zuschlagszahlungen</t>
    </r>
  </si>
  <si>
    <t>neue KWK-Anlagen mit einer KWK-Leistung ≤ 2 kWel mit pauschalierten Zuschlagszahlungen</t>
  </si>
  <si>
    <r>
      <t xml:space="preserve">Sanktionen nach § 13a bei Nichtregistrierung im Marktstammdatenregister und nach § 15 Abs. 4 Satz 2 bei fehlender Jahresmeldung der nach § 7 Abs. 5 KWKG sanktionierten Mengen, unter Beachtung § 35 Abs. 17 und 19 KWKG
</t>
    </r>
    <r>
      <rPr>
        <sz val="10"/>
        <rFont val="Arial"/>
        <family val="2"/>
      </rPr>
      <t>(Angabe der Kürzungsbeträge in € mit negativem Vorzeichen)</t>
    </r>
  </si>
  <si>
    <t>KWK16--154---0</t>
  </si>
  <si>
    <t>§ 15 Abs. 4</t>
  </si>
  <si>
    <t>Verringerung um 5% pro Kalendertag (Pauschalkürzungen für KWK-Anlagen) bei fehlender Jahresmeldung nach §§ 7 Abs. 5 i.V.m. 15 Abs. 4 KWKG</t>
  </si>
  <si>
    <t>Anspruchsverringerung um 5 % pro Kalendertag bei fehlender Jahresmeldung der nach § 7 Abs. 7 KWKG sanktionierten Mengen</t>
  </si>
  <si>
    <t>KWK16--13a---1</t>
  </si>
  <si>
    <t>§ 13a</t>
  </si>
  <si>
    <t>Verringerung der Zuschlagszahlung um 20% bei Nichtmeldung im Marktstammdatenregister</t>
  </si>
  <si>
    <t>Verringerung der Zuschlagszahlung um 20 % bei Nichtmeldung im Marktstammdatenregister</t>
  </si>
  <si>
    <r>
      <t>Etwaige Erlöse oder vermiedene Aufwendungen aus der Verwertung des kaufmännisch abgenommenen KWKG-Stroms nach § 14 Nr. 2 EnFG (§ 35 Abs. 17 KWKG) aus Anlagen mit einer elektrischen KWK-Leistung von bis zu 100 kWel</t>
    </r>
    <r>
      <rPr>
        <sz val="10"/>
        <rFont val="Arial"/>
        <family val="2"/>
      </rPr>
      <t xml:space="preserve"> (Angabe der Erlöse in € mit negativem Vorzeichen)</t>
    </r>
  </si>
  <si>
    <t>KWK16--281---0</t>
  </si>
  <si>
    <t>§ 14 Nr. 2 EnFG i.V.m. 
§ 4 Abs. 2 S. 4 KWKG</t>
  </si>
  <si>
    <t>etwaige Erlöse oder vermiedene Aufwendungen aus der Verwertung des kaufmännisch abgenommenen KWKG-Stroms</t>
  </si>
  <si>
    <r>
      <t xml:space="preserve">Gesonderte Strafzahlung für KWK-Anlagen bei Verstoß gegen technische Vorgaben nach § 9 Erneuerbare-Energien-Gesetz
</t>
    </r>
    <r>
      <rPr>
        <sz val="10"/>
        <rFont val="Arial"/>
        <family val="2"/>
      </rPr>
      <t>(Angabe der Kürzungsbeträge in € mit negativem Vorzeichen, Ausgleichsbetrag mit positivem Vorzeichen)</t>
    </r>
    <r>
      <rPr>
        <b/>
        <sz val="10"/>
        <rFont val="Arial"/>
        <family val="2"/>
      </rPr>
      <t xml:space="preserve">
anwendbar ab 01.01.2023; Erfassung der Strafzahlungen für Pflichtverstöße erfolgt über die KWKG-Monats-/Jahresmeldungen, 
wenngleich etwaige Einnahmen regulatorisch bedingt nach EnFG auf das EEG-Konto des jeweiligen ÜNB umgebucht werden</t>
    </r>
  </si>
  <si>
    <t>KWK23-5211--SZ</t>
  </si>
  <si>
    <t>§ 52 Abs. 1 Nr. 1 EEG</t>
  </si>
  <si>
    <t>i.V.m. § 52 Abs. 8 EEG</t>
  </si>
  <si>
    <t>Zahlung in Höhe von 10 Euro pro Kilowatt installierter Leistung der KWK-Anlage und Kalendermonat</t>
  </si>
  <si>
    <t>Zahlungsansprüche bei Pflichtverstößen bei Verstoß gegen technische Vorgaben</t>
  </si>
  <si>
    <t>KWK23-5235--AB</t>
  </si>
  <si>
    <t>§ 52 Abs. 3 oder Abs. 5 EEG</t>
  </si>
  <si>
    <t>Ausgleichsbetrag zur Verringerung oder zum Entfall der Strafzahlung nach § 52 Abs. 3 oder Abs. 5 EEG</t>
  </si>
  <si>
    <r>
      <t xml:space="preserve">Zuschlagszahlungen nach KWKG 2012
</t>
    </r>
    <r>
      <rPr>
        <sz val="14"/>
        <rFont val="Arial"/>
        <family val="2"/>
      </rPr>
      <t>In der Regel Aufnahme des Dauerbetriebs ab einschließlich 19.07.2012 bis zum 31.12.2015 
sowie in Ausnahmefällen Anlagen nach dem 31.12.2015, welche die Übergangsbestimmungen nach § 35 Abs. 3 bis 5 KWKG in Anspruch nehmen</t>
    </r>
  </si>
  <si>
    <r>
      <rPr>
        <b/>
        <sz val="10"/>
        <rFont val="Arial"/>
        <family val="2"/>
      </rPr>
      <t>§ 5.1.1 kleine KWK-Anlagen</t>
    </r>
    <r>
      <rPr>
        <sz val="10"/>
        <rFont val="Arial"/>
        <family val="2"/>
      </rPr>
      <t xml:space="preserve"> mit fabrikneuen Hauptbestandteilen, die keine bestehende Fernwärmeversorgung aus KWK-Anlagen verdrängen sowie </t>
    </r>
    <r>
      <rPr>
        <b/>
        <sz val="10"/>
        <rFont val="Arial"/>
        <family val="2"/>
      </rPr>
      <t>Brennstoffzellen-Anlagen</t>
    </r>
  </si>
  <si>
    <t>KWK12--711---0</t>
  </si>
  <si>
    <t>§ 7 Abs. 1 a</t>
  </si>
  <si>
    <t>kleine KWK-Anlagen ≤ 50 kWel</t>
  </si>
  <si>
    <t>Bestands-KWK-Anlagen bis 2 MWel KWK-Leistung - KWKG 2012</t>
  </si>
  <si>
    <t>Fabrikneue kleine KWK-Anlagen ≤ 2 MWel</t>
  </si>
  <si>
    <t>KWK12---72---1</t>
  </si>
  <si>
    <t>§ 7 Abs. 2</t>
  </si>
  <si>
    <t xml:space="preserve">≤ 50 kWel; kleine KWK-Anlagen &gt; 50 kWel ≤ 2 MWel </t>
  </si>
  <si>
    <t>KWK12---72---2</t>
  </si>
  <si>
    <t xml:space="preserve">&gt; 50 kWel und ≤ 250 kWel; kleine KWK-Anlagen &gt; 50 kWel ≤ 2 MWel </t>
  </si>
  <si>
    <t>KWK12---72---3</t>
  </si>
  <si>
    <t xml:space="preserve">&gt; 250 kWel und ≤ 2 MWel; kleine KWK-Anlagen &gt; 50 kWel ≤ 2 MWel </t>
  </si>
  <si>
    <t>KWK12--712---0</t>
  </si>
  <si>
    <t>§ 7 Abs. 1 b</t>
  </si>
  <si>
    <t>Brennstoffzellen-Anlagen</t>
  </si>
  <si>
    <r>
      <rPr>
        <b/>
        <sz val="10"/>
        <rFont val="Arial"/>
        <family val="2"/>
      </rPr>
      <t>§ 5.2 hocheffiziente neue KWK-Anlagen &gt; 2 MWel</t>
    </r>
    <r>
      <rPr>
        <sz val="10"/>
        <rFont val="Arial"/>
        <family val="2"/>
      </rPr>
      <t xml:space="preserve"> die keine bestehende Ferrnwärmeversorgung aus KWK-Anlagen verdrängen</t>
    </r>
  </si>
  <si>
    <t>KWK12---74---1</t>
  </si>
  <si>
    <t>§ 7 Abs. 4</t>
  </si>
  <si>
    <t>Hocheffiziente Neuanlagen &gt; 2 MWel</t>
  </si>
  <si>
    <t>KWK12---74---2</t>
  </si>
  <si>
    <t>&gt; 50 kWel und ≤ 250 kWel</t>
  </si>
  <si>
    <t>KWK12---74---3</t>
  </si>
  <si>
    <t>KWK12---74---4</t>
  </si>
  <si>
    <t>&gt; 2 MWel</t>
  </si>
  <si>
    <t>Bestands-KWK-Anlagen ab 2 MWel KWK-Leistung - KWKG 2012</t>
  </si>
  <si>
    <t>KWK12---74--T1</t>
  </si>
  <si>
    <t>§ 7 Abs. 4 S.3</t>
  </si>
  <si>
    <t>≤ 50 kWel; TEHG-Zuschlag</t>
  </si>
  <si>
    <t>KWK12---74--T2</t>
  </si>
  <si>
    <t>&gt; 50 kWel und ≤ 250 kWel; TEHG-Zuschlag</t>
  </si>
  <si>
    <t>KWK12---74--T3</t>
  </si>
  <si>
    <t>&gt; 250 kWel und ≤ 2 MWel; TEHG-Zuschlag</t>
  </si>
  <si>
    <t>KWK12---74--T4</t>
  </si>
  <si>
    <t>&gt; 2 MWel; TEHG-Zuschlag</t>
  </si>
  <si>
    <t>§ 5.3   hocheffiziente KWK-Anlagen, die modernisiert oder durch eine neue Anlage ersetzt wurden</t>
  </si>
  <si>
    <t>KWK12--751---0</t>
  </si>
  <si>
    <t>§ 7 Abs. 5 S. 1</t>
  </si>
  <si>
    <t>KWK-Anlagen ≤ 50 kWel</t>
  </si>
  <si>
    <t>15000,30000</t>
  </si>
  <si>
    <t>5,10</t>
  </si>
  <si>
    <t>Modernisierte hocheffiziente KWK-Anlagen</t>
  </si>
  <si>
    <t>KWK12--752---1</t>
  </si>
  <si>
    <t>§ 7 Abs. 5 S. 2</t>
  </si>
  <si>
    <t>≤ 50 kWel; KWK-Anlagen &gt; 50 kWel</t>
  </si>
  <si>
    <t>KWK12--752---2</t>
  </si>
  <si>
    <t>&gt; 50 kWel und ≤ 250 kWel; KWK-Anlagen &gt; 50 kWel</t>
  </si>
  <si>
    <t>KWK12--752---3</t>
  </si>
  <si>
    <t>&gt; 250 kWel und ≤ 2 Mwel; KWK-Anlagen &gt; 50 kWel</t>
  </si>
  <si>
    <t>KWK12--752---4</t>
  </si>
  <si>
    <t>&gt; 2 Mwel; KWK-Anlagen &gt; 50 kWel</t>
  </si>
  <si>
    <t>KWK12--752--T1</t>
  </si>
  <si>
    <t>≤ 50 kWel; KWK-Anlagen &gt; 50 kWel; TEHG-Zuschlag</t>
  </si>
  <si>
    <t>KWK12--752--T2</t>
  </si>
  <si>
    <t>&gt; 50 kWel und ≤ 250 kWel; KWK-Anlagen &gt; 50 kWel; TEHG-Zuschlag</t>
  </si>
  <si>
    <t>KWK12--752--T3</t>
  </si>
  <si>
    <t>&gt; 250 kWel und ≤ 2 Mwel; KWK-Anlagen &gt; 50 kWel; TEHG-Zuschlag</t>
  </si>
  <si>
    <t>KWK12--752--T4</t>
  </si>
  <si>
    <t>&gt; 2 Mwel; KWK-Anlagen &gt; 50 kWel; TEHG-Zuschlag</t>
  </si>
  <si>
    <t>§ 5.4   hocheffiziente nachgerüstete KWK-Anlagen &gt; 2 MWel; alte oder neue Nicht-KWK-Anlagen, die durch Nachrüstung zu KWK-Anlagen werden</t>
  </si>
  <si>
    <t>KWK12---76---1</t>
  </si>
  <si>
    <t>§ 7 Abs. 6</t>
  </si>
  <si>
    <t>Hocheffiziente nachgerüstete KWK-Anlage &gt; 2 MWel</t>
  </si>
  <si>
    <t>KWK12---76---2</t>
  </si>
  <si>
    <t>KWK12---76---3</t>
  </si>
  <si>
    <t>KWK12---76---4</t>
  </si>
  <si>
    <t>KWK12---76--T1</t>
  </si>
  <si>
    <t>KWK12---76--T2</t>
  </si>
  <si>
    <t>KWK12---76--T3</t>
  </si>
  <si>
    <t>KWK12---76--T4</t>
  </si>
  <si>
    <t>KWK12---73---0</t>
  </si>
  <si>
    <t>§ 7 Abs. 3</t>
  </si>
  <si>
    <t xml:space="preserve">§ 7.3 KWK-Strom aus KWK-Anlagen ≤ 2 kWel mit pauschalisierten Zuschlagszahlungen </t>
  </si>
  <si>
    <t>KWK-Anlagen ≤ 2 MWel mit pauschalierten Zuschlagszahlungen</t>
  </si>
  <si>
    <r>
      <t xml:space="preserve">Zuschlagszahlungen nach KWKG 2009
</t>
    </r>
    <r>
      <rPr>
        <sz val="14"/>
        <rFont val="Arial"/>
        <family val="2"/>
      </rPr>
      <t xml:space="preserve">Aufnahme des Dauerbetriebs bis einschließlich zum 18.07.2012 </t>
    </r>
  </si>
  <si>
    <t>§ 5.1.4a alte oder neue Bestandsanlagen (hocheffiziente modernisierte KWK-Anlagen), die modernisiert oder durch eine neue Anlage ersetzt und ab dem 01.01.2009 wieder in Dauerbetrieb genommen worden sind</t>
  </si>
  <si>
    <t>KWK09---74---1</t>
  </si>
  <si>
    <t>Bestands-KWK-Anlagen - KWKG 2009</t>
  </si>
  <si>
    <t>Hocheffiziente modernisierte KWK-Anlagen</t>
  </si>
  <si>
    <t>KWK09---74---2</t>
  </si>
  <si>
    <t>&gt; 50 kWel und ≤ 2 MWel</t>
  </si>
  <si>
    <t>KWK09---74---3</t>
  </si>
  <si>
    <t>KWK09---76---0</t>
  </si>
  <si>
    <t>§ 5.2.1b kleine KWK-Anlagen (Zubau)  ≤ 50 kWel, die ab dem 01.04.2002 in Dauerbetrieb genommen worden sind</t>
  </si>
  <si>
    <t xml:space="preserve">Kleine KWK-Anlagen ≤ 50 kWel mit IBN ab 01.04.2002 </t>
  </si>
  <si>
    <r>
      <t xml:space="preserve">§ 5.2.1c hocheffiziente kleine KWK-Anlagen (Zubau) &gt; 50 kWel und  ≤ 2 MWel, </t>
    </r>
    <r>
      <rPr>
        <sz val="10"/>
        <rFont val="Arial"/>
        <family val="2"/>
      </rPr>
      <t>die ab dem 01.01.2009 in Dauerbetrieb genommen worden sind</t>
    </r>
  </si>
  <si>
    <t>KWK09---75---1</t>
  </si>
  <si>
    <t>§ 7 Abs. 5</t>
  </si>
  <si>
    <t>Hocheffiziente  kleine KWK-Anlagen &gt;50 kW und ≤2 MW, IBN ab 01.01.2009</t>
  </si>
  <si>
    <t>KWK09---75---2</t>
  </si>
  <si>
    <t>KWK09---77---0</t>
  </si>
  <si>
    <t>§ 7 Abs. 7</t>
  </si>
  <si>
    <r>
      <t>§ 5.2.2 Brennstoffzellen</t>
    </r>
    <r>
      <rPr>
        <sz val="10"/>
        <color theme="1"/>
        <rFont val="Arial"/>
        <family val="2"/>
      </rPr>
      <t>-Anlagen, die ab dem 01.04.2002 in Dauerbetrieb genommen worden sind</t>
    </r>
  </si>
  <si>
    <t>Brennstoffzellen-Anlagen, IBN ab 01.04.2002</t>
  </si>
  <si>
    <r>
      <t>§ 5.3a hocheffiziente neue KWK-Anlagen &gt; 2 MW</t>
    </r>
    <r>
      <rPr>
        <sz val="10"/>
        <rFont val="Arial"/>
        <family val="2"/>
      </rPr>
      <t xml:space="preserve">el </t>
    </r>
    <r>
      <rPr>
        <b/>
        <sz val="10"/>
        <rFont val="Arial"/>
        <family val="2"/>
      </rPr>
      <t>und ≤ 10 MWel,</t>
    </r>
    <r>
      <rPr>
        <sz val="10"/>
        <rFont val="Arial"/>
        <family val="2"/>
      </rPr>
      <t xml:space="preserve"> die ab dem 01.01.2009 in Dauerbetrieb genommen worden sind, durch die keine Verdrängung bestehender KWK-Anlagen erfolgt</t>
    </r>
  </si>
  <si>
    <t>KWK09---78---1</t>
  </si>
  <si>
    <t>§ 7 Abs. 8</t>
  </si>
  <si>
    <t>Hocheffiziente Neuanlagen &gt; 2 MWel und ≤ 10 Mwel</t>
  </si>
  <si>
    <t>KWK09---78---2</t>
  </si>
  <si>
    <t>KWK09---78---3</t>
  </si>
  <si>
    <t>*   KWKG in der vor dem 14.08.2020 gültigen Fassung</t>
  </si>
  <si>
    <t>**  KWKG in der bis zum 31.12.2020 gültigen Fassung</t>
  </si>
  <si>
    <t>Zusammenfassung zum Abgleich mit Prognose</t>
  </si>
  <si>
    <r>
      <t xml:space="preserve">Vorsicht! ÜNB in </t>
    </r>
    <r>
      <rPr>
        <b/>
        <sz val="11"/>
        <color rgb="FFFF0000"/>
        <rFont val="Arial"/>
        <family val="2"/>
      </rPr>
      <t>umgekehrter Reihenfolge</t>
    </r>
    <r>
      <rPr>
        <b/>
        <sz val="11"/>
        <rFont val="Arial"/>
        <family val="2"/>
      </rPr>
      <t xml:space="preserve"> entsprechend Prognosedatei (dort Blatt "KWK_Zuschläge_Vergleich")!</t>
    </r>
  </si>
  <si>
    <t>Betrag [€]</t>
  </si>
  <si>
    <r>
      <t>KWK-Boni -</t>
    </r>
    <r>
      <rPr>
        <sz val="8"/>
        <rFont val="Arial"/>
        <family val="2"/>
      </rPr>
      <t xml:space="preserve"> § 7a-c KWKG 2025</t>
    </r>
  </si>
  <si>
    <r>
      <t>KWK-Ausschreibungsanlagen -</t>
    </r>
    <r>
      <rPr>
        <sz val="8"/>
        <rFont val="Arial"/>
        <family val="2"/>
      </rPr>
      <t xml:space="preserve"> § 8a+b KWKG 2025</t>
    </r>
  </si>
  <si>
    <r>
      <t>KWK-Anlagen bis 2 MW</t>
    </r>
    <r>
      <rPr>
        <b/>
        <vertAlign val="subscript"/>
        <sz val="8"/>
        <rFont val="Arial"/>
        <family val="2"/>
      </rPr>
      <t>el</t>
    </r>
    <r>
      <rPr>
        <b/>
        <sz val="8"/>
        <rFont val="Arial"/>
        <family val="2"/>
      </rPr>
      <t xml:space="preserve"> KWK-Leistung -</t>
    </r>
    <r>
      <rPr>
        <sz val="8"/>
        <rFont val="Arial"/>
        <family val="2"/>
      </rPr>
      <t xml:space="preserve"> KWKG 2016-2025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(abzüglich ggf. prognostierte Abzüge und ohne Selbstverbrauchsvergütung)</t>
    </r>
  </si>
  <si>
    <r>
      <t>KWK-Anlagen ab 2 MW</t>
    </r>
    <r>
      <rPr>
        <b/>
        <vertAlign val="subscript"/>
        <sz val="8"/>
        <rFont val="Arial"/>
        <family val="2"/>
      </rPr>
      <t>el</t>
    </r>
    <r>
      <rPr>
        <b/>
        <sz val="8"/>
        <rFont val="Arial"/>
        <family val="2"/>
      </rPr>
      <t xml:space="preserve"> KWK-Leistung -</t>
    </r>
    <r>
      <rPr>
        <sz val="8"/>
        <rFont val="Arial"/>
        <family val="2"/>
      </rPr>
      <t xml:space="preserve"> KWKG 2016-2025 
(Anteil oberhalb der Leistungsgrenze von 2 MW inkl. SV Industrie KWK)</t>
    </r>
  </si>
  <si>
    <r>
      <t>KWK-Anlagen bis 2 MW</t>
    </r>
    <r>
      <rPr>
        <b/>
        <vertAlign val="subscript"/>
        <sz val="8"/>
        <rFont val="Arial"/>
        <family val="2"/>
      </rPr>
      <t>el</t>
    </r>
    <r>
      <rPr>
        <b/>
        <sz val="8"/>
        <rFont val="Arial"/>
        <family val="2"/>
      </rPr>
      <t xml:space="preserve"> KWK-Leistung -</t>
    </r>
    <r>
      <rPr>
        <sz val="8"/>
        <rFont val="Arial"/>
        <family val="2"/>
      </rPr>
      <t xml:space="preserve"> KWKG 2016-2025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(Anteil Selbstverbrauchsvergütung bis zur Leistungsgrenze von 2 MW)</t>
    </r>
  </si>
  <si>
    <r>
      <t>Bestands-KWK-Anlagen bis 2 MW</t>
    </r>
    <r>
      <rPr>
        <b/>
        <vertAlign val="subscript"/>
        <sz val="8"/>
        <rFont val="Arial"/>
        <family val="2"/>
      </rPr>
      <t>el</t>
    </r>
    <r>
      <rPr>
        <b/>
        <sz val="8"/>
        <rFont val="Arial"/>
        <family val="2"/>
      </rPr>
      <t xml:space="preserve"> KWK-Leistung -</t>
    </r>
    <r>
      <rPr>
        <sz val="8"/>
        <rFont val="Arial"/>
        <family val="2"/>
      </rPr>
      <t xml:space="preserve"> KWKG 2012</t>
    </r>
  </si>
  <si>
    <r>
      <t>Bestands-KWK-Anlagen ab 2 MW</t>
    </r>
    <r>
      <rPr>
        <b/>
        <vertAlign val="subscript"/>
        <sz val="8"/>
        <rFont val="Arial"/>
        <family val="2"/>
      </rPr>
      <t>el</t>
    </r>
    <r>
      <rPr>
        <b/>
        <sz val="8"/>
        <rFont val="Arial"/>
        <family val="2"/>
      </rPr>
      <t xml:space="preserve"> KWK-Leistung -</t>
    </r>
    <r>
      <rPr>
        <sz val="8"/>
        <rFont val="Arial"/>
        <family val="2"/>
      </rPr>
      <t xml:space="preserve"> KWKG 2012</t>
    </r>
  </si>
  <si>
    <r>
      <t>Bestands-KWK-Anlagen -</t>
    </r>
    <r>
      <rPr>
        <sz val="8"/>
        <rFont val="Arial"/>
        <family val="2"/>
      </rPr>
      <t xml:space="preserve"> KWKG 2009</t>
    </r>
  </si>
  <si>
    <r>
      <t>Zuschlagszahlungen an Betreiber von WKNS</t>
    </r>
    <r>
      <rPr>
        <sz val="8"/>
        <rFont val="Arial"/>
        <family val="2"/>
      </rPr>
      <t xml:space="preserve"> - gem. Abrechnung</t>
    </r>
  </si>
  <si>
    <t>Summe Gesamt</t>
  </si>
  <si>
    <t>Plausi</t>
  </si>
  <si>
    <t>Förderwirksame Strommenge in Kilowattstunden (kWh)</t>
  </si>
  <si>
    <t>Förderwirksame KWK-Strommenge
nach KWKG 2009</t>
  </si>
  <si>
    <t>Förderwirksame KWK-Strommenge
nach KWKG 2012</t>
  </si>
  <si>
    <t>Förderwirksame KWK-Strommenge
nach KWKG 2025</t>
  </si>
  <si>
    <t>Förderwirksame KWK-Strommengen
gesamt</t>
  </si>
  <si>
    <t>[kWh]</t>
  </si>
  <si>
    <t>Regelzone 50Hertz (gesamt)</t>
  </si>
  <si>
    <t>SNB901665585874</t>
  </si>
  <si>
    <t>GETEC net GmbH</t>
  </si>
  <si>
    <t>SNB910474681448</t>
  </si>
  <si>
    <t>Stadtwerke Staßfurt GmbH</t>
  </si>
  <si>
    <t>SNB911159111601</t>
  </si>
  <si>
    <t>BASF Schwarzheide GmbH</t>
  </si>
  <si>
    <t>SNB912218404412</t>
  </si>
  <si>
    <t>Kommunale Energieversorgung GmbH Eisenhüttenstadt</t>
  </si>
  <si>
    <t>SNB913006238462</t>
  </si>
  <si>
    <t>Stadtwerke Merseburg GmbH</t>
  </si>
  <si>
    <t>SNB913130054136</t>
  </si>
  <si>
    <t>Netzgesellschaft Schwerin mbH (NGS)</t>
  </si>
  <si>
    <t>SNB913280322543</t>
  </si>
  <si>
    <t>Stadtwerke Schwedt GmbH</t>
  </si>
  <si>
    <t>SNB913563830420</t>
  </si>
  <si>
    <t>ENA Energienetze Apolda GmbH</t>
  </si>
  <si>
    <t>SNB914103081760</t>
  </si>
  <si>
    <t>Meißener Stadtwerke GmbH</t>
  </si>
  <si>
    <t>SNB914630088973</t>
  </si>
  <si>
    <t>Stadtwerke Neustrelitz GmbH</t>
  </si>
  <si>
    <t>SNB914879260819</t>
  </si>
  <si>
    <t>Stadtwerke Wernigerode GmbH</t>
  </si>
  <si>
    <t>SNB915186313908</t>
  </si>
  <si>
    <t>Energieversorgung Guben GmbH</t>
  </si>
  <si>
    <t>SNB915358347793</t>
  </si>
  <si>
    <t>Stadtwerke Lübz GmbH</t>
  </si>
  <si>
    <t>SNB915638224585</t>
  </si>
  <si>
    <t>SWS Netze GmbH</t>
  </si>
  <si>
    <t>SNB916269213931</t>
  </si>
  <si>
    <t>Mitteldeutsche Netzgesellschaft Strom mbH</t>
  </si>
  <si>
    <t>SNB916663914472</t>
  </si>
  <si>
    <t>inetz GmbH</t>
  </si>
  <si>
    <t>SNB917314328846</t>
  </si>
  <si>
    <t>Energienetze Berlin GmbH</t>
  </si>
  <si>
    <t>SNB917432806905</t>
  </si>
  <si>
    <t>Netzgesellschaft Eisenberg mbH</t>
  </si>
  <si>
    <t>SNB918070278383</t>
  </si>
  <si>
    <t>Stadtwerke Meerane GmbH</t>
  </si>
  <si>
    <t>SNB918084816830</t>
  </si>
  <si>
    <t>Stadtwerke Weißwasser GmbH</t>
  </si>
  <si>
    <t>SNB918539636471</t>
  </si>
  <si>
    <t>Stromversorgung Zerbst GmbH &amp; Co. KG</t>
  </si>
  <si>
    <t>SNB918620072652</t>
  </si>
  <si>
    <t>ASCANETZ GmbH</t>
  </si>
  <si>
    <t>SNB919654931526</t>
  </si>
  <si>
    <t>Stadtwerke Blankenburg GmbH</t>
  </si>
  <si>
    <t>SNB919657321775</t>
  </si>
  <si>
    <t>Licht- und Kraftwerke Sonneberg GmbH</t>
  </si>
  <si>
    <t>SNB920348005966</t>
  </si>
  <si>
    <t>Stadtwerke Neuruppin GmbH</t>
  </si>
  <si>
    <t>SNB920699937404</t>
  </si>
  <si>
    <t>Stadtwerke Elbtal GmbH</t>
  </si>
  <si>
    <t>SNB921629791202</t>
  </si>
  <si>
    <t>ENGIE Deutschland GmbH</t>
  </si>
  <si>
    <t>SNB922055731633</t>
  </si>
  <si>
    <t>Netzgesellschaft Forst (Lausitz) mbH &amp; Co. KG</t>
  </si>
  <si>
    <t>SNB922354559020</t>
  </si>
  <si>
    <t>Stadtwerke Pritzwalk GmbH</t>
  </si>
  <si>
    <t>SNB922689183730</t>
  </si>
  <si>
    <t>Stadt- und Überlandwerke GmbH Luckau-Lübbenau</t>
  </si>
  <si>
    <t>SNB922861338965</t>
  </si>
  <si>
    <t>Stadtwerke Sangerhausen GmbH</t>
  </si>
  <si>
    <t>SNB925823629552</t>
  </si>
  <si>
    <t>Zwickauer Energieversorgung GmbH</t>
  </si>
  <si>
    <t>SNB925883927308</t>
  </si>
  <si>
    <t>Stadtwerke Meiningen GmbH</t>
  </si>
  <si>
    <t>SNB926394976090</t>
  </si>
  <si>
    <t>Städtische Werke Spremberg (Lausitz) GmbH</t>
  </si>
  <si>
    <t>SNB926442995943</t>
  </si>
  <si>
    <t>Stadtwerke Greifswald GmbH</t>
  </si>
  <si>
    <t>SNB926470799582</t>
  </si>
  <si>
    <t>Stadtwerke Löbau GmbH</t>
  </si>
  <si>
    <t>SNB927160517950</t>
  </si>
  <si>
    <t>Stadtwerke Burg Energienetze GmbH</t>
  </si>
  <si>
    <t>SNB927925826730</t>
  </si>
  <si>
    <t>Stadtwerke Pirna Energie GmbH</t>
  </si>
  <si>
    <t>SNB928200943784</t>
  </si>
  <si>
    <t>Stadtwerke Ludwigslust-Grabow GmbH</t>
  </si>
  <si>
    <t>SNB928602915495</t>
  </si>
  <si>
    <t>Stadtwerke Hagenow GmbH</t>
  </si>
  <si>
    <t>SNB928759560869</t>
  </si>
  <si>
    <t>WEMAG Netz GmbH</t>
  </si>
  <si>
    <t>SNB929027950139</t>
  </si>
  <si>
    <t>Netzgesellschaft Potsdam GmbH</t>
  </si>
  <si>
    <t>SNB930067626847</t>
  </si>
  <si>
    <t>Greizer Energienetze GmbH</t>
  </si>
  <si>
    <t>SNB930525911119</t>
  </si>
  <si>
    <t>EGC Infrastruktur und Netz GmbH</t>
  </si>
  <si>
    <t>SNB931294328658</t>
  </si>
  <si>
    <t>Stadtwerke Neustadt an der Orla GmbH</t>
  </si>
  <si>
    <t>SNB931431136771</t>
  </si>
  <si>
    <t>Elektroenergieversorgung Cottbus GmbH</t>
  </si>
  <si>
    <t>SNB931986174853</t>
  </si>
  <si>
    <t>Stadtwerke Mühlhausen Netz GmbH</t>
  </si>
  <si>
    <t>SNB932006596143</t>
  </si>
  <si>
    <t>Sömmerdaer Energieversorgung GmbH</t>
  </si>
  <si>
    <t>SNB932107297727</t>
  </si>
  <si>
    <t>Stadtwerke Lutherstadt Wittenberg GmbH</t>
  </si>
  <si>
    <t>SNB932509765411</t>
  </si>
  <si>
    <t>Stadtwerke Teterow GmbH</t>
  </si>
  <si>
    <t>SNB933235634552</t>
  </si>
  <si>
    <t>Stadtwerke Torgau GmbH</t>
  </si>
  <si>
    <t>SNB933274941888</t>
  </si>
  <si>
    <t>Stadtwerke Weißenfels Energienetze GmbH</t>
  </si>
  <si>
    <t>SNB933459598975</t>
  </si>
  <si>
    <t>Netze Magdeburg GmbH</t>
  </si>
  <si>
    <t>SNB933869654360</t>
  </si>
  <si>
    <t>Stromkontor Rostock Port GmbH</t>
  </si>
  <si>
    <t>SNB934071779865</t>
  </si>
  <si>
    <t>OsthessenNetz GmbH</t>
  </si>
  <si>
    <t>SNB934355412402</t>
  </si>
  <si>
    <t>Havelstrom Zehdenick GmbH</t>
  </si>
  <si>
    <t>SNB934514392514</t>
  </si>
  <si>
    <t>Energie- und Wasserversorgung Altenburg GmbH</t>
  </si>
  <si>
    <t>SNB934984130722</t>
  </si>
  <si>
    <t>ewag kamenz Energie und Wasserversorgung Aktiengesellschaft Kamenz</t>
  </si>
  <si>
    <t>SNB935760057516</t>
  </si>
  <si>
    <t>Stadtwerke Suhl/Zella-Mehlis Netz GmbH</t>
  </si>
  <si>
    <t>SNB936461984224</t>
  </si>
  <si>
    <t>Stadtwerke Schönebeck GmbH - SWS -</t>
  </si>
  <si>
    <t>SNB936480897581</t>
  </si>
  <si>
    <t>Elektrizitätswerk Max Peissker</t>
  </si>
  <si>
    <t>SNB936769439815</t>
  </si>
  <si>
    <t>Stadtwerke Annaberg-Buchholz Energie AG</t>
  </si>
  <si>
    <t>SNB936940951426</t>
  </si>
  <si>
    <t>Überlandwerk Rhön GmbH</t>
  </si>
  <si>
    <t>SNB937001443546</t>
  </si>
  <si>
    <t>Stadtwerke Delitzsch GmbH</t>
  </si>
  <si>
    <t>SNB938672757734</t>
  </si>
  <si>
    <t>Stadtwerke Görlitz AG</t>
  </si>
  <si>
    <t>SNB939517994215</t>
  </si>
  <si>
    <t>NETZE Bad Langensalza GmbH</t>
  </si>
  <si>
    <t>SNB939624707241</t>
  </si>
  <si>
    <t>Neubrandenburger Stadtwerke GmbH</t>
  </si>
  <si>
    <t>SNB939724292715</t>
  </si>
  <si>
    <t>Stadtwerke Rostock Netzgesellschaft mbH</t>
  </si>
  <si>
    <t>SNB941081544895</t>
  </si>
  <si>
    <t>Stadtwerke Wittenberge GmbH</t>
  </si>
  <si>
    <t>SNB941283828373</t>
  </si>
  <si>
    <t>Stadtwerke Prenzlau GmbH</t>
  </si>
  <si>
    <t>SNB941314694489</t>
  </si>
  <si>
    <t>Stadtwerke Oelsnitz/V. GmbH</t>
  </si>
  <si>
    <t>SNB941690671609</t>
  </si>
  <si>
    <t>E.DIS Netz GmbH</t>
  </si>
  <si>
    <t>SNB942159258331</t>
  </si>
  <si>
    <t>Stadtwerke Schkeuditz GmbH</t>
  </si>
  <si>
    <t>SNB943531720705</t>
  </si>
  <si>
    <t>Städtische Betriebswerke Luckenwalde GmbH</t>
  </si>
  <si>
    <t>SNB943962034624</t>
  </si>
  <si>
    <t>Energie- und Wasserwerke Bautzen GmbH Energijowe a Wodowezawody Budysin</t>
  </si>
  <si>
    <t>SNB944962954653</t>
  </si>
  <si>
    <t>Stadtwerke Hettstedt GmbH</t>
  </si>
  <si>
    <t>SNB945861817537</t>
  </si>
  <si>
    <t>Stadtwerke Jena Netze GmbH</t>
  </si>
  <si>
    <t>SNB946013720880</t>
  </si>
  <si>
    <t>Städtische Werke Borna Netz GmbH</t>
  </si>
  <si>
    <t>SNB946425570127</t>
  </si>
  <si>
    <t>Stadtwerke Lutherstadt Eisleben GmbH</t>
  </si>
  <si>
    <t>SNB946612539746</t>
  </si>
  <si>
    <t>Versorgungsbetriebe Hoyerswerda GmbH</t>
  </si>
  <si>
    <t>SNB948470226516</t>
  </si>
  <si>
    <t>Stadtwerke Malchow</t>
  </si>
  <si>
    <t>SNB948816192529</t>
  </si>
  <si>
    <t>GeraNetz GmbH</t>
  </si>
  <si>
    <t>SNB948859455841</t>
  </si>
  <si>
    <t>Netz Leipzig GmbH</t>
  </si>
  <si>
    <t>SNB950262883869</t>
  </si>
  <si>
    <t>SWE Netz GmbH (Erfurt)</t>
  </si>
  <si>
    <t>SNB951105240061</t>
  </si>
  <si>
    <t>Stadtwerke Oranienburg GmbH</t>
  </si>
  <si>
    <t>SNB951305396193</t>
  </si>
  <si>
    <t>Stadtwerke Riesa GmbH</t>
  </si>
  <si>
    <t>SNB952677840789</t>
  </si>
  <si>
    <t>Stadtwerke Heilbad Heiligenstadt GmbH</t>
  </si>
  <si>
    <t>SNB953495670831</t>
  </si>
  <si>
    <t>EnR Energienetze Rudolstadt GmbH</t>
  </si>
  <si>
    <t>SNB953669866350</t>
  </si>
  <si>
    <t>Stadtwerke Bernburg GmbH</t>
  </si>
  <si>
    <t>SNB954281375657</t>
  </si>
  <si>
    <t>Dessauer Stromversorgung GmbH</t>
  </si>
  <si>
    <t>SNB954814647626</t>
  </si>
  <si>
    <t>Netzgesellschaft Frankfurt (Oder) mbH</t>
  </si>
  <si>
    <t>SNB957404386462</t>
  </si>
  <si>
    <t>Stadtwerke - Altm. Gas-, Wasseru.Elektrizitätswerke GmbH Stendal</t>
  </si>
  <si>
    <t>SNB957440824454</t>
  </si>
  <si>
    <t>Stadtwerke Velten GmbH</t>
  </si>
  <si>
    <t>SNB957549782006</t>
  </si>
  <si>
    <t>Stadtwerke Finsterwalde GmbH</t>
  </si>
  <si>
    <t>SNB957591716776</t>
  </si>
  <si>
    <t>Stadtwerke Aue - Bad Schlema GmbH</t>
  </si>
  <si>
    <t>SNB958237843443</t>
  </si>
  <si>
    <t>Saalfelder Energienetze GmbH</t>
  </si>
  <si>
    <t>SNB959120377328</t>
  </si>
  <si>
    <t>Stadtwerke Haldensleben GmbH</t>
  </si>
  <si>
    <t>SNB959176447266</t>
  </si>
  <si>
    <t>Nordhausen Netz GmbH</t>
  </si>
  <si>
    <t>SNB959567240391</t>
  </si>
  <si>
    <t>Stadtwerke Reichenbach/Vogtland GmbH</t>
  </si>
  <si>
    <t>SNB959966681252</t>
  </si>
  <si>
    <t>Stadtwerke Zittau GmbH</t>
  </si>
  <si>
    <t>SNB960729432592</t>
  </si>
  <si>
    <t>Stadtwerke Havelberg GmbH</t>
  </si>
  <si>
    <t>SNB961316124487</t>
  </si>
  <si>
    <t>Stadtwerke Gotha Netz GmbH</t>
  </si>
  <si>
    <t>SNB961833910969</t>
  </si>
  <si>
    <t>Stadtwerke Pasewalk GmbH</t>
  </si>
  <si>
    <t>SNB961943991735</t>
  </si>
  <si>
    <t>Stadtwerke Niesky GmbH</t>
  </si>
  <si>
    <t>SNB962389410347</t>
  </si>
  <si>
    <t>Stadtwerke Werdau GmbH</t>
  </si>
  <si>
    <t>SNB962890977544</t>
  </si>
  <si>
    <t>Stadtwerke Bernau GmbH</t>
  </si>
  <si>
    <t>SNB963070917732</t>
  </si>
  <si>
    <t>Stadtwerke Glauchau Dienstleistungsgesellschaft mbH</t>
  </si>
  <si>
    <t>SNB963792700889</t>
  </si>
  <si>
    <t>ENWG Energienetze Weimar GmbH &amp; Co. KG</t>
  </si>
  <si>
    <t>SNB963995572245</t>
  </si>
  <si>
    <t>REDINET Burgenland GmbH</t>
  </si>
  <si>
    <t>SNB964045995373</t>
  </si>
  <si>
    <t>Strom- und Gasnetz Wismar GmbH</t>
  </si>
  <si>
    <t>SNB964092397892</t>
  </si>
  <si>
    <t>ENRO Ludwigsfelde Netz GmbH</t>
  </si>
  <si>
    <t>SNB964659661008</t>
  </si>
  <si>
    <t>Stadtwerke Ilmenau GmbH</t>
  </si>
  <si>
    <t>SNB968295079586</t>
  </si>
  <si>
    <t>Stromnetz Hamburg GmbH</t>
  </si>
  <si>
    <t>SNB968914838013</t>
  </si>
  <si>
    <t>SachsenNetze HS.HD GmbH</t>
  </si>
  <si>
    <t>SNB970223838288</t>
  </si>
  <si>
    <t>Stadtwerke Quedlinburg GmbH</t>
  </si>
  <si>
    <t>SNB970821959712</t>
  </si>
  <si>
    <t>TEN Thüringer Energienetze GmbH &amp; Co. KG</t>
  </si>
  <si>
    <t>SNB971199523673</t>
  </si>
  <si>
    <t>StWB Stadtwerke Brandenburg an der Havel GmbH &amp; Co. KG</t>
  </si>
  <si>
    <t>SNB971345683381</t>
  </si>
  <si>
    <t>Stadtwerke Wolmirstedt GmbH</t>
  </si>
  <si>
    <t>SNB971770548286</t>
  </si>
  <si>
    <t>VersorgungsBetriebe Elbe GmbH</t>
  </si>
  <si>
    <t>SNB971962135690</t>
  </si>
  <si>
    <t>Infrastrukturbetrieb der Stadt Arneburg</t>
  </si>
  <si>
    <t>SNB973501936539</t>
  </si>
  <si>
    <t>Werraenergie GmbH</t>
  </si>
  <si>
    <t>SNB973505068113</t>
  </si>
  <si>
    <t>Stadtwerke Waren GmbH</t>
  </si>
  <si>
    <t>SNB974684403535</t>
  </si>
  <si>
    <t>Energiewerke Zeulenroda GmbH</t>
  </si>
  <si>
    <t>SNB974763887737</t>
  </si>
  <si>
    <t>Energieversorgung Inselsberg GmbH</t>
  </si>
  <si>
    <t>SNB975176329548</t>
  </si>
  <si>
    <t>Energieverbund Gierstädt GmbH</t>
  </si>
  <si>
    <t>SNB975846871759</t>
  </si>
  <si>
    <t>Stadtwerke Strausberg GmbH</t>
  </si>
  <si>
    <t>SNB976240506834</t>
  </si>
  <si>
    <t>Stadtwerke Stadtroda GmbH</t>
  </si>
  <si>
    <t>SNB976679550309</t>
  </si>
  <si>
    <t>Stadtwerke Döbeln GmbH</t>
  </si>
  <si>
    <t>SNB977174706994</t>
  </si>
  <si>
    <t>Stadtwerke Eilenburg GmbH</t>
  </si>
  <si>
    <t>SNB977374861035</t>
  </si>
  <si>
    <t>Halberstadtwerke GmbH</t>
  </si>
  <si>
    <t>SNB977641826996</t>
  </si>
  <si>
    <t>Verteilnetz Plauen GmbH</t>
  </si>
  <si>
    <t>SNB978051166283</t>
  </si>
  <si>
    <t>Netzgesellschaft Bitterfeld-Wolfen mbH</t>
  </si>
  <si>
    <t>SNB978071940108</t>
  </si>
  <si>
    <t>Technische Werke Naumburg GmbH</t>
  </si>
  <si>
    <t>SNB979269087643</t>
  </si>
  <si>
    <t>Stromnetz Berlin GmbH</t>
  </si>
  <si>
    <t>SNB979429791342</t>
  </si>
  <si>
    <t>Stadtwerke Schneeberg GmbH</t>
  </si>
  <si>
    <t>SNB980362940834</t>
  </si>
  <si>
    <t>Stromnetz24 GmbH</t>
  </si>
  <si>
    <t>SNB980808485264</t>
  </si>
  <si>
    <t>SachsenNetze GmbH</t>
  </si>
  <si>
    <t>SNB981122608278</t>
  </si>
  <si>
    <t>Stromkontor Netzgesellschaft mbH</t>
  </si>
  <si>
    <t>SNB981460842488</t>
  </si>
  <si>
    <t>Stromversorgung Angermünde GmbH</t>
  </si>
  <si>
    <t>SNB981597332487</t>
  </si>
  <si>
    <t>Fährhafen Sassnitz GmbH</t>
  </si>
  <si>
    <t>SNB982241851170</t>
  </si>
  <si>
    <t>Freitaler Stadtwerke GmbH</t>
  </si>
  <si>
    <t>SNB982722829230</t>
  </si>
  <si>
    <t>InfraLeuna GmbH</t>
  </si>
  <si>
    <t>SNB982934611074</t>
  </si>
  <si>
    <t>Energieversorgung Halle Netz GmbH</t>
  </si>
  <si>
    <t>SNB983029590205</t>
  </si>
  <si>
    <t>Stadtwerke Güstrow GmbH</t>
  </si>
  <si>
    <t>SNB983765888505</t>
  </si>
  <si>
    <t>Stadtwerke Ludwigsfelde GmbH</t>
  </si>
  <si>
    <t>SNB985072256732</t>
  </si>
  <si>
    <t>Stadtwerke Schwarzenberg GmbH</t>
  </si>
  <si>
    <t>SNB985993443181</t>
  </si>
  <si>
    <t>Stadtwerke Arnstadt Netz GmbH &amp; Co. KG</t>
  </si>
  <si>
    <t>SNB987317008403</t>
  </si>
  <si>
    <t>Netzgesellschaft Panketal GmbH</t>
  </si>
  <si>
    <t>SNB987483520273</t>
  </si>
  <si>
    <t>Stadtwerke Sondershausen Netz GmbH</t>
  </si>
  <si>
    <t>SNB988532040636</t>
  </si>
  <si>
    <t>PVU Energienetze GmbH</t>
  </si>
  <si>
    <t>SNB989700422711</t>
  </si>
  <si>
    <t>EVB Netze GmbH</t>
  </si>
  <si>
    <t>SNB990362338043</t>
  </si>
  <si>
    <t>Avacon Netz GmbH</t>
  </si>
  <si>
    <t>SNB990971435621</t>
  </si>
  <si>
    <t>Freiberger Stromversorgung GmbH</t>
  </si>
  <si>
    <t>SNB991689251534</t>
  </si>
  <si>
    <t>Stadtwerke Grevesmühlen GmbH</t>
  </si>
  <si>
    <t>SNB991836941189</t>
  </si>
  <si>
    <t>Stadtwerke Olbernhau GmbH</t>
  </si>
  <si>
    <t>SNB995034381532</t>
  </si>
  <si>
    <t>Stadtwerke Senftenberg GmbH</t>
  </si>
  <si>
    <t>SNB995332374861</t>
  </si>
  <si>
    <t>GETEC Quartier GmbH</t>
  </si>
  <si>
    <t>SNB999125588145</t>
  </si>
  <si>
    <t>Stadtwerke Parchim GmbH</t>
  </si>
  <si>
    <t>SNB982046657236</t>
  </si>
  <si>
    <t>50Hertz Transmission GmbH</t>
  </si>
  <si>
    <t>Regelzone Amprion (gesamt)</t>
  </si>
  <si>
    <t>SNB900123507953</t>
  </si>
  <si>
    <t>Stadtwerke Steinfurt GmbH</t>
  </si>
  <si>
    <t>SNB910696207785</t>
  </si>
  <si>
    <t>Teutoburger Energie Netzwerk eG</t>
  </si>
  <si>
    <t>SNB911081401368</t>
  </si>
  <si>
    <t>Aschaffenburger Versorgungs-GmbH</t>
  </si>
  <si>
    <t>SNB911144461377</t>
  </si>
  <si>
    <t>NGN NETZGESELLSCHAFT NIEDERRHEIN MBH</t>
  </si>
  <si>
    <t>SNB911521002599</t>
  </si>
  <si>
    <t>EnergieSüdwest Netz GmbH</t>
  </si>
  <si>
    <t>SNB911602541351</t>
  </si>
  <si>
    <t>Stadtwerke Backnang GmbH</t>
  </si>
  <si>
    <t>SNB911641710114</t>
  </si>
  <si>
    <t>Regionetz GmbH</t>
  </si>
  <si>
    <t>SNB911705062982</t>
  </si>
  <si>
    <t>LEW Verteilnetz GmbH</t>
  </si>
  <si>
    <t>SNB912063565672</t>
  </si>
  <si>
    <t>Stadtwerke Fröndenberg Wickede GmbH</t>
  </si>
  <si>
    <t>SNB912239808732</t>
  </si>
  <si>
    <t>Rheinhessische Energie- und Wasserversorgungs-GmbH</t>
  </si>
  <si>
    <t>SNB912743424114</t>
  </si>
  <si>
    <t>Energie- und Wasserversorgung Hamm GmbH</t>
  </si>
  <si>
    <t>SNB913730249284</t>
  </si>
  <si>
    <t>Stadtwerke Iserlohn GmbH</t>
  </si>
  <si>
    <t>SNB913768089142</t>
  </si>
  <si>
    <t>FASTR GmbH</t>
  </si>
  <si>
    <t>SNB914027640531</t>
  </si>
  <si>
    <t>SWL Energienetz- und Entsorgungsgesellschaft mbH</t>
  </si>
  <si>
    <t>SNB914306944756</t>
  </si>
  <si>
    <t>WSW Netz GmbH</t>
  </si>
  <si>
    <t>SNB914731268120</t>
  </si>
  <si>
    <t>MEGA Monheimer Elektrizitäts- und Gasversorgung GmbH</t>
  </si>
  <si>
    <t>SNB915100694458</t>
  </si>
  <si>
    <t>Energienetze Offenbach GmbH</t>
  </si>
  <si>
    <t>SNB915471253889</t>
  </si>
  <si>
    <t>Netzwerke Saarlouis GmbH</t>
  </si>
  <si>
    <t>SNB916123648602</t>
  </si>
  <si>
    <t>Netze Duisburg GmbH</t>
  </si>
  <si>
    <t>SNB916617262147</t>
  </si>
  <si>
    <t>Gemeindewerke Rheinzabern</t>
  </si>
  <si>
    <t>SNB918097788087</t>
  </si>
  <si>
    <t>Stadtwerke Speyer GmbH</t>
  </si>
  <si>
    <t>SNB918156808725</t>
  </si>
  <si>
    <t>Stadtwerke Erkrath GmbH</t>
  </si>
  <si>
    <t>SNB918250928893</t>
  </si>
  <si>
    <t>Syna GmbH</t>
  </si>
  <si>
    <t>SNB918290153354</t>
  </si>
  <si>
    <t>Stadtwerke Bad Dürkheim GmbH</t>
  </si>
  <si>
    <t>SNB918576265276</t>
  </si>
  <si>
    <t>stadtwerker GmbH</t>
  </si>
  <si>
    <t>SNB918689434309</t>
  </si>
  <si>
    <t>EVU Dahn</t>
  </si>
  <si>
    <t>SNB919708421706</t>
  </si>
  <si>
    <t>Gemeindewerke Hütschenhausen</t>
  </si>
  <si>
    <t>SNB920357766414</t>
  </si>
  <si>
    <t>Leitungspartner GmbH</t>
  </si>
  <si>
    <t>SNB921299925846</t>
  </si>
  <si>
    <t>Stadtwerke Bad Bergzabern GmbH</t>
  </si>
  <si>
    <t>SNB921319639913</t>
  </si>
  <si>
    <t>Enervie Vernetzt GmbH</t>
  </si>
  <si>
    <t>SNB921550647487</t>
  </si>
  <si>
    <t>E-Werk Meckenheim/Pfalz</t>
  </si>
  <si>
    <t>SNB921816651920</t>
  </si>
  <si>
    <t>Stadtwerke Haltern am See GmbH</t>
  </si>
  <si>
    <t>SNB921897286493</t>
  </si>
  <si>
    <t>WESTNETZ GmbH</t>
  </si>
  <si>
    <t>SNB922030852827</t>
  </si>
  <si>
    <t>Stadtwerke EVB Huntetal Netz GmbH</t>
  </si>
  <si>
    <t>SNB922361841965</t>
  </si>
  <si>
    <t>Gemeindewerke Budenheim AöR</t>
  </si>
  <si>
    <t>SNB922514070884</t>
  </si>
  <si>
    <t>Stadtwerke Bliestal GmbH</t>
  </si>
  <si>
    <t>SNB922607376381</t>
  </si>
  <si>
    <t>Stadtwerke Bochum Netz GmbH</t>
  </si>
  <si>
    <t>SNB922774216633</t>
  </si>
  <si>
    <t>Stadtwerke Menden GmbH</t>
  </si>
  <si>
    <t>SNB923190544898</t>
  </si>
  <si>
    <t>Stadtwerke Zweibrücken GmbH</t>
  </si>
  <si>
    <t>SNB924477581384</t>
  </si>
  <si>
    <t>RheinNetz GmbH</t>
  </si>
  <si>
    <t>SNB924659713978</t>
  </si>
  <si>
    <t>Stadtwerke Troisdorf GmbH</t>
  </si>
  <si>
    <t>SNB924685554682</t>
  </si>
  <si>
    <t>Stadtwerke Schifferstadt</t>
  </si>
  <si>
    <t>SNB924747450655</t>
  </si>
  <si>
    <t>EWR GmbH</t>
  </si>
  <si>
    <t>SNB925558752303</t>
  </si>
  <si>
    <t>Elektrizitätswerk Hindelang eG</t>
  </si>
  <si>
    <t>SNB925999725461</t>
  </si>
  <si>
    <t>Stadtwerke Neuwied GmbH</t>
  </si>
  <si>
    <t>SNB926394308747</t>
  </si>
  <si>
    <t>AllgäuNetz GmbH &amp; Co. KG</t>
  </si>
  <si>
    <t>SNB926470603247</t>
  </si>
  <si>
    <t>Stadtwerke St. Ingbert GmbH</t>
  </si>
  <si>
    <t>SNB926480464456</t>
  </si>
  <si>
    <t>Stadtwerke Weilburg GmbH</t>
  </si>
  <si>
    <t>SNB926697076725</t>
  </si>
  <si>
    <t>Stadtwerke Dülmen GmbH</t>
  </si>
  <si>
    <t>SNB927498960503</t>
  </si>
  <si>
    <t>Bonn-Netz GmbH</t>
  </si>
  <si>
    <t>SNB929088252340</t>
  </si>
  <si>
    <t>Netzwerke Merzig GmbH</t>
  </si>
  <si>
    <t>SNB929663692172</t>
  </si>
  <si>
    <t>Stadtwerke Landsberg KU</t>
  </si>
  <si>
    <t>SNB929881052512</t>
  </si>
  <si>
    <t>Westfalen Weser Netz GmbH</t>
  </si>
  <si>
    <t>SNB930325069232</t>
  </si>
  <si>
    <t>SWL Übertragungsnetzgesellschaft mbH</t>
  </si>
  <si>
    <t>SNB930709120863</t>
  </si>
  <si>
    <t>Stadtwerke Versmold GmbH</t>
  </si>
  <si>
    <t>SNB931015724646</t>
  </si>
  <si>
    <t>Elektrizitätsgenossenschaft Oesterweg eG</t>
  </si>
  <si>
    <t>SNB931070025696</t>
  </si>
  <si>
    <t>Alliander Netz Heinsberg GmbH</t>
  </si>
  <si>
    <t>SNB931164620455</t>
  </si>
  <si>
    <t>SWV Regional GmbH</t>
  </si>
  <si>
    <t>SNB931546188436</t>
  </si>
  <si>
    <t>Netzgesellschaft Gütersloh mbH</t>
  </si>
  <si>
    <t>SNB931774737192</t>
  </si>
  <si>
    <t>Gemeindewerke Stockstadt Eigenbetrieb Stockstadt am Main</t>
  </si>
  <si>
    <t>SNB931930462517</t>
  </si>
  <si>
    <t>Energieversorgung Rüsselsheim GmbH</t>
  </si>
  <si>
    <t>SNB932161540975</t>
  </si>
  <si>
    <t>Verbandsgemeindewerke Enkenbach-Alsenborn</t>
  </si>
  <si>
    <t>SNB932375556731</t>
  </si>
  <si>
    <t>Stadtwerke Ostmünsterland GmbH &amp; Co. KG</t>
  </si>
  <si>
    <t>SNB932516649124</t>
  </si>
  <si>
    <t>Energie- und Wasserversorgung Rheine GmbH</t>
  </si>
  <si>
    <t>SNB932788203468</t>
  </si>
  <si>
    <t>Stadtwerke Schwerte GmbH</t>
  </si>
  <si>
    <t>SNB933760214908</t>
  </si>
  <si>
    <t>Veolia Industriepark Deutschland GmbH</t>
  </si>
  <si>
    <t>SNB933767388565</t>
  </si>
  <si>
    <t>Netzgesellschaft Ahlen mbH</t>
  </si>
  <si>
    <t>SNB933956506145</t>
  </si>
  <si>
    <t>Netzgesellschaft Düsseldorf mbH</t>
  </si>
  <si>
    <t>SNB934068635945</t>
  </si>
  <si>
    <t>Stadtwerke Ulm/Neu-Ulm Netze GmbH</t>
  </si>
  <si>
    <t>SNB934185023519</t>
  </si>
  <si>
    <t>Netzgesellschaft Lübbecke mbH</t>
  </si>
  <si>
    <t>SNB934949020686</t>
  </si>
  <si>
    <t>Stadtwerke Gronau GmbH</t>
  </si>
  <si>
    <t>SNB934961797092</t>
  </si>
  <si>
    <t>Stadtwerke Ochtrup</t>
  </si>
  <si>
    <t>SNB935578300972</t>
  </si>
  <si>
    <t>TWL Netze GmbH</t>
  </si>
  <si>
    <t>SNB935600499711</t>
  </si>
  <si>
    <t>GSW Gemeinschaftsstadtwerke GmbH Kamen, Bönen, Bergkamen</t>
  </si>
  <si>
    <t>SNB935814055062</t>
  </si>
  <si>
    <t>Stadtwerke Kleve GmbH</t>
  </si>
  <si>
    <t>SNB939191427887</t>
  </si>
  <si>
    <t>Gelsenkirchen Raffinerie Netz GmbH</t>
  </si>
  <si>
    <t>SNB939688186686</t>
  </si>
  <si>
    <t>Abita Energie Otterberg GmbH</t>
  </si>
  <si>
    <t>SNB940122004213</t>
  </si>
  <si>
    <t>Verteilnetze Energie Weißenhorn GmbH &amp; Co. KG</t>
  </si>
  <si>
    <t>SNB940133714842</t>
  </si>
  <si>
    <t>Creos Deutschland GmbH</t>
  </si>
  <si>
    <t>SNB940437318166</t>
  </si>
  <si>
    <t>NEW Netz GmbH</t>
  </si>
  <si>
    <t>SNB941004899811</t>
  </si>
  <si>
    <t>Stadtwerke Goch GmbH</t>
  </si>
  <si>
    <t>SNB941650885558</t>
  </si>
  <si>
    <t>VSE Verteilnetz GmbH</t>
  </si>
  <si>
    <t>SNB942111583372</t>
  </si>
  <si>
    <t>Stadtwerke Lünen GmbH</t>
  </si>
  <si>
    <t>SNB942173666990</t>
  </si>
  <si>
    <t>Energieversorgung Beckum GmbH &amp; Co. KG</t>
  </si>
  <si>
    <t>SNB942182027607</t>
  </si>
  <si>
    <t>DB Energie GmbH</t>
  </si>
  <si>
    <t>SNB942305388936</t>
  </si>
  <si>
    <t>Stadtwerke Neustadt an der Weinstraße GmbH</t>
  </si>
  <si>
    <t>SNB942804093577</t>
  </si>
  <si>
    <t>Queichtal Energie Offenbach Netz GmbH</t>
  </si>
  <si>
    <t>SNB943042904373</t>
  </si>
  <si>
    <t>Stadtwerke Kempen GmbH</t>
  </si>
  <si>
    <t>SNB943170046990</t>
  </si>
  <si>
    <t>mve eurokom GmbH</t>
  </si>
  <si>
    <t>SNB943261073362</t>
  </si>
  <si>
    <t>Stadtwerke Sulzbach/Saar GmbH</t>
  </si>
  <si>
    <t>SNB943480673763</t>
  </si>
  <si>
    <t>Stadtwerke Coesfeld GmbH</t>
  </si>
  <si>
    <t>SNB943662886851</t>
  </si>
  <si>
    <t>SWO Netz GmbH</t>
  </si>
  <si>
    <t>SNB943841101959</t>
  </si>
  <si>
    <t>KEW Kommunale Energie- und Wasserversorgung AG</t>
  </si>
  <si>
    <t>SNB944057190867</t>
  </si>
  <si>
    <t>BEW Netze GmbH</t>
  </si>
  <si>
    <t>SNB944150243392</t>
  </si>
  <si>
    <t>Stadtwerke Unna GmbH</t>
  </si>
  <si>
    <t>SNB944294076061</t>
  </si>
  <si>
    <t>Stadtwerke Schüttorf-Emsbüren GmbH</t>
  </si>
  <si>
    <t>SNB945021456095</t>
  </si>
  <si>
    <t>Stadtwerke Kusel GmbH</t>
  </si>
  <si>
    <t>SNB945413736880</t>
  </si>
  <si>
    <t>Stadtwerke Völklingen Netz GmbH</t>
  </si>
  <si>
    <t>SNB945532057606</t>
  </si>
  <si>
    <t>nvb Nordhorner Versorgungsbetriebe GmbH</t>
  </si>
  <si>
    <t>SNB945750197795</t>
  </si>
  <si>
    <t>EVU Weilerbach</t>
  </si>
  <si>
    <t>SNB947698671429</t>
  </si>
  <si>
    <t>Stadtwerke Dreieich GmbH</t>
  </si>
  <si>
    <t>SNB948311994307</t>
  </si>
  <si>
    <t>Netze BW GmbH</t>
  </si>
  <si>
    <t>SNB948485211972</t>
  </si>
  <si>
    <t>YNCORIS GmbH &amp; Co. KG</t>
  </si>
  <si>
    <t>SNB948741734467</t>
  </si>
  <si>
    <t>Stadtwerke Bad Wörishofen</t>
  </si>
  <si>
    <t>SNB950006175489</t>
  </si>
  <si>
    <t>SWTE Netz GmbH &amp; Co. KG</t>
  </si>
  <si>
    <t>SNB950584553167</t>
  </si>
  <si>
    <t>Stadtwerke Wiesbaden Netz GmbH</t>
  </si>
  <si>
    <t>SNB950724684287</t>
  </si>
  <si>
    <t>Gemeindewerke Dudenhofen</t>
  </si>
  <si>
    <t>SNB950829478767</t>
  </si>
  <si>
    <t>TCA Sustainable Energy Solutions GmbH</t>
  </si>
  <si>
    <t>SNB951760950909</t>
  </si>
  <si>
    <t>KEEP - Kommunale Eisenberger Energiepartner GmbH</t>
  </si>
  <si>
    <t>SNB953661539375</t>
  </si>
  <si>
    <t>Stadtwerke Ratingen GmbH</t>
  </si>
  <si>
    <t>SNB954537392643</t>
  </si>
  <si>
    <t>Stadtwerke Homburg GmbH</t>
  </si>
  <si>
    <t>SNB955001358523</t>
  </si>
  <si>
    <t>Stadtwerke Pirmasens Versorgungs GmbH</t>
  </si>
  <si>
    <t>SNB955266506998</t>
  </si>
  <si>
    <t>Stadtwerke Bramsche GmbH</t>
  </si>
  <si>
    <t>SNB955586052717</t>
  </si>
  <si>
    <t>Stadtwerke Bexbach GmbH</t>
  </si>
  <si>
    <t>SNB956923775696</t>
  </si>
  <si>
    <t>CPM Netz GmbH</t>
  </si>
  <si>
    <t>SNB956958990736</t>
  </si>
  <si>
    <t>e-netz Südhessen AG</t>
  </si>
  <si>
    <t>SNB956986612075</t>
  </si>
  <si>
    <t>Saerbecker Ver- und Entsorgungsnetzgesellschaft mbH</t>
  </si>
  <si>
    <t>SNB958070514050</t>
  </si>
  <si>
    <t>Stadtwerke Grünstadt GmbH</t>
  </si>
  <si>
    <t>SNB958077102830</t>
  </si>
  <si>
    <t>swa Netze GmbH</t>
  </si>
  <si>
    <t>SNB958116260552</t>
  </si>
  <si>
    <t>Flughafen Düsseldorf GmbH</t>
  </si>
  <si>
    <t>SNB958416423039</t>
  </si>
  <si>
    <t>Stadtwerke Emsdetten GmbH</t>
  </si>
  <si>
    <t>SNB959523885956</t>
  </si>
  <si>
    <t>Mainzer Netze GmbH</t>
  </si>
  <si>
    <t>SNB959585826225</t>
  </si>
  <si>
    <t>Stadtwerke Lambrecht (Pfalz) GmbH</t>
  </si>
  <si>
    <t>SNB960263813482</t>
  </si>
  <si>
    <t>SNB960797798422</t>
  </si>
  <si>
    <t>Stadtwerke Neu-Isenburg GmbH</t>
  </si>
  <si>
    <t>SNB960884494671</t>
  </si>
  <si>
    <t>InfraServ GmbH &amp; Co. Wiesbaden KG</t>
  </si>
  <si>
    <t>SNB961322866920</t>
  </si>
  <si>
    <t>Gemeindewerke Herxheim - Elektrizitätswerk -</t>
  </si>
  <si>
    <t>SNB961471621746</t>
  </si>
  <si>
    <t>Pfalzwerke Netz AG</t>
  </si>
  <si>
    <t>SNB961497906636</t>
  </si>
  <si>
    <t>GELSENWASSER Energienetze GmbH</t>
  </si>
  <si>
    <t>SNB961745390019</t>
  </si>
  <si>
    <t>Stadtwerke Frankenthal GmbH</t>
  </si>
  <si>
    <t>SNB962064980332</t>
  </si>
  <si>
    <t>Nahwerk-Energie GmbH &amp; Co. KG</t>
  </si>
  <si>
    <t>SNB963671951227</t>
  </si>
  <si>
    <t>Stadtwerke Herne AG</t>
  </si>
  <si>
    <t>SNB964262506406</t>
  </si>
  <si>
    <t>Stadtwerke Radevormwald GmbH</t>
  </si>
  <si>
    <t>SNB964592501355</t>
  </si>
  <si>
    <t>Hertener Stadtwerke GmbH</t>
  </si>
  <si>
    <t>SNB965107360993</t>
  </si>
  <si>
    <t>Stadtwerke Geldern Netz GmbH</t>
  </si>
  <si>
    <t>SNB965118678667</t>
  </si>
  <si>
    <t>Stadtwerke Soest GmbH</t>
  </si>
  <si>
    <t>SNB965164398427</t>
  </si>
  <si>
    <t>Fraport AG</t>
  </si>
  <si>
    <t>SNB965281540327</t>
  </si>
  <si>
    <t>Energieversorgung Limburg GmbH</t>
  </si>
  <si>
    <t>SNB965379905076</t>
  </si>
  <si>
    <t>Stadtwerke Langen GmbH</t>
  </si>
  <si>
    <t>SNB965394941448</t>
  </si>
  <si>
    <t>Outokumpu Stainless Nirosta GmbH</t>
  </si>
  <si>
    <t>SNB966808200267</t>
  </si>
  <si>
    <t>Vereinigte Wertach-Elektrizitätswerke GmbH</t>
  </si>
  <si>
    <t>SNB966809778161</t>
  </si>
  <si>
    <t>Stadtwerke Groß-Gerau Versorgungs GmbH</t>
  </si>
  <si>
    <t>SNB966813503780</t>
  </si>
  <si>
    <t>SWT Stadtwerke Trier Versorgungs-GmbH</t>
  </si>
  <si>
    <t>SNB966823215826</t>
  </si>
  <si>
    <t>Talwerk GmbH</t>
  </si>
  <si>
    <t>SNB967148688999</t>
  </si>
  <si>
    <t>SWL Verteilungsnetzgesellschaft mbH</t>
  </si>
  <si>
    <t>SNB967794191157</t>
  </si>
  <si>
    <t>AVU Netz GmbH</t>
  </si>
  <si>
    <t>SNB968648650424</t>
  </si>
  <si>
    <t>Stadtwerke Wachenheim</t>
  </si>
  <si>
    <t>SNB968670865650</t>
  </si>
  <si>
    <t>GGEW, Gruppen-Gas- und Elektrizitätswerk Bergstraße AG</t>
  </si>
  <si>
    <t>SNB968694358282</t>
  </si>
  <si>
    <t>Stadtwerke Heiligenhaus GmbH</t>
  </si>
  <si>
    <t>SNB969058795651</t>
  </si>
  <si>
    <t>Stadtwerke Waiblingen GmbH</t>
  </si>
  <si>
    <t>SNB969068596941</t>
  </si>
  <si>
    <t>EWR Netz GmbH</t>
  </si>
  <si>
    <t>SNB969345305204</t>
  </si>
  <si>
    <t>Stadtwerke Warendorf GmbH</t>
  </si>
  <si>
    <t>SNB969362778135</t>
  </si>
  <si>
    <t>SWS Netze Solingen GmbH</t>
  </si>
  <si>
    <t>SNB969688824103</t>
  </si>
  <si>
    <t>Gemeindewerke Kirkel GmbH</t>
  </si>
  <si>
    <t>SNB969826201797</t>
  </si>
  <si>
    <t>Stadtwerke Hilden GmbH</t>
  </si>
  <si>
    <t>SNB971007500575</t>
  </si>
  <si>
    <t>Stadtwerke Witten GmbH</t>
  </si>
  <si>
    <t>SNB971155221315</t>
  </si>
  <si>
    <t>Flughafen Köln/Bonn GmbH</t>
  </si>
  <si>
    <t>SNB971169136186</t>
  </si>
  <si>
    <t>Weißachtal-Kraftwerke eG</t>
  </si>
  <si>
    <t>SNB971311555230</t>
  </si>
  <si>
    <t>EAM Netz GmbH</t>
  </si>
  <si>
    <t>SNB971503120734</t>
  </si>
  <si>
    <t>Stadtwerke Service Meerbusch Willich GmbH &amp; Co. KG</t>
  </si>
  <si>
    <t>SNB972040623122</t>
  </si>
  <si>
    <t>Stadtwerke Annweiler</t>
  </si>
  <si>
    <t>SNB972046955654</t>
  </si>
  <si>
    <t>Stadtwerke Harsewinkel GmbH</t>
  </si>
  <si>
    <t>SNB972265030262</t>
  </si>
  <si>
    <t>Gemeindewerke Münchweiler a.d. Rodalb AöR</t>
  </si>
  <si>
    <t>SNB973074326355</t>
  </si>
  <si>
    <t>ELE Verteilnetz GmbH</t>
  </si>
  <si>
    <t>SNB973356062049</t>
  </si>
  <si>
    <t>Bad Honnef AG</t>
  </si>
  <si>
    <t>SNB973672371320</t>
  </si>
  <si>
    <t>Stadtwerke Jülich GmbH</t>
  </si>
  <si>
    <t>SNB974319144116</t>
  </si>
  <si>
    <t>IGS Netze GmbH</t>
  </si>
  <si>
    <t>SNB974492211483</t>
  </si>
  <si>
    <t>Stadtwerke Velbert GmbH</t>
  </si>
  <si>
    <t>SNB974556654430</t>
  </si>
  <si>
    <t>Donau-Stadtwerke Dillingen-Lauingen</t>
  </si>
  <si>
    <t>SNB974711150357</t>
  </si>
  <si>
    <t>Netcur GmbH</t>
  </si>
  <si>
    <t>SNB974739102161</t>
  </si>
  <si>
    <t>T.W.O. Technische Werke Osning GmbH</t>
  </si>
  <si>
    <t>SNB975680234468</t>
  </si>
  <si>
    <t>Stadtwerke Witten Mittelspannungsnetz GmbH</t>
  </si>
  <si>
    <t>SNB976379598847</t>
  </si>
  <si>
    <t>energis-Netzgesellschaft mbH</t>
  </si>
  <si>
    <t>SNB976890256486</t>
  </si>
  <si>
    <t>Amprion GmbH</t>
  </si>
  <si>
    <t>SNB977443469322</t>
  </si>
  <si>
    <t>LokalWerke GmbH</t>
  </si>
  <si>
    <t>SNB977451702473</t>
  </si>
  <si>
    <t>Stromkontor Griesheim GmbH</t>
  </si>
  <si>
    <t>SNB977481237679</t>
  </si>
  <si>
    <t>Stadtwerke Georgsmarienhütte Netz GmbH</t>
  </si>
  <si>
    <t>SNB977535807001</t>
  </si>
  <si>
    <t>Infraserv Netze GmbH</t>
  </si>
  <si>
    <t>SNB978108787379</t>
  </si>
  <si>
    <t>NHL Netzgesellschaft Heilbronner Land GmbH &amp; Co. KG</t>
  </si>
  <si>
    <t>SNB978730380269</t>
  </si>
  <si>
    <t>Stadtwerke Ludwigsburg-Kornwestheim GmbH</t>
  </si>
  <si>
    <t>SNB979326623005</t>
  </si>
  <si>
    <t>stadtwerker Versorgungs GmbH</t>
  </si>
  <si>
    <t>SNB979980141082</t>
  </si>
  <si>
    <t>Stadtwerke Werl GmbH</t>
  </si>
  <si>
    <t>SNB980055629275</t>
  </si>
  <si>
    <t>Energienetze Mittelrhein GmbH &amp; Co. KG</t>
  </si>
  <si>
    <t>SNB980883363112</t>
  </si>
  <si>
    <t>Stadtnetze Münster GmbH</t>
  </si>
  <si>
    <t>SNB981060961299</t>
  </si>
  <si>
    <t>Dortmunder Netz GmbH</t>
  </si>
  <si>
    <t>SNB981335690930</t>
  </si>
  <si>
    <t>Stadtwerke Andernach Energie GmbH</t>
  </si>
  <si>
    <t>SNB982030394239</t>
  </si>
  <si>
    <t>Stadtwerke Lingen GmbH</t>
  </si>
  <si>
    <t>SNB982049301273</t>
  </si>
  <si>
    <t>Stadtwerke Germersheim GmbH</t>
  </si>
  <si>
    <t>SNB982394830312</t>
  </si>
  <si>
    <t>SWK Stadtwerke Kaiserslautern Versorgungs-AG</t>
  </si>
  <si>
    <t>SNB982432856366</t>
  </si>
  <si>
    <t>Stadtwerke Borken/Westf. GmbH</t>
  </si>
  <si>
    <t>SNB982660786343</t>
  </si>
  <si>
    <t>Stadtwerke Schwäbisch Hall GmbH</t>
  </si>
  <si>
    <t>SNB983315496327</t>
  </si>
  <si>
    <t>Ahrtal-Werke GmbH</t>
  </si>
  <si>
    <t>SNB983444187332</t>
  </si>
  <si>
    <t>Stadtwerke Brühl GmbH</t>
  </si>
  <si>
    <t>SNB983526428810</t>
  </si>
  <si>
    <t>Mainnetz GmbH</t>
  </si>
  <si>
    <t>SNB983792571722</t>
  </si>
  <si>
    <t>Gemeindewerke Wadgassen GmbH</t>
  </si>
  <si>
    <t>SNB984269982003</t>
  </si>
  <si>
    <t>Stadtwerke Deidesheim GmbH</t>
  </si>
  <si>
    <t>SNB984338214660</t>
  </si>
  <si>
    <t>Gemeinde-Elektrizitäts- und Wasserwerk Burtenbach</t>
  </si>
  <si>
    <t>SNB985069443664</t>
  </si>
  <si>
    <t>OXEA Services GmbH</t>
  </si>
  <si>
    <t>SNB985098042388</t>
  </si>
  <si>
    <t>Stadtwerke Lippstadt GmbH</t>
  </si>
  <si>
    <t>SNB985347645049</t>
  </si>
  <si>
    <t>Stadtwerke Nettetal GmbH</t>
  </si>
  <si>
    <t>SNB985382489820</t>
  </si>
  <si>
    <t>Stadtwerke Saarbrücken Netz AG</t>
  </si>
  <si>
    <t>SNB985431470335</t>
  </si>
  <si>
    <t>Stadtwerke GmbH Bad Kreuznach</t>
  </si>
  <si>
    <t>SNB985871274975</t>
  </si>
  <si>
    <t>Kommunalunternehmen Gemeindewerke Peißenberg</t>
  </si>
  <si>
    <t>SNB986042567117</t>
  </si>
  <si>
    <t>Stadtwerke Mühlheim am Main GmbH</t>
  </si>
  <si>
    <t>SNB986190606218</t>
  </si>
  <si>
    <t>Stadtwerke Emmerich GmbH</t>
  </si>
  <si>
    <t>SNB986403410816</t>
  </si>
  <si>
    <t>Elektrizitätsgenossenschaft Rettenberg eG</t>
  </si>
  <si>
    <t>SNB986916159257</t>
  </si>
  <si>
    <t>ThyssenKrupp Steel Europe AG</t>
  </si>
  <si>
    <t>SNB986931195988</t>
  </si>
  <si>
    <t>Gemeindewerke Enkenbach-Alsenborn</t>
  </si>
  <si>
    <t>SNB987153361809</t>
  </si>
  <si>
    <t>Gemeindewerke Nümbrecht GmbH</t>
  </si>
  <si>
    <t>SNB987451707521</t>
  </si>
  <si>
    <t>Elektrizitätswerk Bruchmühlbach-Miesau</t>
  </si>
  <si>
    <t>SNB987569421388</t>
  </si>
  <si>
    <t>Stadtwerke Ramstein-Miesenbach GmbH</t>
  </si>
  <si>
    <t>SNB988556835096</t>
  </si>
  <si>
    <t>e-shelter power grid GmbH</t>
  </si>
  <si>
    <t>SNB989025785690</t>
  </si>
  <si>
    <t>SSW Netz GmbH</t>
  </si>
  <si>
    <t>SNB990174285078</t>
  </si>
  <si>
    <t>BIGGE ENERGIE GmbH &amp; Co. KG</t>
  </si>
  <si>
    <t>SNB990887002092</t>
  </si>
  <si>
    <t>Thüga Energienetze GmbH</t>
  </si>
  <si>
    <t>SNB991381724831</t>
  </si>
  <si>
    <t>Fürstlich Fugger von Glött`sche E-Werks GmbH &amp; Co. KG</t>
  </si>
  <si>
    <t>SNB991400668603</t>
  </si>
  <si>
    <t>Gemeindewerke Haßloch GmbH</t>
  </si>
  <si>
    <t>SNB991561247815</t>
  </si>
  <si>
    <t>Stadtwerke Dillingen/Saar Netzgesellschaft mbH</t>
  </si>
  <si>
    <t>SNB992672107807</t>
  </si>
  <si>
    <t>Oberhausener Netzgesellschaft mbH</t>
  </si>
  <si>
    <t>SNB993724515038</t>
  </si>
  <si>
    <t>Gemeindewerke Grefrath GmbH</t>
  </si>
  <si>
    <t>SNB994887596117</t>
  </si>
  <si>
    <t>SOLVAY GmbH</t>
  </si>
  <si>
    <t>SNB997465895442</t>
  </si>
  <si>
    <t>Energie- und Bäderbetrieb Hauenstein</t>
  </si>
  <si>
    <t>SNB998044089535</t>
  </si>
  <si>
    <t>Stadtwerke Greven GmbH</t>
  </si>
  <si>
    <t>Regelzone TenneT (gesamt)</t>
  </si>
  <si>
    <t>SNB906862380628</t>
  </si>
  <si>
    <t>Mittelhessen Netz GmbH</t>
  </si>
  <si>
    <t>SNB910395619643</t>
  </si>
  <si>
    <t>Blomberg Netz GmbH &amp; Co. KG</t>
  </si>
  <si>
    <t>SNB910882213224</t>
  </si>
  <si>
    <t>Elektrizitätswerk Stern KG Bad Endorf</t>
  </si>
  <si>
    <t>SNB910956210043</t>
  </si>
  <si>
    <t>Überlandwerk Leinetal GmbH</t>
  </si>
  <si>
    <t>SNB911031559460</t>
  </si>
  <si>
    <t>Stadtwerke Bad Kissingen GmbH</t>
  </si>
  <si>
    <t>Aschaffenburger Versorgungs GmbH</t>
  </si>
  <si>
    <t>SNB911347846643</t>
  </si>
  <si>
    <t>Stadtwerke Ingolstadt Netze GmbH</t>
  </si>
  <si>
    <t>SNB911692402044</t>
  </si>
  <si>
    <t>Stadtwerke Warburg GmbH</t>
  </si>
  <si>
    <t>SNB911696239035</t>
  </si>
  <si>
    <t>Energieversorgung Selb-Marktredwitz GmbH</t>
  </si>
  <si>
    <t>SNB911838879365</t>
  </si>
  <si>
    <t>ews-Netz GmbH (Wahlstedt/Bad Segeberg)</t>
  </si>
  <si>
    <t>SNB911960309587</t>
  </si>
  <si>
    <t>infra fürth gmbh</t>
  </si>
  <si>
    <t>SNB911969765803</t>
  </si>
  <si>
    <t>Stromversorgung Neunkirchen GmbH</t>
  </si>
  <si>
    <t>SNB913273314623</t>
  </si>
  <si>
    <t>KBG Kraftstrom-Bezugsgenossenschaft Homberg e.G.</t>
  </si>
  <si>
    <t>SNB913346629968</t>
  </si>
  <si>
    <t>Stadtwerke Barmstedt</t>
  </si>
  <si>
    <t>SNB913576376151</t>
  </si>
  <si>
    <t>Energieversorgung Alzenau GmbH</t>
  </si>
  <si>
    <t>FASTR GmbH (vormals EGC Energie- und Gebäudetechnik Control GmbH &amp; Co. KG)</t>
  </si>
  <si>
    <t>SNB913866241817</t>
  </si>
  <si>
    <t>EMB Energieversorgung Miltenberg-Bürgstadt GmbH &amp; Co. KG</t>
  </si>
  <si>
    <t>SNB914092143906</t>
  </si>
  <si>
    <t>Gemeindewerke Bayerisch Gmain</t>
  </si>
  <si>
    <t>SNB914149166902</t>
  </si>
  <si>
    <t>Fischereihafen-Betriebsgesellschaft mbH</t>
  </si>
  <si>
    <t>SNB914522191989</t>
  </si>
  <si>
    <t>Stadtwerke Ebermannstadt Versorgungsbetriebe GmbH</t>
  </si>
  <si>
    <t>SNB914668240749</t>
  </si>
  <si>
    <t>Stadtwerke Furth im Wald GmbH &amp; Co. KG</t>
  </si>
  <si>
    <t>SNB914735995145</t>
  </si>
  <si>
    <t>Energiegenossenschaft für Wittmund eG</t>
  </si>
  <si>
    <t>SNB914963192408</t>
  </si>
  <si>
    <t>Stadtwerke Trostberg GmbH &amp; Co. KG</t>
  </si>
  <si>
    <t>SNB915316807789</t>
  </si>
  <si>
    <t>Mainfranken Netze GmbH (ehem. SW Würzburg)</t>
  </si>
  <si>
    <t>SNB915728555230</t>
  </si>
  <si>
    <t>Gemeindewerke Pleinfeld</t>
  </si>
  <si>
    <t>SNB916008519201</t>
  </si>
  <si>
    <t>Elektrizitäts-Werk Ottersberg</t>
  </si>
  <si>
    <t>SNB916151866986</t>
  </si>
  <si>
    <t>Stromversorgung Pfaffenhofen a. d. Ilm GmbH &amp; Co. KG</t>
  </si>
  <si>
    <t>SNB916255659316</t>
  </si>
  <si>
    <t>Stadtwerke Lippe-Weser Service GmbH &amp; Co. KG</t>
  </si>
  <si>
    <t>SNB916328839515</t>
  </si>
  <si>
    <t>Elektrizitätswerk Diessen Stadler GmbH</t>
  </si>
  <si>
    <t>SNB916657570554</t>
  </si>
  <si>
    <t>Gemeindewerke Steinhagen GmbH</t>
  </si>
  <si>
    <t>SNB916672506194</t>
  </si>
  <si>
    <t>Cramer-Mühle GmbH &amp; Co. KG</t>
  </si>
  <si>
    <t>SNB916711029424</t>
  </si>
  <si>
    <t>Stadtwerke Hammelburg GmbH</t>
  </si>
  <si>
    <t>SNB916743652645</t>
  </si>
  <si>
    <t>Stadtwerke Elmshorn</t>
  </si>
  <si>
    <t>SNB917014884420</t>
  </si>
  <si>
    <t>Regionalwerke Wolfhager Land GmbH</t>
  </si>
  <si>
    <t>SNB917454122557</t>
  </si>
  <si>
    <t>Überlandzentrale Wörth/l.- Altheim Netz AG</t>
  </si>
  <si>
    <t>SNB917574266223</t>
  </si>
  <si>
    <t>Versorgungsbetriebe Hann. Münden GmbH</t>
  </si>
  <si>
    <t>SNB917615238004</t>
  </si>
  <si>
    <t>Stadtwerke Plattling</t>
  </si>
  <si>
    <t>SNB917625393281</t>
  </si>
  <si>
    <t>Stadtwerke Passau GmbH</t>
  </si>
  <si>
    <t>SNB918516395612</t>
  </si>
  <si>
    <t>Bielefelder Netz GmbH</t>
  </si>
  <si>
    <t>SNB919067474511</t>
  </si>
  <si>
    <t>SVI - Stromversorgung Ismaning GmbH</t>
  </si>
  <si>
    <t>SNB919230329570</t>
  </si>
  <si>
    <t>Stadtwerke Wilster</t>
  </si>
  <si>
    <t>SNB919649671758</t>
  </si>
  <si>
    <t>Wirtschaftsbetriebe der Stadt Norden GmbH</t>
  </si>
  <si>
    <t>SNB920157746937</t>
  </si>
  <si>
    <t>GEW Wilhelmshaven GmbH</t>
  </si>
  <si>
    <t>SNB920393062051</t>
  </si>
  <si>
    <t>NordNetz GmbH</t>
  </si>
  <si>
    <t>SNB921471558077</t>
  </si>
  <si>
    <t>Stadtwerke Feuchtwangen</t>
  </si>
  <si>
    <t>SNB921626387354</t>
  </si>
  <si>
    <t>Energie- und Wassergesellschaft mbH</t>
  </si>
  <si>
    <t>Westnetz GmbH</t>
  </si>
  <si>
    <t>SNB921899277833</t>
  </si>
  <si>
    <t>NRM Netzdienste Rhein-Main GmbH (Frankfurt)</t>
  </si>
  <si>
    <t>SNB922051401837</t>
  </si>
  <si>
    <t>Stadtwerke Wertheim GmbH</t>
  </si>
  <si>
    <t>SNB922220582657</t>
  </si>
  <si>
    <t>Stadtwerke Flensburg GmbH</t>
  </si>
  <si>
    <t>SNB922269370765</t>
  </si>
  <si>
    <t>Licht- und Kraftwerke Helmbrechts</t>
  </si>
  <si>
    <t>SNB922811950100</t>
  </si>
  <si>
    <t>Stadtwerke Schweinfurt GmbH</t>
  </si>
  <si>
    <t>SNB924120395771</t>
  </si>
  <si>
    <t>Stadtwerke Scheinfeld</t>
  </si>
  <si>
    <t>SNB924332586844</t>
  </si>
  <si>
    <t>Stadtwerke Zwiesel</t>
  </si>
  <si>
    <t>SNB924409922308</t>
  </si>
  <si>
    <t>Stadtwerke Rinteln GmbH</t>
  </si>
  <si>
    <t>SNB924535591034</t>
  </si>
  <si>
    <t>EVU Späth e.K.</t>
  </si>
  <si>
    <t>SNB924774487556</t>
  </si>
  <si>
    <t>Stadtwerke Detmold GmbH</t>
  </si>
  <si>
    <t>SNB924793953759</t>
  </si>
  <si>
    <t>Stadtwerke Deggendorf GmbH</t>
  </si>
  <si>
    <t>SNB924819944297</t>
  </si>
  <si>
    <t>Gemeindewerke Holzkirchen GmbH</t>
  </si>
  <si>
    <t>SNB925050442719</t>
  </si>
  <si>
    <t>Stadtwerke Dorfen GmbH</t>
  </si>
  <si>
    <t>SNB925861098273</t>
  </si>
  <si>
    <t>Stadtwerke Uslar GmbH</t>
  </si>
  <si>
    <t>SNB925878615876</t>
  </si>
  <si>
    <t>Gemeindliche Werke Hengersberg</t>
  </si>
  <si>
    <t>SNB926119738552</t>
  </si>
  <si>
    <t>Stadtwerke Rendsburg GmbH</t>
  </si>
  <si>
    <t>SNB926644622999</t>
  </si>
  <si>
    <t>Braunschweiger Netz GmbH (BS|Netz) (BS Energy Netz GmbH)</t>
  </si>
  <si>
    <t>SNB926937565941</t>
  </si>
  <si>
    <t>Gemeindewerke Garmisch-Partenkirchen</t>
  </si>
  <si>
    <t>SNB927574397889</t>
  </si>
  <si>
    <t>Stadtwerke Roth</t>
  </si>
  <si>
    <t>SNB927892816017</t>
  </si>
  <si>
    <t>E-Werk Schweiger OHG</t>
  </si>
  <si>
    <t>SNB928184287881</t>
  </si>
  <si>
    <t>BTT Bauteam Tretzel GmbH</t>
  </si>
  <si>
    <t>SNB928258126528</t>
  </si>
  <si>
    <t>Elektrizitätswerk Tegernsee Carl Miller KG</t>
  </si>
  <si>
    <t>SNB928557841498</t>
  </si>
  <si>
    <t>Gemeindewerke Halstenbek</t>
  </si>
  <si>
    <t>SNB928992067729</t>
  </si>
  <si>
    <t>Stadtwerke Landshut</t>
  </si>
  <si>
    <t>SNB929073868471</t>
  </si>
  <si>
    <t>Stadtwerke Wasserburg a. Inn</t>
  </si>
  <si>
    <t>SNB929185184919</t>
  </si>
  <si>
    <t>ÜZ Mainfranken eG</t>
  </si>
  <si>
    <t>SNB929262647085</t>
  </si>
  <si>
    <t>Stromnetz Weilheim GmbH &amp; Co. KG</t>
  </si>
  <si>
    <t>SNB929383206369</t>
  </si>
  <si>
    <t>Elektrizitätswerk Simbach GmbH</t>
  </si>
  <si>
    <t>SNB929575518928</t>
  </si>
  <si>
    <t>EUROGATE Technical Services GmbH</t>
  </si>
  <si>
    <t>SNB930122681040</t>
  </si>
  <si>
    <t>werkkraft GmbH</t>
  </si>
  <si>
    <t>SNB930134015819</t>
  </si>
  <si>
    <t>Elektrizitätsgenossenschaft Vogling &amp; Angrenzer eG</t>
  </si>
  <si>
    <t>SNB930312838582</t>
  </si>
  <si>
    <t>Herzo Werke GmbH</t>
  </si>
  <si>
    <t>SNB930423383254</t>
  </si>
  <si>
    <t>Stadtwerke Böhmetal GmbH</t>
  </si>
  <si>
    <t>SNB930558787330</t>
  </si>
  <si>
    <t>Elektrizitäts-Versorgungs-Genossenschaft Perlesreut eG</t>
  </si>
  <si>
    <t>SNB931064958931</t>
  </si>
  <si>
    <t>Vereinigte Stadtwerke Netz GmbH</t>
  </si>
  <si>
    <t>SNB931316685899</t>
  </si>
  <si>
    <t>Stadtwerke Zirndorf GmbH</t>
  </si>
  <si>
    <t>SNB931610892481</t>
  </si>
  <si>
    <t>Nordseeheilbad Borkum GmbH</t>
  </si>
  <si>
    <t>SNB931823254809</t>
  </si>
  <si>
    <t>Stadt Burgbernheim</t>
  </si>
  <si>
    <t>SNB932374739180</t>
  </si>
  <si>
    <t>Stadtwerke Norderney GmbH</t>
  </si>
  <si>
    <t>SNB932388577952</t>
  </si>
  <si>
    <t>Energieversorgung Dahlenburg-Bleckede AG</t>
  </si>
  <si>
    <t>SNB932685335767</t>
  </si>
  <si>
    <t>Stadtwerke Vilsbiburg</t>
  </si>
  <si>
    <t>SNB933013692798</t>
  </si>
  <si>
    <t>Stadtwerke Kaltenkirchen GmbH</t>
  </si>
  <si>
    <t>SNB933386930565</t>
  </si>
  <si>
    <t>Stadtwerke Neustadt in Holstein</t>
  </si>
  <si>
    <t>SNB934967462406</t>
  </si>
  <si>
    <t>Versorgungsbetriebe Kronshagen GmbH</t>
  </si>
  <si>
    <t>SNB935303204162</t>
  </si>
  <si>
    <t>Elektrizitäts-Genossenschaft Tacherting-Feichten e.G.</t>
  </si>
  <si>
    <t>SNB935482852901</t>
  </si>
  <si>
    <t>Städtische Werke Netz + Service GmbH</t>
  </si>
  <si>
    <t>SNB935626894156</t>
  </si>
  <si>
    <t>Stadtwerke Zeil a. Main</t>
  </si>
  <si>
    <t>SNB935738221819</t>
  </si>
  <si>
    <t>Stadtwerke Langenzenn</t>
  </si>
  <si>
    <t>SNB936172924014</t>
  </si>
  <si>
    <t>Energie Waldeck-Frankenberg GmbH</t>
  </si>
  <si>
    <t>SNB937094451244</t>
  </si>
  <si>
    <t>Stadtwerke Eutin GmbH</t>
  </si>
  <si>
    <t>SNB937406641264</t>
  </si>
  <si>
    <t>Stadtwerke Ansbach GmbH</t>
  </si>
  <si>
    <t>SNB937722627607</t>
  </si>
  <si>
    <t>Stadtwerke Witzenhausen GmbH &amp; Co. KG</t>
  </si>
  <si>
    <t>SNB937858140285</t>
  </si>
  <si>
    <t>Kreiswerke Main-Kinzig GmbH</t>
  </si>
  <si>
    <t>SNB938620426132</t>
  </si>
  <si>
    <t>Stadtwerke Tirschenreuth</t>
  </si>
  <si>
    <t>SNB939428749966</t>
  </si>
  <si>
    <t>Stadtwerke Hemau</t>
  </si>
  <si>
    <t>SNB939431117011</t>
  </si>
  <si>
    <t>Stromversorgung Inzell e.G.</t>
  </si>
  <si>
    <t>SNB939653726848</t>
  </si>
  <si>
    <t>Stadtwerke Herborn GmbH</t>
  </si>
  <si>
    <t>SNB939779591900</t>
  </si>
  <si>
    <t>Stadtwerke Bad Aibling</t>
  </si>
  <si>
    <t>SNB940297211072</t>
  </si>
  <si>
    <t>EZV Energie- und Service GmbH &amp; Co. KG Untermain</t>
  </si>
  <si>
    <t>SNB940352624434</t>
  </si>
  <si>
    <t>Bayernwerk Netz GmbH</t>
  </si>
  <si>
    <t>SNB940478286561</t>
  </si>
  <si>
    <t>Stadtwerke Olching Stromnetz GmbH &amp; Co. KG</t>
  </si>
  <si>
    <t>SNB940718804685</t>
  </si>
  <si>
    <t>Stadtwerke Traunstein GmbH &amp; Co. KG</t>
  </si>
  <si>
    <t>SNB940847187345</t>
  </si>
  <si>
    <t>Stadtwerke Eschwege GmbH</t>
  </si>
  <si>
    <t>SNB941183960449</t>
  </si>
  <si>
    <t>Stadtwerke Emden GmbH</t>
  </si>
  <si>
    <t>SNB941424038838</t>
  </si>
  <si>
    <t>Stadtwerke Bad Nauheim GmbH</t>
  </si>
  <si>
    <t>SNB941555074781</t>
  </si>
  <si>
    <t>Stromversorgung Seebruck eG</t>
  </si>
  <si>
    <t>SNB941929592729</t>
  </si>
  <si>
    <t>Regensburg Netz GmbH</t>
  </si>
  <si>
    <t>SNB942238573102</t>
  </si>
  <si>
    <t>wesernetz Bremen GmbH</t>
  </si>
  <si>
    <t>SNB942257679137</t>
  </si>
  <si>
    <t>Stadtwerke Achim AG</t>
  </si>
  <si>
    <t>SNB942732578894</t>
  </si>
  <si>
    <t>InfraServ Gendorf Netze GmbH</t>
  </si>
  <si>
    <t>SNB943319305469</t>
  </si>
  <si>
    <t>Licht-, Kraft- und Wasserwerke Kitzingen GmbH</t>
  </si>
  <si>
    <t>SNB943571241628</t>
  </si>
  <si>
    <t>Maintal-Werke GmbH</t>
  </si>
  <si>
    <t>SNB943915605062</t>
  </si>
  <si>
    <t>Energieversorgung Gemünden GmbH</t>
  </si>
  <si>
    <t>SNB943984165313</t>
  </si>
  <si>
    <t>Stadtwerke Stein GmbH &amp; Co. KG</t>
  </si>
  <si>
    <t>SNB944419421783</t>
  </si>
  <si>
    <t>Gemeindewerke Schwarzenbruck GmbH</t>
  </si>
  <si>
    <t>SNB944601935326</t>
  </si>
  <si>
    <t>Stadtwerke Dingolfing GmbH</t>
  </si>
  <si>
    <t>SNB944723161733</t>
  </si>
  <si>
    <t>Feuchter Gemeindewerke GmbH</t>
  </si>
  <si>
    <t>SNB945149216045</t>
  </si>
  <si>
    <t>Stadtwerke Dachau</t>
  </si>
  <si>
    <t>SNB945552907998</t>
  </si>
  <si>
    <t>Stadtwerke Haiger</t>
  </si>
  <si>
    <t>SNB945768616967</t>
  </si>
  <si>
    <t>Eichsfelder Energie- und Wasserversorgungsgesellschaft mbH</t>
  </si>
  <si>
    <t>SNB946090906887</t>
  </si>
  <si>
    <t>Stadtwerke Leine-Solling GmbH</t>
  </si>
  <si>
    <t>SNB946115797155</t>
  </si>
  <si>
    <t>Versorgungsbetriebe Zellingen</t>
  </si>
  <si>
    <t>SNB946137378622</t>
  </si>
  <si>
    <t>Stadtwerke Itzehoe GmbH</t>
  </si>
  <si>
    <t>SNB946373984786</t>
  </si>
  <si>
    <t>Wendelsteinbahn Verteilnetz GmbH</t>
  </si>
  <si>
    <t>SNB946717964085</t>
  </si>
  <si>
    <t>Stadtwerke Schwarzenbach a.d. Saale</t>
  </si>
  <si>
    <t>SNB947030954821</t>
  </si>
  <si>
    <t>Stadtwerke Soltau GmbH &amp; Co. KG</t>
  </si>
  <si>
    <t>SNB947092763157</t>
  </si>
  <si>
    <t>Stadtwerke Altdorf GmbH</t>
  </si>
  <si>
    <t>SNB947270211210</t>
  </si>
  <si>
    <t>SWN Stadtwerke Neustadt GmbH (Coburg)</t>
  </si>
  <si>
    <t>SNB947514936855</t>
  </si>
  <si>
    <t>Stromnetz Kulmbach GmbH &amp; Co. KG</t>
  </si>
  <si>
    <t>SNB947683785568</t>
  </si>
  <si>
    <t>Stadtwerke Uffenheim</t>
  </si>
  <si>
    <t>SNB947727983103</t>
  </si>
  <si>
    <t>Gemeindewerke Frammersbach</t>
  </si>
  <si>
    <t>SNB948134408678</t>
  </si>
  <si>
    <t>Stadtwerke Quickborn GmbH</t>
  </si>
  <si>
    <t>SNB948413721931</t>
  </si>
  <si>
    <t>Stadtwerke Bad Salzuflen GmbH</t>
  </si>
  <si>
    <t>SNB949124413085</t>
  </si>
  <si>
    <t>Obermaier und Gerg Grundstücksverwaltung KG</t>
  </si>
  <si>
    <t>SNB949369515353</t>
  </si>
  <si>
    <t>Stadtwerke Burgdorf Netz GmbH</t>
  </si>
  <si>
    <t>SNB949422762892</t>
  </si>
  <si>
    <t>Stadtwerke Bad Sooden-Allendorf</t>
  </si>
  <si>
    <t>SNB949646353012</t>
  </si>
  <si>
    <t>Stadtwerke Bamberg Energie- und Wasserversorgungs GmbH</t>
  </si>
  <si>
    <t>SNB950028563172</t>
  </si>
  <si>
    <t>Stadtwerke Schneverdingen-Neuenkirchen GmbH</t>
  </si>
  <si>
    <t>SNB950039201827</t>
  </si>
  <si>
    <t>Stadtwerke Lehrte GmbH</t>
  </si>
  <si>
    <t>SNB950336540445</t>
  </si>
  <si>
    <t>Stadtwerke Husum Netz GmbH</t>
  </si>
  <si>
    <t>SNB950777700255</t>
  </si>
  <si>
    <t>Gemeindewerke Oberaudorf</t>
  </si>
  <si>
    <t>SNB950960779068</t>
  </si>
  <si>
    <t>SEW Stromversorgungs-GmbH</t>
  </si>
  <si>
    <t>SNB951051725711</t>
  </si>
  <si>
    <t>EWE NETZ GmbH</t>
  </si>
  <si>
    <t>SNB951791941969</t>
  </si>
  <si>
    <t>Stadtwerke Nordfriesland-Netz GmbH</t>
  </si>
  <si>
    <t>SNB951835062254</t>
  </si>
  <si>
    <t>Stadtwerke Brunsbüttel GmbH</t>
  </si>
  <si>
    <t>SNB952845016893</t>
  </si>
  <si>
    <t>LeineNetz GmbH</t>
  </si>
  <si>
    <t>SNB952939058372</t>
  </si>
  <si>
    <t>Stadtwerke Clausthal-Zellerfeld GmbH</t>
  </si>
  <si>
    <t>SNB953794435957</t>
  </si>
  <si>
    <t>Stadtwerke Gunzenhausen GmbH</t>
  </si>
  <si>
    <t>SNB953868012787</t>
  </si>
  <si>
    <t>Schleswiger Stadtwerke GmbH</t>
  </si>
  <si>
    <t>SNB953938790515</t>
  </si>
  <si>
    <t>Stadtwerke Heide GmbH</t>
  </si>
  <si>
    <t>SNB954026274702</t>
  </si>
  <si>
    <t>Stadtwerke Peine GmbH</t>
  </si>
  <si>
    <t>SNB954187049256</t>
  </si>
  <si>
    <t>Stadtwerke Springe GmbH</t>
  </si>
  <si>
    <t>SNB954662803168</t>
  </si>
  <si>
    <t>Stadtwerke Pappenheim GmbH</t>
  </si>
  <si>
    <t>SNB955238223991</t>
  </si>
  <si>
    <t>Celle-Uelzen Netz GmbH (SVO Energie GmbH)</t>
  </si>
  <si>
    <t>SNB955248518643</t>
  </si>
  <si>
    <t>Stromversorgung Schierling eG</t>
  </si>
  <si>
    <t>SNB955607007702</t>
  </si>
  <si>
    <t>Stadtwerke Pfarrkirchen</t>
  </si>
  <si>
    <t>SNB955706777742</t>
  </si>
  <si>
    <t>Gemeindewerke Lam</t>
  </si>
  <si>
    <t>SNB955718588763</t>
  </si>
  <si>
    <t>Stadtwerke Neunburg vorm Wald Strom GmbH</t>
  </si>
  <si>
    <t>SNB956377097702</t>
  </si>
  <si>
    <t>Stadtwerke Baiersdorf KU</t>
  </si>
  <si>
    <t>SNB956741146944</t>
  </si>
  <si>
    <t>Stadtwerke Münchberg</t>
  </si>
  <si>
    <t>SNB957209230809</t>
  </si>
  <si>
    <t>StWL Städtische Werke Lauf a.d. Pegnitz GmbH</t>
  </si>
  <si>
    <t>SNB957268511697</t>
  </si>
  <si>
    <t>Gemeindewerke Bovenden GmbH &amp; Co. KG</t>
  </si>
  <si>
    <t>SNB957632855181</t>
  </si>
  <si>
    <t>Überlandwerk Erding GmbH &amp; Co. KG</t>
  </si>
  <si>
    <t>SNB957862279702</t>
  </si>
  <si>
    <t>LSW Netz GmbH &amp; Co. KG</t>
  </si>
  <si>
    <t>SNB957988771050</t>
  </si>
  <si>
    <t>Stadtwerke Windsbach</t>
  </si>
  <si>
    <t>SNB958337664054</t>
  </si>
  <si>
    <t>Rupert Buchauer E-Werk &amp; Elektroinstallation</t>
  </si>
  <si>
    <t>SNB958561375085</t>
  </si>
  <si>
    <t>Gemeindewerke Markt Lichtenau</t>
  </si>
  <si>
    <t>SNB958672501014</t>
  </si>
  <si>
    <t>Stadtwerke Bad Reichenhall KU</t>
  </si>
  <si>
    <t>SNB958680286002</t>
  </si>
  <si>
    <t>Stadtwerke Hollfeld</t>
  </si>
  <si>
    <t>SNB959255155907</t>
  </si>
  <si>
    <t>Osterholzer Stadtwerke GmbH &amp; Co. KG</t>
  </si>
  <si>
    <t>SNB959373877170</t>
  </si>
  <si>
    <t>Stadtwerke Bad Vilbel GmbH</t>
  </si>
  <si>
    <t>SNB959513498364</t>
  </si>
  <si>
    <t>Stadtwerke Bebra GmbH</t>
  </si>
  <si>
    <t>SNB960060046328</t>
  </si>
  <si>
    <t>Stadtwerke Northeim GmbH</t>
  </si>
  <si>
    <t>SNB960280760097</t>
  </si>
  <si>
    <t>Stadtwerke Schwentinental GmbH (Raisdorf)</t>
  </si>
  <si>
    <t>SNB960416123321</t>
  </si>
  <si>
    <t>Stadtwerke Waldkraiburg GmbH</t>
  </si>
  <si>
    <t>SNB960502792271</t>
  </si>
  <si>
    <t>Stadtwerke Bad Bramstedt Netz GmbH</t>
  </si>
  <si>
    <t>SNB960882503184</t>
  </si>
  <si>
    <t>Stadtwerke Geesthacht GmbH</t>
  </si>
  <si>
    <t>SNB962006136537</t>
  </si>
  <si>
    <t>Gemeindewerke Kahl Versorgungsgesellschaft mbH</t>
  </si>
  <si>
    <t>SNB962110557570</t>
  </si>
  <si>
    <t>Stadtwerke Schwabach GmbH</t>
  </si>
  <si>
    <t>SNB962736090291</t>
  </si>
  <si>
    <t>Gemeindewerke Großkrotzenburg GmbH</t>
  </si>
  <si>
    <t>SNB962996832648</t>
  </si>
  <si>
    <t>Stadtwerke Verden GmbH</t>
  </si>
  <si>
    <t>SNB963282434775</t>
  </si>
  <si>
    <t>Bauer Netz GmbH &amp; Co. KG</t>
  </si>
  <si>
    <t>SNB963499807249</t>
  </si>
  <si>
    <t>Stadtwerke Landau a.d. Isar</t>
  </si>
  <si>
    <t>SNB963795614626</t>
  </si>
  <si>
    <t>Stadtwerke Bad Windsheim</t>
  </si>
  <si>
    <t>SNB964046129302</t>
  </si>
  <si>
    <t>Stadtwerk Haßfurt GmbH</t>
  </si>
  <si>
    <t>SNB964137069203</t>
  </si>
  <si>
    <t>Gemeindewerke Wendelstein KU</t>
  </si>
  <si>
    <t>SNB964375043041</t>
  </si>
  <si>
    <t>Stadtwerke Hünfeld GmbH</t>
  </si>
  <si>
    <t>SNB964573708865</t>
  </si>
  <si>
    <t>KEW Karwendel Energie und Wasser GmbH</t>
  </si>
  <si>
    <t>SNB964802985821</t>
  </si>
  <si>
    <t>Stadtwerke Röthenbach a.d. Pegnitz GmbH</t>
  </si>
  <si>
    <t>SNB965315499379</t>
  </si>
  <si>
    <t>Stadtwerke Neustadt a.d. Aisch GmbH</t>
  </si>
  <si>
    <t>SNB965500640463</t>
  </si>
  <si>
    <t>STADTWERKE KELHEIM GmbH &amp; Co KG</t>
  </si>
  <si>
    <t>SNB965557517831</t>
  </si>
  <si>
    <t>Stadtwerke Uelzen GmbH</t>
  </si>
  <si>
    <t>SNB965692805121</t>
  </si>
  <si>
    <t>Stadtwerke Einbeck GmbH</t>
  </si>
  <si>
    <t>SNB965813404431</t>
  </si>
  <si>
    <t>Stadtwerke Nortorf AöR</t>
  </si>
  <si>
    <t>SNB965819408044</t>
  </si>
  <si>
    <t>Stadtwerke Weißenburg GmbH</t>
  </si>
  <si>
    <t>SNB965998184692</t>
  </si>
  <si>
    <t>Elektrizitätswerk Goldbach-Hösbach GmbH &amp; Co. KG</t>
  </si>
  <si>
    <t>SNB966216072913</t>
  </si>
  <si>
    <t>Gemeindewerke Georgensgmünd</t>
  </si>
  <si>
    <t>SNB967068117678</t>
  </si>
  <si>
    <t>gKU oberes Egertal (ehem. Stadtwerke Weißenstadt)</t>
  </si>
  <si>
    <t>SNB967075358620</t>
  </si>
  <si>
    <t>Stadtwerke Lemgo GmbH</t>
  </si>
  <si>
    <t>SNB967186419241</t>
  </si>
  <si>
    <t>Stadtwerke Bad Rodach</t>
  </si>
  <si>
    <t>SNB967490557615</t>
  </si>
  <si>
    <t>Stadtwerke Oerlinghausen GmbH</t>
  </si>
  <si>
    <t>SNB967782555602</t>
  </si>
  <si>
    <t>Stadtwerke Bayreuth Energie und Wasser GmbH</t>
  </si>
  <si>
    <t>SNB967812386411</t>
  </si>
  <si>
    <t>SWW Wunsiedel GmbH</t>
  </si>
  <si>
    <t>SNB967967636034</t>
  </si>
  <si>
    <t>Stadtwerke Vilshofen GmbH</t>
  </si>
  <si>
    <t>SNB967982606159</t>
  </si>
  <si>
    <t>Erlanger Stadtwerke AG</t>
  </si>
  <si>
    <t>SNB968489334224</t>
  </si>
  <si>
    <t>Stadtwerke Buchholz in der Nordheide GmbH</t>
  </si>
  <si>
    <t>SNB968646876970</t>
  </si>
  <si>
    <t>Stadtwerke Eckernförde GmbH</t>
  </si>
  <si>
    <t>SNB968862623211</t>
  </si>
  <si>
    <t>SÜC Energie und H2O GmbH</t>
  </si>
  <si>
    <t>SNB968949417344</t>
  </si>
  <si>
    <t>Stadtwerke Bad Hersfeld GmbH</t>
  </si>
  <si>
    <t>SNB969473762610</t>
  </si>
  <si>
    <t>SWM Infrastruktur GmbH &amp; Co. KG</t>
  </si>
  <si>
    <t>SNB969483935394</t>
  </si>
  <si>
    <t>E-Werke Reutte GmbH &amp; Co. KG</t>
  </si>
  <si>
    <t>SNB969534177940</t>
  </si>
  <si>
    <t>ovag Netz GmbH</t>
  </si>
  <si>
    <t>SNB970033313272</t>
  </si>
  <si>
    <t>TenneT TSO GmbH</t>
  </si>
  <si>
    <t>SNB971076036227</t>
  </si>
  <si>
    <t>Stadtwerke Eichstätt Versorgungs-GmbH</t>
  </si>
  <si>
    <t>SNB971174411018</t>
  </si>
  <si>
    <t>Gemeindewerke Heikendorf AöR</t>
  </si>
  <si>
    <t>SNB971196250442</t>
  </si>
  <si>
    <t>Stadtwerke Waldmünchen</t>
  </si>
  <si>
    <t>SNB971641248901</t>
  </si>
  <si>
    <t>Stadtwerke Straubing Strom und Gas GmbH</t>
  </si>
  <si>
    <t>SNB971746988153</t>
  </si>
  <si>
    <t>enercity Netz GmbH</t>
  </si>
  <si>
    <t>Versorgungsbetriebe Elbe GmbH</t>
  </si>
  <si>
    <t>SNB972153058149</t>
  </si>
  <si>
    <t>Kommunale Energienetze Inn-Salzach GmbH &amp; Co. KG</t>
  </si>
  <si>
    <t>SNB972511582064</t>
  </si>
  <si>
    <t>Butzbacher Netzbetriebe GmbH &amp; Co. KG</t>
  </si>
  <si>
    <t>SNB972723368326</t>
  </si>
  <si>
    <t>Stadtwerke Winsen (Luhe) GmbH</t>
  </si>
  <si>
    <t>SNB972740218178</t>
  </si>
  <si>
    <t>Stadtwerke Marburg GmbH</t>
  </si>
  <si>
    <t>SNB973056451075</t>
  </si>
  <si>
    <t>Stadtwerke Munster-Bispingen GmbH</t>
  </si>
  <si>
    <t>SNB973519584647</t>
  </si>
  <si>
    <t>Versorgungsbetriebe Bordesholm GmbH</t>
  </si>
  <si>
    <t>SNB973742186519</t>
  </si>
  <si>
    <t>SW Kiel Netz GmbH</t>
  </si>
  <si>
    <t>SNB973875583315</t>
  </si>
  <si>
    <t>N-ERGIE Netz GmbH</t>
  </si>
  <si>
    <t>SNB974547197724</t>
  </si>
  <si>
    <t>Stadtwerke Buxtehude GmbH</t>
  </si>
  <si>
    <t>SNB974647435931</t>
  </si>
  <si>
    <t>Mainsite GmbH &amp; Co. KG</t>
  </si>
  <si>
    <t>T.W.O Technische Werke Osning GmbH</t>
  </si>
  <si>
    <t>SNB975283859389</t>
  </si>
  <si>
    <t>Stadtwerke Wedel GmbH</t>
  </si>
  <si>
    <t>SNB975581504646</t>
  </si>
  <si>
    <t>Stadtwerke Oldenburg in Holstein GmbH</t>
  </si>
  <si>
    <t>SNB975659838086</t>
  </si>
  <si>
    <t>Stadtwerke Stade GmbH</t>
  </si>
  <si>
    <t>SNB975801091031</t>
  </si>
  <si>
    <t>Elektrizitätsgenossenschaft Ohlstadt e. G.</t>
  </si>
  <si>
    <t>SNB976170444053</t>
  </si>
  <si>
    <t>Stadtwerke Rotenburg (Wümme) GmbH</t>
  </si>
  <si>
    <t>SNB976297675927</t>
  </si>
  <si>
    <t>Gemeindewerke Waging am See</t>
  </si>
  <si>
    <t>SNB976863966633</t>
  </si>
  <si>
    <t>Rothmoser GmbH &amp; Co. KG</t>
  </si>
  <si>
    <t>SNB976987786759</t>
  </si>
  <si>
    <t>Stadtwerke Treuchtlingen KU</t>
  </si>
  <si>
    <t>SNB977206503256</t>
  </si>
  <si>
    <t>Stadtwerke Hof Energie+Wasser GmbH</t>
  </si>
  <si>
    <t>SNB977253144464</t>
  </si>
  <si>
    <t>Stadtwerke Bad Neustadt a. d. Saale</t>
  </si>
  <si>
    <t>SNB977384143473</t>
  </si>
  <si>
    <t>Freisinger Stadtwerke Versorgungs-GmbH</t>
  </si>
  <si>
    <t>SNB977581070640</t>
  </si>
  <si>
    <t>Stadtwerke Dettelbach</t>
  </si>
  <si>
    <t>SNB978191145308</t>
  </si>
  <si>
    <t>Stadtwerke Amberg Versorgungs GmbH</t>
  </si>
  <si>
    <t>SNB978299965228</t>
  </si>
  <si>
    <t>E-Werke Haniel Haimhausen GmbH &amp; Co. KG</t>
  </si>
  <si>
    <t>SNB978865527096</t>
  </si>
  <si>
    <t>VW Kraftwerk GmbH</t>
  </si>
  <si>
    <t>SNB978963778161</t>
  </si>
  <si>
    <t>e-werk Sachsenwald GmbH (Reinbek-Wentorf)</t>
  </si>
  <si>
    <t>SNB979202870318</t>
  </si>
  <si>
    <t>Stadtwerke Rothenburg o. d. T. GmbH</t>
  </si>
  <si>
    <t>SNB980054996408</t>
  </si>
  <si>
    <t>Stadtwerke Neuburg an der Donau</t>
  </si>
  <si>
    <t>SNB980181102130</t>
  </si>
  <si>
    <t>Stadtwerke Glückstadt GmbH</t>
  </si>
  <si>
    <t>SNB980345455409</t>
  </si>
  <si>
    <t>Stadtwerke Lauterbach GmbH</t>
  </si>
  <si>
    <t>SNB980412578185</t>
  </si>
  <si>
    <t>Stadtwerke Heilsbronn</t>
  </si>
  <si>
    <t>SNB980449174619</t>
  </si>
  <si>
    <t>EVI Energieversorgung Hildesheim GmbH &amp; Co. KG</t>
  </si>
  <si>
    <t>SNB980783618473</t>
  </si>
  <si>
    <t>Stadtwerke Zeven GmbH</t>
  </si>
  <si>
    <t>SNB981113965977</t>
  </si>
  <si>
    <t>SWR Energie GmbH &amp; Co. KG</t>
  </si>
  <si>
    <t>SNB981193584808</t>
  </si>
  <si>
    <t>Gemeindewerke Kiefersfelden</t>
  </si>
  <si>
    <t>SNB981336194529</t>
  </si>
  <si>
    <t>Gemeindewerke Nüdlingen</t>
  </si>
  <si>
    <t>SNB981972152532</t>
  </si>
  <si>
    <t>Gemeindewerke Schönkirchen</t>
  </si>
  <si>
    <t>SNB981984960101</t>
  </si>
  <si>
    <t>Stadtwerke Hameln Weserbergland GmbH (vormals: GWS Stadtwerke Hameln GmbH)</t>
  </si>
  <si>
    <t>SNB982085566391</t>
  </si>
  <si>
    <t>HEWA, Hersbrucker Energie- und Wasserversorgung GmbH</t>
  </si>
  <si>
    <t>SNB982380015723</t>
  </si>
  <si>
    <t>Stadtwerke Bogen GmbH</t>
  </si>
  <si>
    <t>SNB982671807549</t>
  </si>
  <si>
    <t>Stadtwerke Bad Tölz GmbH</t>
  </si>
  <si>
    <t>SNB982713229933</t>
  </si>
  <si>
    <t>Versorgungsbetrieb Waldbüttelbrunn GmbH</t>
  </si>
  <si>
    <t>SNB983359308570</t>
  </si>
  <si>
    <t>Stadtwerke Bad Brückenau GmbH</t>
  </si>
  <si>
    <t>SNB983425156814</t>
  </si>
  <si>
    <t>TraveNetz GmbH (ehem. Netz Lübeck)</t>
  </si>
  <si>
    <t>SNB983546347757</t>
  </si>
  <si>
    <t>Stadtwerke Wolfenbüttel GmbH</t>
  </si>
  <si>
    <t>SNB983964953738</t>
  </si>
  <si>
    <t>SVH Stromversorgung Haar GmbH</t>
  </si>
  <si>
    <t>SNB984060961757</t>
  </si>
  <si>
    <t>Stadtwerke Bad Pyrmont GmbH</t>
  </si>
  <si>
    <t>SNB984334051054</t>
  </si>
  <si>
    <t>strotög GmbH Strom für Töging</t>
  </si>
  <si>
    <t>SNB984571613121</t>
  </si>
  <si>
    <t>Gemeindewerke Neuendettelsau</t>
  </si>
  <si>
    <t>SNB984607096621</t>
  </si>
  <si>
    <t>Harz Energie Netz GmbH</t>
  </si>
  <si>
    <t>SNB985172238775</t>
  </si>
  <si>
    <t>EVE Netz GmbH (EVE Energieversorgung Elbtalaue GmbH)</t>
  </si>
  <si>
    <t>SNB985206131959</t>
  </si>
  <si>
    <t>Stadtwerke Waldkirchen</t>
  </si>
  <si>
    <t>SNB985701689504</t>
  </si>
  <si>
    <t>Stadtwerke Fürstenfeldbruck GmbH</t>
  </si>
  <si>
    <t>SNB985704986426</t>
  </si>
  <si>
    <t>wesernetz Bremerhaven GmbH</t>
  </si>
  <si>
    <t>SNB985729975610</t>
  </si>
  <si>
    <t>Hanau Netz GmbH</t>
  </si>
  <si>
    <t>SNB985965721965</t>
  </si>
  <si>
    <t>Stadtwerke Norderstedt</t>
  </si>
  <si>
    <t>SNB986482940686</t>
  </si>
  <si>
    <t>Stromnetz Weiden i. d. OPf. GmbH &amp; Co. KG</t>
  </si>
  <si>
    <t>SNB986580518855</t>
  </si>
  <si>
    <t>KommEnergie GmbH</t>
  </si>
  <si>
    <t>SNB987171059405</t>
  </si>
  <si>
    <t>Kraftwerk Farchant A. Poettinger &amp; Co. KG</t>
  </si>
  <si>
    <t>SNB987617847795</t>
  </si>
  <si>
    <t>Stadtwerke Schlitz</t>
  </si>
  <si>
    <t>SNB988606051575</t>
  </si>
  <si>
    <t>Elektrizitätsgenossenschaft Unterneukirchen eG</t>
  </si>
  <si>
    <t>SNB988769717073</t>
  </si>
  <si>
    <t>Stadtwerke Neustadt a.d. Donau</t>
  </si>
  <si>
    <t>SNB988838479086</t>
  </si>
  <si>
    <t>Stadtwerke Rosenheim Netze GmbH</t>
  </si>
  <si>
    <t>SNB988980270319</t>
  </si>
  <si>
    <t>Elektrizitätswerk Wörth a.d. Donau Rupert Heider GmbH &amp; Co. KG</t>
  </si>
  <si>
    <t>SNB989365725226</t>
  </si>
  <si>
    <t>Stadtwerke Neumarkt i.d.OPf. Energie GmbH</t>
  </si>
  <si>
    <t>SNB989583209836</t>
  </si>
  <si>
    <t>EVU der Gemeinde Gochsheim</t>
  </si>
  <si>
    <t>SNB990329664031</t>
  </si>
  <si>
    <t>Kommunalunternehmen Stadtwerke Klingenberg (AöR)</t>
  </si>
  <si>
    <t>SNB990522725676</t>
  </si>
  <si>
    <t>Stadtwerke Cham GmbH</t>
  </si>
  <si>
    <t>SNB990562890006</t>
  </si>
  <si>
    <t>Stadtwerke Dinkelsbühl (vormals SWD Stadtwerke Dinkelsbühl)</t>
  </si>
  <si>
    <t>SNB990857029876</t>
  </si>
  <si>
    <t>Schleswig-Holstein Netz GmbH (vormals: Schleswig-Holstein Netz AG)</t>
  </si>
  <si>
    <t>SNB991263248615</t>
  </si>
  <si>
    <t>Stadtwerke Vlotho Stromnetz GmbH</t>
  </si>
  <si>
    <t>SNB991410365127</t>
  </si>
  <si>
    <t>Gemeindewerke Ebersdorf</t>
  </si>
  <si>
    <t>SNB991797615686</t>
  </si>
  <si>
    <t>Energieversorgung Lohr-Karlstadt und Umgebung GmbH &amp; Co. KG</t>
  </si>
  <si>
    <t>SNB994111700501</t>
  </si>
  <si>
    <t>Energienetze Bayern GmbH</t>
  </si>
  <si>
    <t>SNB994749019716</t>
  </si>
  <si>
    <t>Energieversorgung Sylt GmbH</t>
  </si>
  <si>
    <t>SNB996457394093</t>
  </si>
  <si>
    <t>Stadtwerke Forchheim GmbH</t>
  </si>
  <si>
    <t>SNB996768145988</t>
  </si>
  <si>
    <t>Stadtwerke Elm-Lappwald GmbH</t>
  </si>
  <si>
    <t>SNB997826747014</t>
  </si>
  <si>
    <t>Markt Egloffstein</t>
  </si>
  <si>
    <t>SNB999912340406</t>
  </si>
  <si>
    <t>Stadtwerke Südholstein GmbH</t>
  </si>
  <si>
    <t>Regelzone TransnetBW (gesamt)</t>
  </si>
  <si>
    <t>SNB969871992015</t>
  </si>
  <si>
    <t>Albstadtwerke GmbH</t>
  </si>
  <si>
    <t>SNB926699071292</t>
  </si>
  <si>
    <t>Albwerk GmbH &amp; Co. KG</t>
  </si>
  <si>
    <t>SNB965774651691</t>
  </si>
  <si>
    <t>badenovaNETZE GmbH</t>
  </si>
  <si>
    <t>SNB925685357501</t>
  </si>
  <si>
    <t>e.wa riss Netze GmbH</t>
  </si>
  <si>
    <t>SNB979557818782</t>
  </si>
  <si>
    <t>EGT Energie  GmbH</t>
  </si>
  <si>
    <t>SNB928479274794</t>
  </si>
  <si>
    <t>EHINGER ENERGIE GmbH &amp; Co. KG</t>
  </si>
  <si>
    <t>SNB946086138155</t>
  </si>
  <si>
    <t>Elektrizitäts-Genossenschaft Röthenbach eG</t>
  </si>
  <si>
    <t>SNB927462109518</t>
  </si>
  <si>
    <t>Elektrizitäts-Genossenschaft Schlachters e.G.</t>
  </si>
  <si>
    <t>SNB921631931771</t>
  </si>
  <si>
    <t>Elektrizitätsnetze Allgäu GmbH</t>
  </si>
  <si>
    <t>SNB985099151188</t>
  </si>
  <si>
    <t>Elektrizitätswerk des Kantons Schaffhausen AG</t>
  </si>
  <si>
    <t>SNB913832420338</t>
  </si>
  <si>
    <t>Elektrizitätswerk Wennenmühle Schörger GmbH &amp; Co. KG</t>
  </si>
  <si>
    <t>SNB974894111862</t>
  </si>
  <si>
    <t>Elektrizitätswerke Schönau Netze GmbH</t>
  </si>
  <si>
    <t>SNB913289502922</t>
  </si>
  <si>
    <t>eneREGIO GmbH</t>
  </si>
  <si>
    <t>SNB941042755957</t>
  </si>
  <si>
    <t>Energie- und Wasserversorgung Bruchsal GmbH (ewb)</t>
  </si>
  <si>
    <t>SNB966380208811</t>
  </si>
  <si>
    <t>Energie- und Wasserversorgung Kirchzarten GmbH</t>
  </si>
  <si>
    <t>SNB910995561328</t>
  </si>
  <si>
    <t>Energieversorgung Filstal GmbH &amp; Co. KG</t>
  </si>
  <si>
    <t>SNB962013221356</t>
  </si>
  <si>
    <t>Energieversorgung Klettgau-Rheintal GmbH &amp; Co. KG</t>
  </si>
  <si>
    <t>SNB935932937127</t>
  </si>
  <si>
    <t>Energieversorgung Rottenburg am Neckar GmbH</t>
  </si>
  <si>
    <t>SNB921611512679</t>
  </si>
  <si>
    <t>Energieversorgung Südbaar GmbH &amp; Co. KG</t>
  </si>
  <si>
    <t>SNB938624241519</t>
  </si>
  <si>
    <t>Energieversorgung Trossingen GmbH (EnTro)</t>
  </si>
  <si>
    <t>SNB951180867351</t>
  </si>
  <si>
    <t>ENRW Energieversorgung Rottweil GmbH &amp; Co. KG</t>
  </si>
  <si>
    <t>SNB923953358557</t>
  </si>
  <si>
    <t>EWR Netze GmbH</t>
  </si>
  <si>
    <t>SNB991882909515</t>
  </si>
  <si>
    <t>FairNetz GmbH</t>
  </si>
  <si>
    <t>SNB953422913031</t>
  </si>
  <si>
    <t>Gebrüder Eirich GmbH &amp; Co KG</t>
  </si>
  <si>
    <t>SNB926427521488</t>
  </si>
  <si>
    <t>Gebrüder Miller, Elektrizitätsversorgung GmbH &amp; Co. KG</t>
  </si>
  <si>
    <t>SNB998167765620</t>
  </si>
  <si>
    <t>Gemeindewerke Baiersbronn</t>
  </si>
  <si>
    <t>SNB926559276683</t>
  </si>
  <si>
    <t>Gemeindewerke Gundelfingen GmbH</t>
  </si>
  <si>
    <t>SNB940436967099</t>
  </si>
  <si>
    <t>Gemeindewerke Niefern-Öschelbronn</t>
  </si>
  <si>
    <t>SNB970879855325</t>
  </si>
  <si>
    <t>Gemeindewerke Steißlingen</t>
  </si>
  <si>
    <t>SNB924453035597</t>
  </si>
  <si>
    <t>Hellenstein-Energie-Logistik GmbH</t>
  </si>
  <si>
    <t>SNB955784827612</t>
  </si>
  <si>
    <t>Karlsruher Institut für Technologie</t>
  </si>
  <si>
    <t>SNB970253419624</t>
  </si>
  <si>
    <t>Müller-Mühle GmbH &amp; Co. KG</t>
  </si>
  <si>
    <t>SNB985472799266</t>
  </si>
  <si>
    <t>MVV Netze GmbH</t>
  </si>
  <si>
    <t>SNB945502201350</t>
  </si>
  <si>
    <t>naturenergie netze GmbH</t>
  </si>
  <si>
    <t>SNB915030239484</t>
  </si>
  <si>
    <t>Netzbetrieb Hirschberg GmbH &amp; Co. KG</t>
  </si>
  <si>
    <t>SNB976371748981</t>
  </si>
  <si>
    <t>Netze Calw GmbH</t>
  </si>
  <si>
    <t>SNB934214092950</t>
  </si>
  <si>
    <t>Netze Hechingen GmbH &amp; Co. KG</t>
  </si>
  <si>
    <t>SNB935556509052</t>
  </si>
  <si>
    <t>Netze ODR GmbH</t>
  </si>
  <si>
    <t>SNB998819299022</t>
  </si>
  <si>
    <t>NHF Netzgesellschaft Heilbronn-Franken mbH</t>
  </si>
  <si>
    <t>SNB942224012479</t>
  </si>
  <si>
    <t>OUTLETCITY AG</t>
  </si>
  <si>
    <t>SNB942274543879</t>
  </si>
  <si>
    <t>Regionalnetze Linzgau GmbH</t>
  </si>
  <si>
    <t>SNB974239978785</t>
  </si>
  <si>
    <t>Regionalwerk Bodensee Netze GmbH &amp; Co. KG</t>
  </si>
  <si>
    <t>SNB979950878543</t>
  </si>
  <si>
    <t>Remstalwerk Netzgesellschaft GmbH</t>
  </si>
  <si>
    <t>SNB993059842564</t>
  </si>
  <si>
    <t>Stadtwerk am See GmbH &amp; Co. KG</t>
  </si>
  <si>
    <t>SNB936176430474</t>
  </si>
  <si>
    <t>Stadtwerk Tauberfranken GmbH</t>
  </si>
  <si>
    <t>SNB982726407335</t>
  </si>
  <si>
    <t>Stadtwerke Aalen GmbH</t>
  </si>
  <si>
    <t>SNB947709605108</t>
  </si>
  <si>
    <t>Stadtwerke Altensteig</t>
  </si>
  <si>
    <t>SNB953975499051</t>
  </si>
  <si>
    <t>Stadtwerke Bad Herrenalb GmbH</t>
  </si>
  <si>
    <t>SNB934457029447</t>
  </si>
  <si>
    <t>Stadtwerke Bad Säckingen GmbH</t>
  </si>
  <si>
    <t>SNB943203125821</t>
  </si>
  <si>
    <t>Stadtwerke Bad Saulgau</t>
  </si>
  <si>
    <t>SNB946710442153</t>
  </si>
  <si>
    <t>Stadtwerke Bad Wildbad GmbH &amp; Co. KG</t>
  </si>
  <si>
    <t>SNB931622346583</t>
  </si>
  <si>
    <t>Stadtwerke Baden-Baden</t>
  </si>
  <si>
    <t>SNB963746327452</t>
  </si>
  <si>
    <t>Stadtwerke Balingen</t>
  </si>
  <si>
    <t>SNB910950265032</t>
  </si>
  <si>
    <t>Stadtwerke Bietigheim-Bissingen GmbH</t>
  </si>
  <si>
    <t>SNB913244202027</t>
  </si>
  <si>
    <t>Stadtwerke Bretten Gesellschaft mit beschränkter Haftung</t>
  </si>
  <si>
    <t>SNB922393870476</t>
  </si>
  <si>
    <t>Stadtwerke Buchen GmbH &amp; Co. KG</t>
  </si>
  <si>
    <t>SNB914946450877</t>
  </si>
  <si>
    <t>Stadtwerke Bühl GmbH</t>
  </si>
  <si>
    <t>SNB934532229953</t>
  </si>
  <si>
    <t>Stadtwerke Crailsheim GmbH</t>
  </si>
  <si>
    <t>SNB990892864395</t>
  </si>
  <si>
    <t>Stadtwerke Ditzingen GmbH &amp; Co. KG</t>
  </si>
  <si>
    <t>SNB943604361118</t>
  </si>
  <si>
    <t>Stadtwerke Eberbach GmbH</t>
  </si>
  <si>
    <t>SNB948068461008</t>
  </si>
  <si>
    <t>Stadtwerke Emmendingen GmbH</t>
  </si>
  <si>
    <t>SNB959959730332</t>
  </si>
  <si>
    <t>Stadtwerke Engen GmbH</t>
  </si>
  <si>
    <t>SNB964273276183</t>
  </si>
  <si>
    <t>Stadtwerke Fellbach GmbH</t>
  </si>
  <si>
    <t>SNB973733148182</t>
  </si>
  <si>
    <t>Stadtwerke Freudenstadt GmbH &amp; Co. KG</t>
  </si>
  <si>
    <t>SNB925565312521</t>
  </si>
  <si>
    <t>Stadtwerke Gaggenau</t>
  </si>
  <si>
    <t>SNB922793626642</t>
  </si>
  <si>
    <t>Stadtwerke Gengenbach</t>
  </si>
  <si>
    <t>SNB989253327099</t>
  </si>
  <si>
    <t>Stadtwerke Haslach i.K.</t>
  </si>
  <si>
    <t>SNB938476571321</t>
  </si>
  <si>
    <t>Stadtwerke Heidelberg Netze GmbH</t>
  </si>
  <si>
    <t>SNB967127819703</t>
  </si>
  <si>
    <t>Stadtwerke Hockenheim</t>
  </si>
  <si>
    <t>SNB971087047229</t>
  </si>
  <si>
    <t>Stadtwerke Karlsruhe Netzservice GmbH</t>
  </si>
  <si>
    <t>SNB971124937612</t>
  </si>
  <si>
    <t>Stadtwerke Konstanz GmbH</t>
  </si>
  <si>
    <t>SNB949152526504</t>
  </si>
  <si>
    <t>Stadtwerke Lindau (B) GmbH &amp; Co. KG</t>
  </si>
  <si>
    <t>SNB961816584323</t>
  </si>
  <si>
    <t>Stadtwerke Mengen</t>
  </si>
  <si>
    <t>SNB961448362368</t>
  </si>
  <si>
    <t>Stadtwerke Metzingen - Eigenbetrieb der Stadt Metzingen</t>
  </si>
  <si>
    <t>SNB984863778941</t>
  </si>
  <si>
    <t>Stadtwerke Mosbach GmbH</t>
  </si>
  <si>
    <t>SNB947193557761</t>
  </si>
  <si>
    <t>Stadtwerke Mössingen</t>
  </si>
  <si>
    <t>SNB953132482766</t>
  </si>
  <si>
    <t>Stadtwerke Mühlacker GmbH</t>
  </si>
  <si>
    <t>SNB924181641435</t>
  </si>
  <si>
    <t>Stadtwerke Neuffen AG</t>
  </si>
  <si>
    <t>SNB948186469375</t>
  </si>
  <si>
    <t>Stadtwerke Nürtingen GmbH</t>
  </si>
  <si>
    <t>SNB963821222269</t>
  </si>
  <si>
    <t>Stadtwerke Oberkirch GmbH</t>
  </si>
  <si>
    <t>SNB974041045040</t>
  </si>
  <si>
    <t>Stadtwerke Radolfzell GmbH</t>
  </si>
  <si>
    <t>SNB914273329792</t>
  </si>
  <si>
    <t>Stadtwerke Rastatt GmbH</t>
  </si>
  <si>
    <t>SNB935144085258</t>
  </si>
  <si>
    <t>Stadtwerke Schorndorf GmbH</t>
  </si>
  <si>
    <t>SNB944999584793</t>
  </si>
  <si>
    <t>Stadtwerke Schramberg GmbH &amp; Co. KG</t>
  </si>
  <si>
    <t>SNB924431834525</t>
  </si>
  <si>
    <t>Stadtwerke Sigmaringen GmbH</t>
  </si>
  <si>
    <t>SNB953453232156</t>
  </si>
  <si>
    <t>Stadtwerke Sindelfingen GmbH</t>
  </si>
  <si>
    <t>SNB983384447602</t>
  </si>
  <si>
    <t>Stadtwerke Stockach GmbH</t>
  </si>
  <si>
    <t>SNB921695080347</t>
  </si>
  <si>
    <t>Stadtwerke Tübingen GmbH</t>
  </si>
  <si>
    <t>SNB922074927642</t>
  </si>
  <si>
    <t>Stadtwerke Tuttlingen GmbH</t>
  </si>
  <si>
    <t>SNB961283575572</t>
  </si>
  <si>
    <t>Stadtwerke Viernheim Netz GmbH</t>
  </si>
  <si>
    <t>SNB916927144072</t>
  </si>
  <si>
    <t>Stadtwerke Villingen-Schwenningen GmbH</t>
  </si>
  <si>
    <t>SNB920730809172</t>
  </si>
  <si>
    <t>Stadtwerke Waldkirch GmbH</t>
  </si>
  <si>
    <t>SNB933494191209</t>
  </si>
  <si>
    <t>Stadtwerke Waldshut-Tiengen GmbH</t>
  </si>
  <si>
    <t>SNB946790148600</t>
  </si>
  <si>
    <t>Stadtwerke Walldorf GmbH &amp; Co. KG</t>
  </si>
  <si>
    <t>SNB969708579983</t>
  </si>
  <si>
    <t>Stadtwerke Walldürn GmbH</t>
  </si>
  <si>
    <t>SNB935723521351</t>
  </si>
  <si>
    <t>Stadtwerke Weinheim GmbH</t>
  </si>
  <si>
    <t>SNB975061261090</t>
  </si>
  <si>
    <t>Stauferwerk  GmbH &amp; Co. KG</t>
  </si>
  <si>
    <t>SNB948673048298</t>
  </si>
  <si>
    <t>Stromnetzgesellschaft Herrenberg mbH &amp; Co. KG</t>
  </si>
  <si>
    <t>SNB954776773166</t>
  </si>
  <si>
    <t>Stromversorgung Sulz am Neckar GmbH</t>
  </si>
  <si>
    <t>SNB947592865054</t>
  </si>
  <si>
    <t>Stuttgart Netze GmbH</t>
  </si>
  <si>
    <t>SNB968273674970</t>
  </si>
  <si>
    <t>SWE Netz GmbH</t>
  </si>
  <si>
    <t>SNB929168402344</t>
  </si>
  <si>
    <t>SWP Stadtwerke Pforzheim GmbH &amp; Co. KG</t>
  </si>
  <si>
    <t>SNB942630156484</t>
  </si>
  <si>
    <t>TauberEnergie Kuhn, Karl und Andreas Kuhn OHG</t>
  </si>
  <si>
    <t>SNB984944755380</t>
  </si>
  <si>
    <t>TransnetBW GmbH</t>
  </si>
  <si>
    <t>SNB977095880292</t>
  </si>
  <si>
    <t>TWS Netz GmbH</t>
  </si>
  <si>
    <t>SNB972264483465</t>
  </si>
  <si>
    <t>Überlandwerk Eppler GmbH</t>
  </si>
  <si>
    <t>SNB913992545742</t>
  </si>
  <si>
    <t>Überlandwerk Mittelbaden GmbH &amp; Co. KG</t>
  </si>
  <si>
    <t>SNB929840763916</t>
  </si>
  <si>
    <t>VersorgungsWerke Heddesheim GmbH &amp; Co. KG</t>
  </si>
  <si>
    <t>SNB910224319560</t>
  </si>
  <si>
    <t>Weiler Wärme eG</t>
  </si>
  <si>
    <t>Summe</t>
  </si>
  <si>
    <t>Anteil:</t>
  </si>
  <si>
    <t>Zu leistende Zuschlagszahlungen in Euro (EUR)</t>
  </si>
  <si>
    <t>KWK Zuschlagszahlungen 
nach KWKG 2009</t>
  </si>
  <si>
    <t>KWK Zuschlagszahlungen 
nach KWKG 2012</t>
  </si>
  <si>
    <t>KWK Zuschlagszahlungen 
nach KWKG 2025</t>
  </si>
  <si>
    <t>Zuschlagszahlungen nach KWKG gesamt</t>
  </si>
  <si>
    <t>[EUR]</t>
  </si>
  <si>
    <t>Abzugsbeträge*, Zahlungsansprüche bei Pflichtverstößen* sowie Bonuszahlungen in Euro (EUR)</t>
  </si>
  <si>
    <t>* Darstellung mit negativem Vorzeichen</t>
  </si>
  <si>
    <t>Abzugsbeträge</t>
  </si>
  <si>
    <t>Zahlungsansprüche bei Pflichtverstößen</t>
  </si>
  <si>
    <t>Bonuszahlungen</t>
  </si>
  <si>
    <t>Einnahmen aus Erlösen oder vermiedenen Aufwendungen aus der Verwertung des kaufmännisch
abgenommenen KWKG-Stroms / Verringerung der Zuschlagszahlung aufgrund fehlender Registrierung im Markstammdatenregister</t>
  </si>
  <si>
    <t>von Betreibern von KWK-Anlagen zu leistende Zahlungen bei Pflichtverstößen</t>
  </si>
  <si>
    <t>Bonus für innovative erneuerbare Wärme / ggf. Bonus für elektrische Wärmeerzeuger (sofern EU-beihilferechtliche Genehmigung erfolgt) / Kohleersatzbonus</t>
  </si>
  <si>
    <t>hinsichtlich Änderungen der abzurechnenden Strommengen oder der Zahlungsansprüche</t>
  </si>
  <si>
    <t>Aufteilung pro Regelzone nach Zuschlagszahlungen, Abzugsbeträgen und Bonuszahlungen</t>
  </si>
  <si>
    <t>KWK-Strommenge und
Zuschlagszahlungen nach
KWKG 2009</t>
  </si>
  <si>
    <t>KWK-Strommenge und
Zuschlagszahlungen nach
KWKG 2012</t>
  </si>
  <si>
    <t>KWK-Strommenge und
Zuschlagszahlungen nach
KWKG 2025</t>
  </si>
  <si>
    <t>Abzugs-
beträge</t>
  </si>
  <si>
    <t>Bonus-
zahlungen</t>
  </si>
  <si>
    <t>Grund*</t>
  </si>
  <si>
    <t>Jahr</t>
  </si>
  <si>
    <t>Förder-
wirksame
KWK-Strommengen</t>
  </si>
  <si>
    <t>Zuschlags-
zahlungen</t>
  </si>
  <si>
    <t>SNB931639626302</t>
  </si>
  <si>
    <t>Stadtwerke Hemer GmbH</t>
  </si>
  <si>
    <t>7</t>
  </si>
  <si>
    <t>SNB933529129573</t>
  </si>
  <si>
    <t>Getreidemühle Zwiefalten eG</t>
  </si>
  <si>
    <t>1</t>
  </si>
  <si>
    <t>Aufteilung pro Regelzone für nachträgliche Korrekturen der Zahlungsansprüche bei Pflichtverstößen nach § 52 Abs. 8 EEG 2023</t>
  </si>
  <si>
    <t>* Legende zu den Gründen für nachträgliche Korrekturen nach § 20 Abs. 1 EnFG:</t>
  </si>
  <si>
    <t xml:space="preserve">   1. Rückforderungen aufgrund von § 18 Abs. 1 EnFG (§ 20 Abs. 1 Nr. 1 EnFG) </t>
  </si>
  <si>
    <t xml:space="preserve">   2. rechtskräftige Gerichtsentscheidung im Hauptsacheverfahren (§ 20 Abs. 1 Nr. 2 EnFG)</t>
  </si>
  <si>
    <t xml:space="preserve">   3. Ergebnis eines Verfahrens bei der Clearingstelle nach § 32a Abs. 4 Satz 1 Nr. 1 oder Nr. 2 Kraft-Wärme-Kopplungsgesetz (§ 20 Abs. 1 Nr. 3 EnFG)</t>
  </si>
  <si>
    <t xml:space="preserve">   4. Entscheidungen der Bundesnetzagentur nach § 62 EnFG oder § 31b Kraft-Wärme-Kopplungsgesetz (§ 20 Abs. 1 Nr. 4 EnFG)</t>
  </si>
  <si>
    <t xml:space="preserve">   5. vollstreckbarer Titel, der erst nach der Abrechnung nach § 15 EnFG ergangen ist (§ 20 Abs. 1 Nr. 5 EnFG)</t>
  </si>
  <si>
    <t xml:space="preserve">   6. § 20 Abs. 1 Nr. 6 EnFG ist im Zusammenhang mit der vorliegenden zusammengefassten Endabrechnung nicht anwendbar</t>
  </si>
  <si>
    <t xml:space="preserve">   7. unstreitige Korrektur fehlerhafter oder unvollständiger Angaben (§ 20 Abs. 1 Nr. 7 EnFG).</t>
  </si>
  <si>
    <t>Pönalen nach § 21 Abs. 1 KWKAusV auf Basis der Prüfungsvermerke der ÜNB</t>
  </si>
  <si>
    <t>Vereinnahmte Pönale</t>
  </si>
  <si>
    <t>Zuschlagszahlungen für die Förderung von Wärme-/Kältenetzen und von Wärme-/Kältespeichern auf Basis der Prüfungsvermerke der ÜNB</t>
  </si>
  <si>
    <t>Förderung von Wärme-/Kältenetze</t>
  </si>
  <si>
    <t>Förderung von Wärme-/Kältespeicher</t>
  </si>
  <si>
    <t>Zuschlagszahlungen KWK-Anlagen, Abzüge, Boni, Pflichtverstöße, Pönalen, Zuschlagszahlungen WKNS nach Kategorien und gesetzlichen Förderbestimmungen</t>
  </si>
  <si>
    <t xml:space="preserve">
Anlagenkategorie
</t>
  </si>
  <si>
    <t>Gesetzesbezug</t>
  </si>
  <si>
    <t>Deutschland</t>
  </si>
  <si>
    <t>kWh</t>
  </si>
  <si>
    <t>EUR</t>
  </si>
  <si>
    <t>Summe 
[kWh]</t>
  </si>
  <si>
    <t>Summe 
[EUR]</t>
  </si>
  <si>
    <t>KWK-Strommenge 
[kWh]</t>
  </si>
  <si>
    <t>KWK-Zuschläge [EUR]</t>
  </si>
  <si>
    <t>KWK-Strommenge
[kWh]</t>
  </si>
  <si>
    <t>KWK-Zuschläge 
[EUR]</t>
  </si>
  <si>
    <t>Alte Bestandsanlagen</t>
  </si>
  <si>
    <t>§ 5 Abs. 1 Nr. 1 KWKG 2009</t>
  </si>
  <si>
    <t>Neue Bestandsanlagen</t>
  </si>
  <si>
    <t>§ 5 Abs. 1 Nr. 2 KWKG 2009</t>
  </si>
  <si>
    <t>Modernisierte Anlagen</t>
  </si>
  <si>
    <t>§ 5 Abs. 1 Nr. 3 KWKG 2009</t>
  </si>
  <si>
    <t>§ 5 Abs. 1 Nr. 4 KWKG 2009</t>
  </si>
  <si>
    <t>§ 5 Abs. 2 S. 1 Nr. 1 KWKG 2009</t>
  </si>
  <si>
    <t>§ 5 Abs. 2 S. 1 Nr. 2 KWKG 2009</t>
  </si>
  <si>
    <t>§ 5 Abs. 3 KWKG 2009</t>
  </si>
  <si>
    <t>§ 5 Abs. 1 S. 1 Nr. 1 KWKG 2012</t>
  </si>
  <si>
    <t>§ 5 Abs. 1 S. 1 Nr. 2 KWKG 2012</t>
  </si>
  <si>
    <t>§ 5 Abs. 2 KWKG 2012</t>
  </si>
  <si>
    <t>§ 5 Abs. 3 KWKG 2012</t>
  </si>
  <si>
    <t>§ 5 Abs. 4 KWKG 2012</t>
  </si>
  <si>
    <t>§ 7 Abs. 3 KWKG 2012</t>
  </si>
  <si>
    <t>§§ 8a und 8b KWKG 2025</t>
  </si>
  <si>
    <t>§ 7 Abs. 1 KWKG 2025</t>
  </si>
  <si>
    <t>§ 7 Abs. 2 Nr. 1, § 35 Abs. 17 u. 20 KWKG 2025</t>
  </si>
  <si>
    <t>§ 7 Abs. 2 Nr. 2, § 35 Abs. 17 u. 20 KWKG 2025</t>
  </si>
  <si>
    <t>§ 7 Abs. 2 Nr. 3, § 35 Abs. 17 u.20 KWKG 2025</t>
  </si>
  <si>
    <t>§ 7 Abs. 3a KWKG 2025</t>
  </si>
  <si>
    <t>§ 9 Abs. 1 KWKG 2025</t>
  </si>
  <si>
    <t>§ 15 Abs 4 KWKG 2025</t>
  </si>
  <si>
    <t>§ 14 Nr. 2 EnFG</t>
  </si>
  <si>
    <t>§ 13a KWKG 2025</t>
  </si>
  <si>
    <t>§ 7a KWKG 2025</t>
  </si>
  <si>
    <t>§ 7b KWKG 2025
(wenn EU-beihilferechtl. genehmigt)</t>
  </si>
  <si>
    <t>§ 7c KWKG 2025</t>
  </si>
  <si>
    <t>Summe KWKG 2009</t>
  </si>
  <si>
    <t>Summe KWKG 2012</t>
  </si>
  <si>
    <t>Summe KWKG 2025</t>
  </si>
  <si>
    <t>Summe Abzugsbetrag</t>
  </si>
  <si>
    <t>Summe Boni</t>
  </si>
  <si>
    <t>§ 52 Abs. 8 EEG 2023</t>
  </si>
  <si>
    <t>An Übertragungsnetzbetreiber geleistete Pönalen (negative Darstellung)</t>
  </si>
  <si>
    <t>§ 21 KWKAusV</t>
  </si>
  <si>
    <t>Zuschlagszahlungen an Betreiber von Wärme-/Kältenetzen</t>
  </si>
  <si>
    <t>§§ 18, 19 u. 35 Abs. 7 KWKG 2025</t>
  </si>
  <si>
    <t>Zuschlagszahlungen an Betreiber von Wärme-/Kältenetzspeicher</t>
  </si>
  <si>
    <t>§§ 22, 23 u. 35 Abs. 8 KWKG 2025</t>
  </si>
  <si>
    <t>Summe WKNS</t>
  </si>
  <si>
    <t>Diese Tabelle gibt die Korrekturbeträge aus dem Tabellenblatt 1c für KWK-Anlagen sowie aus dem Tabellenblatt 1e WKNS für Vorjahre in einer anderen Darstellung wieder.</t>
  </si>
  <si>
    <t>Zuschlagszahl-ungen, Abzugsbeträge, Boni*</t>
  </si>
  <si>
    <t>Förderung Wärme-/ Kältenetze und -speicher</t>
  </si>
  <si>
    <t>Aufteilung pro Regelzone für nachträgliche Korrekturen der Zahlungen bei Pflichtverstößen nach § 52 Abs. 8 EEG 2023</t>
  </si>
  <si>
    <t>Zahlung bei Pflichtverstoß</t>
  </si>
  <si>
    <t>Umlagepflichtige Netzentnahmen in kWh (KWKG-Umlage / Offshore-Netzumlage)</t>
  </si>
  <si>
    <t>nicht privilegierte Netzentnahmen 
(100 % der Umlage)
(I)</t>
  </si>
  <si>
    <t>Wärmepumpen § 22 EnFG
(0,00 ct/ kWh)
(II)</t>
  </si>
  <si>
    <t>Anlagen zur Verstromung von Kuppelgasen § 23 EnFG
(15 % der Umlage)
(III)</t>
  </si>
  <si>
    <t>Herstellung von Grünem Wasserstoff 
§ 25 EnFG
(0,00 ct/kWh)
(IV)</t>
  </si>
  <si>
    <t>Schienenbahnen § 37 EnFG
(10% der Umlage)
(V)</t>
  </si>
  <si>
    <t>E-Busse § 38 EnFG
(20% der Umlage)
(VI)</t>
  </si>
  <si>
    <t>Landstromanlagen § 39 EnFG
(20% der Umlage)
(VII)</t>
  </si>
  <si>
    <t>Summe
(VIII) = Summe (I) bis (VII)</t>
  </si>
  <si>
    <t>BASF InfraService &amp; Solutions</t>
  </si>
  <si>
    <t>DB Energie GmbH (Bahnstromnetz)</t>
  </si>
  <si>
    <t>DB Energie GmbH (gVNB Drehstromnetz - 50Hz)</t>
  </si>
  <si>
    <t xml:space="preserve">EGC Energie und Gebäudetechnik Control GmbH &amp; Co. </t>
  </si>
  <si>
    <t>SNB959492463384</t>
  </si>
  <si>
    <t>EWN Entsorgungswerk für Nuklearanlagen GmbH</t>
  </si>
  <si>
    <t>SNB974693983233</t>
  </si>
  <si>
    <t>EVIP GmbH</t>
  </si>
  <si>
    <t>SNB939548785561</t>
  </si>
  <si>
    <t>Flughafen Energie und Wasser GmbH</t>
  </si>
  <si>
    <t>SNB990792528632</t>
  </si>
  <si>
    <t>Flughafen Leipzig/Halle GmbH</t>
  </si>
  <si>
    <t>SNB918100919279</t>
  </si>
  <si>
    <t>GIG energy services GmbH</t>
  </si>
  <si>
    <t>Hamburger Energienetze GmbH</t>
  </si>
  <si>
    <t>Infrastrukturbetrieb der Stadt Arneburg Eigenbetrieb</t>
  </si>
  <si>
    <t>Energie- und Wasserwerke Bautzen GmbH</t>
  </si>
  <si>
    <t>Elektrizitätswerk Max Peißker</t>
  </si>
  <si>
    <t>Stadtwerke Gotha NETZ GmbH</t>
  </si>
  <si>
    <t>HALBERSTADTWERKE GmbH</t>
  </si>
  <si>
    <t>Stadt- und Überlandwerke GmbH Luckau - Lübbenau</t>
  </si>
  <si>
    <t>Stadtwerke Reichenbach/Vogtl. GmbH</t>
  </si>
  <si>
    <t>SNB919985327685</t>
  </si>
  <si>
    <t>Industrienetzgesellschaft Schkopau mbH</t>
  </si>
  <si>
    <t>Stadtwerke Schönebeck GmbH</t>
  </si>
  <si>
    <t>Stadtwerke - Altmärkische Gas-, Wasser- und Elektrizitätswerke GmbH Stendal</t>
  </si>
  <si>
    <t>SWS Netze GmbH (Teilnetz Barth)</t>
  </si>
  <si>
    <t>SWS Netze GmbH (Teilnetz Stralsund)</t>
  </si>
  <si>
    <t>Strom-und Gasnetz Wismar GmbH</t>
  </si>
  <si>
    <t>SNB985414225433</t>
  </si>
  <si>
    <t>TRIDELTA Energieversorgungs GmbH</t>
  </si>
  <si>
    <t>SNB921080203146</t>
  </si>
  <si>
    <t>Elektrizitätswerk Rohmund GmbH</t>
  </si>
  <si>
    <t>SNB951232597106</t>
  </si>
  <si>
    <t>Gemeindewerke Cadolzburg</t>
  </si>
  <si>
    <t>SNB955872978110</t>
  </si>
  <si>
    <t>Gemeinde Partenstein</t>
  </si>
  <si>
    <t>SWD Stadtwerke Dinkelsbühl</t>
  </si>
  <si>
    <t>SNB945322307522</t>
  </si>
  <si>
    <t>Elektrizitätsgenossenschaft Karlstein e.G.</t>
  </si>
  <si>
    <t>SNB968325295962</t>
  </si>
  <si>
    <t>Gemeinde Glattbach</t>
  </si>
  <si>
    <t>SNB985979481190</t>
  </si>
  <si>
    <t>Elektrizitäts- und Wasserversorgungsgenossenschaft Vagen  eG</t>
  </si>
  <si>
    <t>SNB947553215997</t>
  </si>
  <si>
    <t>Gemeindewerke Stammbach Kommunalunternehmen AdöR</t>
  </si>
  <si>
    <t>SNB977966674678</t>
  </si>
  <si>
    <t>EW Geiger GmbH</t>
  </si>
  <si>
    <t>SNB982597073882</t>
  </si>
  <si>
    <t>Elektrizitätswerk Oberwössen e.G.</t>
  </si>
  <si>
    <t>SNB945186990991</t>
  </si>
  <si>
    <t>E-Werk Wanfried von Scharfenberg GmbH &amp; Co. KG</t>
  </si>
  <si>
    <t>SNB974959002937</t>
  </si>
  <si>
    <t>Elektrizitätsgenossenschaft Wolkersdorf und Umgebung eG</t>
  </si>
  <si>
    <t>SNB917593691679</t>
  </si>
  <si>
    <t>Elektrizitätswerk Unterwössen Döllerer &amp; Greimel Netz GmbH &amp; Co. KG</t>
  </si>
  <si>
    <t>SNB950882682972</t>
  </si>
  <si>
    <t>Elektrizitäts-Genossenschaft Schonstett eG</t>
  </si>
  <si>
    <t>SNB966494112844</t>
  </si>
  <si>
    <t>Raiffeisenbank Altmühl-Jura eG</t>
  </si>
  <si>
    <t>SNB979973883449</t>
  </si>
  <si>
    <t>Westenthanner Energieversorgung GmbH</t>
  </si>
  <si>
    <t>SNB954239007623</t>
  </si>
  <si>
    <t>Gemeindewerke Gangkofen</t>
  </si>
  <si>
    <t>SNB930329896650</t>
  </si>
  <si>
    <t>Gemeindewerke Langenpreising GmbH &amp; Co. KG</t>
  </si>
  <si>
    <t>SNB983973032059</t>
  </si>
  <si>
    <t>Elektra-Genossenschaft Effeltrich e.G.</t>
  </si>
  <si>
    <t>SNB928340368768</t>
  </si>
  <si>
    <t>SWB Stadtwerke Biedenkopf GmbH</t>
  </si>
  <si>
    <t>SNB925831583235</t>
  </si>
  <si>
    <t>Energieversorgung - Schmid</t>
  </si>
  <si>
    <t>SNB932489723517</t>
  </si>
  <si>
    <t>Markt Obernzell</t>
  </si>
  <si>
    <t>SNB981887803796</t>
  </si>
  <si>
    <t>Elektrizitätsgenossenschaft Engelsberg e.G.</t>
  </si>
  <si>
    <t>SNB917783023525</t>
  </si>
  <si>
    <t>Niedersachsen Ports GmbH &amp; Co. KG</t>
  </si>
  <si>
    <t>SNB916027833432</t>
  </si>
  <si>
    <t>Elektrizitätsvereinigung Böbing eG</t>
  </si>
  <si>
    <t>SNB945187645647</t>
  </si>
  <si>
    <t>Gemeindewerke Wildeck</t>
  </si>
  <si>
    <t>SNB985498109605</t>
  </si>
  <si>
    <t>Elektrizitätsgenossenschaft Nordhalben und Umgebung eG</t>
  </si>
  <si>
    <t>SNB980126228475</t>
  </si>
  <si>
    <t>Elektrizitätswerk Mainbernheim GmbH</t>
  </si>
  <si>
    <t>SNB960098459084</t>
  </si>
  <si>
    <t>FischerStrom GmbH &amp; Co. KG (vormals: FischerStrom KG)</t>
  </si>
  <si>
    <t>SNB962011640685</t>
  </si>
  <si>
    <t>EGF EnergieGesellschaft Frankenberg mbH</t>
  </si>
  <si>
    <t>SNB913085272050</t>
  </si>
  <si>
    <t>Elektra Genossenschaft Pinzberg e.G.</t>
  </si>
  <si>
    <t>SNB919526009605</t>
  </si>
  <si>
    <t>Flughafen München GmbH</t>
  </si>
  <si>
    <t>SNB922722422505</t>
  </si>
  <si>
    <t>AlzChem Netz GmbH</t>
  </si>
  <si>
    <t>SNB952566530197</t>
  </si>
  <si>
    <t>EnBW Mainfrankenpark GmbH (vorm. Utility Service Center Main-Franken-Park GmbH)</t>
  </si>
  <si>
    <t>SNB958060904298</t>
  </si>
  <si>
    <t>Elektrizitätswerk Josef Haimmerer</t>
  </si>
  <si>
    <t>EGC Energie- und Gebäudetechnik Control GmbH &amp; Co. KG</t>
  </si>
  <si>
    <t>SNB986363918520</t>
  </si>
  <si>
    <t>Energieversorgung Putzbrunn GmbH &amp; Co. KG</t>
  </si>
  <si>
    <t>SNB982034089728</t>
  </si>
  <si>
    <t>Netz &amp; Energie Betriebsgesellschaft mbH</t>
  </si>
  <si>
    <t>SNB975268997129</t>
  </si>
  <si>
    <t>Covestro Brunsbüttel Energie GmbH</t>
  </si>
  <si>
    <t>SNB910066952147</t>
  </si>
  <si>
    <t>Brücken-Center Ansbach GmbH</t>
  </si>
  <si>
    <t>SNB938180557147</t>
  </si>
  <si>
    <t>Flughafen Nürnberg Energie GmbH</t>
  </si>
  <si>
    <t>SNB971573473594</t>
  </si>
  <si>
    <t>INNEXIS Marburg GmbH (vormals Pharmaserv GmbH)</t>
  </si>
  <si>
    <t>SNB903808877785</t>
  </si>
  <si>
    <t>Stromnetz Pullach GmbH</t>
  </si>
  <si>
    <t>SNB953011641437</t>
  </si>
  <si>
    <t>Reußenköge Netz &amp; Infrastruktur GmbH</t>
  </si>
  <si>
    <t>SNB935015390610</t>
  </si>
  <si>
    <t>enercity Flughafen Netz GmbH</t>
  </si>
  <si>
    <t>SNB938413573104</t>
  </si>
  <si>
    <t>QuartiersNetz Bayern GmbH</t>
  </si>
  <si>
    <t>SNB903166209006</t>
  </si>
  <si>
    <t>CCF Cassella Chemiepark Frankfurt GmbH</t>
  </si>
  <si>
    <t>SNB905238986457</t>
  </si>
  <si>
    <t>enercity GridPartner GmbH</t>
  </si>
  <si>
    <t>SNB914767582221</t>
  </si>
  <si>
    <t>SW Südholstein GmbH (vormals SW Tornesch-Netz GmbH)</t>
  </si>
  <si>
    <t>SNB927533168369</t>
  </si>
  <si>
    <t>SW Südholstein GmbH (vormals SW Pinneberg GmbH)</t>
  </si>
  <si>
    <t>SNB956411704207</t>
  </si>
  <si>
    <t>C. Ensinger GmbH &amp; Co. KG</t>
  </si>
  <si>
    <t>SNB952385093224</t>
  </si>
  <si>
    <t>Elektrizitätswerk Leitlein GmbH &amp; Co. KG</t>
  </si>
  <si>
    <t>SNB946934291780</t>
  </si>
  <si>
    <t>Flughafen Stuttgart Energie GmbH</t>
  </si>
  <si>
    <t>SNB931677334054</t>
  </si>
  <si>
    <t>Freudenberg Service KG</t>
  </si>
  <si>
    <t>SNB959475630567</t>
  </si>
  <si>
    <t>Gemeindewerke Schutterwald</t>
  </si>
  <si>
    <t>GETEC  Quartier GmbH</t>
  </si>
  <si>
    <t>SNB915686229082</t>
  </si>
  <si>
    <t>GWS Gemeindewerke Sinzheim GmbH &amp; Co. KG</t>
  </si>
  <si>
    <t>SNB975462731697</t>
  </si>
  <si>
    <t>Heinzelmann Stromhandels- und Vertriebs-GmbH &amp; Co. KG</t>
  </si>
  <si>
    <t>SNB994080853864</t>
  </si>
  <si>
    <t>Industriepark Neckarsulm Energie GmbH</t>
  </si>
  <si>
    <t>SNB942908692218</t>
  </si>
  <si>
    <t>Karl Stengle GmbH &amp; Co KG</t>
  </si>
  <si>
    <t>SNB957361726592</t>
  </si>
  <si>
    <t>Kraftwerk Köhlgartenwiese GmbH</t>
  </si>
  <si>
    <t>MVE Eurokom Gesellschaft für Energie und Kommunikationsleistungen mbH</t>
  </si>
  <si>
    <t>SNB960349538834</t>
  </si>
  <si>
    <t>Power Supply  Systems GmbH</t>
  </si>
  <si>
    <t>SNB962618092306</t>
  </si>
  <si>
    <t>Stadtwerke Schwäbisch Gmünd GmbH</t>
  </si>
  <si>
    <t>SNB911104987275</t>
  </si>
  <si>
    <t>Versorgungsbetriebe Röttingen</t>
  </si>
  <si>
    <t>Soll-Umlageeinnahmen in Euro aus der KWKG-Umlage für umlagepflichtige Netzentnahmen</t>
  </si>
  <si>
    <t>nicht privilegierte Netzentnahmen 
(100 % der Umlage)
(1)</t>
  </si>
  <si>
    <t>Wärmepumpen § 22 EnFG
(0,00 ct/ kWh)
(2)</t>
  </si>
  <si>
    <t>Anlagen zur Verstromung von Kuppelgasen § 23 EnFG
(15 % der Umlage)
(3)</t>
  </si>
  <si>
    <t>Herstellung von Grünem Wasserstoff § 25 EnFG
(0,00 ct/kWh)
(4)</t>
  </si>
  <si>
    <t>Schienenbahnen § 37 EnFG
(10% der Umlage)
(5)</t>
  </si>
  <si>
    <t>E-Busse § 38 EnFG
(20% der Umlage)
(6)</t>
  </si>
  <si>
    <t>Landstromanlagen § 39 EnFG
(20% der Umlage)
(7)</t>
  </si>
  <si>
    <t>Summe
(8) = Summe (1) bis (7)</t>
  </si>
  <si>
    <t>Soll-Umlageeinnahmen in Euro aus der Offshore-Netzumlage für umlagepflichtige Netzentnahmen</t>
  </si>
  <si>
    <t>Gewerbepark Nürnberg-Feucht Versorgungs- und Abwasserentsorgungs GmbH</t>
  </si>
  <si>
    <t>Gemeindewerke Rückersdorf</t>
  </si>
  <si>
    <t>Gemeindliche Stromversorgung Röttenbach</t>
  </si>
  <si>
    <t>gKU oberes Egertal</t>
  </si>
  <si>
    <t>Gemeinde Heroldsbach</t>
  </si>
  <si>
    <t>Elektrizitätsgenossenschaft Karlstein eG</t>
  </si>
  <si>
    <t>ew-schmid gmbh</t>
  </si>
  <si>
    <t>SW Südholstein GmbH ehemals SW Pinneberg GmbH</t>
  </si>
  <si>
    <t>Markt Lam</t>
  </si>
  <si>
    <t>Markt Wilhermsdorf</t>
  </si>
  <si>
    <t>Gemeinde Bayerisch Gmain</t>
  </si>
  <si>
    <t>Gemeindewerke Schönkirchen GmbH</t>
  </si>
  <si>
    <t>SWN Stadtwerke Neustadt GmbH</t>
  </si>
  <si>
    <t>HEWA Hersbrucker Energie- und Wasserversorgung GmbH</t>
  </si>
  <si>
    <t>TraveNetz GmbH</t>
  </si>
  <si>
    <t>e-werk Sachsenwald GmbH</t>
  </si>
  <si>
    <t>Stadtwerke Bad Sachsa GmbH</t>
  </si>
  <si>
    <t>Eichenmüller GmbH &amp; Co. KG</t>
  </si>
  <si>
    <t>Stromversorgung Inzell eG</t>
  </si>
  <si>
    <t>KWH Netz GmbH</t>
  </si>
  <si>
    <t>SW Südholstein GmbH ehemals SW Tornesch-Netz GmbH</t>
  </si>
  <si>
    <t>Braunschweiger Netz GmbH</t>
  </si>
  <si>
    <t>Stadtwerke Bad Harzburg GmbH</t>
  </si>
  <si>
    <t>Strotög GmbH Strom aus Töging</t>
  </si>
  <si>
    <t>Celle-Uelzen Netz GmbH</t>
  </si>
  <si>
    <t>ews-Netz GmbH</t>
  </si>
  <si>
    <t>Elektrizitätsgenossenschaft Wolkersdorf und Umgebung e.G.</t>
  </si>
  <si>
    <t>NRM Netzdienste Rhein-Main GmbH</t>
  </si>
  <si>
    <t>Markt Thüngen</t>
  </si>
  <si>
    <t>SVI Stromversorgung Ismaning GmbH</t>
  </si>
  <si>
    <t>Stadtwerke Schwentinental GmbH</t>
  </si>
  <si>
    <t>Stadtwerke Hameln Weserbergland GmbH</t>
  </si>
  <si>
    <t>Stadtwerke Witzenhausen GmbH</t>
  </si>
  <si>
    <t>Elektrizitätswerk Georg Grandl e.K.</t>
  </si>
  <si>
    <t>Elektrizitäts-Versorgungs-Genossenschaft Perlesreut e.G.</t>
  </si>
  <si>
    <t>Kommunalunternehmen Leutershausen</t>
  </si>
  <si>
    <t>Mainfranken Netze GmbH</t>
  </si>
  <si>
    <t>FischerStrom GmbH &amp; Co. KG</t>
  </si>
  <si>
    <t>Elektra-Genossenschaft Pinzberg e.G.</t>
  </si>
  <si>
    <t>Schleswig-Holstein Netz GmbH</t>
  </si>
  <si>
    <t>EnBW Mainfrankenpark GmbH</t>
  </si>
  <si>
    <t>E.-Werk J. Schauer</t>
  </si>
  <si>
    <t>EVE Netz GmbH</t>
  </si>
  <si>
    <t>Pharmaserv GmbH</t>
  </si>
  <si>
    <t>Verringerung der KWKG-Umlage / Offshore-Netzumlage aufgrund von § 21 EnFG</t>
  </si>
  <si>
    <t>elektrische, chemische, mechanische oder physikalische Stromspeicher</t>
  </si>
  <si>
    <t>Ladepunkte für Elektromobile</t>
  </si>
  <si>
    <t>Erzeugung von Speichergas</t>
  </si>
  <si>
    <t>Netzentnahmen von Strom</t>
  </si>
  <si>
    <t>Saldierungsbetrag hinsichtlich der 
KWKG-Umlage</t>
  </si>
  <si>
    <t>Saldierungsbetrag hinsichtlich der 
Offshore-Netzumlage</t>
  </si>
  <si>
    <t>Sanktionen gem. § 53 EnFG aufgrund eines Verstoßes gegen die Mitteilungspflichten nach § 52 EnFG</t>
  </si>
  <si>
    <t>Verstoß nach § 53 Abs. 1 EnFG
(Erhöhung der Umlage auf 100%)</t>
  </si>
  <si>
    <t>Verstoß nach § 53 Abs. 2 EnFG
(Erhöhung der Umlage um 20%-Punkte)</t>
  </si>
  <si>
    <t>sanktionierte Netzentnahmen 
von Strom</t>
  </si>
  <si>
    <t>Sanktion hinsichtlich der 
KWKG-Umlage</t>
  </si>
  <si>
    <t>Sanktion hinsichtlich der 
Offshore-Netzumlage</t>
  </si>
  <si>
    <t>Umlagepflichtige Netzentnahmen von aus dem Netz entnommenen und selbst verbrauchten Strommengen von stromkostenintensiven Unternehmen</t>
  </si>
  <si>
    <t>aus dem Netz bezogene und selbst verbrauchte Strommenge</t>
  </si>
  <si>
    <t xml:space="preserve">KWKG-Umlage </t>
  </si>
  <si>
    <t xml:space="preserve">Offshore-Netzumlage </t>
  </si>
  <si>
    <t>Umlagepflichtige Netzentnahmen von aus dem Netz entnommenen und weitergeleiteten Strommengen von stromkostenintensiven Unternehmen in kWh (KWKG-Umlage / Offshore-Netzumlage)</t>
  </si>
  <si>
    <t>Soll-Umlageeinnahmen in Euro aus der KWKG-Umlage für umlagepflichtige Netzentnahmen von aus dem Netz entnommenen und weitergeleiteten Strommengen von stromkostenintensiven Unternehmen</t>
  </si>
  <si>
    <t>Soll-Umlageeinnahmen in Euro aus der Offshore-Netzumlage für umlagepflichtige Netzentnahmen von aus dem Netz entnommenen und weitergeleiteten Strommengen von stromkostenintensiven Unternehmen</t>
  </si>
  <si>
    <t>Verringerung der KWKG-Umlage / Offshore-Netzumlage aufgrund von § 21 EnFG - stromkostenintensive Unternehmen</t>
  </si>
  <si>
    <t>Saldierungsbetrag hinsichtlich der KWKG-Umlage</t>
  </si>
  <si>
    <t>Saldierungsbetrag hinsichtlich der Offshore-Netzumlage</t>
  </si>
  <si>
    <t>Sanktionen gem. § 53 EnFG aufgrund eines Verstoßes gegen die Mitteilungspflichten nach § 52 EnFG - stromkostenintensive Unternehmen</t>
  </si>
  <si>
    <t xml:space="preserve">Sanktion hinsichtlich der 
Offshore-Netzumlage 
</t>
  </si>
  <si>
    <t>Sicherheitsaufschlag gemäß § 61 EnFG aufgrund fehlender Wirtschaftsprüferbescheinigung - stromkostenintensive Unternehmen</t>
  </si>
  <si>
    <t>Sicherheitsaufschlag
KWKG-Umlage</t>
  </si>
  <si>
    <t xml:space="preserve">Sicherheitsaufschlag Offshore-Netzumlage </t>
  </si>
  <si>
    <t>Nachträgliche Angaben zur KWKG-Umlage und Offshore-Netzumlage auf Basis der Prüfungsvermerke der ÜNB</t>
  </si>
  <si>
    <t>Angaben zu Korrekturen in der Regelzone von 50Hertz</t>
  </si>
  <si>
    <t>VNB</t>
  </si>
  <si>
    <t>Umlageart</t>
  </si>
  <si>
    <t>Änderung der umlagepflichtigen Strommengen</t>
  </si>
  <si>
    <t>Änderungen im Hinblick auf die erhaltene KWKG-Umlage</t>
  </si>
  <si>
    <t>Änderungen im Hinblick auf die erhaltene Offshore-Netzumlage (bzw. Offshore-Haftungsumlage)</t>
  </si>
  <si>
    <t>nicht privilegierter Letztverbrauch</t>
  </si>
  <si>
    <t>Schienenbahnen</t>
  </si>
  <si>
    <t>stromintensive Schienenbahnen</t>
  </si>
  <si>
    <t>Stromspeicher</t>
  </si>
  <si>
    <t>Landstromanlagen</t>
  </si>
  <si>
    <t>Summe 50Hertz</t>
  </si>
  <si>
    <t>Angaben zu Korrekturen in der Regelzone von Amprion</t>
  </si>
  <si>
    <t>Letztverbrauch der Kategorie A</t>
  </si>
  <si>
    <t>Letztverbrauch der Kategorie A'</t>
  </si>
  <si>
    <t>Stromintensive Schienenbahnen</t>
  </si>
  <si>
    <t>Kuppelgase</t>
  </si>
  <si>
    <t>E-Busse</t>
  </si>
  <si>
    <t>Summe Amprion</t>
  </si>
  <si>
    <t>Angaben zu Korrekturen in der Regelzone von TenneT</t>
  </si>
  <si>
    <t>Summe TenneT</t>
  </si>
  <si>
    <t>Angaben zu Korrekturen in der Regelzone von TransnetBW</t>
  </si>
  <si>
    <t>Summe TransnetBW</t>
  </si>
  <si>
    <t>Korrekturen für Umlagepflichtige Netzentnahmen von aus dem Netz entnommenen und selbst verbrauchten Strommengen von stromkostenintensiven Unternehmen</t>
  </si>
  <si>
    <t>KWKG-Umlage</t>
  </si>
  <si>
    <t>Korrekturen für umlagepflichtige Netzentnahmen von aus dem Netz entnommenen und weitergeleiteten Strommengen von stromkostenintensiven Unternehmen</t>
  </si>
  <si>
    <t>stromintensive Schienenbahnenen</t>
  </si>
  <si>
    <t>Strompeicher</t>
  </si>
  <si>
    <t>Ladepunkte</t>
  </si>
  <si>
    <t>Speichergas</t>
  </si>
  <si>
    <t>Zusammenfassung nachträglicher Korrekturen hinsichtlich Änderungen der abzurechnenden KWKG- und Offshore-Netzumlage je Jahr in Euro</t>
  </si>
  <si>
    <t>Offshore-Netzumlage (bzw. Offshore-Haftungsumlage</t>
  </si>
  <si>
    <t xml:space="preserve">Zusammenfassung der KWKG-Jahresendabrechnungen </t>
  </si>
  <si>
    <t>Zusammenfassung der Zuschlagszahlungen sowie Abzugsbeträge, Pflichtverstoßzahlungen und Bonuszahlungen nach KWKG in Euro (EUR)</t>
  </si>
  <si>
    <t>Zuschlagszahlungen
gesamt
(1)</t>
  </si>
  <si>
    <t>Abzugsbeträge
(2)</t>
  </si>
  <si>
    <t>Zahlungsansprüche bei Pflichtverstößen
(3)</t>
  </si>
  <si>
    <t>Bonuszahlungen
gesamt
(4)</t>
  </si>
  <si>
    <t xml:space="preserve">Zwischenergebnis
(5) = (1) + (2) + (3) + (4) </t>
  </si>
  <si>
    <t>Nachträgliche Korrekturen nach 
§ 20 Abs. 1 EnFG ohne Zahlungen bei Pflichtverstößen nach 
§ 52 Abs. 8 EEG 2023
(6)</t>
  </si>
  <si>
    <t xml:space="preserve">Nachträgliche Korrekturen nach § 20 Abs. 1 EnFG von Zahlungsansprüche bei Pflichtverstößen nach 
§ 52 Abs. 8 EEG 2023
(7) </t>
  </si>
  <si>
    <t>Gesamtsumme
(8) = (5) + (6) +  (7)</t>
  </si>
  <si>
    <t>Zusammenfassung der im Rahmen der Zuschlagszahlungen förderwirksamen Strommengen in Kilowattstunden (kWh)</t>
  </si>
  <si>
    <t>Zusammenfassung für die vereinnahmten Pönalen nach § 21 Abs.  1 KWKAusV</t>
  </si>
  <si>
    <t>Zusammenfassung für die Förderung von Wärme-/Kältenetzen und von Wärme-/Kältespeichern (WKNS)</t>
  </si>
  <si>
    <t>Zusammenfassung der umlagepflichtigen Netzentnahmen zwischen den Netzbetreibern in Euro (EUR; KWKG-Umlage)</t>
  </si>
  <si>
    <t>Umlagepflichtige Netzentnahmen
gesamt
(1)</t>
  </si>
  <si>
    <t>Verringerung der KWKG-Umlage
(2)</t>
  </si>
  <si>
    <t>Sanktionen
(3)</t>
  </si>
  <si>
    <t>Zwischenergebnis
(4) = (1) + (2) + (3)</t>
  </si>
  <si>
    <t>Nachträgliche Korrekturen nach § 20 Abs. 2 EnFG
(5)</t>
  </si>
  <si>
    <t>Gesamtsumme
(6) = (4) + (5)</t>
  </si>
  <si>
    <t>Zusammenfassung der umlagepflichtigen Strommengen zwischen den Netzbetreibern in kWh</t>
  </si>
  <si>
    <t xml:space="preserve">Umlagepflichtige Strommengen
(I)
</t>
  </si>
  <si>
    <t>Nachträgliche Korrekturen der umlagepflichtigen 
Strommengen
(II)</t>
  </si>
  <si>
    <t>Gesamtsumme
(III) = (I) + (II)</t>
  </si>
  <si>
    <t>Zusammenfassung der umlagepflichtige Netzentnahmen von aus dem Netz entnommenen und selbst verbrauchten Strommengen von stromkostenintensiven Unternehmen</t>
  </si>
  <si>
    <t>aus dem Netz bezogene und selbst verbrauchte Strommenge
(I)</t>
  </si>
  <si>
    <t>KWKG-Umlage inkl. Saldierungsbeträge
(1)</t>
  </si>
  <si>
    <t>Sanktionen
(2)</t>
  </si>
  <si>
    <t>Nachträgliche Korrekturen der umlagepflichtigen 
Strommengen
(II)</t>
  </si>
  <si>
    <t>nachträgliche Korrekturen der KWKG-Umlage 
(3)</t>
  </si>
  <si>
    <t>Gesamtsumme aus dem Netz bezogene und selbst verbrauchte Strommenge
(III) = (I) + (II)</t>
  </si>
  <si>
    <t>Gesamtsumme
KWKG-Umlage 
(4) = (1) + (2) + (3)</t>
  </si>
  <si>
    <t>Zusammenfassung der umlagepflichtige Netzentnahmen von aus dem Netz entnommenen und weitergeleiteten Strommengen von stromkostenintensiven Unternehmen</t>
  </si>
  <si>
    <t>aus dem Netz bezogene und weitergeleitete Strommenge
(I)</t>
  </si>
  <si>
    <t>KWKG-Umlage inkl. Sicherheitsaufschlag gemäß 
§ 61 EnFG
(1)</t>
  </si>
  <si>
    <t>Nachträgliche Korrekturen der aus dem Netz bezogenen und weitergeleitete Strommenge
(II)</t>
  </si>
  <si>
    <t>Gesamtsumme aus dem Netz bezogene und weitergeleitete  Strommenge
(III) = (I) + (II)</t>
  </si>
  <si>
    <t>Gesamtsumme
KWKG-Umlage 
(3) = (1) + (2)</t>
  </si>
  <si>
    <t xml:space="preserve">Zusammenfassung der ONU-Jahresendabrechnungen </t>
  </si>
  <si>
    <t>Zusammenfassung der umlagepflichtigen Netzentnahmen zwischen den Netzbetreibern in Euro (EUR; Offshore-Netzumlage)</t>
  </si>
  <si>
    <t>Verringerung der Offshore-Netzumlage 
(2)</t>
  </si>
  <si>
    <t>Sanktionen
(3)</t>
  </si>
  <si>
    <t>Zwischen-
ergebnis
(4) = (1) + (2) + (3)</t>
  </si>
  <si>
    <t>Nachträgliche Korrekturen nach 
§ 20 Abs. 2 EnFG
(5)</t>
  </si>
  <si>
    <t>Zusammenfassung der umlagepflichtigen Strommengen zwischen den Netzbetreibern in Kilowattstunden (kWh)</t>
  </si>
  <si>
    <t>Umlagepflichtige Strommengen
(I)</t>
  </si>
  <si>
    <t>SNB940113133601</t>
  </si>
  <si>
    <t>SNB946885311919</t>
  </si>
  <si>
    <t>SNB977716315769</t>
  </si>
  <si>
    <t>Offshore-Netzumlage inkl. Saldierungsbeträge
(1)</t>
  </si>
  <si>
    <t>Sanktionen
(2)</t>
  </si>
  <si>
    <t xml:space="preserve">nachträgliche Korrekturen der Offshore-Netzumlage 
(3)
</t>
  </si>
  <si>
    <t>Gesamtsumme aus dem Netz bezogene und selbst verbrauchte Strommenge
(III) = (I) + (II)</t>
  </si>
  <si>
    <t>Gesamtsumme Offshore-Netzumlage 
(4) = (1) + (2) + (3)</t>
  </si>
  <si>
    <t>Offshore-Netzumlage inkl. Sicherheitsaufschlag gemäß 
§ 61 EnFG
(1)</t>
  </si>
  <si>
    <t>Nachträgliche Korrekturen der aus dem Netz bezogenen und weitergeleitete Strommenge
(II)</t>
  </si>
  <si>
    <t>nachträgliche Korrekturen der Offshore-Netzumlage 
(2)</t>
  </si>
  <si>
    <t>Gesamtsumme
Offshore-Netzumlage 
(3) = (1) + (2)</t>
  </si>
  <si>
    <t>Legende</t>
  </si>
  <si>
    <t>Werte aus VÖ-Datei</t>
  </si>
  <si>
    <t>Werte aus RZ-Testat</t>
  </si>
  <si>
    <t>Umlagepflichtigen Netzentnahmen VNB</t>
  </si>
  <si>
    <t>Check LV</t>
  </si>
  <si>
    <t>Spalte</t>
  </si>
  <si>
    <t xml:space="preserve">KWKG-Umlage / Offshore-Netzumlage </t>
  </si>
  <si>
    <t xml:space="preserve">Netzentnahme von Strom 
[kWh] </t>
  </si>
  <si>
    <t>Wärmepumpen</t>
  </si>
  <si>
    <t>Grüner Wasserstoff</t>
  </si>
  <si>
    <t>BesAR VNB</t>
  </si>
  <si>
    <t>Gesamt</t>
  </si>
  <si>
    <t>Verringerung durch Speicher</t>
  </si>
  <si>
    <t>Check Saldierung</t>
  </si>
  <si>
    <t>Verringerung der KWKG-Umlage / Offshore-Netzumlage aufgrund von § 21 EnFG</t>
  </si>
  <si>
    <t xml:space="preserve">KWKG-Umlage 
[EUR] </t>
  </si>
  <si>
    <t xml:space="preserve">Offshore-Netzumlage 
[EUR] </t>
  </si>
  <si>
    <t>Verstöße VNB</t>
  </si>
  <si>
    <t>Check Verstoß VNB</t>
  </si>
  <si>
    <r>
      <t>Art des Verstoßes</t>
    </r>
    <r>
      <rPr>
        <sz val="8"/>
        <color rgb="FF000000"/>
        <rFont val="Arial"/>
        <family val="2"/>
      </rPr>
      <t> </t>
    </r>
  </si>
  <si>
    <t xml:space="preserve">Sanktionierte Netzentnahme 
[kWh] </t>
  </si>
  <si>
    <t>Sanktion 100</t>
  </si>
  <si>
    <t>Sanktion 20</t>
  </si>
  <si>
    <t>Selbstverbrauch BesAR</t>
  </si>
  <si>
    <t>Check SV Besar</t>
  </si>
  <si>
    <t>kWh bzw. €</t>
  </si>
  <si>
    <t>Netzentnahme zum Selbstverbrauch</t>
  </si>
  <si>
    <t>begrenzte KWKG Umlage</t>
  </si>
  <si>
    <t>begrenzte Offshore-Netzumlage</t>
  </si>
  <si>
    <t>Verstöße BesAR</t>
  </si>
  <si>
    <t>Check Verstoß Besar</t>
  </si>
  <si>
    <t>BesAR  - Weiterleitung an Dritte</t>
  </si>
  <si>
    <t>Check WL BesAR</t>
  </si>
  <si>
    <t>Netzumlagekategorie</t>
  </si>
  <si>
    <t>Netzentnahmen 
[kWh]</t>
  </si>
  <si>
    <t>Prüfung 5% SA fehlt!</t>
  </si>
  <si>
    <t>BesAR - Speicher</t>
  </si>
  <si>
    <t>Check Saldierung Besar</t>
  </si>
  <si>
    <t>Saldierungsbetrag</t>
  </si>
  <si>
    <t>Nachträgliche Korrekturen</t>
  </si>
  <si>
    <t>Änderung umlagepflichtigen Netzentnahmen VNB</t>
  </si>
  <si>
    <t>Tabelle für Verstöße nach § 53 fehlt</t>
  </si>
  <si>
    <t>5 % Sanktionierung mit aufnehmen?</t>
  </si>
  <si>
    <t>Verstöße</t>
  </si>
  <si>
    <t>Nachträgliche Korrekturen EnWG Mengen</t>
  </si>
  <si>
    <t>Prüfung 2018 VJ ergänzt Ehlers / Georgi</t>
  </si>
  <si>
    <t>Letztverbrauch der Kategorie B'</t>
  </si>
  <si>
    <t>Letztverbrauch der Kategorie C'</t>
  </si>
  <si>
    <t>Letztverbrauch der Kategorie B</t>
  </si>
  <si>
    <t>Letztverbrauch der Kategorie C</t>
  </si>
  <si>
    <t>Schlüssel</t>
  </si>
  <si>
    <t>testierter Gesamt-LV gem. VNB-Meldung</t>
  </si>
  <si>
    <t>%</t>
  </si>
  <si>
    <t xml:space="preserve">LV EnFG </t>
  </si>
  <si>
    <t xml:space="preserve"> Check EnFG vs. StromNEV</t>
  </si>
  <si>
    <t>Regelzone 50Hertz</t>
  </si>
  <si>
    <t>Regelzone Amprion</t>
  </si>
  <si>
    <t>Regelzone TenneT</t>
  </si>
  <si>
    <t>Regelzone TransnetBW</t>
  </si>
  <si>
    <t>Zahlungs-ansprüche bei Pflichtverstößen</t>
  </si>
  <si>
    <t xml:space="preserve">
Im Rahmen der Zuschlagszahlungen förderwirksamen Strommengen
(I)
</t>
  </si>
  <si>
    <t xml:space="preserve">
Nachträgliche Korrekturen der im Rahmen der Zuschlagszahlung förderwirksamen 
Strommengen
(II)
</t>
  </si>
  <si>
    <t xml:space="preserve">
Gesamtsumme
(III) = (I) + (II)
</t>
  </si>
  <si>
    <t xml:space="preserve">
Gesamtsumme
(3) = (1) + (2)</t>
  </si>
  <si>
    <t xml:space="preserve">
Zuschlagszahlungen für WKNS für Vorjahre
(2)</t>
  </si>
  <si>
    <t xml:space="preserve">
Zuschlagszahlungen für WKNS
(1)</t>
  </si>
  <si>
    <t>nachträgliche Korrekturen 
der KWKG-Umlage 
(2)</t>
  </si>
  <si>
    <t xml:space="preserve">Sanktion hinsichtlich der 
Offshore-Netzumlage </t>
  </si>
  <si>
    <t>Blatt ist vor Veröffentlichung auszublenden</t>
  </si>
  <si>
    <t>Vor der Veröffentlichung müssen die RZ-scharfen Daten und die Plausi ausgeblendet werden. Kategorien einblenden. Arbeitsblatt mit Kennwort schützen!</t>
  </si>
  <si>
    <t>Kategorie ist vor der Veröffentlichung auszublenden, Arbeitsblatt mit Kennwort schützen!</t>
  </si>
  <si>
    <t>Arbeitsblatt mit Kennwort schützen!</t>
  </si>
  <si>
    <t>Komplette Arbeitsmappe muss mit Kennwort geschützt werden!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</si>
</sst>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_ ;\-#,##0\ "/>
    <numFmt numFmtId="167" formatCode="#,##0.00_ ;\-#,##0.00\ "/>
    <numFmt numFmtId="168" formatCode="#,##0.00_ ;[Red]\-#,##0.00;\-"/>
    <numFmt numFmtId="169" formatCode="_(* #,##0.00_);_(* \(#,##0.00\);_(* &quot;-&quot;??_);_(@_)"/>
    <numFmt numFmtId="170" formatCode="#,##0.0"/>
    <numFmt numFmtId="171" formatCode="_-* #,##0\ _€_-;\-* #,##0\ _€_-;_-* &quot;-&quot;??\ _€_-;_-@_-"/>
    <numFmt numFmtId="172" formatCode="0.000"/>
  </numFmts>
  <fonts count="109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venirNext LT Com Regular"/>
      <family val="2"/>
    </font>
    <font>
      <sz val="11"/>
      <color theme="1"/>
      <name val="AvenirNext LT Com Regular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9"/>
      <name val="Univers"/>
      <family val="2"/>
    </font>
    <font>
      <sz val="9"/>
      <name val="Univers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0"/>
      <color rgb="FF9C0006"/>
      <name val="Arial"/>
      <family val="2"/>
    </font>
    <font>
      <u/>
      <sz val="10"/>
      <color theme="10"/>
      <name val="Arial"/>
      <family val="2"/>
    </font>
    <font>
      <sz val="11"/>
      <color theme="1"/>
      <name val="Trebuchet MS"/>
      <family val="2"/>
    </font>
    <font>
      <sz val="8"/>
      <name val="Arial"/>
      <family val="2"/>
    </font>
    <font>
      <strike/>
      <sz val="8"/>
      <color rgb="FFFF0000"/>
      <name val="Arial"/>
      <family val="2"/>
    </font>
    <font>
      <strike/>
      <sz val="10"/>
      <name val="Arial"/>
      <family val="2"/>
    </font>
    <font>
      <strike/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color theme="5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theme="0" tint="-0.249977111117893"/>
      <name val="Arial"/>
      <family val="2"/>
    </font>
    <font>
      <sz val="8"/>
      <color theme="0" tint="-0.249977111117893"/>
      <name val="Arial"/>
      <family val="2"/>
    </font>
    <font>
      <sz val="9"/>
      <color theme="0" tint="-0.249977111117893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7030A0"/>
      <name val="Arial"/>
      <family val="2"/>
    </font>
    <font>
      <sz val="10"/>
      <name val="Roboto"/>
      <family val="2"/>
      <charset val="1"/>
    </font>
    <font>
      <sz val="10"/>
      <color rgb="FF00B0F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4"/>
      <color rgb="FF002060"/>
      <name val="Arial"/>
      <family val="2"/>
    </font>
    <font>
      <b/>
      <sz val="8"/>
      <color rgb="FF00B050"/>
      <name val="Arial"/>
      <family val="2"/>
    </font>
    <font>
      <b/>
      <sz val="8"/>
      <color rgb="FF002060"/>
      <name val="Arial"/>
      <family val="2"/>
    </font>
    <font>
      <sz val="8"/>
      <color rgb="FF00B050"/>
      <name val="Arial"/>
      <family val="2"/>
    </font>
    <font>
      <b/>
      <sz val="8"/>
      <color theme="5"/>
      <name val="Arial"/>
      <family val="2"/>
    </font>
    <font>
      <b/>
      <sz val="8"/>
      <color rgb="FF000000"/>
      <name val="Arial"/>
      <family val="2"/>
    </font>
    <font>
      <b/>
      <sz val="8"/>
      <color theme="4"/>
      <name val="Arial"/>
      <family val="2"/>
    </font>
    <font>
      <sz val="8"/>
      <color rgb="FF000000"/>
      <name val="Arial"/>
      <family val="2"/>
    </font>
    <font>
      <sz val="8"/>
      <color theme="3"/>
      <name val="Arial"/>
      <family val="2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  <font>
      <sz val="8"/>
      <color theme="6"/>
      <name val="Arial"/>
      <family val="2"/>
    </font>
    <font>
      <b/>
      <sz val="11"/>
      <color rgb="FFFF0000"/>
      <name val="Arial"/>
      <family val="2"/>
    </font>
    <font>
      <sz val="10"/>
      <color theme="6"/>
      <name val="Arial"/>
      <family val="2"/>
    </font>
    <font>
      <sz val="11"/>
      <color theme="1"/>
      <name val="DIN-Regular"/>
      <family val="2"/>
    </font>
    <font>
      <b/>
      <sz val="11"/>
      <color theme="1"/>
      <name val="DIN-Regular"/>
      <family val="2"/>
    </font>
    <font>
      <u/>
      <sz val="10"/>
      <name val="Arial"/>
      <family val="2"/>
    </font>
    <font>
      <sz val="8"/>
      <color theme="1"/>
      <name val="Arial"/>
      <family val="2"/>
    </font>
    <font>
      <b/>
      <vertAlign val="subscript"/>
      <sz val="8"/>
      <name val="Arial"/>
      <family val="2"/>
    </font>
    <font>
      <strike/>
      <sz val="10"/>
      <color theme="0" tint="-0.499984740745262"/>
      <name val="Arial"/>
      <family val="2"/>
    </font>
    <font>
      <sz val="10"/>
      <color rgb="FF333333"/>
      <name val="Segoe UI"/>
      <family val="2"/>
    </font>
    <font>
      <sz val="8"/>
      <color rgb="FF7030A0"/>
      <name val="Arial"/>
      <family val="2"/>
    </font>
    <font>
      <sz val="8"/>
      <color theme="9" tint="-0.499984740745262"/>
      <name val="Arial"/>
      <family val="2"/>
    </font>
    <font>
      <sz val="10"/>
      <color rgb="FF00B050"/>
      <name val="Arial"/>
      <family val="2"/>
    </font>
    <font>
      <sz val="10"/>
      <color theme="5"/>
      <name val="Arial"/>
      <family val="2"/>
    </font>
    <font>
      <b/>
      <sz val="9.5"/>
      <name val="Arial"/>
      <family val="2"/>
    </font>
    <font>
      <sz val="9.5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189">
    <border>
      <left/>
      <right/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159">
    <xf numFmtId="0" fontId="0" fillId="0" borderId="0"/>
    <xf numFmtId="168" fontId="15" fillId="2" borderId="1"/>
    <xf numFmtId="169" fontId="2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0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8" fillId="0" borderId="0"/>
    <xf numFmtId="0" fontId="30" fillId="0" borderId="0"/>
    <xf numFmtId="0" fontId="31" fillId="0" borderId="0"/>
    <xf numFmtId="0" fontId="14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9" fontId="27" fillId="0" borderId="0" applyFill="0" applyBorder="0" applyProtection="0">
      <protection locked="0"/>
    </xf>
    <xf numFmtId="49" fontId="26" fillId="0" borderId="0" applyFill="0" applyBorder="0" applyProtection="0">
      <alignment horizontal="center" vertical="top" wrapText="1"/>
      <protection locked="0"/>
    </xf>
    <xf numFmtId="3" fontId="23" fillId="0" borderId="0" applyFill="0" applyBorder="0" applyProtection="0">
      <protection locked="0"/>
    </xf>
    <xf numFmtId="3" fontId="27" fillId="0" borderId="0" applyFill="0" applyBorder="0" applyProtection="0">
      <protection locked="0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0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5" fillId="0" borderId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0" fontId="15" fillId="0" borderId="0">
      <alignment wrapText="1"/>
      <protection locked="0"/>
    </xf>
    <xf numFmtId="14" fontId="21" fillId="0" borderId="0" applyFill="0" applyBorder="0" applyProtection="0">
      <alignment horizontal="center" vertical="top" wrapText="1"/>
      <protection locked="0"/>
    </xf>
    <xf numFmtId="14" fontId="17" fillId="0" borderId="0" applyFill="0" applyBorder="0" applyProtection="0">
      <alignment horizontal="center" vertical="top" wrapText="1"/>
      <protection locked="0"/>
    </xf>
    <xf numFmtId="14" fontId="16" fillId="0" borderId="0" applyFill="0" applyBorder="0" applyProtection="0">
      <alignment horizontal="center" vertical="top" wrapText="1"/>
      <protection locked="0"/>
    </xf>
    <xf numFmtId="14" fontId="18" fillId="0" borderId="0" applyFill="0" applyBorder="0" applyProtection="0">
      <alignment horizontal="center" vertical="top" wrapText="1"/>
      <protection locked="0"/>
    </xf>
    <xf numFmtId="14" fontId="22" fillId="0" borderId="0" applyFill="0" applyBorder="0" applyProtection="0">
      <alignment horizontal="center" vertical="top" wrapText="1"/>
      <protection locked="0"/>
    </xf>
    <xf numFmtId="49" fontId="15" fillId="0" borderId="0" applyFill="0" applyBorder="0" applyProtection="0">
      <protection locked="0"/>
    </xf>
    <xf numFmtId="49" fontId="15" fillId="0" borderId="0" applyFill="0" applyBorder="0" applyProtection="0">
      <alignment wrapText="1"/>
      <protection locked="0"/>
    </xf>
    <xf numFmtId="49" fontId="20" fillId="0" borderId="0" applyFill="0" applyBorder="0" applyProtection="0">
      <protection locked="0"/>
    </xf>
    <xf numFmtId="49" fontId="20" fillId="0" borderId="0" applyFill="0" applyBorder="0" applyProtection="0">
      <alignment wrapText="1"/>
      <protection locked="0"/>
    </xf>
    <xf numFmtId="49" fontId="24" fillId="0" borderId="0" applyFill="0" applyBorder="0" applyProtection="0">
      <protection locked="0"/>
    </xf>
    <xf numFmtId="49" fontId="24" fillId="0" borderId="0" applyFill="0" applyBorder="0" applyProtection="0">
      <alignment wrapText="1"/>
      <protection locked="0"/>
    </xf>
    <xf numFmtId="49" fontId="19" fillId="0" borderId="0" applyFill="0" applyBorder="0" applyProtection="0">
      <protection locked="0"/>
    </xf>
    <xf numFmtId="49" fontId="19" fillId="0" borderId="0" applyFill="0" applyBorder="0" applyProtection="0">
      <alignment wrapText="1"/>
      <protection locked="0"/>
    </xf>
    <xf numFmtId="49" fontId="23" fillId="0" borderId="0" applyFill="0" applyBorder="0" applyProtection="0">
      <protection locked="0"/>
    </xf>
    <xf numFmtId="49" fontId="23" fillId="0" borderId="0" applyFill="0" applyBorder="0" applyProtection="0">
      <alignment wrapText="1"/>
      <protection locked="0"/>
    </xf>
    <xf numFmtId="49" fontId="21" fillId="0" borderId="0" applyFill="0" applyBorder="0" applyProtection="0">
      <alignment horizontal="center" vertical="top" wrapText="1"/>
      <protection locked="0"/>
    </xf>
    <xf numFmtId="49" fontId="17" fillId="0" borderId="0" applyFill="0" applyBorder="0" applyProtection="0">
      <alignment horizontal="center" vertical="top" wrapText="1"/>
      <protection locked="0"/>
    </xf>
    <xf numFmtId="49" fontId="16" fillId="0" borderId="0" applyFill="0" applyBorder="0" applyProtection="0">
      <alignment horizontal="center" vertical="top" wrapText="1"/>
      <protection locked="0"/>
    </xf>
    <xf numFmtId="49" fontId="18" fillId="0" borderId="0" applyFill="0" applyBorder="0" applyProtection="0">
      <alignment horizontal="center" vertical="top" wrapText="1"/>
      <protection locked="0"/>
    </xf>
    <xf numFmtId="49" fontId="22" fillId="0" borderId="0" applyFill="0" applyBorder="0" applyProtection="0">
      <alignment horizontal="center" vertical="top" wrapText="1"/>
      <protection locked="0"/>
    </xf>
    <xf numFmtId="3" fontId="15" fillId="0" borderId="0" applyFill="0" applyBorder="0" applyProtection="0">
      <protection locked="0"/>
    </xf>
    <xf numFmtId="3" fontId="20" fillId="0" borderId="0" applyFill="0" applyBorder="0" applyProtection="0">
      <protection locked="0"/>
    </xf>
    <xf numFmtId="3" fontId="24" fillId="0" borderId="0" applyFill="0" applyBorder="0" applyProtection="0">
      <protection locked="0"/>
    </xf>
    <xf numFmtId="3" fontId="19" fillId="0" borderId="0" applyFill="0" applyBorder="0" applyProtection="0">
      <protection locked="0"/>
    </xf>
    <xf numFmtId="170" fontId="15" fillId="0" borderId="0" applyFill="0" applyBorder="0" applyProtection="0">
      <protection locked="0"/>
    </xf>
    <xf numFmtId="170" fontId="20" fillId="0" borderId="0" applyFill="0" applyBorder="0" applyProtection="0">
      <protection locked="0"/>
    </xf>
    <xf numFmtId="170" fontId="24" fillId="0" borderId="0" applyFill="0" applyBorder="0" applyProtection="0">
      <protection locked="0"/>
    </xf>
    <xf numFmtId="170" fontId="19" fillId="0" borderId="0" applyFill="0" applyBorder="0" applyProtection="0">
      <protection locked="0"/>
    </xf>
    <xf numFmtId="170" fontId="23" fillId="0" borderId="0" applyFill="0" applyBorder="0" applyProtection="0">
      <protection locked="0"/>
    </xf>
    <xf numFmtId="4" fontId="15" fillId="0" borderId="0" applyFill="0" applyBorder="0" applyProtection="0">
      <protection locked="0"/>
    </xf>
    <xf numFmtId="4" fontId="20" fillId="0" borderId="0" applyFill="0" applyBorder="0" applyProtection="0">
      <protection locked="0"/>
    </xf>
    <xf numFmtId="4" fontId="24" fillId="0" borderId="0" applyFill="0" applyBorder="0" applyProtection="0">
      <protection locked="0"/>
    </xf>
    <xf numFmtId="4" fontId="19" fillId="0" borderId="0" applyFill="0" applyBorder="0" applyProtection="0">
      <protection locked="0"/>
    </xf>
    <xf numFmtId="4" fontId="23" fillId="0" borderId="0" applyFill="0" applyBorder="0" applyProtection="0">
      <protection locked="0"/>
    </xf>
    <xf numFmtId="0" fontId="12" fillId="0" borderId="0"/>
    <xf numFmtId="0" fontId="31" fillId="0" borderId="0"/>
    <xf numFmtId="0" fontId="11" fillId="0" borderId="0"/>
    <xf numFmtId="164" fontId="11" fillId="0" borderId="0" applyFont="0" applyFill="0" applyBorder="0" applyAlignment="0" applyProtection="0"/>
    <xf numFmtId="0" fontId="10" fillId="0" borderId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6" fillId="22" borderId="0" applyNumberFormat="0" applyBorder="0" applyAlignment="0" applyProtection="0"/>
    <xf numFmtId="0" fontId="35" fillId="17" borderId="0" applyNumberFormat="0" applyBorder="0" applyAlignment="0" applyProtection="0"/>
    <xf numFmtId="0" fontId="35" fillId="23" borderId="0" applyNumberFormat="0" applyBorder="0" applyAlignment="0" applyProtection="0"/>
    <xf numFmtId="0" fontId="36" fillId="18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16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9" fillId="38" borderId="13" applyNumberFormat="0" applyAlignment="0" applyProtection="0"/>
    <xf numFmtId="0" fontId="39" fillId="38" borderId="13" applyNumberFormat="0" applyAlignment="0" applyProtection="0"/>
    <xf numFmtId="0" fontId="46" fillId="38" borderId="14" applyNumberFormat="0" applyAlignment="0" applyProtection="0"/>
    <xf numFmtId="0" fontId="46" fillId="38" borderId="14" applyNumberFormat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4" fillId="7" borderId="12" applyNumberFormat="0" applyAlignment="0" applyProtection="0"/>
    <xf numFmtId="0" fontId="50" fillId="27" borderId="14" applyNumberFormat="0" applyAlignment="0" applyProtection="0"/>
    <xf numFmtId="0" fontId="34" fillId="7" borderId="12" applyNumberFormat="0" applyAlignment="0" applyProtection="0"/>
    <xf numFmtId="0" fontId="50" fillId="27" borderId="14" applyNumberFormat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32" fillId="4" borderId="0" applyNumberFormat="0" applyBorder="0" applyAlignment="0" applyProtection="0"/>
    <xf numFmtId="0" fontId="35" fillId="21" borderId="0" applyNumberFormat="0" applyBorder="0" applyAlignment="0" applyProtection="0"/>
    <xf numFmtId="0" fontId="32" fillId="4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165" fontId="1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3" fillId="6" borderId="0" applyNumberFormat="0" applyBorder="0" applyAlignment="0" applyProtection="0"/>
    <xf numFmtId="0" fontId="38" fillId="27" borderId="0" applyNumberFormat="0" applyBorder="0" applyAlignment="0" applyProtection="0"/>
    <xf numFmtId="0" fontId="33" fillId="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19" fillId="26" borderId="14" applyNumberFormat="0" applyFont="0" applyAlignment="0" applyProtection="0"/>
    <xf numFmtId="0" fontId="19" fillId="26" borderId="14" applyNumberFormat="0" applyFon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" fontId="19" fillId="42" borderId="14" applyNumberFormat="0" applyProtection="0">
      <alignment vertical="center"/>
    </xf>
    <xf numFmtId="4" fontId="19" fillId="42" borderId="14" applyNumberFormat="0" applyProtection="0">
      <alignment vertical="center"/>
    </xf>
    <xf numFmtId="4" fontId="19" fillId="42" borderId="14" applyNumberFormat="0" applyProtection="0">
      <alignment vertical="center"/>
    </xf>
    <xf numFmtId="4" fontId="53" fillId="3" borderId="14" applyNumberFormat="0" applyProtection="0">
      <alignment vertical="center"/>
    </xf>
    <xf numFmtId="4" fontId="19" fillId="3" borderId="14" applyNumberFormat="0" applyProtection="0">
      <alignment horizontal="left" vertical="center" indent="1"/>
    </xf>
    <xf numFmtId="4" fontId="19" fillId="3" borderId="14" applyNumberFormat="0" applyProtection="0">
      <alignment horizontal="left" vertical="center" indent="1"/>
    </xf>
    <xf numFmtId="4" fontId="19" fillId="3" borderId="14" applyNumberFormat="0" applyProtection="0">
      <alignment horizontal="left" vertical="center" indent="1"/>
    </xf>
    <xf numFmtId="0" fontId="42" fillId="42" borderId="16" applyNumberFormat="0" applyProtection="0">
      <alignment horizontal="left" vertical="top" indent="1"/>
    </xf>
    <xf numFmtId="4" fontId="19" fillId="12" borderId="14" applyNumberFormat="0" applyProtection="0">
      <alignment horizontal="left" vertical="center" indent="1"/>
    </xf>
    <xf numFmtId="4" fontId="19" fillId="12" borderId="14" applyNumberFormat="0" applyProtection="0">
      <alignment horizontal="left" vertical="center" indent="1"/>
    </xf>
    <xf numFmtId="4" fontId="19" fillId="12" borderId="14" applyNumberFormat="0" applyProtection="0">
      <alignment horizontal="left" vertical="center" indent="1"/>
    </xf>
    <xf numFmtId="4" fontId="19" fillId="8" borderId="14" applyNumberFormat="0" applyProtection="0">
      <alignment horizontal="right" vertical="center"/>
    </xf>
    <xf numFmtId="4" fontId="19" fillId="8" borderId="14" applyNumberFormat="0" applyProtection="0">
      <alignment horizontal="right" vertical="center"/>
    </xf>
    <xf numFmtId="4" fontId="19" fillId="8" borderId="14" applyNumberFormat="0" applyProtection="0">
      <alignment horizontal="right" vertical="center"/>
    </xf>
    <xf numFmtId="4" fontId="19" fillId="44" borderId="14" applyNumberFormat="0" applyProtection="0">
      <alignment horizontal="right" vertical="center"/>
    </xf>
    <xf numFmtId="4" fontId="19" fillId="44" borderId="14" applyNumberFormat="0" applyProtection="0">
      <alignment horizontal="right" vertical="center"/>
    </xf>
    <xf numFmtId="4" fontId="19" fillId="44" borderId="14" applyNumberFormat="0" applyProtection="0">
      <alignment horizontal="right" vertical="center"/>
    </xf>
    <xf numFmtId="4" fontId="19" fillId="30" borderId="17" applyNumberFormat="0" applyProtection="0">
      <alignment horizontal="right" vertical="center"/>
    </xf>
    <xf numFmtId="4" fontId="19" fillId="30" borderId="17" applyNumberFormat="0" applyProtection="0">
      <alignment horizontal="right" vertical="center"/>
    </xf>
    <xf numFmtId="4" fontId="19" fillId="30" borderId="17" applyNumberFormat="0" applyProtection="0">
      <alignment horizontal="right" vertical="center"/>
    </xf>
    <xf numFmtId="4" fontId="19" fillId="11" borderId="14" applyNumberFormat="0" applyProtection="0">
      <alignment horizontal="right" vertical="center"/>
    </xf>
    <xf numFmtId="4" fontId="19" fillId="11" borderId="14" applyNumberFormat="0" applyProtection="0">
      <alignment horizontal="right" vertical="center"/>
    </xf>
    <xf numFmtId="4" fontId="19" fillId="11" borderId="14" applyNumberFormat="0" applyProtection="0">
      <alignment horizontal="right" vertical="center"/>
    </xf>
    <xf numFmtId="4" fontId="19" fillId="13" borderId="14" applyNumberFormat="0" applyProtection="0">
      <alignment horizontal="right" vertical="center"/>
    </xf>
    <xf numFmtId="4" fontId="19" fillId="13" borderId="14" applyNumberFormat="0" applyProtection="0">
      <alignment horizontal="right" vertical="center"/>
    </xf>
    <xf numFmtId="4" fontId="19" fillId="13" borderId="14" applyNumberFormat="0" applyProtection="0">
      <alignment horizontal="right" vertical="center"/>
    </xf>
    <xf numFmtId="4" fontId="19" fillId="35" borderId="14" applyNumberFormat="0" applyProtection="0">
      <alignment horizontal="right" vertical="center"/>
    </xf>
    <xf numFmtId="4" fontId="19" fillId="35" borderId="14" applyNumberFormat="0" applyProtection="0">
      <alignment horizontal="right" vertical="center"/>
    </xf>
    <xf numFmtId="4" fontId="19" fillId="35" borderId="14" applyNumberFormat="0" applyProtection="0">
      <alignment horizontal="right" vertical="center"/>
    </xf>
    <xf numFmtId="4" fontId="19" fillId="32" borderId="14" applyNumberFormat="0" applyProtection="0">
      <alignment horizontal="right" vertical="center"/>
    </xf>
    <xf numFmtId="4" fontId="19" fillId="32" borderId="14" applyNumberFormat="0" applyProtection="0">
      <alignment horizontal="right" vertical="center"/>
    </xf>
    <xf numFmtId="4" fontId="19" fillId="32" borderId="14" applyNumberFormat="0" applyProtection="0">
      <alignment horizontal="right" vertical="center"/>
    </xf>
    <xf numFmtId="4" fontId="19" fillId="45" borderId="14" applyNumberFormat="0" applyProtection="0">
      <alignment horizontal="right" vertical="center"/>
    </xf>
    <xf numFmtId="4" fontId="19" fillId="45" borderId="14" applyNumberFormat="0" applyProtection="0">
      <alignment horizontal="right" vertical="center"/>
    </xf>
    <xf numFmtId="4" fontId="19" fillId="45" borderId="14" applyNumberFormat="0" applyProtection="0">
      <alignment horizontal="right" vertical="center"/>
    </xf>
    <xf numFmtId="4" fontId="19" fillId="10" borderId="14" applyNumberFormat="0" applyProtection="0">
      <alignment horizontal="right" vertical="center"/>
    </xf>
    <xf numFmtId="4" fontId="19" fillId="10" borderId="14" applyNumberFormat="0" applyProtection="0">
      <alignment horizontal="right" vertical="center"/>
    </xf>
    <xf numFmtId="4" fontId="19" fillId="10" borderId="14" applyNumberFormat="0" applyProtection="0">
      <alignment horizontal="right" vertical="center"/>
    </xf>
    <xf numFmtId="4" fontId="19" fillId="46" borderId="17" applyNumberFormat="0" applyProtection="0">
      <alignment horizontal="left" vertical="center" indent="1"/>
    </xf>
    <xf numFmtId="4" fontId="19" fillId="46" borderId="17" applyNumberFormat="0" applyProtection="0">
      <alignment horizontal="left" vertical="center" indent="1"/>
    </xf>
    <xf numFmtId="4" fontId="19" fillId="46" borderId="17" applyNumberFormat="0" applyProtection="0">
      <alignment horizontal="left" vertical="center" indent="1"/>
    </xf>
    <xf numFmtId="4" fontId="14" fillId="47" borderId="17" applyNumberFormat="0" applyProtection="0">
      <alignment horizontal="left" vertical="center" indent="1"/>
    </xf>
    <xf numFmtId="4" fontId="14" fillId="47" borderId="17" applyNumberFormat="0" applyProtection="0">
      <alignment horizontal="left" vertical="center" indent="1"/>
    </xf>
    <xf numFmtId="4" fontId="14" fillId="47" borderId="17" applyNumberFormat="0" applyProtection="0">
      <alignment horizontal="left" vertical="center" indent="1"/>
    </xf>
    <xf numFmtId="4" fontId="14" fillId="47" borderId="17" applyNumberFormat="0" applyProtection="0">
      <alignment horizontal="left" vertical="center" indent="1"/>
    </xf>
    <xf numFmtId="4" fontId="19" fillId="48" borderId="14" applyNumberFormat="0" applyProtection="0">
      <alignment horizontal="right" vertical="center"/>
    </xf>
    <xf numFmtId="4" fontId="19" fillId="48" borderId="14" applyNumberFormat="0" applyProtection="0">
      <alignment horizontal="right" vertical="center"/>
    </xf>
    <xf numFmtId="4" fontId="19" fillId="48" borderId="14" applyNumberFormat="0" applyProtection="0">
      <alignment horizontal="right" vertical="center"/>
    </xf>
    <xf numFmtId="4" fontId="19" fillId="49" borderId="17" applyNumberFormat="0" applyProtection="0">
      <alignment horizontal="left" vertical="center" indent="1"/>
    </xf>
    <xf numFmtId="4" fontId="19" fillId="49" borderId="17" applyNumberFormat="0" applyProtection="0">
      <alignment horizontal="left" vertical="center" indent="1"/>
    </xf>
    <xf numFmtId="4" fontId="19" fillId="49" borderId="17" applyNumberFormat="0" applyProtection="0">
      <alignment horizontal="left" vertical="center" indent="1"/>
    </xf>
    <xf numFmtId="4" fontId="19" fillId="48" borderId="17" applyNumberFormat="0" applyProtection="0">
      <alignment horizontal="left" vertical="center" indent="1"/>
    </xf>
    <xf numFmtId="4" fontId="19" fillId="48" borderId="17" applyNumberFormat="0" applyProtection="0">
      <alignment horizontal="left" vertical="center" indent="1"/>
    </xf>
    <xf numFmtId="4" fontId="19" fillId="48" borderId="17" applyNumberFormat="0" applyProtection="0">
      <alignment horizontal="left" vertical="center" indent="1"/>
    </xf>
    <xf numFmtId="0" fontId="19" fillId="37" borderId="14" applyNumberFormat="0" applyProtection="0">
      <alignment horizontal="left" vertical="center" indent="1"/>
    </xf>
    <xf numFmtId="0" fontId="19" fillId="37" borderId="14" applyNumberFormat="0" applyProtection="0">
      <alignment horizontal="left" vertical="center" indent="1"/>
    </xf>
    <xf numFmtId="0" fontId="19" fillId="37" borderId="14" applyNumberFormat="0" applyProtection="0">
      <alignment horizontal="left" vertical="center" indent="1"/>
    </xf>
    <xf numFmtId="0" fontId="19" fillId="47" borderId="16" applyNumberFormat="0" applyProtection="0">
      <alignment horizontal="left" vertical="top" indent="1"/>
    </xf>
    <xf numFmtId="0" fontId="19" fillId="50" borderId="14" applyNumberFormat="0" applyProtection="0">
      <alignment horizontal="left" vertical="center" indent="1"/>
    </xf>
    <xf numFmtId="0" fontId="19" fillId="50" borderId="14" applyNumberFormat="0" applyProtection="0">
      <alignment horizontal="left" vertical="center" indent="1"/>
    </xf>
    <xf numFmtId="0" fontId="19" fillId="50" borderId="14" applyNumberFormat="0" applyProtection="0">
      <alignment horizontal="left" vertical="center" indent="1"/>
    </xf>
    <xf numFmtId="0" fontId="19" fillId="48" borderId="16" applyNumberFormat="0" applyProtection="0">
      <alignment horizontal="left" vertical="top" indent="1"/>
    </xf>
    <xf numFmtId="0" fontId="19" fillId="9" borderId="14" applyNumberFormat="0" applyProtection="0">
      <alignment horizontal="left" vertical="center" indent="1"/>
    </xf>
    <xf numFmtId="0" fontId="19" fillId="9" borderId="14" applyNumberFormat="0" applyProtection="0">
      <alignment horizontal="left" vertical="center" indent="1"/>
    </xf>
    <xf numFmtId="0" fontId="19" fillId="9" borderId="14" applyNumberFormat="0" applyProtection="0">
      <alignment horizontal="left" vertical="center" indent="1"/>
    </xf>
    <xf numFmtId="0" fontId="19" fillId="9" borderId="16" applyNumberFormat="0" applyProtection="0">
      <alignment horizontal="left" vertical="top" indent="1"/>
    </xf>
    <xf numFmtId="0" fontId="19" fillId="49" borderId="14" applyNumberFormat="0" applyProtection="0">
      <alignment horizontal="left" vertical="center" indent="1"/>
    </xf>
    <xf numFmtId="0" fontId="19" fillId="49" borderId="14" applyNumberFormat="0" applyProtection="0">
      <alignment horizontal="left" vertical="center" indent="1"/>
    </xf>
    <xf numFmtId="0" fontId="19" fillId="49" borderId="14" applyNumberFormat="0" applyProtection="0">
      <alignment horizontal="left" vertical="center" indent="1"/>
    </xf>
    <xf numFmtId="0" fontId="19" fillId="49" borderId="16" applyNumberFormat="0" applyProtection="0">
      <alignment horizontal="left" vertical="top" indent="1"/>
    </xf>
    <xf numFmtId="0" fontId="19" fillId="51" borderId="18" applyNumberFormat="0">
      <protection locked="0"/>
    </xf>
    <xf numFmtId="0" fontId="18" fillId="47" borderId="19" applyBorder="0"/>
    <xf numFmtId="4" fontId="41" fillId="43" borderId="16" applyNumberFormat="0" applyProtection="0">
      <alignment vertical="center"/>
    </xf>
    <xf numFmtId="4" fontId="53" fillId="2" borderId="5" applyNumberFormat="0" applyProtection="0">
      <alignment vertical="center"/>
    </xf>
    <xf numFmtId="4" fontId="41" fillId="37" borderId="16" applyNumberFormat="0" applyProtection="0">
      <alignment horizontal="left" vertical="center" indent="1"/>
    </xf>
    <xf numFmtId="0" fontId="41" fillId="43" borderId="16" applyNumberFormat="0" applyProtection="0">
      <alignment horizontal="left" vertical="top" indent="1"/>
    </xf>
    <xf numFmtId="4" fontId="19" fillId="0" borderId="14" applyNumberFormat="0" applyProtection="0">
      <alignment horizontal="right" vertical="center"/>
    </xf>
    <xf numFmtId="4" fontId="19" fillId="0" borderId="14" applyNumberFormat="0" applyProtection="0">
      <alignment horizontal="right" vertical="center"/>
    </xf>
    <xf numFmtId="4" fontId="19" fillId="0" borderId="14" applyNumberFormat="0" applyProtection="0">
      <alignment horizontal="right" vertical="center"/>
    </xf>
    <xf numFmtId="4" fontId="53" fillId="52" borderId="14" applyNumberFormat="0" applyProtection="0">
      <alignment horizontal="right" vertical="center"/>
    </xf>
    <xf numFmtId="4" fontId="19" fillId="12" borderId="14" applyNumberFormat="0" applyProtection="0">
      <alignment horizontal="left" vertical="center" indent="1"/>
    </xf>
    <xf numFmtId="4" fontId="19" fillId="12" borderId="14" applyNumberFormat="0" applyProtection="0">
      <alignment horizontal="left" vertical="center" indent="1"/>
    </xf>
    <xf numFmtId="4" fontId="19" fillId="12" borderId="14" applyNumberFormat="0" applyProtection="0">
      <alignment horizontal="left" vertical="center" indent="1"/>
    </xf>
    <xf numFmtId="0" fontId="41" fillId="48" borderId="16" applyNumberFormat="0" applyProtection="0">
      <alignment horizontal="left" vertical="top" indent="1"/>
    </xf>
    <xf numFmtId="4" fontId="43" fillId="53" borderId="17" applyNumberFormat="0" applyProtection="0">
      <alignment horizontal="left" vertical="center" indent="1"/>
    </xf>
    <xf numFmtId="0" fontId="19" fillId="54" borderId="5"/>
    <xf numFmtId="0" fontId="19" fillId="54" borderId="5"/>
    <xf numFmtId="0" fontId="19" fillId="54" borderId="5"/>
    <xf numFmtId="4" fontId="44" fillId="51" borderId="14" applyNumberFormat="0" applyProtection="0">
      <alignment horizontal="right" vertical="center"/>
    </xf>
    <xf numFmtId="0" fontId="54" fillId="5" borderId="0" applyNumberFormat="0" applyBorder="0" applyAlignment="0" applyProtection="0"/>
    <xf numFmtId="0" fontId="45" fillId="26" borderId="0" applyNumberFormat="0" applyBorder="0" applyAlignment="0" applyProtection="0"/>
    <xf numFmtId="0" fontId="54" fillId="5" borderId="0" applyNumberFormat="0" applyBorder="0" applyAlignment="0" applyProtection="0"/>
    <xf numFmtId="0" fontId="45" fillId="26" borderId="0" applyNumberFormat="0" applyBorder="0" applyAlignment="0" applyProtection="0"/>
    <xf numFmtId="0" fontId="51" fillId="0" borderId="0" applyNumberFormat="0" applyFill="0" applyBorder="0" applyAlignment="0" applyProtection="0"/>
    <xf numFmtId="0" fontId="10" fillId="0" borderId="0"/>
    <xf numFmtId="0" fontId="10" fillId="0" borderId="0"/>
    <xf numFmtId="0" fontId="19" fillId="55" borderId="0"/>
    <xf numFmtId="0" fontId="19" fillId="55" borderId="0"/>
    <xf numFmtId="0" fontId="14" fillId="0" borderId="0"/>
    <xf numFmtId="0" fontId="19" fillId="5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55" borderId="0"/>
    <xf numFmtId="0" fontId="19" fillId="55" borderId="0"/>
    <xf numFmtId="0" fontId="19" fillId="55" borderId="0"/>
    <xf numFmtId="0" fontId="19" fillId="55" borderId="0"/>
    <xf numFmtId="0" fontId="19" fillId="55" borderId="0"/>
    <xf numFmtId="0" fontId="19" fillId="5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55" borderId="0"/>
    <xf numFmtId="0" fontId="13" fillId="0" borderId="0"/>
    <xf numFmtId="0" fontId="14" fillId="0" borderId="0"/>
    <xf numFmtId="0" fontId="14" fillId="0" borderId="0"/>
    <xf numFmtId="0" fontId="19" fillId="55" borderId="0"/>
    <xf numFmtId="0" fontId="14" fillId="0" borderId="0"/>
    <xf numFmtId="0" fontId="10" fillId="0" borderId="0"/>
    <xf numFmtId="0" fontId="14" fillId="0" borderId="0"/>
    <xf numFmtId="0" fontId="13" fillId="0" borderId="0"/>
    <xf numFmtId="0" fontId="13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7" fillId="34" borderId="24" applyNumberFormat="0" applyAlignment="0" applyProtection="0"/>
    <xf numFmtId="0" fontId="37" fillId="34" borderId="24" applyNumberFormat="0" applyAlignment="0" applyProtection="0"/>
    <xf numFmtId="168" fontId="14" fillId="2" borderId="1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9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4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14" fillId="0" borderId="0">
      <alignment wrapText="1"/>
      <protection locked="0"/>
    </xf>
    <xf numFmtId="49" fontId="14" fillId="0" borderId="0" applyFill="0" applyBorder="0" applyProtection="0">
      <protection locked="0"/>
    </xf>
    <xf numFmtId="49" fontId="14" fillId="0" borderId="0" applyFill="0" applyBorder="0" applyProtection="0">
      <alignment wrapText="1"/>
      <protection locked="0"/>
    </xf>
    <xf numFmtId="3" fontId="14" fillId="0" borderId="0" applyFill="0" applyBorder="0" applyProtection="0">
      <protection locked="0"/>
    </xf>
    <xf numFmtId="170" fontId="14" fillId="0" borderId="0" applyFill="0" applyBorder="0" applyProtection="0">
      <protection locked="0"/>
    </xf>
    <xf numFmtId="4" fontId="14" fillId="0" borderId="0" applyFill="0" applyBorder="0" applyProtection="0">
      <protection locked="0"/>
    </xf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165" fontId="6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/>
    <xf numFmtId="0" fontId="29" fillId="0" borderId="0"/>
    <xf numFmtId="0" fontId="7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6" fillId="0" borderId="0"/>
    <xf numFmtId="0" fontId="5" fillId="0" borderId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4" fillId="0" borderId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" fontId="14" fillId="47" borderId="42" applyNumberFormat="0" applyProtection="0">
      <alignment horizontal="left" vertical="center" indent="1"/>
    </xf>
    <xf numFmtId="4" fontId="19" fillId="0" borderId="44" applyNumberFormat="0" applyProtection="0">
      <alignment horizontal="right" vertical="center"/>
    </xf>
    <xf numFmtId="0" fontId="41" fillId="43" borderId="46" applyNumberFormat="0" applyProtection="0">
      <alignment horizontal="left" vertical="top" indent="1"/>
    </xf>
    <xf numFmtId="4" fontId="43" fillId="53" borderId="42" applyNumberFormat="0" applyProtection="0">
      <alignment horizontal="left" vertical="center" indent="1"/>
    </xf>
    <xf numFmtId="4" fontId="19" fillId="12" borderId="39" applyNumberFormat="0" applyProtection="0">
      <alignment horizontal="left" vertical="center" indent="1"/>
    </xf>
    <xf numFmtId="0" fontId="19" fillId="50" borderId="39" applyNumberFormat="0" applyProtection="0">
      <alignment horizontal="left" vertical="center" indent="1"/>
    </xf>
    <xf numFmtId="4" fontId="14" fillId="47" borderId="42" applyNumberFormat="0" applyProtection="0">
      <alignment horizontal="left" vertical="center" indent="1"/>
    </xf>
    <xf numFmtId="4" fontId="19" fillId="46" borderId="42" applyNumberFormat="0" applyProtection="0">
      <alignment horizontal="left" vertical="center" indent="1"/>
    </xf>
    <xf numFmtId="0" fontId="3" fillId="0" borderId="0"/>
    <xf numFmtId="4" fontId="19" fillId="30" borderId="42" applyNumberFormat="0" applyProtection="0">
      <alignment horizontal="right" vertical="center"/>
    </xf>
    <xf numFmtId="4" fontId="19" fillId="44" borderId="39" applyNumberFormat="0" applyProtection="0">
      <alignment horizontal="right" vertical="center"/>
    </xf>
    <xf numFmtId="4" fontId="19" fillId="44" borderId="39" applyNumberFormat="0" applyProtection="0">
      <alignment horizontal="right" vertical="center"/>
    </xf>
    <xf numFmtId="4" fontId="19" fillId="12" borderId="39" applyNumberFormat="0" applyProtection="0">
      <alignment horizontal="left" vertical="center" indent="1"/>
    </xf>
    <xf numFmtId="0" fontId="18" fillId="47" borderId="48" applyBorder="0"/>
    <xf numFmtId="0" fontId="19" fillId="49" borderId="44" applyNumberFormat="0" applyProtection="0">
      <alignment horizontal="left" vertical="center" indent="1"/>
    </xf>
    <xf numFmtId="0" fontId="50" fillId="27" borderId="39" applyNumberFormat="0" applyAlignment="0" applyProtection="0"/>
    <xf numFmtId="0" fontId="19" fillId="37" borderId="44" applyNumberFormat="0" applyProtection="0">
      <alignment horizontal="left" vertical="center" indent="1"/>
    </xf>
    <xf numFmtId="4" fontId="53" fillId="52" borderId="39" applyNumberFormat="0" applyProtection="0">
      <alignment horizontal="right" vertical="center"/>
    </xf>
    <xf numFmtId="4" fontId="14" fillId="47" borderId="42" applyNumberFormat="0" applyProtection="0">
      <alignment horizontal="left" vertical="center" indent="1"/>
    </xf>
    <xf numFmtId="4" fontId="19" fillId="46" borderId="42" applyNumberFormat="0" applyProtection="0">
      <alignment horizontal="left" vertical="center" indent="1"/>
    </xf>
    <xf numFmtId="4" fontId="19" fillId="35" borderId="39" applyNumberFormat="0" applyProtection="0">
      <alignment horizontal="right" vertical="center"/>
    </xf>
    <xf numFmtId="4" fontId="19" fillId="3" borderId="39" applyNumberFormat="0" applyProtection="0">
      <alignment horizontal="left" vertical="center" indent="1"/>
    </xf>
    <xf numFmtId="4" fontId="19" fillId="48" borderId="44" applyNumberFormat="0" applyProtection="0">
      <alignment horizontal="right" vertical="center"/>
    </xf>
    <xf numFmtId="4" fontId="14" fillId="47" borderId="47" applyNumberFormat="0" applyProtection="0">
      <alignment horizontal="left" vertical="center" indent="1"/>
    </xf>
    <xf numFmtId="0" fontId="19" fillId="48" borderId="46" applyNumberFormat="0" applyProtection="0">
      <alignment horizontal="left" vertical="top" indent="1"/>
    </xf>
    <xf numFmtId="4" fontId="19" fillId="13" borderId="39" applyNumberFormat="0" applyProtection="0">
      <alignment horizontal="right" vertical="center"/>
    </xf>
    <xf numFmtId="0" fontId="3" fillId="0" borderId="0"/>
    <xf numFmtId="4" fontId="19" fillId="11" borderId="39" applyNumberFormat="0" applyProtection="0">
      <alignment horizontal="right" vertical="center"/>
    </xf>
    <xf numFmtId="0" fontId="3" fillId="0" borderId="0"/>
    <xf numFmtId="0" fontId="19" fillId="49" borderId="44" applyNumberFormat="0" applyProtection="0">
      <alignment horizontal="left" vertical="center" indent="1"/>
    </xf>
    <xf numFmtId="0" fontId="19" fillId="50" borderId="44" applyNumberFormat="0" applyProtection="0">
      <alignment horizontal="left" vertical="center" indent="1"/>
    </xf>
    <xf numFmtId="4" fontId="19" fillId="46" borderId="47" applyNumberFormat="0" applyProtection="0">
      <alignment horizontal="left" vertical="center" indent="1"/>
    </xf>
    <xf numFmtId="4" fontId="19" fillId="46" borderId="47" applyNumberFormat="0" applyProtection="0">
      <alignment horizontal="left" vertical="center" indent="1"/>
    </xf>
    <xf numFmtId="0" fontId="39" fillId="38" borderId="32" applyNumberFormat="0" applyAlignment="0" applyProtection="0"/>
    <xf numFmtId="0" fontId="39" fillId="38" borderId="32" applyNumberFormat="0" applyAlignment="0" applyProtection="0"/>
    <xf numFmtId="0" fontId="46" fillId="38" borderId="33" applyNumberFormat="0" applyAlignment="0" applyProtection="0"/>
    <xf numFmtId="0" fontId="46" fillId="38" borderId="33" applyNumberFormat="0" applyAlignment="0" applyProtection="0"/>
    <xf numFmtId="0" fontId="50" fillId="27" borderId="33" applyNumberFormat="0" applyAlignment="0" applyProtection="0"/>
    <xf numFmtId="0" fontId="50" fillId="27" borderId="33" applyNumberFormat="0" applyAlignment="0" applyProtection="0"/>
    <xf numFmtId="0" fontId="40" fillId="0" borderId="34" applyNumberFormat="0" applyFill="0" applyAlignment="0" applyProtection="0"/>
    <xf numFmtId="0" fontId="40" fillId="0" borderId="34" applyNumberFormat="0" applyFill="0" applyAlignment="0" applyProtection="0"/>
    <xf numFmtId="4" fontId="19" fillId="12" borderId="44" applyNumberFormat="0" applyProtection="0">
      <alignment horizontal="left" vertical="center" indent="1"/>
    </xf>
    <xf numFmtId="4" fontId="19" fillId="12" borderId="44" applyNumberFormat="0" applyProtection="0">
      <alignment horizontal="left" vertical="center" indent="1"/>
    </xf>
    <xf numFmtId="4" fontId="19" fillId="12" borderId="44" applyNumberFormat="0" applyProtection="0">
      <alignment horizontal="left" vertical="center" indent="1"/>
    </xf>
    <xf numFmtId="4" fontId="53" fillId="52" borderId="44" applyNumberFormat="0" applyProtection="0">
      <alignment horizontal="right" vertical="center"/>
    </xf>
    <xf numFmtId="4" fontId="19" fillId="0" borderId="44" applyNumberFormat="0" applyProtection="0">
      <alignment horizontal="right" vertical="center"/>
    </xf>
    <xf numFmtId="4" fontId="44" fillId="51" borderId="39" applyNumberFormat="0" applyProtection="0">
      <alignment horizontal="right" vertical="center"/>
    </xf>
    <xf numFmtId="4" fontId="19" fillId="12" borderId="39" applyNumberFormat="0" applyProtection="0">
      <alignment horizontal="left" vertical="center" indent="1"/>
    </xf>
    <xf numFmtId="0" fontId="41" fillId="48" borderId="41" applyNumberFormat="0" applyProtection="0">
      <alignment horizontal="left" vertical="top" indent="1"/>
    </xf>
    <xf numFmtId="4" fontId="19" fillId="12" borderId="39" applyNumberFormat="0" applyProtection="0">
      <alignment horizontal="left" vertical="center" indent="1"/>
    </xf>
    <xf numFmtId="4" fontId="41" fillId="37" borderId="41" applyNumberFormat="0" applyProtection="0">
      <alignment horizontal="left" vertical="center" indent="1"/>
    </xf>
    <xf numFmtId="4" fontId="19" fillId="0" borderId="39" applyNumberFormat="0" applyProtection="0">
      <alignment horizontal="right" vertical="center"/>
    </xf>
    <xf numFmtId="0" fontId="19" fillId="49" borderId="39" applyNumberFormat="0" applyProtection="0">
      <alignment horizontal="left" vertical="center" indent="1"/>
    </xf>
    <xf numFmtId="0" fontId="19" fillId="9" borderId="41" applyNumberFormat="0" applyProtection="0">
      <alignment horizontal="left" vertical="top" indent="1"/>
    </xf>
    <xf numFmtId="0" fontId="19" fillId="9" borderId="39" applyNumberFormat="0" applyProtection="0">
      <alignment horizontal="left" vertical="center" indent="1"/>
    </xf>
    <xf numFmtId="0" fontId="19" fillId="9" borderId="39" applyNumberFormat="0" applyProtection="0">
      <alignment horizontal="left" vertical="center" indent="1"/>
    </xf>
    <xf numFmtId="0" fontId="19" fillId="9" borderId="39" applyNumberFormat="0" applyProtection="0">
      <alignment horizontal="left" vertical="center" indent="1"/>
    </xf>
    <xf numFmtId="0" fontId="19" fillId="48" borderId="41" applyNumberFormat="0" applyProtection="0">
      <alignment horizontal="left" vertical="top" indent="1"/>
    </xf>
    <xf numFmtId="0" fontId="19" fillId="26" borderId="33" applyNumberFormat="0" applyFont="0" applyAlignment="0" applyProtection="0"/>
    <xf numFmtId="0" fontId="19" fillId="26" borderId="33" applyNumberFormat="0" applyFont="0" applyAlignment="0" applyProtection="0"/>
    <xf numFmtId="0" fontId="19" fillId="50" borderId="39" applyNumberFormat="0" applyProtection="0">
      <alignment horizontal="left" vertical="center" indent="1"/>
    </xf>
    <xf numFmtId="0" fontId="19" fillId="37" borderId="39" applyNumberFormat="0" applyProtection="0">
      <alignment horizontal="left" vertical="center" indent="1"/>
    </xf>
    <xf numFmtId="0" fontId="19" fillId="37" borderId="39" applyNumberFormat="0" applyProtection="0">
      <alignment horizontal="left" vertical="center" indent="1"/>
    </xf>
    <xf numFmtId="4" fontId="19" fillId="42" borderId="33" applyNumberFormat="0" applyProtection="0">
      <alignment vertical="center"/>
    </xf>
    <xf numFmtId="4" fontId="19" fillId="42" borderId="33" applyNumberFormat="0" applyProtection="0">
      <alignment vertical="center"/>
    </xf>
    <xf numFmtId="4" fontId="19" fillId="42" borderId="33" applyNumberFormat="0" applyProtection="0">
      <alignment vertical="center"/>
    </xf>
    <xf numFmtId="4" fontId="53" fillId="3" borderId="33" applyNumberFormat="0" applyProtection="0">
      <alignment vertical="center"/>
    </xf>
    <xf numFmtId="4" fontId="19" fillId="3" borderId="33" applyNumberFormat="0" applyProtection="0">
      <alignment horizontal="left" vertical="center" indent="1"/>
    </xf>
    <xf numFmtId="4" fontId="19" fillId="3" borderId="33" applyNumberFormat="0" applyProtection="0">
      <alignment horizontal="left" vertical="center" indent="1"/>
    </xf>
    <xf numFmtId="4" fontId="19" fillId="3" borderId="33" applyNumberFormat="0" applyProtection="0">
      <alignment horizontal="left" vertical="center" indent="1"/>
    </xf>
    <xf numFmtId="0" fontId="42" fillId="42" borderId="35" applyNumberFormat="0" applyProtection="0">
      <alignment horizontal="left" vertical="top" indent="1"/>
    </xf>
    <xf numFmtId="4" fontId="19" fillId="12" borderId="33" applyNumberFormat="0" applyProtection="0">
      <alignment horizontal="left" vertical="center" indent="1"/>
    </xf>
    <xf numFmtId="4" fontId="19" fillId="12" borderId="33" applyNumberFormat="0" applyProtection="0">
      <alignment horizontal="left" vertical="center" indent="1"/>
    </xf>
    <xf numFmtId="4" fontId="19" fillId="12" borderId="33" applyNumberFormat="0" applyProtection="0">
      <alignment horizontal="left" vertical="center" indent="1"/>
    </xf>
    <xf numFmtId="4" fontId="19" fillId="8" borderId="33" applyNumberFormat="0" applyProtection="0">
      <alignment horizontal="right" vertical="center"/>
    </xf>
    <xf numFmtId="4" fontId="19" fillId="8" borderId="33" applyNumberFormat="0" applyProtection="0">
      <alignment horizontal="right" vertical="center"/>
    </xf>
    <xf numFmtId="4" fontId="19" fillId="8" borderId="33" applyNumberFormat="0" applyProtection="0">
      <alignment horizontal="right" vertical="center"/>
    </xf>
    <xf numFmtId="4" fontId="19" fillId="44" borderId="33" applyNumberFormat="0" applyProtection="0">
      <alignment horizontal="right" vertical="center"/>
    </xf>
    <xf numFmtId="4" fontId="19" fillId="44" borderId="33" applyNumberFormat="0" applyProtection="0">
      <alignment horizontal="right" vertical="center"/>
    </xf>
    <xf numFmtId="4" fontId="19" fillId="44" borderId="33" applyNumberFormat="0" applyProtection="0">
      <alignment horizontal="right" vertical="center"/>
    </xf>
    <xf numFmtId="4" fontId="19" fillId="30" borderId="36" applyNumberFormat="0" applyProtection="0">
      <alignment horizontal="right" vertical="center"/>
    </xf>
    <xf numFmtId="4" fontId="19" fillId="30" borderId="36" applyNumberFormat="0" applyProtection="0">
      <alignment horizontal="right" vertical="center"/>
    </xf>
    <xf numFmtId="4" fontId="19" fillId="30" borderId="36" applyNumberFormat="0" applyProtection="0">
      <alignment horizontal="right" vertical="center"/>
    </xf>
    <xf numFmtId="4" fontId="19" fillId="11" borderId="33" applyNumberFormat="0" applyProtection="0">
      <alignment horizontal="right" vertical="center"/>
    </xf>
    <xf numFmtId="4" fontId="19" fillId="11" borderId="33" applyNumberFormat="0" applyProtection="0">
      <alignment horizontal="right" vertical="center"/>
    </xf>
    <xf numFmtId="4" fontId="19" fillId="11" borderId="33" applyNumberFormat="0" applyProtection="0">
      <alignment horizontal="right" vertical="center"/>
    </xf>
    <xf numFmtId="4" fontId="19" fillId="13" borderId="33" applyNumberFormat="0" applyProtection="0">
      <alignment horizontal="right" vertical="center"/>
    </xf>
    <xf numFmtId="4" fontId="19" fillId="13" borderId="33" applyNumberFormat="0" applyProtection="0">
      <alignment horizontal="right" vertical="center"/>
    </xf>
    <xf numFmtId="4" fontId="19" fillId="13" borderId="33" applyNumberFormat="0" applyProtection="0">
      <alignment horizontal="right" vertical="center"/>
    </xf>
    <xf numFmtId="4" fontId="19" fillId="35" borderId="33" applyNumberFormat="0" applyProtection="0">
      <alignment horizontal="right" vertical="center"/>
    </xf>
    <xf numFmtId="4" fontId="19" fillId="35" borderId="33" applyNumberFormat="0" applyProtection="0">
      <alignment horizontal="right" vertical="center"/>
    </xf>
    <xf numFmtId="4" fontId="19" fillId="35" borderId="33" applyNumberFormat="0" applyProtection="0">
      <alignment horizontal="right" vertical="center"/>
    </xf>
    <xf numFmtId="4" fontId="19" fillId="32" borderId="33" applyNumberFormat="0" applyProtection="0">
      <alignment horizontal="right" vertical="center"/>
    </xf>
    <xf numFmtId="4" fontId="19" fillId="32" borderId="33" applyNumberFormat="0" applyProtection="0">
      <alignment horizontal="right" vertical="center"/>
    </xf>
    <xf numFmtId="4" fontId="19" fillId="32" borderId="33" applyNumberFormat="0" applyProtection="0">
      <alignment horizontal="right" vertical="center"/>
    </xf>
    <xf numFmtId="4" fontId="19" fillId="45" borderId="33" applyNumberFormat="0" applyProtection="0">
      <alignment horizontal="right" vertical="center"/>
    </xf>
    <xf numFmtId="4" fontId="19" fillId="45" borderId="33" applyNumberFormat="0" applyProtection="0">
      <alignment horizontal="right" vertical="center"/>
    </xf>
    <xf numFmtId="4" fontId="19" fillId="45" borderId="33" applyNumberFormat="0" applyProtection="0">
      <alignment horizontal="right" vertical="center"/>
    </xf>
    <xf numFmtId="4" fontId="19" fillId="10" borderId="33" applyNumberFormat="0" applyProtection="0">
      <alignment horizontal="right" vertical="center"/>
    </xf>
    <xf numFmtId="4" fontId="19" fillId="10" borderId="33" applyNumberFormat="0" applyProtection="0">
      <alignment horizontal="right" vertical="center"/>
    </xf>
    <xf numFmtId="4" fontId="19" fillId="10" borderId="33" applyNumberFormat="0" applyProtection="0">
      <alignment horizontal="right" vertical="center"/>
    </xf>
    <xf numFmtId="4" fontId="19" fillId="46" borderId="36" applyNumberFormat="0" applyProtection="0">
      <alignment horizontal="left" vertical="center" indent="1"/>
    </xf>
    <xf numFmtId="4" fontId="19" fillId="46" borderId="36" applyNumberFormat="0" applyProtection="0">
      <alignment horizontal="left" vertical="center" indent="1"/>
    </xf>
    <xf numFmtId="4" fontId="19" fillId="46" borderId="36" applyNumberFormat="0" applyProtection="0">
      <alignment horizontal="left" vertical="center" indent="1"/>
    </xf>
    <xf numFmtId="4" fontId="14" fillId="47" borderId="36" applyNumberFormat="0" applyProtection="0">
      <alignment horizontal="left" vertical="center" indent="1"/>
    </xf>
    <xf numFmtId="4" fontId="14" fillId="47" borderId="36" applyNumberFormat="0" applyProtection="0">
      <alignment horizontal="left" vertical="center" indent="1"/>
    </xf>
    <xf numFmtId="4" fontId="14" fillId="47" borderId="36" applyNumberFormat="0" applyProtection="0">
      <alignment horizontal="left" vertical="center" indent="1"/>
    </xf>
    <xf numFmtId="4" fontId="14" fillId="47" borderId="36" applyNumberFormat="0" applyProtection="0">
      <alignment horizontal="left" vertical="center" indent="1"/>
    </xf>
    <xf numFmtId="4" fontId="19" fillId="48" borderId="33" applyNumberFormat="0" applyProtection="0">
      <alignment horizontal="right" vertical="center"/>
    </xf>
    <xf numFmtId="4" fontId="19" fillId="48" borderId="33" applyNumberFormat="0" applyProtection="0">
      <alignment horizontal="right" vertical="center"/>
    </xf>
    <xf numFmtId="4" fontId="19" fillId="48" borderId="33" applyNumberFormat="0" applyProtection="0">
      <alignment horizontal="right" vertical="center"/>
    </xf>
    <xf numFmtId="4" fontId="19" fillId="49" borderId="36" applyNumberFormat="0" applyProtection="0">
      <alignment horizontal="left" vertical="center" indent="1"/>
    </xf>
    <xf numFmtId="4" fontId="19" fillId="49" borderId="36" applyNumberFormat="0" applyProtection="0">
      <alignment horizontal="left" vertical="center" indent="1"/>
    </xf>
    <xf numFmtId="4" fontId="19" fillId="49" borderId="36" applyNumberFormat="0" applyProtection="0">
      <alignment horizontal="left" vertical="center" indent="1"/>
    </xf>
    <xf numFmtId="4" fontId="19" fillId="48" borderId="36" applyNumberFormat="0" applyProtection="0">
      <alignment horizontal="left" vertical="center" indent="1"/>
    </xf>
    <xf numFmtId="4" fontId="19" fillId="48" borderId="36" applyNumberFormat="0" applyProtection="0">
      <alignment horizontal="left" vertical="center" indent="1"/>
    </xf>
    <xf numFmtId="4" fontId="19" fillId="48" borderId="36" applyNumberFormat="0" applyProtection="0">
      <alignment horizontal="left" vertical="center" indent="1"/>
    </xf>
    <xf numFmtId="0" fontId="19" fillId="37" borderId="33" applyNumberFormat="0" applyProtection="0">
      <alignment horizontal="left" vertical="center" indent="1"/>
    </xf>
    <xf numFmtId="0" fontId="19" fillId="37" borderId="33" applyNumberFormat="0" applyProtection="0">
      <alignment horizontal="left" vertical="center" indent="1"/>
    </xf>
    <xf numFmtId="0" fontId="19" fillId="37" borderId="33" applyNumberFormat="0" applyProtection="0">
      <alignment horizontal="left" vertical="center" indent="1"/>
    </xf>
    <xf numFmtId="0" fontId="19" fillId="47" borderId="35" applyNumberFormat="0" applyProtection="0">
      <alignment horizontal="left" vertical="top" indent="1"/>
    </xf>
    <xf numFmtId="0" fontId="19" fillId="50" borderId="33" applyNumberFormat="0" applyProtection="0">
      <alignment horizontal="left" vertical="center" indent="1"/>
    </xf>
    <xf numFmtId="0" fontId="19" fillId="50" borderId="33" applyNumberFormat="0" applyProtection="0">
      <alignment horizontal="left" vertical="center" indent="1"/>
    </xf>
    <xf numFmtId="0" fontId="19" fillId="50" borderId="33" applyNumberFormat="0" applyProtection="0">
      <alignment horizontal="left" vertical="center" indent="1"/>
    </xf>
    <xf numFmtId="0" fontId="19" fillId="48" borderId="35" applyNumberFormat="0" applyProtection="0">
      <alignment horizontal="left" vertical="top" indent="1"/>
    </xf>
    <xf numFmtId="0" fontId="19" fillId="9" borderId="33" applyNumberFormat="0" applyProtection="0">
      <alignment horizontal="left" vertical="center" indent="1"/>
    </xf>
    <xf numFmtId="0" fontId="19" fillId="9" borderId="33" applyNumberFormat="0" applyProtection="0">
      <alignment horizontal="left" vertical="center" indent="1"/>
    </xf>
    <xf numFmtId="0" fontId="19" fillId="9" borderId="33" applyNumberFormat="0" applyProtection="0">
      <alignment horizontal="left" vertical="center" indent="1"/>
    </xf>
    <xf numFmtId="0" fontId="19" fillId="9" borderId="35" applyNumberFormat="0" applyProtection="0">
      <alignment horizontal="left" vertical="top" indent="1"/>
    </xf>
    <xf numFmtId="0" fontId="19" fillId="49" borderId="33" applyNumberFormat="0" applyProtection="0">
      <alignment horizontal="left" vertical="center" indent="1"/>
    </xf>
    <xf numFmtId="0" fontId="19" fillId="49" borderId="33" applyNumberFormat="0" applyProtection="0">
      <alignment horizontal="left" vertical="center" indent="1"/>
    </xf>
    <xf numFmtId="0" fontId="19" fillId="49" borderId="33" applyNumberFormat="0" applyProtection="0">
      <alignment horizontal="left" vertical="center" indent="1"/>
    </xf>
    <xf numFmtId="0" fontId="19" fillId="49" borderId="35" applyNumberFormat="0" applyProtection="0">
      <alignment horizontal="left" vertical="top" indent="1"/>
    </xf>
    <xf numFmtId="0" fontId="19" fillId="37" borderId="39" applyNumberFormat="0" applyProtection="0">
      <alignment horizontal="left" vertical="center" indent="1"/>
    </xf>
    <xf numFmtId="0" fontId="18" fillId="47" borderId="37" applyBorder="0"/>
    <xf numFmtId="4" fontId="41" fillId="43" borderId="35" applyNumberFormat="0" applyProtection="0">
      <alignment vertical="center"/>
    </xf>
    <xf numFmtId="4" fontId="19" fillId="48" borderId="42" applyNumberFormat="0" applyProtection="0">
      <alignment horizontal="left" vertical="center" indent="1"/>
    </xf>
    <xf numFmtId="4" fontId="41" fillId="37" borderId="35" applyNumberFormat="0" applyProtection="0">
      <alignment horizontal="left" vertical="center" indent="1"/>
    </xf>
    <xf numFmtId="0" fontId="41" fillId="43" borderId="35" applyNumberFormat="0" applyProtection="0">
      <alignment horizontal="left" vertical="top" indent="1"/>
    </xf>
    <xf numFmtId="4" fontId="19" fillId="0" borderId="33" applyNumberFormat="0" applyProtection="0">
      <alignment horizontal="right" vertical="center"/>
    </xf>
    <xf numFmtId="4" fontId="19" fillId="0" borderId="33" applyNumberFormat="0" applyProtection="0">
      <alignment horizontal="right" vertical="center"/>
    </xf>
    <xf numFmtId="4" fontId="19" fillId="0" borderId="33" applyNumberFormat="0" applyProtection="0">
      <alignment horizontal="right" vertical="center"/>
    </xf>
    <xf numFmtId="4" fontId="53" fillId="52" borderId="33" applyNumberFormat="0" applyProtection="0">
      <alignment horizontal="right" vertical="center"/>
    </xf>
    <xf numFmtId="4" fontId="19" fillId="12" borderId="33" applyNumberFormat="0" applyProtection="0">
      <alignment horizontal="left" vertical="center" indent="1"/>
    </xf>
    <xf numFmtId="4" fontId="19" fillId="12" borderId="33" applyNumberFormat="0" applyProtection="0">
      <alignment horizontal="left" vertical="center" indent="1"/>
    </xf>
    <xf numFmtId="4" fontId="19" fillId="12" borderId="33" applyNumberFormat="0" applyProtection="0">
      <alignment horizontal="left" vertical="center" indent="1"/>
    </xf>
    <xf numFmtId="0" fontId="41" fillId="48" borderId="35" applyNumberFormat="0" applyProtection="0">
      <alignment horizontal="left" vertical="top" indent="1"/>
    </xf>
    <xf numFmtId="4" fontId="43" fillId="53" borderId="36" applyNumberFormat="0" applyProtection="0">
      <alignment horizontal="left" vertical="center" indent="1"/>
    </xf>
    <xf numFmtId="4" fontId="19" fillId="48" borderId="42" applyNumberFormat="0" applyProtection="0">
      <alignment horizontal="left" vertical="center" indent="1"/>
    </xf>
    <xf numFmtId="4" fontId="19" fillId="48" borderId="42" applyNumberFormat="0" applyProtection="0">
      <alignment horizontal="left" vertical="center" indent="1"/>
    </xf>
    <xf numFmtId="4" fontId="19" fillId="49" borderId="42" applyNumberFormat="0" applyProtection="0">
      <alignment horizontal="left" vertical="center" indent="1"/>
    </xf>
    <xf numFmtId="4" fontId="44" fillId="51" borderId="33" applyNumberFormat="0" applyProtection="0">
      <alignment horizontal="right" vertical="center"/>
    </xf>
    <xf numFmtId="4" fontId="19" fillId="49" borderId="42" applyNumberFormat="0" applyProtection="0">
      <alignment horizontal="left" vertical="center" indent="1"/>
    </xf>
    <xf numFmtId="4" fontId="19" fillId="49" borderId="42" applyNumberFormat="0" applyProtection="0">
      <alignment horizontal="left" vertical="center" indent="1"/>
    </xf>
    <xf numFmtId="4" fontId="19" fillId="48" borderId="39" applyNumberFormat="0" applyProtection="0">
      <alignment horizontal="right" vertical="center"/>
    </xf>
    <xf numFmtId="4" fontId="19" fillId="48" borderId="39" applyNumberFormat="0" applyProtection="0">
      <alignment horizontal="right" vertical="center"/>
    </xf>
    <xf numFmtId="4" fontId="19" fillId="48" borderId="39" applyNumberFormat="0" applyProtection="0">
      <alignment horizontal="right" vertical="center"/>
    </xf>
    <xf numFmtId="0" fontId="3" fillId="0" borderId="0"/>
    <xf numFmtId="0" fontId="3" fillId="0" borderId="0"/>
    <xf numFmtId="4" fontId="19" fillId="45" borderId="39" applyNumberFormat="0" applyProtection="0">
      <alignment horizontal="right" vertical="center"/>
    </xf>
    <xf numFmtId="4" fontId="19" fillId="32" borderId="39" applyNumberFormat="0" applyProtection="0">
      <alignment horizontal="right" vertical="center"/>
    </xf>
    <xf numFmtId="4" fontId="19" fillId="35" borderId="39" applyNumberFormat="0" applyProtection="0">
      <alignment horizontal="right" vertical="center"/>
    </xf>
    <xf numFmtId="4" fontId="19" fillId="30" borderId="42" applyNumberFormat="0" applyProtection="0">
      <alignment horizontal="right" vertical="center"/>
    </xf>
    <xf numFmtId="4" fontId="19" fillId="30" borderId="42" applyNumberFormat="0" applyProtection="0">
      <alignment horizontal="right" vertical="center"/>
    </xf>
    <xf numFmtId="4" fontId="19" fillId="8" borderId="39" applyNumberFormat="0" applyProtection="0">
      <alignment horizontal="right" vertical="center"/>
    </xf>
    <xf numFmtId="4" fontId="19" fillId="8" borderId="39" applyNumberFormat="0" applyProtection="0">
      <alignment horizontal="right" vertical="center"/>
    </xf>
    <xf numFmtId="4" fontId="19" fillId="44" borderId="39" applyNumberFormat="0" applyProtection="0">
      <alignment horizontal="right" vertical="center"/>
    </xf>
    <xf numFmtId="4" fontId="19" fillId="8" borderId="39" applyNumberFormat="0" applyProtection="0">
      <alignment horizontal="right" vertical="center"/>
    </xf>
    <xf numFmtId="4" fontId="19" fillId="12" borderId="39" applyNumberFormat="0" applyProtection="0">
      <alignment horizontal="left" vertical="center" indent="1"/>
    </xf>
    <xf numFmtId="0" fontId="42" fillId="42" borderId="41" applyNumberFormat="0" applyProtection="0">
      <alignment horizontal="left" vertical="top" indent="1"/>
    </xf>
    <xf numFmtId="4" fontId="19" fillId="12" borderId="39" applyNumberFormat="0" applyProtection="0">
      <alignment horizontal="left" vertical="center" indent="1"/>
    </xf>
    <xf numFmtId="4" fontId="19" fillId="3" borderId="39" applyNumberFormat="0" applyProtection="0">
      <alignment horizontal="left" vertical="center" indent="1"/>
    </xf>
    <xf numFmtId="4" fontId="53" fillId="3" borderId="39" applyNumberFormat="0" applyProtection="0">
      <alignment vertical="center"/>
    </xf>
    <xf numFmtId="4" fontId="19" fillId="42" borderId="39" applyNumberFormat="0" applyProtection="0">
      <alignment vertical="center"/>
    </xf>
    <xf numFmtId="4" fontId="19" fillId="42" borderId="39" applyNumberFormat="0" applyProtection="0">
      <alignment vertical="center"/>
    </xf>
    <xf numFmtId="4" fontId="19" fillId="42" borderId="39" applyNumberFormat="0" applyProtection="0">
      <alignment vertical="center"/>
    </xf>
    <xf numFmtId="4" fontId="41" fillId="43" borderId="46" applyNumberFormat="0" applyProtection="0">
      <alignment vertical="center"/>
    </xf>
    <xf numFmtId="0" fontId="19" fillId="26" borderId="39" applyNumberFormat="0" applyFont="0" applyAlignment="0" applyProtection="0"/>
    <xf numFmtId="0" fontId="19" fillId="26" borderId="39" applyNumberFormat="0" applyFont="0" applyAlignment="0" applyProtection="0"/>
    <xf numFmtId="4" fontId="19" fillId="32" borderId="44" applyNumberFormat="0" applyProtection="0">
      <alignment horizontal="right" vertical="center"/>
    </xf>
    <xf numFmtId="4" fontId="19" fillId="13" borderId="44" applyNumberFormat="0" applyProtection="0">
      <alignment horizontal="right" vertical="center"/>
    </xf>
    <xf numFmtId="4" fontId="19" fillId="13" borderId="44" applyNumberFormat="0" applyProtection="0">
      <alignment horizontal="right" vertical="center"/>
    </xf>
    <xf numFmtId="0" fontId="39" fillId="38" borderId="38" applyNumberFormat="0" applyAlignment="0" applyProtection="0"/>
    <xf numFmtId="4" fontId="19" fillId="49" borderId="47" applyNumberFormat="0" applyProtection="0">
      <alignment horizontal="left" vertical="center" indent="1"/>
    </xf>
    <xf numFmtId="0" fontId="19" fillId="50" borderId="44" applyNumberFormat="0" applyProtection="0">
      <alignment horizontal="left" vertical="center" indent="1"/>
    </xf>
    <xf numFmtId="0" fontId="3" fillId="0" borderId="0"/>
    <xf numFmtId="0" fontId="19" fillId="9" borderId="46" applyNumberFormat="0" applyProtection="0">
      <alignment horizontal="left" vertical="top" indent="1"/>
    </xf>
    <xf numFmtId="4" fontId="14" fillId="47" borderId="47" applyNumberFormat="0" applyProtection="0">
      <alignment horizontal="left" vertical="center" inden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26" borderId="44" applyNumberFormat="0" applyFont="0" applyAlignment="0" applyProtection="0"/>
    <xf numFmtId="4" fontId="19" fillId="44" borderId="44" applyNumberFormat="0" applyProtection="0">
      <alignment horizontal="right" vertical="center"/>
    </xf>
    <xf numFmtId="4" fontId="19" fillId="48" borderId="47" applyNumberFormat="0" applyProtection="0">
      <alignment horizontal="left" vertical="center" indent="1"/>
    </xf>
    <xf numFmtId="4" fontId="19" fillId="11" borderId="44" applyNumberFormat="0" applyProtection="0">
      <alignment horizontal="right" vertical="center"/>
    </xf>
    <xf numFmtId="0" fontId="40" fillId="0" borderId="45" applyNumberFormat="0" applyFill="0" applyAlignment="0" applyProtection="0"/>
    <xf numFmtId="0" fontId="41" fillId="48" borderId="46" applyNumberFormat="0" applyProtection="0">
      <alignment horizontal="left" vertical="top" indent="1"/>
    </xf>
    <xf numFmtId="4" fontId="41" fillId="37" borderId="46" applyNumberFormat="0" applyProtection="0">
      <alignment horizontal="left" vertical="center" indent="1"/>
    </xf>
    <xf numFmtId="0" fontId="19" fillId="47" borderId="41" applyNumberFormat="0" applyProtection="0">
      <alignment horizontal="left" vertical="top" indent="1"/>
    </xf>
    <xf numFmtId="4" fontId="19" fillId="46" borderId="42" applyNumberFormat="0" applyProtection="0">
      <alignment horizontal="left" vertical="center" indent="1"/>
    </xf>
    <xf numFmtId="4" fontId="19" fillId="45" borderId="39" applyNumberFormat="0" applyProtection="0">
      <alignment horizontal="right" vertical="center"/>
    </xf>
    <xf numFmtId="0" fontId="3" fillId="0" borderId="0"/>
    <xf numFmtId="0" fontId="46" fillId="38" borderId="39" applyNumberFormat="0" applyAlignment="0" applyProtection="0"/>
    <xf numFmtId="4" fontId="19" fillId="8" borderId="44" applyNumberFormat="0" applyProtection="0">
      <alignment horizontal="right" vertical="center"/>
    </xf>
    <xf numFmtId="0" fontId="19" fillId="49" borderId="41" applyNumberFormat="0" applyProtection="0">
      <alignment horizontal="left" vertical="top" indent="1"/>
    </xf>
    <xf numFmtId="4" fontId="19" fillId="0" borderId="39" applyNumberFormat="0" applyProtection="0">
      <alignment horizontal="right" vertical="center"/>
    </xf>
    <xf numFmtId="4" fontId="14" fillId="47" borderId="42" applyNumberFormat="0" applyProtection="0">
      <alignment horizontal="left" vertical="center" indent="1"/>
    </xf>
    <xf numFmtId="4" fontId="19" fillId="10" borderId="39" applyNumberFormat="0" applyProtection="0">
      <alignment horizontal="right" vertical="center"/>
    </xf>
    <xf numFmtId="4" fontId="43" fillId="53" borderId="47" applyNumberFormat="0" applyProtection="0">
      <alignment horizontal="left" vertical="center" indent="1"/>
    </xf>
    <xf numFmtId="4" fontId="19" fillId="35" borderId="39" applyNumberFormat="0" applyProtection="0">
      <alignment horizontal="right" vertical="center"/>
    </xf>
    <xf numFmtId="4" fontId="19" fillId="3" borderId="39" applyNumberFormat="0" applyProtection="0">
      <alignment horizontal="left" vertical="center" indent="1"/>
    </xf>
    <xf numFmtId="4" fontId="19" fillId="30" borderId="47" applyNumberFormat="0" applyProtection="0">
      <alignment horizontal="right" vertical="center"/>
    </xf>
    <xf numFmtId="4" fontId="19" fillId="11" borderId="39" applyNumberFormat="0" applyProtection="0">
      <alignment horizontal="right" vertical="center"/>
    </xf>
    <xf numFmtId="0" fontId="3" fillId="0" borderId="0"/>
    <xf numFmtId="4" fontId="19" fillId="35" borderId="44" applyNumberFormat="0" applyProtection="0">
      <alignment horizontal="right" vertical="center"/>
    </xf>
    <xf numFmtId="0" fontId="42" fillId="42" borderId="46" applyNumberFormat="0" applyProtection="0">
      <alignment horizontal="left" vertical="top" indent="1"/>
    </xf>
    <xf numFmtId="0" fontId="39" fillId="38" borderId="38" applyNumberFormat="0" applyAlignment="0" applyProtection="0"/>
    <xf numFmtId="4" fontId="19" fillId="44" borderId="44" applyNumberFormat="0" applyProtection="0">
      <alignment horizontal="right" vertical="center"/>
    </xf>
    <xf numFmtId="0" fontId="3" fillId="0" borderId="0"/>
    <xf numFmtId="0" fontId="3" fillId="0" borderId="0"/>
    <xf numFmtId="4" fontId="19" fillId="11" borderId="39" applyNumberFormat="0" applyProtection="0">
      <alignment horizontal="right" vertical="center"/>
    </xf>
    <xf numFmtId="0" fontId="19" fillId="49" borderId="39" applyNumberFormat="0" applyProtection="0">
      <alignment horizontal="left" vertical="center" indent="1"/>
    </xf>
    <xf numFmtId="4" fontId="19" fillId="0" borderId="44" applyNumberFormat="0" applyProtection="0">
      <alignment horizontal="right" vertical="center"/>
    </xf>
    <xf numFmtId="0" fontId="19" fillId="50" borderId="39" applyNumberFormat="0" applyProtection="0">
      <alignment horizontal="left" vertical="center" indent="1"/>
    </xf>
    <xf numFmtId="0" fontId="3" fillId="0" borderId="0"/>
    <xf numFmtId="0" fontId="19" fillId="49" borderId="39" applyNumberFormat="0" applyProtection="0">
      <alignment horizontal="left" vertical="center" indent="1"/>
    </xf>
    <xf numFmtId="4" fontId="19" fillId="32" borderId="39" applyNumberFormat="0" applyProtection="0">
      <alignment horizontal="right" vertical="center"/>
    </xf>
    <xf numFmtId="0" fontId="3" fillId="0" borderId="0"/>
    <xf numFmtId="43" fontId="3" fillId="0" borderId="0" applyFont="0" applyFill="0" applyBorder="0" applyAlignment="0" applyProtection="0"/>
    <xf numFmtId="0" fontId="18" fillId="47" borderId="43" applyBorder="0"/>
    <xf numFmtId="4" fontId="19" fillId="32" borderId="39" applyNumberFormat="0" applyProtection="0">
      <alignment horizontal="right" vertical="center"/>
    </xf>
    <xf numFmtId="0" fontId="3" fillId="0" borderId="0"/>
    <xf numFmtId="0" fontId="41" fillId="43" borderId="41" applyNumberFormat="0" applyProtection="0">
      <alignment horizontal="left" vertical="top" indent="1"/>
    </xf>
    <xf numFmtId="4" fontId="19" fillId="10" borderId="39" applyNumberFormat="0" applyProtection="0">
      <alignment horizontal="right" vertical="center"/>
    </xf>
    <xf numFmtId="0" fontId="19" fillId="26" borderId="44" applyNumberFormat="0" applyFont="0" applyAlignment="0" applyProtection="0"/>
    <xf numFmtId="4" fontId="19" fillId="13" borderId="39" applyNumberFormat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4" fontId="19" fillId="11" borderId="44" applyNumberFormat="0" applyProtection="0">
      <alignment horizontal="right" vertical="center"/>
    </xf>
    <xf numFmtId="0" fontId="19" fillId="9" borderId="44" applyNumberFormat="0" applyProtection="0">
      <alignment horizontal="left" vertical="center" indent="1"/>
    </xf>
    <xf numFmtId="0" fontId="50" fillId="27" borderId="39" applyNumberFormat="0" applyAlignment="0" applyProtection="0"/>
    <xf numFmtId="0" fontId="40" fillId="0" borderId="40" applyNumberFormat="0" applyFill="0" applyAlignment="0" applyProtection="0"/>
    <xf numFmtId="0" fontId="46" fillId="38" borderId="39" applyNumberFormat="0" applyAlignment="0" applyProtection="0"/>
    <xf numFmtId="0" fontId="3" fillId="0" borderId="0"/>
    <xf numFmtId="4" fontId="19" fillId="46" borderId="47" applyNumberFormat="0" applyProtection="0">
      <alignment horizontal="left" vertical="center" inden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41" fillId="43" borderId="41" applyNumberFormat="0" applyProtection="0">
      <alignment vertical="center"/>
    </xf>
    <xf numFmtId="4" fontId="19" fillId="45" borderId="39" applyNumberFormat="0" applyProtection="0">
      <alignment horizontal="right" vertical="center"/>
    </xf>
    <xf numFmtId="0" fontId="3" fillId="0" borderId="0"/>
    <xf numFmtId="4" fontId="19" fillId="0" borderId="39" applyNumberFormat="0" applyProtection="0">
      <alignment horizontal="right" vertical="center"/>
    </xf>
    <xf numFmtId="4" fontId="19" fillId="10" borderId="39" applyNumberFormat="0" applyProtection="0">
      <alignment horizontal="right" vertical="center"/>
    </xf>
    <xf numFmtId="0" fontId="19" fillId="37" borderId="44" applyNumberFormat="0" applyProtection="0">
      <alignment horizontal="left" vertical="center" indent="1"/>
    </xf>
    <xf numFmtId="4" fontId="19" fillId="13" borderId="39" applyNumberFormat="0" applyProtection="0">
      <alignment horizontal="right" vertical="center"/>
    </xf>
    <xf numFmtId="0" fontId="3" fillId="0" borderId="0"/>
    <xf numFmtId="4" fontId="19" fillId="13" borderId="44" applyNumberFormat="0" applyProtection="0">
      <alignment horizontal="right" vertical="center"/>
    </xf>
    <xf numFmtId="0" fontId="40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4" fillId="0" borderId="0">
      <alignment wrapText="1"/>
      <protection locked="0"/>
    </xf>
    <xf numFmtId="0" fontId="14" fillId="0" borderId="0">
      <alignment wrapText="1"/>
      <protection locked="0"/>
    </xf>
    <xf numFmtId="0" fontId="14" fillId="0" borderId="0">
      <alignment wrapText="1"/>
      <protection locked="0"/>
    </xf>
    <xf numFmtId="0" fontId="3" fillId="0" borderId="0"/>
    <xf numFmtId="4" fontId="19" fillId="12" borderId="44" applyNumberFormat="0" applyProtection="0">
      <alignment horizontal="left" vertical="center" indent="1"/>
    </xf>
    <xf numFmtId="0" fontId="19" fillId="9" borderId="44" applyNumberFormat="0" applyProtection="0">
      <alignment horizontal="left" vertical="center" indent="1"/>
    </xf>
    <xf numFmtId="4" fontId="19" fillId="35" borderId="44" applyNumberFormat="0" applyProtection="0">
      <alignment horizontal="right" vertical="center"/>
    </xf>
    <xf numFmtId="4" fontId="19" fillId="30" borderId="47" applyNumberFormat="0" applyProtection="0">
      <alignment horizontal="right" vertical="center"/>
    </xf>
    <xf numFmtId="4" fontId="44" fillId="51" borderId="44" applyNumberFormat="0" applyProtection="0">
      <alignment horizontal="right" vertical="center"/>
    </xf>
    <xf numFmtId="0" fontId="19" fillId="49" borderId="46" applyNumberFormat="0" applyProtection="0">
      <alignment horizontal="left" vertical="top" indent="1"/>
    </xf>
    <xf numFmtId="4" fontId="19" fillId="30" borderId="47" applyNumberFormat="0" applyProtection="0">
      <alignment horizontal="right" vertical="center"/>
    </xf>
    <xf numFmtId="0" fontId="50" fillId="27" borderId="44" applyNumberFormat="0" applyAlignment="0" applyProtection="0"/>
    <xf numFmtId="4" fontId="19" fillId="32" borderId="44" applyNumberFormat="0" applyProtection="0">
      <alignment horizontal="right" vertical="center"/>
    </xf>
    <xf numFmtId="4" fontId="19" fillId="11" borderId="44" applyNumberFormat="0" applyProtection="0">
      <alignment horizontal="right" vertical="center"/>
    </xf>
    <xf numFmtId="4" fontId="19" fillId="48" borderId="44" applyNumberFormat="0" applyProtection="0">
      <alignment horizontal="right" vertical="center"/>
    </xf>
    <xf numFmtId="4" fontId="19" fillId="12" borderId="44" applyNumberFormat="0" applyProtection="0">
      <alignment horizontal="left" vertical="center" indent="1"/>
    </xf>
    <xf numFmtId="4" fontId="19" fillId="42" borderId="44" applyNumberFormat="0" applyProtection="0">
      <alignment vertical="center"/>
    </xf>
    <xf numFmtId="4" fontId="19" fillId="32" borderId="44" applyNumberFormat="0" applyProtection="0">
      <alignment horizontal="right" vertical="center"/>
    </xf>
    <xf numFmtId="4" fontId="19" fillId="44" borderId="44" applyNumberFormat="0" applyProtection="0">
      <alignment horizontal="right" vertical="center"/>
    </xf>
    <xf numFmtId="4" fontId="19" fillId="42" borderId="44" applyNumberFormat="0" applyProtection="0">
      <alignment vertical="center"/>
    </xf>
    <xf numFmtId="4" fontId="19" fillId="12" borderId="44" applyNumberFormat="0" applyProtection="0">
      <alignment horizontal="left" vertical="center" indent="1"/>
    </xf>
    <xf numFmtId="4" fontId="19" fillId="35" borderId="44" applyNumberFormat="0" applyProtection="0">
      <alignment horizontal="right" vertical="center"/>
    </xf>
    <xf numFmtId="4" fontId="19" fillId="49" borderId="47" applyNumberFormat="0" applyProtection="0">
      <alignment horizontal="left" vertical="center" indent="1"/>
    </xf>
    <xf numFmtId="0" fontId="46" fillId="38" borderId="44" applyNumberFormat="0" applyAlignment="0" applyProtection="0"/>
    <xf numFmtId="4" fontId="19" fillId="10" borderId="44" applyNumberFormat="0" applyProtection="0">
      <alignment horizontal="right" vertical="center"/>
    </xf>
    <xf numFmtId="4" fontId="19" fillId="45" borderId="44" applyNumberFormat="0" applyProtection="0">
      <alignment horizontal="right" vertical="center"/>
    </xf>
    <xf numFmtId="4" fontId="19" fillId="45" borderId="44" applyNumberFormat="0" applyProtection="0">
      <alignment horizontal="right" vertical="center"/>
    </xf>
    <xf numFmtId="4" fontId="19" fillId="48" borderId="47" applyNumberFormat="0" applyProtection="0">
      <alignment horizontal="left" vertical="center" indent="1"/>
    </xf>
    <xf numFmtId="4" fontId="19" fillId="48" borderId="47" applyNumberFormat="0" applyProtection="0">
      <alignment horizontal="left" vertical="center" indent="1"/>
    </xf>
    <xf numFmtId="4" fontId="19" fillId="48" borderId="44" applyNumberFormat="0" applyProtection="0">
      <alignment horizontal="right" vertical="center"/>
    </xf>
    <xf numFmtId="0" fontId="19" fillId="47" borderId="46" applyNumberFormat="0" applyProtection="0">
      <alignment horizontal="left" vertical="top" indent="1"/>
    </xf>
    <xf numFmtId="4" fontId="14" fillId="47" borderId="47" applyNumberFormat="0" applyProtection="0">
      <alignment horizontal="left" vertical="center" indent="1"/>
    </xf>
    <xf numFmtId="4" fontId="19" fillId="8" borderId="44" applyNumberFormat="0" applyProtection="0">
      <alignment horizontal="right" vertical="center"/>
    </xf>
    <xf numFmtId="4" fontId="19" fillId="10" borderId="44" applyNumberFormat="0" applyProtection="0">
      <alignment horizontal="right" vertical="center"/>
    </xf>
    <xf numFmtId="0" fontId="19" fillId="9" borderId="44" applyNumberFormat="0" applyProtection="0">
      <alignment horizontal="left" vertical="center" indent="1"/>
    </xf>
    <xf numFmtId="0" fontId="19" fillId="49" borderId="44" applyNumberFormat="0" applyProtection="0">
      <alignment horizontal="left" vertical="center" indent="1"/>
    </xf>
    <xf numFmtId="0" fontId="19" fillId="37" borderId="44" applyNumberFormat="0" applyProtection="0">
      <alignment horizontal="left" vertical="center" indent="1"/>
    </xf>
    <xf numFmtId="4" fontId="19" fillId="49" borderId="47" applyNumberFormat="0" applyProtection="0">
      <alignment horizontal="left" vertical="center" indent="1"/>
    </xf>
    <xf numFmtId="0" fontId="19" fillId="50" borderId="44" applyNumberFormat="0" applyProtection="0">
      <alignment horizontal="left" vertical="center" indent="1"/>
    </xf>
    <xf numFmtId="4" fontId="14" fillId="47" borderId="47" applyNumberFormat="0" applyProtection="0">
      <alignment horizontal="left" vertical="center" indent="1"/>
    </xf>
    <xf numFmtId="4" fontId="19" fillId="8" borderId="44" applyNumberFormat="0" applyProtection="0">
      <alignment horizontal="right" vertical="center"/>
    </xf>
    <xf numFmtId="0" fontId="40" fillId="0" borderId="45" applyNumberFormat="0" applyFill="0" applyAlignment="0" applyProtection="0"/>
    <xf numFmtId="0" fontId="50" fillId="27" borderId="44" applyNumberFormat="0" applyAlignment="0" applyProtection="0"/>
    <xf numFmtId="0" fontId="46" fillId="38" borderId="44" applyNumberFormat="0" applyAlignment="0" applyProtection="0"/>
    <xf numFmtId="4" fontId="19" fillId="10" borderId="44" applyNumberFormat="0" applyProtection="0">
      <alignment horizontal="right" vertical="center"/>
    </xf>
    <xf numFmtId="4" fontId="19" fillId="45" borderId="44" applyNumberFormat="0" applyProtection="0">
      <alignment horizontal="right" vertical="center"/>
    </xf>
    <xf numFmtId="4" fontId="19" fillId="3" borderId="44" applyNumberFormat="0" applyProtection="0">
      <alignment horizontal="left" vertical="center" indent="1"/>
    </xf>
    <xf numFmtId="4" fontId="19" fillId="3" borderId="44" applyNumberFormat="0" applyProtection="0">
      <alignment horizontal="left" vertical="center" indent="1"/>
    </xf>
    <xf numFmtId="4" fontId="53" fillId="3" borderId="44" applyNumberFormat="0" applyProtection="0">
      <alignment vertical="center"/>
    </xf>
    <xf numFmtId="4" fontId="19" fillId="3" borderId="44" applyNumberFormat="0" applyProtection="0">
      <alignment horizontal="left" vertical="center" indent="1"/>
    </xf>
    <xf numFmtId="4" fontId="19" fillId="42" borderId="44" applyNumberFormat="0" applyProtection="0">
      <alignment vertical="center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" fontId="14" fillId="47" borderId="53" applyNumberFormat="0" applyProtection="0">
      <alignment horizontal="left" vertical="center" indent="1"/>
    </xf>
    <xf numFmtId="4" fontId="19" fillId="0" borderId="50" applyNumberFormat="0" applyProtection="0">
      <alignment horizontal="right" vertical="center"/>
    </xf>
    <xf numFmtId="0" fontId="41" fillId="43" borderId="52" applyNumberFormat="0" applyProtection="0">
      <alignment horizontal="left" vertical="top" indent="1"/>
    </xf>
    <xf numFmtId="4" fontId="43" fillId="53" borderId="53" applyNumberFormat="0" applyProtection="0">
      <alignment horizontal="left" vertical="center" indent="1"/>
    </xf>
    <xf numFmtId="4" fontId="19" fillId="12" borderId="50" applyNumberFormat="0" applyProtection="0">
      <alignment horizontal="left" vertical="center" indent="1"/>
    </xf>
    <xf numFmtId="0" fontId="19" fillId="50" borderId="50" applyNumberFormat="0" applyProtection="0">
      <alignment horizontal="left" vertical="center" indent="1"/>
    </xf>
    <xf numFmtId="4" fontId="14" fillId="47" borderId="53" applyNumberFormat="0" applyProtection="0">
      <alignment horizontal="left" vertical="center" indent="1"/>
    </xf>
    <xf numFmtId="4" fontId="19" fillId="46" borderId="53" applyNumberFormat="0" applyProtection="0">
      <alignment horizontal="left" vertical="center" indent="1"/>
    </xf>
    <xf numFmtId="0" fontId="2" fillId="0" borderId="0"/>
    <xf numFmtId="4" fontId="19" fillId="30" borderId="53" applyNumberFormat="0" applyProtection="0">
      <alignment horizontal="right" vertical="center"/>
    </xf>
    <xf numFmtId="4" fontId="19" fillId="44" borderId="50" applyNumberFormat="0" applyProtection="0">
      <alignment horizontal="right" vertical="center"/>
    </xf>
    <xf numFmtId="4" fontId="19" fillId="44" borderId="50" applyNumberFormat="0" applyProtection="0">
      <alignment horizontal="right" vertical="center"/>
    </xf>
    <xf numFmtId="4" fontId="19" fillId="12" borderId="50" applyNumberFormat="0" applyProtection="0">
      <alignment horizontal="left" vertical="center" indent="1"/>
    </xf>
    <xf numFmtId="0" fontId="18" fillId="47" borderId="54" applyBorder="0"/>
    <xf numFmtId="0" fontId="19" fillId="49" borderId="50" applyNumberFormat="0" applyProtection="0">
      <alignment horizontal="left" vertical="center" indent="1"/>
    </xf>
    <xf numFmtId="0" fontId="50" fillId="27" borderId="50" applyNumberFormat="0" applyAlignment="0" applyProtection="0"/>
    <xf numFmtId="0" fontId="19" fillId="37" borderId="50" applyNumberFormat="0" applyProtection="0">
      <alignment horizontal="left" vertical="center" indent="1"/>
    </xf>
    <xf numFmtId="4" fontId="53" fillId="52" borderId="50" applyNumberFormat="0" applyProtection="0">
      <alignment horizontal="right" vertical="center"/>
    </xf>
    <xf numFmtId="4" fontId="14" fillId="47" borderId="53" applyNumberFormat="0" applyProtection="0">
      <alignment horizontal="left" vertical="center" indent="1"/>
    </xf>
    <xf numFmtId="4" fontId="19" fillId="46" borderId="53" applyNumberFormat="0" applyProtection="0">
      <alignment horizontal="left" vertical="center" indent="1"/>
    </xf>
    <xf numFmtId="4" fontId="19" fillId="35" borderId="50" applyNumberFormat="0" applyProtection="0">
      <alignment horizontal="right" vertical="center"/>
    </xf>
    <xf numFmtId="4" fontId="19" fillId="3" borderId="50" applyNumberFormat="0" applyProtection="0">
      <alignment horizontal="left" vertical="center" indent="1"/>
    </xf>
    <xf numFmtId="4" fontId="19" fillId="48" borderId="50" applyNumberFormat="0" applyProtection="0">
      <alignment horizontal="right" vertical="center"/>
    </xf>
    <xf numFmtId="4" fontId="14" fillId="47" borderId="53" applyNumberFormat="0" applyProtection="0">
      <alignment horizontal="left" vertical="center" indent="1"/>
    </xf>
    <xf numFmtId="0" fontId="19" fillId="48" borderId="52" applyNumberFormat="0" applyProtection="0">
      <alignment horizontal="left" vertical="top" indent="1"/>
    </xf>
    <xf numFmtId="4" fontId="19" fillId="13" borderId="50" applyNumberFormat="0" applyProtection="0">
      <alignment horizontal="right" vertical="center"/>
    </xf>
    <xf numFmtId="0" fontId="2" fillId="0" borderId="0"/>
    <xf numFmtId="4" fontId="19" fillId="11" borderId="50" applyNumberFormat="0" applyProtection="0">
      <alignment horizontal="right" vertical="center"/>
    </xf>
    <xf numFmtId="0" fontId="2" fillId="0" borderId="0"/>
    <xf numFmtId="0" fontId="19" fillId="49" borderId="50" applyNumberFormat="0" applyProtection="0">
      <alignment horizontal="left" vertical="center" indent="1"/>
    </xf>
    <xf numFmtId="0" fontId="19" fillId="50" borderId="50" applyNumberFormat="0" applyProtection="0">
      <alignment horizontal="left" vertical="center" indent="1"/>
    </xf>
    <xf numFmtId="4" fontId="19" fillId="46" borderId="53" applyNumberFormat="0" applyProtection="0">
      <alignment horizontal="left" vertical="center" indent="1"/>
    </xf>
    <xf numFmtId="4" fontId="19" fillId="46" borderId="53" applyNumberFormat="0" applyProtection="0">
      <alignment horizontal="left" vertical="center" indent="1"/>
    </xf>
    <xf numFmtId="0" fontId="39" fillId="38" borderId="49" applyNumberFormat="0" applyAlignment="0" applyProtection="0"/>
    <xf numFmtId="0" fontId="39" fillId="38" borderId="49" applyNumberFormat="0" applyAlignment="0" applyProtection="0"/>
    <xf numFmtId="0" fontId="46" fillId="38" borderId="50" applyNumberFormat="0" applyAlignment="0" applyProtection="0"/>
    <xf numFmtId="0" fontId="46" fillId="38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40" fillId="0" borderId="51" applyNumberFormat="0" applyFill="0" applyAlignment="0" applyProtection="0"/>
    <xf numFmtId="0" fontId="40" fillId="0" borderId="51" applyNumberFormat="0" applyFill="0" applyAlignment="0" applyProtection="0"/>
    <xf numFmtId="4" fontId="19" fillId="12" borderId="50" applyNumberFormat="0" applyProtection="0">
      <alignment horizontal="left" vertical="center" indent="1"/>
    </xf>
    <xf numFmtId="4" fontId="19" fillId="12" borderId="50" applyNumberFormat="0" applyProtection="0">
      <alignment horizontal="left" vertical="center" indent="1"/>
    </xf>
    <xf numFmtId="4" fontId="19" fillId="12" borderId="50" applyNumberFormat="0" applyProtection="0">
      <alignment horizontal="left" vertical="center" indent="1"/>
    </xf>
    <xf numFmtId="4" fontId="53" fillId="52" borderId="50" applyNumberFormat="0" applyProtection="0">
      <alignment horizontal="right" vertical="center"/>
    </xf>
    <xf numFmtId="4" fontId="19" fillId="0" borderId="50" applyNumberFormat="0" applyProtection="0">
      <alignment horizontal="right" vertical="center"/>
    </xf>
    <xf numFmtId="4" fontId="44" fillId="51" borderId="50" applyNumberFormat="0" applyProtection="0">
      <alignment horizontal="right" vertical="center"/>
    </xf>
    <xf numFmtId="4" fontId="19" fillId="12" borderId="50" applyNumberFormat="0" applyProtection="0">
      <alignment horizontal="left" vertical="center" indent="1"/>
    </xf>
    <xf numFmtId="0" fontId="41" fillId="48" borderId="52" applyNumberFormat="0" applyProtection="0">
      <alignment horizontal="left" vertical="top" indent="1"/>
    </xf>
    <xf numFmtId="4" fontId="19" fillId="12" borderId="50" applyNumberFormat="0" applyProtection="0">
      <alignment horizontal="left" vertical="center" indent="1"/>
    </xf>
    <xf numFmtId="4" fontId="41" fillId="37" borderId="52" applyNumberFormat="0" applyProtection="0">
      <alignment horizontal="left" vertical="center" indent="1"/>
    </xf>
    <xf numFmtId="4" fontId="19" fillId="0" borderId="50" applyNumberFormat="0" applyProtection="0">
      <alignment horizontal="right" vertical="center"/>
    </xf>
    <xf numFmtId="0" fontId="19" fillId="49" borderId="50" applyNumberFormat="0" applyProtection="0">
      <alignment horizontal="left" vertical="center" indent="1"/>
    </xf>
    <xf numFmtId="0" fontId="19" fillId="9" borderId="52" applyNumberFormat="0" applyProtection="0">
      <alignment horizontal="left" vertical="top" indent="1"/>
    </xf>
    <xf numFmtId="0" fontId="19" fillId="9" borderId="50" applyNumberFormat="0" applyProtection="0">
      <alignment horizontal="left" vertical="center" indent="1"/>
    </xf>
    <xf numFmtId="0" fontId="19" fillId="9" borderId="50" applyNumberFormat="0" applyProtection="0">
      <alignment horizontal="left" vertical="center" indent="1"/>
    </xf>
    <xf numFmtId="0" fontId="19" fillId="9" borderId="50" applyNumberFormat="0" applyProtection="0">
      <alignment horizontal="left" vertical="center" indent="1"/>
    </xf>
    <xf numFmtId="0" fontId="19" fillId="48" borderId="52" applyNumberFormat="0" applyProtection="0">
      <alignment horizontal="left" vertical="top" indent="1"/>
    </xf>
    <xf numFmtId="0" fontId="19" fillId="26" borderId="50" applyNumberFormat="0" applyFont="0" applyAlignment="0" applyProtection="0"/>
    <xf numFmtId="0" fontId="19" fillId="26" borderId="50" applyNumberFormat="0" applyFont="0" applyAlignment="0" applyProtection="0"/>
    <xf numFmtId="0" fontId="19" fillId="50" borderId="50" applyNumberFormat="0" applyProtection="0">
      <alignment horizontal="left" vertical="center" indent="1"/>
    </xf>
    <xf numFmtId="0" fontId="19" fillId="37" borderId="50" applyNumberFormat="0" applyProtection="0">
      <alignment horizontal="left" vertical="center" indent="1"/>
    </xf>
    <xf numFmtId="0" fontId="19" fillId="37" borderId="50" applyNumberFormat="0" applyProtection="0">
      <alignment horizontal="left" vertical="center" indent="1"/>
    </xf>
    <xf numFmtId="4" fontId="19" fillId="42" borderId="50" applyNumberFormat="0" applyProtection="0">
      <alignment vertical="center"/>
    </xf>
    <xf numFmtId="4" fontId="19" fillId="42" borderId="50" applyNumberFormat="0" applyProtection="0">
      <alignment vertical="center"/>
    </xf>
    <xf numFmtId="4" fontId="19" fillId="42" borderId="50" applyNumberFormat="0" applyProtection="0">
      <alignment vertical="center"/>
    </xf>
    <xf numFmtId="4" fontId="53" fillId="3" borderId="50" applyNumberFormat="0" applyProtection="0">
      <alignment vertical="center"/>
    </xf>
    <xf numFmtId="4" fontId="19" fillId="3" borderId="50" applyNumberFormat="0" applyProtection="0">
      <alignment horizontal="left" vertical="center" indent="1"/>
    </xf>
    <xf numFmtId="4" fontId="19" fillId="3" borderId="50" applyNumberFormat="0" applyProtection="0">
      <alignment horizontal="left" vertical="center" indent="1"/>
    </xf>
    <xf numFmtId="4" fontId="19" fillId="3" borderId="50" applyNumberFormat="0" applyProtection="0">
      <alignment horizontal="left" vertical="center" indent="1"/>
    </xf>
    <xf numFmtId="0" fontId="42" fillId="42" borderId="52" applyNumberFormat="0" applyProtection="0">
      <alignment horizontal="left" vertical="top" indent="1"/>
    </xf>
    <xf numFmtId="4" fontId="19" fillId="12" borderId="50" applyNumberFormat="0" applyProtection="0">
      <alignment horizontal="left" vertical="center" indent="1"/>
    </xf>
    <xf numFmtId="4" fontId="19" fillId="12" borderId="50" applyNumberFormat="0" applyProtection="0">
      <alignment horizontal="left" vertical="center" indent="1"/>
    </xf>
    <xf numFmtId="4" fontId="19" fillId="12" borderId="50" applyNumberFormat="0" applyProtection="0">
      <alignment horizontal="left" vertical="center" indent="1"/>
    </xf>
    <xf numFmtId="4" fontId="19" fillId="8" borderId="50" applyNumberFormat="0" applyProtection="0">
      <alignment horizontal="right" vertical="center"/>
    </xf>
    <xf numFmtId="4" fontId="19" fillId="8" borderId="50" applyNumberFormat="0" applyProtection="0">
      <alignment horizontal="right" vertical="center"/>
    </xf>
    <xf numFmtId="4" fontId="19" fillId="8" borderId="50" applyNumberFormat="0" applyProtection="0">
      <alignment horizontal="right" vertical="center"/>
    </xf>
    <xf numFmtId="4" fontId="19" fillId="44" borderId="50" applyNumberFormat="0" applyProtection="0">
      <alignment horizontal="right" vertical="center"/>
    </xf>
    <xf numFmtId="4" fontId="19" fillId="44" borderId="50" applyNumberFormat="0" applyProtection="0">
      <alignment horizontal="right" vertical="center"/>
    </xf>
    <xf numFmtId="4" fontId="19" fillId="44" borderId="50" applyNumberFormat="0" applyProtection="0">
      <alignment horizontal="right" vertical="center"/>
    </xf>
    <xf numFmtId="4" fontId="19" fillId="30" borderId="53" applyNumberFormat="0" applyProtection="0">
      <alignment horizontal="right" vertical="center"/>
    </xf>
    <xf numFmtId="4" fontId="19" fillId="30" borderId="53" applyNumberFormat="0" applyProtection="0">
      <alignment horizontal="right" vertical="center"/>
    </xf>
    <xf numFmtId="4" fontId="19" fillId="30" borderId="53" applyNumberFormat="0" applyProtection="0">
      <alignment horizontal="right" vertical="center"/>
    </xf>
    <xf numFmtId="4" fontId="19" fillId="11" borderId="50" applyNumberFormat="0" applyProtection="0">
      <alignment horizontal="right" vertical="center"/>
    </xf>
    <xf numFmtId="4" fontId="19" fillId="11" borderId="50" applyNumberFormat="0" applyProtection="0">
      <alignment horizontal="right" vertical="center"/>
    </xf>
    <xf numFmtId="4" fontId="19" fillId="11" borderId="50" applyNumberFormat="0" applyProtection="0">
      <alignment horizontal="right" vertical="center"/>
    </xf>
    <xf numFmtId="4" fontId="19" fillId="13" borderId="50" applyNumberFormat="0" applyProtection="0">
      <alignment horizontal="right" vertical="center"/>
    </xf>
    <xf numFmtId="4" fontId="19" fillId="13" borderId="50" applyNumberFormat="0" applyProtection="0">
      <alignment horizontal="right" vertical="center"/>
    </xf>
    <xf numFmtId="4" fontId="19" fillId="13" borderId="50" applyNumberFormat="0" applyProtection="0">
      <alignment horizontal="right" vertical="center"/>
    </xf>
    <xf numFmtId="4" fontId="19" fillId="35" borderId="50" applyNumberFormat="0" applyProtection="0">
      <alignment horizontal="right" vertical="center"/>
    </xf>
    <xf numFmtId="4" fontId="19" fillId="35" borderId="50" applyNumberFormat="0" applyProtection="0">
      <alignment horizontal="right" vertical="center"/>
    </xf>
    <xf numFmtId="4" fontId="19" fillId="35" borderId="50" applyNumberFormat="0" applyProtection="0">
      <alignment horizontal="right" vertical="center"/>
    </xf>
    <xf numFmtId="4" fontId="19" fillId="32" borderId="50" applyNumberFormat="0" applyProtection="0">
      <alignment horizontal="right" vertical="center"/>
    </xf>
    <xf numFmtId="4" fontId="19" fillId="32" borderId="50" applyNumberFormat="0" applyProtection="0">
      <alignment horizontal="right" vertical="center"/>
    </xf>
    <xf numFmtId="4" fontId="19" fillId="32" borderId="50" applyNumberFormat="0" applyProtection="0">
      <alignment horizontal="right" vertical="center"/>
    </xf>
    <xf numFmtId="4" fontId="19" fillId="45" borderId="50" applyNumberFormat="0" applyProtection="0">
      <alignment horizontal="right" vertical="center"/>
    </xf>
    <xf numFmtId="4" fontId="19" fillId="45" borderId="50" applyNumberFormat="0" applyProtection="0">
      <alignment horizontal="right" vertical="center"/>
    </xf>
    <xf numFmtId="4" fontId="19" fillId="45" borderId="50" applyNumberFormat="0" applyProtection="0">
      <alignment horizontal="right" vertical="center"/>
    </xf>
    <xf numFmtId="4" fontId="19" fillId="10" borderId="50" applyNumberFormat="0" applyProtection="0">
      <alignment horizontal="right" vertical="center"/>
    </xf>
    <xf numFmtId="4" fontId="19" fillId="10" borderId="50" applyNumberFormat="0" applyProtection="0">
      <alignment horizontal="right" vertical="center"/>
    </xf>
    <xf numFmtId="4" fontId="19" fillId="10" borderId="50" applyNumberFormat="0" applyProtection="0">
      <alignment horizontal="right" vertical="center"/>
    </xf>
    <xf numFmtId="4" fontId="19" fillId="46" borderId="53" applyNumberFormat="0" applyProtection="0">
      <alignment horizontal="left" vertical="center" indent="1"/>
    </xf>
    <xf numFmtId="4" fontId="19" fillId="46" borderId="53" applyNumberFormat="0" applyProtection="0">
      <alignment horizontal="left" vertical="center" indent="1"/>
    </xf>
    <xf numFmtId="4" fontId="19" fillId="46" borderId="53" applyNumberFormat="0" applyProtection="0">
      <alignment horizontal="left" vertical="center" indent="1"/>
    </xf>
    <xf numFmtId="4" fontId="14" fillId="47" borderId="53" applyNumberFormat="0" applyProtection="0">
      <alignment horizontal="left" vertical="center" indent="1"/>
    </xf>
    <xf numFmtId="4" fontId="14" fillId="47" borderId="53" applyNumberFormat="0" applyProtection="0">
      <alignment horizontal="left" vertical="center" indent="1"/>
    </xf>
    <xf numFmtId="4" fontId="14" fillId="47" borderId="53" applyNumberFormat="0" applyProtection="0">
      <alignment horizontal="left" vertical="center" indent="1"/>
    </xf>
    <xf numFmtId="4" fontId="14" fillId="47" borderId="53" applyNumberFormat="0" applyProtection="0">
      <alignment horizontal="left" vertical="center" indent="1"/>
    </xf>
    <xf numFmtId="4" fontId="19" fillId="48" borderId="50" applyNumberFormat="0" applyProtection="0">
      <alignment horizontal="right" vertical="center"/>
    </xf>
    <xf numFmtId="4" fontId="19" fillId="48" borderId="50" applyNumberFormat="0" applyProtection="0">
      <alignment horizontal="right" vertical="center"/>
    </xf>
    <xf numFmtId="4" fontId="19" fillId="48" borderId="50" applyNumberFormat="0" applyProtection="0">
      <alignment horizontal="right" vertical="center"/>
    </xf>
    <xf numFmtId="4" fontId="19" fillId="49" borderId="53" applyNumberFormat="0" applyProtection="0">
      <alignment horizontal="left" vertical="center" indent="1"/>
    </xf>
    <xf numFmtId="4" fontId="19" fillId="49" borderId="53" applyNumberFormat="0" applyProtection="0">
      <alignment horizontal="left" vertical="center" indent="1"/>
    </xf>
    <xf numFmtId="4" fontId="19" fillId="49" borderId="53" applyNumberFormat="0" applyProtection="0">
      <alignment horizontal="left" vertical="center" indent="1"/>
    </xf>
    <xf numFmtId="4" fontId="19" fillId="48" borderId="53" applyNumberFormat="0" applyProtection="0">
      <alignment horizontal="left" vertical="center" indent="1"/>
    </xf>
    <xf numFmtId="4" fontId="19" fillId="48" borderId="53" applyNumberFormat="0" applyProtection="0">
      <alignment horizontal="left" vertical="center" indent="1"/>
    </xf>
    <xf numFmtId="4" fontId="19" fillId="48" borderId="53" applyNumberFormat="0" applyProtection="0">
      <alignment horizontal="left" vertical="center" indent="1"/>
    </xf>
    <xf numFmtId="0" fontId="19" fillId="37" borderId="50" applyNumberFormat="0" applyProtection="0">
      <alignment horizontal="left" vertical="center" indent="1"/>
    </xf>
    <xf numFmtId="0" fontId="19" fillId="37" borderId="50" applyNumberFormat="0" applyProtection="0">
      <alignment horizontal="left" vertical="center" indent="1"/>
    </xf>
    <xf numFmtId="0" fontId="19" fillId="37" borderId="50" applyNumberFormat="0" applyProtection="0">
      <alignment horizontal="left" vertical="center" indent="1"/>
    </xf>
    <xf numFmtId="0" fontId="19" fillId="47" borderId="52" applyNumberFormat="0" applyProtection="0">
      <alignment horizontal="left" vertical="top" indent="1"/>
    </xf>
    <xf numFmtId="0" fontId="19" fillId="50" borderId="50" applyNumberFormat="0" applyProtection="0">
      <alignment horizontal="left" vertical="center" indent="1"/>
    </xf>
    <xf numFmtId="0" fontId="19" fillId="50" borderId="50" applyNumberFormat="0" applyProtection="0">
      <alignment horizontal="left" vertical="center" indent="1"/>
    </xf>
    <xf numFmtId="0" fontId="19" fillId="50" borderId="50" applyNumberFormat="0" applyProtection="0">
      <alignment horizontal="left" vertical="center" indent="1"/>
    </xf>
    <xf numFmtId="0" fontId="19" fillId="48" borderId="52" applyNumberFormat="0" applyProtection="0">
      <alignment horizontal="left" vertical="top" indent="1"/>
    </xf>
    <xf numFmtId="0" fontId="19" fillId="9" borderId="50" applyNumberFormat="0" applyProtection="0">
      <alignment horizontal="left" vertical="center" indent="1"/>
    </xf>
    <xf numFmtId="0" fontId="19" fillId="9" borderId="50" applyNumberFormat="0" applyProtection="0">
      <alignment horizontal="left" vertical="center" indent="1"/>
    </xf>
    <xf numFmtId="0" fontId="19" fillId="9" borderId="50" applyNumberFormat="0" applyProtection="0">
      <alignment horizontal="left" vertical="center" indent="1"/>
    </xf>
    <xf numFmtId="0" fontId="19" fillId="9" borderId="52" applyNumberFormat="0" applyProtection="0">
      <alignment horizontal="left" vertical="top" indent="1"/>
    </xf>
    <xf numFmtId="0" fontId="19" fillId="49" borderId="50" applyNumberFormat="0" applyProtection="0">
      <alignment horizontal="left" vertical="center" indent="1"/>
    </xf>
    <xf numFmtId="0" fontId="19" fillId="49" borderId="50" applyNumberFormat="0" applyProtection="0">
      <alignment horizontal="left" vertical="center" indent="1"/>
    </xf>
    <xf numFmtId="0" fontId="19" fillId="49" borderId="50" applyNumberFormat="0" applyProtection="0">
      <alignment horizontal="left" vertical="center" indent="1"/>
    </xf>
    <xf numFmtId="0" fontId="19" fillId="49" borderId="52" applyNumberFormat="0" applyProtection="0">
      <alignment horizontal="left" vertical="top" indent="1"/>
    </xf>
    <xf numFmtId="0" fontId="19" fillId="37" borderId="50" applyNumberFormat="0" applyProtection="0">
      <alignment horizontal="left" vertical="center" indent="1"/>
    </xf>
    <xf numFmtId="0" fontId="18" fillId="47" borderId="54" applyBorder="0"/>
    <xf numFmtId="4" fontId="41" fillId="43" borderId="52" applyNumberFormat="0" applyProtection="0">
      <alignment vertical="center"/>
    </xf>
    <xf numFmtId="4" fontId="19" fillId="48" borderId="53" applyNumberFormat="0" applyProtection="0">
      <alignment horizontal="left" vertical="center" indent="1"/>
    </xf>
    <xf numFmtId="4" fontId="41" fillId="37" borderId="52" applyNumberFormat="0" applyProtection="0">
      <alignment horizontal="left" vertical="center" indent="1"/>
    </xf>
    <xf numFmtId="0" fontId="41" fillId="43" borderId="52" applyNumberFormat="0" applyProtection="0">
      <alignment horizontal="left" vertical="top" indent="1"/>
    </xf>
    <xf numFmtId="4" fontId="19" fillId="0" borderId="50" applyNumberFormat="0" applyProtection="0">
      <alignment horizontal="right" vertical="center"/>
    </xf>
    <xf numFmtId="4" fontId="19" fillId="0" borderId="50" applyNumberFormat="0" applyProtection="0">
      <alignment horizontal="right" vertical="center"/>
    </xf>
    <xf numFmtId="4" fontId="19" fillId="0" borderId="50" applyNumberFormat="0" applyProtection="0">
      <alignment horizontal="right" vertical="center"/>
    </xf>
    <xf numFmtId="4" fontId="53" fillId="52" borderId="50" applyNumberFormat="0" applyProtection="0">
      <alignment horizontal="right" vertical="center"/>
    </xf>
    <xf numFmtId="4" fontId="19" fillId="12" borderId="50" applyNumberFormat="0" applyProtection="0">
      <alignment horizontal="left" vertical="center" indent="1"/>
    </xf>
    <xf numFmtId="4" fontId="19" fillId="12" borderId="50" applyNumberFormat="0" applyProtection="0">
      <alignment horizontal="left" vertical="center" indent="1"/>
    </xf>
    <xf numFmtId="4" fontId="19" fillId="12" borderId="50" applyNumberFormat="0" applyProtection="0">
      <alignment horizontal="left" vertical="center" indent="1"/>
    </xf>
    <xf numFmtId="0" fontId="41" fillId="48" borderId="52" applyNumberFormat="0" applyProtection="0">
      <alignment horizontal="left" vertical="top" indent="1"/>
    </xf>
    <xf numFmtId="4" fontId="43" fillId="53" borderId="53" applyNumberFormat="0" applyProtection="0">
      <alignment horizontal="left" vertical="center" indent="1"/>
    </xf>
    <xf numFmtId="4" fontId="19" fillId="48" borderId="53" applyNumberFormat="0" applyProtection="0">
      <alignment horizontal="left" vertical="center" indent="1"/>
    </xf>
    <xf numFmtId="4" fontId="19" fillId="48" borderId="53" applyNumberFormat="0" applyProtection="0">
      <alignment horizontal="left" vertical="center" indent="1"/>
    </xf>
    <xf numFmtId="4" fontId="19" fillId="49" borderId="53" applyNumberFormat="0" applyProtection="0">
      <alignment horizontal="left" vertical="center" indent="1"/>
    </xf>
    <xf numFmtId="4" fontId="44" fillId="51" borderId="50" applyNumberFormat="0" applyProtection="0">
      <alignment horizontal="right" vertical="center"/>
    </xf>
    <xf numFmtId="4" fontId="19" fillId="49" borderId="53" applyNumberFormat="0" applyProtection="0">
      <alignment horizontal="left" vertical="center" indent="1"/>
    </xf>
    <xf numFmtId="4" fontId="19" fillId="49" borderId="53" applyNumberFormat="0" applyProtection="0">
      <alignment horizontal="left" vertical="center" indent="1"/>
    </xf>
    <xf numFmtId="4" fontId="19" fillId="48" borderId="50" applyNumberFormat="0" applyProtection="0">
      <alignment horizontal="right" vertical="center"/>
    </xf>
    <xf numFmtId="4" fontId="19" fillId="48" borderId="50" applyNumberFormat="0" applyProtection="0">
      <alignment horizontal="right" vertical="center"/>
    </xf>
    <xf numFmtId="4" fontId="19" fillId="48" borderId="50" applyNumberFormat="0" applyProtection="0">
      <alignment horizontal="right" vertical="center"/>
    </xf>
    <xf numFmtId="0" fontId="2" fillId="0" borderId="0"/>
    <xf numFmtId="0" fontId="2" fillId="0" borderId="0"/>
    <xf numFmtId="4" fontId="19" fillId="45" borderId="50" applyNumberFormat="0" applyProtection="0">
      <alignment horizontal="right" vertical="center"/>
    </xf>
    <xf numFmtId="4" fontId="19" fillId="32" borderId="50" applyNumberFormat="0" applyProtection="0">
      <alignment horizontal="right" vertical="center"/>
    </xf>
    <xf numFmtId="4" fontId="19" fillId="35" borderId="50" applyNumberFormat="0" applyProtection="0">
      <alignment horizontal="right" vertical="center"/>
    </xf>
    <xf numFmtId="4" fontId="19" fillId="30" borderId="53" applyNumberFormat="0" applyProtection="0">
      <alignment horizontal="right" vertical="center"/>
    </xf>
    <xf numFmtId="4" fontId="19" fillId="30" borderId="53" applyNumberFormat="0" applyProtection="0">
      <alignment horizontal="right" vertical="center"/>
    </xf>
    <xf numFmtId="4" fontId="19" fillId="8" borderId="50" applyNumberFormat="0" applyProtection="0">
      <alignment horizontal="right" vertical="center"/>
    </xf>
    <xf numFmtId="4" fontId="19" fillId="8" borderId="50" applyNumberFormat="0" applyProtection="0">
      <alignment horizontal="right" vertical="center"/>
    </xf>
    <xf numFmtId="4" fontId="19" fillId="44" borderId="50" applyNumberFormat="0" applyProtection="0">
      <alignment horizontal="right" vertical="center"/>
    </xf>
    <xf numFmtId="4" fontId="19" fillId="8" borderId="50" applyNumberFormat="0" applyProtection="0">
      <alignment horizontal="right" vertical="center"/>
    </xf>
    <xf numFmtId="4" fontId="19" fillId="12" borderId="50" applyNumberFormat="0" applyProtection="0">
      <alignment horizontal="left" vertical="center" indent="1"/>
    </xf>
    <xf numFmtId="0" fontId="42" fillId="42" borderId="52" applyNumberFormat="0" applyProtection="0">
      <alignment horizontal="left" vertical="top" indent="1"/>
    </xf>
    <xf numFmtId="4" fontId="19" fillId="12" borderId="50" applyNumberFormat="0" applyProtection="0">
      <alignment horizontal="left" vertical="center" indent="1"/>
    </xf>
    <xf numFmtId="4" fontId="19" fillId="3" borderId="50" applyNumberFormat="0" applyProtection="0">
      <alignment horizontal="left" vertical="center" indent="1"/>
    </xf>
    <xf numFmtId="4" fontId="53" fillId="3" borderId="50" applyNumberFormat="0" applyProtection="0">
      <alignment vertical="center"/>
    </xf>
    <xf numFmtId="4" fontId="19" fillId="42" borderId="50" applyNumberFormat="0" applyProtection="0">
      <alignment vertical="center"/>
    </xf>
    <xf numFmtId="4" fontId="19" fillId="42" borderId="50" applyNumberFormat="0" applyProtection="0">
      <alignment vertical="center"/>
    </xf>
    <xf numFmtId="4" fontId="19" fillId="42" borderId="50" applyNumberFormat="0" applyProtection="0">
      <alignment vertical="center"/>
    </xf>
    <xf numFmtId="4" fontId="41" fillId="43" borderId="52" applyNumberFormat="0" applyProtection="0">
      <alignment vertical="center"/>
    </xf>
    <xf numFmtId="0" fontId="19" fillId="26" borderId="50" applyNumberFormat="0" applyFont="0" applyAlignment="0" applyProtection="0"/>
    <xf numFmtId="0" fontId="19" fillId="26" borderId="50" applyNumberFormat="0" applyFont="0" applyAlignment="0" applyProtection="0"/>
    <xf numFmtId="4" fontId="19" fillId="32" borderId="50" applyNumberFormat="0" applyProtection="0">
      <alignment horizontal="right" vertical="center"/>
    </xf>
    <xf numFmtId="4" fontId="19" fillId="13" borderId="50" applyNumberFormat="0" applyProtection="0">
      <alignment horizontal="right" vertical="center"/>
    </xf>
    <xf numFmtId="4" fontId="19" fillId="13" borderId="50" applyNumberFormat="0" applyProtection="0">
      <alignment horizontal="right" vertical="center"/>
    </xf>
    <xf numFmtId="0" fontId="39" fillId="38" borderId="49" applyNumberFormat="0" applyAlignment="0" applyProtection="0"/>
    <xf numFmtId="4" fontId="19" fillId="49" borderId="53" applyNumberFormat="0" applyProtection="0">
      <alignment horizontal="left" vertical="center" indent="1"/>
    </xf>
    <xf numFmtId="0" fontId="19" fillId="50" borderId="50" applyNumberFormat="0" applyProtection="0">
      <alignment horizontal="left" vertical="center" indent="1"/>
    </xf>
    <xf numFmtId="0" fontId="2" fillId="0" borderId="0"/>
    <xf numFmtId="0" fontId="19" fillId="9" borderId="52" applyNumberFormat="0" applyProtection="0">
      <alignment horizontal="left" vertical="top" indent="1"/>
    </xf>
    <xf numFmtId="4" fontId="14" fillId="47" borderId="53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6" borderId="50" applyNumberFormat="0" applyFont="0" applyAlignment="0" applyProtection="0"/>
    <xf numFmtId="4" fontId="19" fillId="44" borderId="50" applyNumberFormat="0" applyProtection="0">
      <alignment horizontal="right" vertical="center"/>
    </xf>
    <xf numFmtId="4" fontId="19" fillId="48" borderId="53" applyNumberFormat="0" applyProtection="0">
      <alignment horizontal="left" vertical="center" indent="1"/>
    </xf>
    <xf numFmtId="4" fontId="19" fillId="11" borderId="50" applyNumberFormat="0" applyProtection="0">
      <alignment horizontal="right" vertical="center"/>
    </xf>
    <xf numFmtId="0" fontId="40" fillId="0" borderId="51" applyNumberFormat="0" applyFill="0" applyAlignment="0" applyProtection="0"/>
    <xf numFmtId="0" fontId="41" fillId="48" borderId="52" applyNumberFormat="0" applyProtection="0">
      <alignment horizontal="left" vertical="top" indent="1"/>
    </xf>
    <xf numFmtId="4" fontId="41" fillId="37" borderId="52" applyNumberFormat="0" applyProtection="0">
      <alignment horizontal="left" vertical="center" indent="1"/>
    </xf>
    <xf numFmtId="0" fontId="19" fillId="47" borderId="52" applyNumberFormat="0" applyProtection="0">
      <alignment horizontal="left" vertical="top" indent="1"/>
    </xf>
    <xf numFmtId="4" fontId="19" fillId="46" borderId="53" applyNumberFormat="0" applyProtection="0">
      <alignment horizontal="left" vertical="center" indent="1"/>
    </xf>
    <xf numFmtId="4" fontId="19" fillId="45" borderId="50" applyNumberFormat="0" applyProtection="0">
      <alignment horizontal="right" vertical="center"/>
    </xf>
    <xf numFmtId="0" fontId="2" fillId="0" borderId="0"/>
    <xf numFmtId="0" fontId="46" fillId="38" borderId="50" applyNumberFormat="0" applyAlignment="0" applyProtection="0"/>
    <xf numFmtId="4" fontId="19" fillId="8" borderId="50" applyNumberFormat="0" applyProtection="0">
      <alignment horizontal="right" vertical="center"/>
    </xf>
    <xf numFmtId="0" fontId="19" fillId="49" borderId="52" applyNumberFormat="0" applyProtection="0">
      <alignment horizontal="left" vertical="top" indent="1"/>
    </xf>
    <xf numFmtId="4" fontId="19" fillId="0" borderId="50" applyNumberFormat="0" applyProtection="0">
      <alignment horizontal="right" vertical="center"/>
    </xf>
    <xf numFmtId="4" fontId="14" fillId="47" borderId="53" applyNumberFormat="0" applyProtection="0">
      <alignment horizontal="left" vertical="center" indent="1"/>
    </xf>
    <xf numFmtId="4" fontId="19" fillId="10" borderId="50" applyNumberFormat="0" applyProtection="0">
      <alignment horizontal="right" vertical="center"/>
    </xf>
    <xf numFmtId="4" fontId="43" fillId="53" borderId="53" applyNumberFormat="0" applyProtection="0">
      <alignment horizontal="left" vertical="center" indent="1"/>
    </xf>
    <xf numFmtId="4" fontId="19" fillId="35" borderId="50" applyNumberFormat="0" applyProtection="0">
      <alignment horizontal="right" vertical="center"/>
    </xf>
    <xf numFmtId="4" fontId="19" fillId="3" borderId="50" applyNumberFormat="0" applyProtection="0">
      <alignment horizontal="left" vertical="center" indent="1"/>
    </xf>
    <xf numFmtId="4" fontId="19" fillId="30" borderId="53" applyNumberFormat="0" applyProtection="0">
      <alignment horizontal="right" vertical="center"/>
    </xf>
    <xf numFmtId="4" fontId="19" fillId="11" borderId="50" applyNumberFormat="0" applyProtection="0">
      <alignment horizontal="right" vertical="center"/>
    </xf>
    <xf numFmtId="0" fontId="2" fillId="0" borderId="0"/>
    <xf numFmtId="4" fontId="19" fillId="35" borderId="50" applyNumberFormat="0" applyProtection="0">
      <alignment horizontal="right" vertical="center"/>
    </xf>
    <xf numFmtId="0" fontId="42" fillId="42" borderId="52" applyNumberFormat="0" applyProtection="0">
      <alignment horizontal="left" vertical="top" indent="1"/>
    </xf>
    <xf numFmtId="0" fontId="39" fillId="38" borderId="49" applyNumberFormat="0" applyAlignment="0" applyProtection="0"/>
    <xf numFmtId="4" fontId="19" fillId="44" borderId="50" applyNumberFormat="0" applyProtection="0">
      <alignment horizontal="right" vertical="center"/>
    </xf>
    <xf numFmtId="0" fontId="2" fillId="0" borderId="0"/>
    <xf numFmtId="0" fontId="2" fillId="0" borderId="0"/>
    <xf numFmtId="4" fontId="19" fillId="11" borderId="50" applyNumberFormat="0" applyProtection="0">
      <alignment horizontal="right" vertical="center"/>
    </xf>
    <xf numFmtId="0" fontId="19" fillId="49" borderId="50" applyNumberFormat="0" applyProtection="0">
      <alignment horizontal="left" vertical="center" indent="1"/>
    </xf>
    <xf numFmtId="4" fontId="19" fillId="0" borderId="50" applyNumberFormat="0" applyProtection="0">
      <alignment horizontal="right" vertical="center"/>
    </xf>
    <xf numFmtId="0" fontId="19" fillId="50" borderId="50" applyNumberFormat="0" applyProtection="0">
      <alignment horizontal="left" vertical="center" indent="1"/>
    </xf>
    <xf numFmtId="0" fontId="2" fillId="0" borderId="0"/>
    <xf numFmtId="0" fontId="19" fillId="49" borderId="50" applyNumberFormat="0" applyProtection="0">
      <alignment horizontal="left" vertical="center" indent="1"/>
    </xf>
    <xf numFmtId="4" fontId="19" fillId="32" borderId="50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18" fillId="47" borderId="54" applyBorder="0"/>
    <xf numFmtId="4" fontId="19" fillId="32" borderId="50" applyNumberFormat="0" applyProtection="0">
      <alignment horizontal="right" vertical="center"/>
    </xf>
    <xf numFmtId="0" fontId="2" fillId="0" borderId="0"/>
    <xf numFmtId="0" fontId="41" fillId="43" borderId="52" applyNumberFormat="0" applyProtection="0">
      <alignment horizontal="left" vertical="top" indent="1"/>
    </xf>
    <xf numFmtId="4" fontId="19" fillId="10" borderId="50" applyNumberFormat="0" applyProtection="0">
      <alignment horizontal="right" vertical="center"/>
    </xf>
    <xf numFmtId="0" fontId="19" fillId="26" borderId="50" applyNumberFormat="0" applyFont="0" applyAlignment="0" applyProtection="0"/>
    <xf numFmtId="4" fontId="19" fillId="13" borderId="50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" fontId="19" fillId="11" borderId="50" applyNumberFormat="0" applyProtection="0">
      <alignment horizontal="right" vertical="center"/>
    </xf>
    <xf numFmtId="0" fontId="19" fillId="9" borderId="50" applyNumberFormat="0" applyProtection="0">
      <alignment horizontal="left" vertical="center" indent="1"/>
    </xf>
    <xf numFmtId="0" fontId="50" fillId="27" borderId="50" applyNumberFormat="0" applyAlignment="0" applyProtection="0"/>
    <xf numFmtId="0" fontId="40" fillId="0" borderId="51" applyNumberFormat="0" applyFill="0" applyAlignment="0" applyProtection="0"/>
    <xf numFmtId="0" fontId="46" fillId="38" borderId="50" applyNumberFormat="0" applyAlignment="0" applyProtection="0"/>
    <xf numFmtId="0" fontId="2" fillId="0" borderId="0"/>
    <xf numFmtId="4" fontId="19" fillId="46" borderId="53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1" fillId="43" borderId="52" applyNumberFormat="0" applyProtection="0">
      <alignment vertical="center"/>
    </xf>
    <xf numFmtId="4" fontId="19" fillId="45" borderId="50" applyNumberFormat="0" applyProtection="0">
      <alignment horizontal="right" vertical="center"/>
    </xf>
    <xf numFmtId="0" fontId="2" fillId="0" borderId="0"/>
    <xf numFmtId="4" fontId="19" fillId="0" borderId="50" applyNumberFormat="0" applyProtection="0">
      <alignment horizontal="right" vertical="center"/>
    </xf>
    <xf numFmtId="4" fontId="19" fillId="10" borderId="50" applyNumberFormat="0" applyProtection="0">
      <alignment horizontal="right" vertical="center"/>
    </xf>
    <xf numFmtId="0" fontId="19" fillId="37" borderId="50" applyNumberFormat="0" applyProtection="0">
      <alignment horizontal="left" vertical="center" indent="1"/>
    </xf>
    <xf numFmtId="4" fontId="19" fillId="13" borderId="50" applyNumberFormat="0" applyProtection="0">
      <alignment horizontal="right" vertical="center"/>
    </xf>
    <xf numFmtId="0" fontId="2" fillId="0" borderId="0"/>
    <xf numFmtId="4" fontId="19" fillId="13" borderId="50" applyNumberFormat="0" applyProtection="0">
      <alignment horizontal="right" vertical="center"/>
    </xf>
    <xf numFmtId="0" fontId="40" fillId="0" borderId="5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" fontId="19" fillId="12" borderId="50" applyNumberFormat="0" applyProtection="0">
      <alignment horizontal="left" vertical="center" indent="1"/>
    </xf>
    <xf numFmtId="0" fontId="19" fillId="9" borderId="50" applyNumberFormat="0" applyProtection="0">
      <alignment horizontal="left" vertical="center" indent="1"/>
    </xf>
    <xf numFmtId="4" fontId="19" fillId="35" borderId="50" applyNumberFormat="0" applyProtection="0">
      <alignment horizontal="right" vertical="center"/>
    </xf>
    <xf numFmtId="4" fontId="19" fillId="30" borderId="53" applyNumberFormat="0" applyProtection="0">
      <alignment horizontal="right" vertical="center"/>
    </xf>
    <xf numFmtId="4" fontId="44" fillId="51" borderId="50" applyNumberFormat="0" applyProtection="0">
      <alignment horizontal="right" vertical="center"/>
    </xf>
    <xf numFmtId="0" fontId="19" fillId="49" borderId="52" applyNumberFormat="0" applyProtection="0">
      <alignment horizontal="left" vertical="top" indent="1"/>
    </xf>
    <xf numFmtId="4" fontId="19" fillId="30" borderId="53" applyNumberFormat="0" applyProtection="0">
      <alignment horizontal="right" vertical="center"/>
    </xf>
    <xf numFmtId="0" fontId="50" fillId="27" borderId="50" applyNumberFormat="0" applyAlignment="0" applyProtection="0"/>
    <xf numFmtId="4" fontId="19" fillId="32" borderId="50" applyNumberFormat="0" applyProtection="0">
      <alignment horizontal="right" vertical="center"/>
    </xf>
    <xf numFmtId="4" fontId="19" fillId="11" borderId="50" applyNumberFormat="0" applyProtection="0">
      <alignment horizontal="right" vertical="center"/>
    </xf>
    <xf numFmtId="4" fontId="19" fillId="48" borderId="50" applyNumberFormat="0" applyProtection="0">
      <alignment horizontal="right" vertical="center"/>
    </xf>
    <xf numFmtId="4" fontId="19" fillId="12" borderId="50" applyNumberFormat="0" applyProtection="0">
      <alignment horizontal="left" vertical="center" indent="1"/>
    </xf>
    <xf numFmtId="4" fontId="19" fillId="42" borderId="50" applyNumberFormat="0" applyProtection="0">
      <alignment vertical="center"/>
    </xf>
    <xf numFmtId="4" fontId="19" fillId="32" borderId="50" applyNumberFormat="0" applyProtection="0">
      <alignment horizontal="right" vertical="center"/>
    </xf>
    <xf numFmtId="4" fontId="19" fillId="44" borderId="50" applyNumberFormat="0" applyProtection="0">
      <alignment horizontal="right" vertical="center"/>
    </xf>
    <xf numFmtId="4" fontId="19" fillId="42" borderId="50" applyNumberFormat="0" applyProtection="0">
      <alignment vertical="center"/>
    </xf>
    <xf numFmtId="4" fontId="19" fillId="12" borderId="50" applyNumberFormat="0" applyProtection="0">
      <alignment horizontal="left" vertical="center" indent="1"/>
    </xf>
    <xf numFmtId="4" fontId="19" fillId="35" borderId="50" applyNumberFormat="0" applyProtection="0">
      <alignment horizontal="right" vertical="center"/>
    </xf>
    <xf numFmtId="4" fontId="19" fillId="49" borderId="53" applyNumberFormat="0" applyProtection="0">
      <alignment horizontal="left" vertical="center" indent="1"/>
    </xf>
    <xf numFmtId="0" fontId="46" fillId="38" borderId="50" applyNumberFormat="0" applyAlignment="0" applyProtection="0"/>
    <xf numFmtId="4" fontId="19" fillId="10" borderId="50" applyNumberFormat="0" applyProtection="0">
      <alignment horizontal="right" vertical="center"/>
    </xf>
    <xf numFmtId="4" fontId="19" fillId="45" borderId="50" applyNumberFormat="0" applyProtection="0">
      <alignment horizontal="right" vertical="center"/>
    </xf>
    <xf numFmtId="4" fontId="19" fillId="45" borderId="50" applyNumberFormat="0" applyProtection="0">
      <alignment horizontal="right" vertical="center"/>
    </xf>
    <xf numFmtId="4" fontId="19" fillId="48" borderId="53" applyNumberFormat="0" applyProtection="0">
      <alignment horizontal="left" vertical="center" indent="1"/>
    </xf>
    <xf numFmtId="4" fontId="19" fillId="48" borderId="53" applyNumberFormat="0" applyProtection="0">
      <alignment horizontal="left" vertical="center" indent="1"/>
    </xf>
    <xf numFmtId="4" fontId="19" fillId="48" borderId="50" applyNumberFormat="0" applyProtection="0">
      <alignment horizontal="right" vertical="center"/>
    </xf>
    <xf numFmtId="0" fontId="19" fillId="47" borderId="52" applyNumberFormat="0" applyProtection="0">
      <alignment horizontal="left" vertical="top" indent="1"/>
    </xf>
    <xf numFmtId="4" fontId="14" fillId="47" borderId="53" applyNumberFormat="0" applyProtection="0">
      <alignment horizontal="left" vertical="center" indent="1"/>
    </xf>
    <xf numFmtId="4" fontId="19" fillId="8" borderId="50" applyNumberFormat="0" applyProtection="0">
      <alignment horizontal="right" vertical="center"/>
    </xf>
    <xf numFmtId="4" fontId="19" fillId="10" borderId="50" applyNumberFormat="0" applyProtection="0">
      <alignment horizontal="right" vertical="center"/>
    </xf>
    <xf numFmtId="0" fontId="19" fillId="9" borderId="50" applyNumberFormat="0" applyProtection="0">
      <alignment horizontal="left" vertical="center" indent="1"/>
    </xf>
    <xf numFmtId="0" fontId="19" fillId="49" borderId="50" applyNumberFormat="0" applyProtection="0">
      <alignment horizontal="left" vertical="center" indent="1"/>
    </xf>
    <xf numFmtId="0" fontId="19" fillId="37" borderId="50" applyNumberFormat="0" applyProtection="0">
      <alignment horizontal="left" vertical="center" indent="1"/>
    </xf>
    <xf numFmtId="4" fontId="19" fillId="49" borderId="53" applyNumberFormat="0" applyProtection="0">
      <alignment horizontal="left" vertical="center" indent="1"/>
    </xf>
    <xf numFmtId="0" fontId="19" fillId="50" borderId="50" applyNumberFormat="0" applyProtection="0">
      <alignment horizontal="left" vertical="center" indent="1"/>
    </xf>
    <xf numFmtId="4" fontId="14" fillId="47" borderId="53" applyNumberFormat="0" applyProtection="0">
      <alignment horizontal="left" vertical="center" indent="1"/>
    </xf>
    <xf numFmtId="4" fontId="19" fillId="8" borderId="50" applyNumberFormat="0" applyProtection="0">
      <alignment horizontal="right" vertical="center"/>
    </xf>
    <xf numFmtId="0" fontId="40" fillId="0" borderId="51" applyNumberFormat="0" applyFill="0" applyAlignment="0" applyProtection="0"/>
    <xf numFmtId="0" fontId="50" fillId="27" borderId="50" applyNumberFormat="0" applyAlignment="0" applyProtection="0"/>
    <xf numFmtId="0" fontId="46" fillId="38" borderId="50" applyNumberFormat="0" applyAlignment="0" applyProtection="0"/>
    <xf numFmtId="4" fontId="19" fillId="10" borderId="50" applyNumberFormat="0" applyProtection="0">
      <alignment horizontal="right" vertical="center"/>
    </xf>
    <xf numFmtId="4" fontId="19" fillId="45" borderId="50" applyNumberFormat="0" applyProtection="0">
      <alignment horizontal="right" vertical="center"/>
    </xf>
    <xf numFmtId="4" fontId="19" fillId="3" borderId="50" applyNumberFormat="0" applyProtection="0">
      <alignment horizontal="left" vertical="center" indent="1"/>
    </xf>
    <xf numFmtId="4" fontId="19" fillId="3" borderId="50" applyNumberFormat="0" applyProtection="0">
      <alignment horizontal="left" vertical="center" indent="1"/>
    </xf>
    <xf numFmtId="4" fontId="53" fillId="3" borderId="50" applyNumberFormat="0" applyProtection="0">
      <alignment vertical="center"/>
    </xf>
    <xf numFmtId="4" fontId="19" fillId="3" borderId="50" applyNumberFormat="0" applyProtection="0">
      <alignment horizontal="left" vertical="center" indent="1"/>
    </xf>
    <xf numFmtId="4" fontId="19" fillId="42" borderId="50" applyNumberFormat="0" applyProtection="0">
      <alignment vertical="center"/>
    </xf>
    <xf numFmtId="44" fontId="6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6" fillId="0" borderId="0"/>
    <xf numFmtId="0" fontId="96" fillId="0" borderId="0"/>
    <xf numFmtId="0" fontId="29" fillId="0" borderId="0"/>
  </cellStyleXfs>
  <cellXfs count="1857">
    <xf numFmtId="0" fontId="0" fillId="0" borderId="0" xfId="0"/>
    <xf numFmtId="166" fontId="22" fillId="0" borderId="0" xfId="0" applyNumberFormat="1" applyFont="1"/>
    <xf numFmtId="166" fontId="21" fillId="0" borderId="0" xfId="0" applyNumberFormat="1" applyFont="1"/>
    <xf numFmtId="0" fontId="21" fillId="0" borderId="0" xfId="0" applyFont="1" applyAlignment="1">
      <alignment horizontal="center" vertical="top" wrapText="1"/>
    </xf>
    <xf numFmtId="167" fontId="21" fillId="0" borderId="0" xfId="0" applyNumberFormat="1" applyFont="1"/>
    <xf numFmtId="166" fontId="0" fillId="0" borderId="0" xfId="0" applyNumberFormat="1"/>
    <xf numFmtId="0" fontId="2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/>
    <xf numFmtId="166" fontId="21" fillId="0" borderId="0" xfId="0" applyNumberFormat="1" applyFont="1" applyAlignment="1">
      <alignment horizontal="left" indent="1"/>
    </xf>
    <xf numFmtId="3" fontId="21" fillId="0" borderId="0" xfId="0" applyNumberFormat="1" applyFont="1"/>
    <xf numFmtId="0" fontId="21" fillId="0" borderId="0" xfId="0" applyFont="1" applyAlignment="1">
      <alignment horizontal="left"/>
    </xf>
    <xf numFmtId="167" fontId="0" fillId="0" borderId="0" xfId="0" applyNumberFormat="1"/>
    <xf numFmtId="0" fontId="21" fillId="0" borderId="0" xfId="0" quotePrefix="1" applyFont="1" applyAlignment="1">
      <alignment horizontal="left"/>
    </xf>
    <xf numFmtId="0" fontId="14" fillId="3" borderId="2" xfId="0" applyFont="1" applyFill="1" applyBorder="1" applyAlignment="1">
      <alignment horizontal="center" vertical="top" wrapText="1"/>
    </xf>
    <xf numFmtId="166" fontId="22" fillId="0" borderId="0" xfId="8" applyFont="1" applyFill="1" applyBorder="1" applyAlignment="1" applyProtection="1">
      <alignment horizontal="right" vertical="top" wrapText="1" indent="1"/>
    </xf>
    <xf numFmtId="0" fontId="14" fillId="0" borderId="0" xfId="0" applyFont="1" applyAlignment="1">
      <alignment horizontal="left"/>
    </xf>
    <xf numFmtId="166" fontId="14" fillId="0" borderId="0" xfId="0" applyNumberFormat="1" applyFont="1"/>
    <xf numFmtId="3" fontId="14" fillId="0" borderId="0" xfId="0" applyNumberFormat="1" applyFont="1"/>
    <xf numFmtId="0" fontId="14" fillId="0" borderId="0" xfId="0" quotePrefix="1" applyFont="1" applyAlignment="1">
      <alignment horizontal="left"/>
    </xf>
    <xf numFmtId="167" fontId="14" fillId="0" borderId="0" xfId="8" applyNumberFormat="1" applyFont="1" applyFill="1" applyBorder="1" applyProtection="1"/>
    <xf numFmtId="14" fontId="14" fillId="0" borderId="0" xfId="0" quotePrefix="1" applyNumberFormat="1" applyFont="1" applyAlignment="1">
      <alignment horizontal="right"/>
    </xf>
    <xf numFmtId="0" fontId="14" fillId="0" borderId="0" xfId="0" applyFont="1" applyAlignment="1">
      <alignment horizontal="right"/>
    </xf>
    <xf numFmtId="10" fontId="14" fillId="0" borderId="0" xfId="0" applyNumberFormat="1" applyFont="1"/>
    <xf numFmtId="10" fontId="14" fillId="0" borderId="0" xfId="8" applyNumberFormat="1" applyFont="1" applyFill="1" applyBorder="1" applyProtection="1"/>
    <xf numFmtId="166" fontId="14" fillId="0" borderId="0" xfId="8" applyFont="1" applyFill="1" applyBorder="1" applyProtection="1"/>
    <xf numFmtId="166" fontId="14" fillId="0" borderId="0" xfId="4" applyFont="1" applyFill="1" applyBorder="1" applyProtection="1"/>
    <xf numFmtId="167" fontId="14" fillId="0" borderId="0" xfId="0" applyNumberFormat="1" applyFont="1"/>
    <xf numFmtId="0" fontId="21" fillId="0" borderId="0" xfId="0" applyFont="1"/>
    <xf numFmtId="14" fontId="0" fillId="0" borderId="0" xfId="0" applyNumberFormat="1"/>
    <xf numFmtId="166" fontId="14" fillId="57" borderId="5" xfId="8" applyFont="1" applyFill="1" applyBorder="1" applyAlignment="1" applyProtection="1">
      <alignment horizontal="left" vertical="center" wrapText="1"/>
    </xf>
    <xf numFmtId="0" fontId="14" fillId="57" borderId="5" xfId="0" applyFont="1" applyFill="1" applyBorder="1" applyAlignment="1">
      <alignment horizontal="left" vertical="center" wrapText="1"/>
    </xf>
    <xf numFmtId="0" fontId="14" fillId="57" borderId="4" xfId="0" applyFont="1" applyFill="1" applyBorder="1" applyAlignment="1">
      <alignment horizontal="left" vertical="center" wrapText="1"/>
    </xf>
    <xf numFmtId="0" fontId="14" fillId="57" borderId="25" xfId="0" applyFont="1" applyFill="1" applyBorder="1" applyAlignment="1">
      <alignment horizontal="left" vertical="center" wrapText="1"/>
    </xf>
    <xf numFmtId="0" fontId="14" fillId="57" borderId="29" xfId="0" applyFont="1" applyFill="1" applyBorder="1" applyAlignment="1">
      <alignment horizontal="left" vertical="center" wrapText="1"/>
    </xf>
    <xf numFmtId="0" fontId="21" fillId="0" borderId="0" xfId="359" quotePrefix="1" applyFont="1" applyAlignment="1">
      <alignment horizontal="left"/>
    </xf>
    <xf numFmtId="0" fontId="14" fillId="57" borderId="0" xfId="0" applyFont="1" applyFill="1"/>
    <xf numFmtId="166" fontId="19" fillId="0" borderId="0" xfId="8" applyFont="1"/>
    <xf numFmtId="0" fontId="59" fillId="0" borderId="0" xfId="0" applyFont="1"/>
    <xf numFmtId="166" fontId="60" fillId="0" borderId="0" xfId="8" applyFont="1"/>
    <xf numFmtId="167" fontId="60" fillId="0" borderId="0" xfId="8" applyNumberFormat="1" applyFont="1"/>
    <xf numFmtId="166" fontId="59" fillId="0" borderId="0" xfId="0" applyNumberFormat="1" applyFont="1"/>
    <xf numFmtId="166" fontId="58" fillId="0" borderId="0" xfId="8" applyFont="1"/>
    <xf numFmtId="167" fontId="58" fillId="0" borderId="0" xfId="8" applyNumberFormat="1" applyFont="1"/>
    <xf numFmtId="0" fontId="61" fillId="0" borderId="0" xfId="0" applyFont="1"/>
    <xf numFmtId="0" fontId="19" fillId="0" borderId="0" xfId="0" quotePrefix="1" applyFont="1" applyAlignment="1">
      <alignment horizontal="left"/>
    </xf>
    <xf numFmtId="0" fontId="61" fillId="0" borderId="0" xfId="0" applyFont="1" applyAlignment="1">
      <alignment horizontal="left" vertical="top"/>
    </xf>
    <xf numFmtId="166" fontId="14" fillId="56" borderId="27" xfId="8" applyFont="1" applyFill="1" applyBorder="1" applyAlignment="1" applyProtection="1">
      <alignment horizontal="right" vertical="center" wrapText="1"/>
    </xf>
    <xf numFmtId="166" fontId="14" fillId="56" borderId="5" xfId="8" applyFont="1" applyFill="1" applyBorder="1" applyAlignment="1" applyProtection="1">
      <alignment horizontal="right" vertical="center" wrapText="1"/>
    </xf>
    <xf numFmtId="166" fontId="14" fillId="56" borderId="25" xfId="8" applyFont="1" applyFill="1" applyBorder="1" applyAlignment="1" applyProtection="1">
      <alignment horizontal="right" vertical="center" wrapText="1"/>
    </xf>
    <xf numFmtId="166" fontId="14" fillId="56" borderId="30" xfId="8" applyFont="1" applyFill="1" applyBorder="1" applyAlignment="1" applyProtection="1">
      <alignment horizontal="right" vertical="center" wrapText="1"/>
    </xf>
    <xf numFmtId="10" fontId="14" fillId="0" borderId="0" xfId="0" applyNumberFormat="1" applyFont="1" applyAlignment="1">
      <alignment wrapText="1"/>
    </xf>
    <xf numFmtId="2" fontId="14" fillId="0" borderId="0" xfId="1153" applyNumberFormat="1" applyFont="1" applyBorder="1"/>
    <xf numFmtId="2" fontId="21" fillId="0" borderId="0" xfId="1153" applyNumberFormat="1" applyFont="1" applyFill="1" applyBorder="1" applyProtection="1"/>
    <xf numFmtId="167" fontId="61" fillId="0" borderId="0" xfId="0" applyNumberFormat="1" applyFont="1"/>
    <xf numFmtId="166" fontId="14" fillId="56" borderId="8" xfId="8" applyFont="1" applyFill="1" applyBorder="1" applyAlignment="1" applyProtection="1">
      <alignment horizontal="right" vertical="center" wrapText="1"/>
    </xf>
    <xf numFmtId="166" fontId="14" fillId="56" borderId="26" xfId="8" applyFont="1" applyFill="1" applyBorder="1" applyAlignment="1" applyProtection="1">
      <alignment horizontal="right" vertical="center" wrapText="1"/>
    </xf>
    <xf numFmtId="166" fontId="14" fillId="56" borderId="9" xfId="8" applyFont="1" applyFill="1" applyBorder="1" applyAlignment="1" applyProtection="1">
      <alignment horizontal="right" vertical="center" wrapText="1"/>
    </xf>
    <xf numFmtId="166" fontId="14" fillId="56" borderId="2" xfId="8" applyFont="1" applyFill="1" applyBorder="1" applyAlignment="1" applyProtection="1">
      <alignment horizontal="right" vertical="center" wrapText="1"/>
    </xf>
    <xf numFmtId="0" fontId="14" fillId="57" borderId="75" xfId="0" applyFont="1" applyFill="1" applyBorder="1" applyAlignment="1">
      <alignment horizontal="left" vertical="center" wrapText="1"/>
    </xf>
    <xf numFmtId="0" fontId="14" fillId="57" borderId="11" xfId="0" applyFont="1" applyFill="1" applyBorder="1" applyAlignment="1">
      <alignment horizontal="left" vertical="center" wrapText="1"/>
    </xf>
    <xf numFmtId="0" fontId="14" fillId="57" borderId="56" xfId="0" applyFont="1" applyFill="1" applyBorder="1" applyAlignment="1">
      <alignment horizontal="center" vertical="center"/>
    </xf>
    <xf numFmtId="0" fontId="14" fillId="0" borderId="73" xfId="0" applyFont="1" applyBorder="1"/>
    <xf numFmtId="0" fontId="20" fillId="0" borderId="0" xfId="0" applyFont="1" applyAlignment="1">
      <alignment horizontal="left"/>
    </xf>
    <xf numFmtId="0" fontId="14" fillId="57" borderId="56" xfId="0" applyFont="1" applyFill="1" applyBorder="1" applyAlignment="1">
      <alignment horizontal="center" vertical="top"/>
    </xf>
    <xf numFmtId="166" fontId="14" fillId="58" borderId="7" xfId="8" applyFont="1" applyFill="1" applyBorder="1" applyProtection="1"/>
    <xf numFmtId="166" fontId="14" fillId="58" borderId="7" xfId="4" applyFont="1" applyFill="1" applyBorder="1" applyProtection="1"/>
    <xf numFmtId="0" fontId="14" fillId="58" borderId="2" xfId="0" applyFont="1" applyFill="1" applyBorder="1" applyAlignment="1">
      <alignment horizontal="center" vertical="top" wrapText="1"/>
    </xf>
    <xf numFmtId="166" fontId="14" fillId="56" borderId="7" xfId="8" applyFont="1" applyFill="1" applyBorder="1" applyProtection="1"/>
    <xf numFmtId="0" fontId="14" fillId="56" borderId="2" xfId="0" applyFont="1" applyFill="1" applyBorder="1" applyAlignment="1">
      <alignment horizontal="center" vertical="top" wrapText="1"/>
    </xf>
    <xf numFmtId="3" fontId="14" fillId="0" borderId="0" xfId="8" applyNumberFormat="1" applyFont="1" applyFill="1" applyBorder="1" applyProtection="1"/>
    <xf numFmtId="166" fontId="21" fillId="0" borderId="0" xfId="8" applyFont="1" applyFill="1" applyBorder="1" applyAlignment="1" applyProtection="1">
      <alignment horizontal="right" vertical="top" wrapText="1" indent="1"/>
    </xf>
    <xf numFmtId="166" fontId="14" fillId="56" borderId="72" xfId="8" applyFont="1" applyFill="1" applyBorder="1" applyAlignment="1" applyProtection="1">
      <alignment horizontal="right" vertical="center" wrapText="1"/>
    </xf>
    <xf numFmtId="0" fontId="14" fillId="57" borderId="5" xfId="0" applyFont="1" applyFill="1" applyBorder="1" applyAlignment="1">
      <alignment horizontal="left" vertical="center"/>
    </xf>
    <xf numFmtId="0" fontId="14" fillId="57" borderId="25" xfId="0" applyFont="1" applyFill="1" applyBorder="1" applyAlignment="1">
      <alignment horizontal="left" vertical="center"/>
    </xf>
    <xf numFmtId="0" fontId="14" fillId="57" borderId="27" xfId="0" applyFont="1" applyFill="1" applyBorder="1" applyAlignment="1">
      <alignment horizontal="left" vertical="center"/>
    </xf>
    <xf numFmtId="0" fontId="14" fillId="57" borderId="27" xfId="0" applyFont="1" applyFill="1" applyBorder="1" applyAlignment="1">
      <alignment horizontal="left" vertical="center" wrapText="1"/>
    </xf>
    <xf numFmtId="0" fontId="14" fillId="57" borderId="8" xfId="0" applyFont="1" applyFill="1" applyBorder="1" applyAlignment="1">
      <alignment horizontal="left" vertical="center"/>
    </xf>
    <xf numFmtId="166" fontId="14" fillId="56" borderId="68" xfId="8" applyFont="1" applyFill="1" applyBorder="1" applyAlignment="1" applyProtection="1">
      <alignment horizontal="right" vertical="center" wrapText="1"/>
    </xf>
    <xf numFmtId="0" fontId="14" fillId="0" borderId="27" xfId="0" applyFont="1" applyBorder="1"/>
    <xf numFmtId="0" fontId="14" fillId="0" borderId="5" xfId="0" applyFont="1" applyBorder="1"/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6" fontId="14" fillId="3" borderId="7" xfId="8" applyFont="1" applyFill="1" applyBorder="1" applyProtection="1"/>
    <xf numFmtId="0" fontId="21" fillId="0" borderId="66" xfId="0" applyFont="1" applyBorder="1" applyAlignment="1">
      <alignment horizontal="center" vertical="center"/>
    </xf>
    <xf numFmtId="4" fontId="14" fillId="0" borderId="0" xfId="8" applyNumberFormat="1" applyFont="1" applyFill="1" applyBorder="1" applyProtection="1"/>
    <xf numFmtId="0" fontId="21" fillId="0" borderId="91" xfId="0" applyFont="1" applyBorder="1" applyAlignment="1">
      <alignment horizontal="center" vertical="center"/>
    </xf>
    <xf numFmtId="3" fontId="14" fillId="0" borderId="2" xfId="8" applyNumberFormat="1" applyFont="1" applyFill="1" applyBorder="1" applyProtection="1"/>
    <xf numFmtId="3" fontId="0" fillId="0" borderId="2" xfId="8" applyNumberFormat="1" applyFont="1" applyBorder="1"/>
    <xf numFmtId="3" fontId="0" fillId="0" borderId="0" xfId="0" applyNumberFormat="1"/>
    <xf numFmtId="3" fontId="21" fillId="0" borderId="0" xfId="0" applyNumberFormat="1" applyFont="1" applyAlignment="1">
      <alignment horizontal="center" vertical="top" wrapText="1"/>
    </xf>
    <xf numFmtId="167" fontId="0" fillId="0" borderId="0" xfId="8" applyNumberFormat="1" applyFont="1"/>
    <xf numFmtId="3" fontId="0" fillId="0" borderId="0" xfId="8" applyNumberFormat="1" applyFont="1"/>
    <xf numFmtId="166" fontId="0" fillId="56" borderId="5" xfId="8" applyFont="1" applyFill="1" applyBorder="1" applyAlignment="1">
      <alignment horizontal="right" vertical="center" wrapText="1"/>
    </xf>
    <xf numFmtId="166" fontId="0" fillId="56" borderId="68" xfId="8" applyFont="1" applyFill="1" applyBorder="1" applyAlignment="1">
      <alignment horizontal="right" vertical="center" wrapText="1"/>
    </xf>
    <xf numFmtId="166" fontId="0" fillId="56" borderId="7" xfId="8" applyFont="1" applyFill="1" applyBorder="1"/>
    <xf numFmtId="0" fontId="0" fillId="0" borderId="0" xfId="0" applyAlignment="1">
      <alignment wrapText="1"/>
    </xf>
    <xf numFmtId="10" fontId="0" fillId="0" borderId="0" xfId="0" applyNumberFormat="1"/>
    <xf numFmtId="10" fontId="0" fillId="0" borderId="0" xfId="8" applyNumberFormat="1" applyFont="1"/>
    <xf numFmtId="14" fontId="14" fillId="0" borderId="0" xfId="0" applyNumberFormat="1" applyFont="1" applyAlignment="1">
      <alignment horizontal="right"/>
    </xf>
    <xf numFmtId="3" fontId="21" fillId="0" borderId="30" xfId="0" applyNumberFormat="1" applyFont="1" applyBorder="1" applyAlignment="1">
      <alignment horizontal="center" vertical="top" wrapText="1"/>
    </xf>
    <xf numFmtId="3" fontId="21" fillId="0" borderId="94" xfId="0" applyNumberFormat="1" applyFont="1" applyBorder="1" applyAlignment="1">
      <alignment horizontal="center" vertical="top" wrapText="1"/>
    </xf>
    <xf numFmtId="3" fontId="21" fillId="0" borderId="64" xfId="0" applyNumberFormat="1" applyFont="1" applyBorder="1" applyAlignment="1">
      <alignment horizontal="center" vertical="top" wrapText="1"/>
    </xf>
    <xf numFmtId="0" fontId="14" fillId="0" borderId="6" xfId="0" quotePrefix="1" applyFont="1" applyBorder="1"/>
    <xf numFmtId="166" fontId="0" fillId="0" borderId="0" xfId="4" applyFont="1" applyBorder="1"/>
    <xf numFmtId="10" fontId="14" fillId="0" borderId="8" xfId="0" applyNumberFormat="1" applyFont="1" applyBorder="1"/>
    <xf numFmtId="10" fontId="14" fillId="0" borderId="10" xfId="0" applyNumberFormat="1" applyFont="1" applyBorder="1"/>
    <xf numFmtId="10" fontId="14" fillId="0" borderId="8" xfId="8" applyNumberFormat="1" applyFont="1" applyFill="1" applyBorder="1" applyProtection="1"/>
    <xf numFmtId="0" fontId="21" fillId="0" borderId="96" xfId="0" quotePrefix="1" applyFont="1" applyBorder="1" applyAlignment="1">
      <alignment horizontal="center" vertical="center" wrapText="1"/>
    </xf>
    <xf numFmtId="0" fontId="21" fillId="0" borderId="92" xfId="0" quotePrefix="1" applyFont="1" applyBorder="1" applyAlignment="1">
      <alignment horizontal="center" vertical="center" wrapText="1"/>
    </xf>
    <xf numFmtId="0" fontId="21" fillId="0" borderId="91" xfId="0" applyFont="1" applyBorder="1" applyAlignment="1">
      <alignment horizontal="center" vertical="center" wrapText="1"/>
    </xf>
    <xf numFmtId="166" fontId="14" fillId="58" borderId="56" xfId="8" applyFont="1" applyFill="1" applyBorder="1" applyProtection="1"/>
    <xf numFmtId="166" fontId="14" fillId="0" borderId="81" xfId="8" applyFont="1" applyFill="1" applyBorder="1" applyProtection="1"/>
    <xf numFmtId="166" fontId="14" fillId="3" borderId="56" xfId="8" applyFont="1" applyFill="1" applyBorder="1" applyProtection="1"/>
    <xf numFmtId="166" fontId="14" fillId="56" borderId="56" xfId="8" applyFont="1" applyFill="1" applyBorder="1" applyProtection="1"/>
    <xf numFmtId="166" fontId="14" fillId="58" borderId="56" xfId="4" applyFont="1" applyFill="1" applyBorder="1" applyProtection="1"/>
    <xf numFmtId="166" fontId="0" fillId="56" borderId="56" xfId="8" applyFont="1" applyFill="1" applyBorder="1"/>
    <xf numFmtId="0" fontId="14" fillId="0" borderId="6" xfId="0" quotePrefix="1" applyFont="1" applyBorder="1" applyAlignment="1">
      <alignment horizontal="left"/>
    </xf>
    <xf numFmtId="0" fontId="14" fillId="59" borderId="11" xfId="0" applyFont="1" applyFill="1" applyBorder="1"/>
    <xf numFmtId="4" fontId="0" fillId="0" borderId="0" xfId="0" applyNumberFormat="1"/>
    <xf numFmtId="166" fontId="14" fillId="58" borderId="57" xfId="4" applyFont="1" applyFill="1" applyBorder="1" applyProtection="1"/>
    <xf numFmtId="166" fontId="14" fillId="58" borderId="2" xfId="4" applyFont="1" applyFill="1" applyBorder="1" applyProtection="1"/>
    <xf numFmtId="166" fontId="14" fillId="58" borderId="2" xfId="8" applyFont="1" applyFill="1" applyBorder="1" applyProtection="1"/>
    <xf numFmtId="166" fontId="14" fillId="56" borderId="2" xfId="8" applyFont="1" applyFill="1" applyBorder="1" applyProtection="1"/>
    <xf numFmtId="166" fontId="0" fillId="58" borderId="2" xfId="4" applyFont="1" applyFill="1" applyBorder="1"/>
    <xf numFmtId="166" fontId="0" fillId="56" borderId="2" xfId="8" applyFont="1" applyFill="1" applyBorder="1"/>
    <xf numFmtId="0" fontId="63" fillId="0" borderId="0" xfId="0" quotePrefix="1" applyFont="1" applyAlignment="1">
      <alignment horizontal="left"/>
    </xf>
    <xf numFmtId="3" fontId="64" fillId="0" borderId="0" xfId="0" applyNumberFormat="1" applyFont="1"/>
    <xf numFmtId="0" fontId="64" fillId="0" borderId="0" xfId="0" applyFont="1"/>
    <xf numFmtId="0" fontId="14" fillId="0" borderId="57" xfId="0" quotePrefix="1" applyFont="1" applyBorder="1" applyAlignment="1">
      <alignment horizontal="left" vertical="top" wrapText="1" indent="1"/>
    </xf>
    <xf numFmtId="0" fontId="14" fillId="0" borderId="57" xfId="0" applyFont="1" applyBorder="1" applyAlignment="1">
      <alignment horizontal="left" vertical="top" wrapText="1" indent="1"/>
    </xf>
    <xf numFmtId="0" fontId="14" fillId="3" borderId="58" xfId="0" applyFont="1" applyFill="1" applyBorder="1" applyAlignment="1">
      <alignment horizontal="center" vertical="top" wrapText="1"/>
    </xf>
    <xf numFmtId="0" fontId="14" fillId="0" borderId="56" xfId="0" quotePrefix="1" applyFont="1" applyBorder="1" applyAlignment="1">
      <alignment horizontal="left" vertical="top" wrapText="1" indent="1"/>
    </xf>
    <xf numFmtId="3" fontId="0" fillId="0" borderId="0" xfId="8" applyNumberFormat="1" applyFont="1" applyBorder="1"/>
    <xf numFmtId="3" fontId="14" fillId="0" borderId="58" xfId="8" applyNumberFormat="1" applyFont="1" applyFill="1" applyBorder="1" applyProtection="1"/>
    <xf numFmtId="3" fontId="0" fillId="0" borderId="58" xfId="8" applyNumberFormat="1" applyFont="1" applyBorder="1"/>
    <xf numFmtId="3" fontId="21" fillId="0" borderId="25" xfId="0" applyNumberFormat="1" applyFont="1" applyBorder="1"/>
    <xf numFmtId="3" fontId="21" fillId="0" borderId="69" xfId="0" applyNumberFormat="1" applyFont="1" applyBorder="1"/>
    <xf numFmtId="3" fontId="14" fillId="0" borderId="26" xfId="8" applyNumberFormat="1" applyFont="1" applyFill="1" applyBorder="1" applyProtection="1"/>
    <xf numFmtId="3" fontId="14" fillId="0" borderId="60" xfId="8" applyNumberFormat="1" applyFont="1" applyFill="1" applyBorder="1" applyProtection="1"/>
    <xf numFmtId="3" fontId="21" fillId="0" borderId="65" xfId="0" applyNumberFormat="1" applyFont="1" applyBorder="1" applyAlignment="1">
      <alignment horizontal="center" vertical="top" wrapText="1"/>
    </xf>
    <xf numFmtId="3" fontId="0" fillId="0" borderId="94" xfId="8" applyNumberFormat="1" applyFont="1" applyBorder="1"/>
    <xf numFmtId="3" fontId="0" fillId="0" borderId="26" xfId="8" applyNumberFormat="1" applyFont="1" applyBorder="1"/>
    <xf numFmtId="3" fontId="0" fillId="0" borderId="60" xfId="8" applyNumberFormat="1" applyFont="1" applyBorder="1"/>
    <xf numFmtId="166" fontId="21" fillId="57" borderId="55" xfId="0" applyNumberFormat="1" applyFont="1" applyFill="1" applyBorder="1" applyAlignment="1">
      <alignment horizontal="left"/>
    </xf>
    <xf numFmtId="166" fontId="21" fillId="57" borderId="61" xfId="0" applyNumberFormat="1" applyFont="1" applyFill="1" applyBorder="1" applyAlignment="1">
      <alignment horizontal="left"/>
    </xf>
    <xf numFmtId="3" fontId="14" fillId="3" borderId="82" xfId="4" applyNumberFormat="1" applyFont="1" applyFill="1" applyBorder="1" applyProtection="1"/>
    <xf numFmtId="3" fontId="14" fillId="56" borderId="82" xfId="8" applyNumberFormat="1" applyFont="1" applyFill="1" applyBorder="1" applyProtection="1"/>
    <xf numFmtId="3" fontId="14" fillId="58" borderId="56" xfId="8" applyNumberFormat="1" applyFont="1" applyFill="1" applyBorder="1" applyProtection="1"/>
    <xf numFmtId="3" fontId="14" fillId="58" borderId="82" xfId="4" applyNumberFormat="1" applyFont="1" applyFill="1" applyBorder="1" applyProtection="1"/>
    <xf numFmtId="3" fontId="0" fillId="58" borderId="56" xfId="8" applyNumberFormat="1" applyFont="1" applyFill="1" applyBorder="1"/>
    <xf numFmtId="3" fontId="0" fillId="58" borderId="82" xfId="4" applyNumberFormat="1" applyFont="1" applyFill="1" applyBorder="1"/>
    <xf numFmtId="3" fontId="0" fillId="56" borderId="56" xfId="8" applyNumberFormat="1" applyFont="1" applyFill="1" applyBorder="1"/>
    <xf numFmtId="3" fontId="0" fillId="56" borderId="82" xfId="8" applyNumberFormat="1" applyFont="1" applyFill="1" applyBorder="1"/>
    <xf numFmtId="3" fontId="0" fillId="56" borderId="81" xfId="1153" applyNumberFormat="1" applyFont="1" applyFill="1" applyBorder="1"/>
    <xf numFmtId="3" fontId="21" fillId="0" borderId="83" xfId="0" applyNumberFormat="1" applyFont="1" applyBorder="1"/>
    <xf numFmtId="3" fontId="14" fillId="58" borderId="7" xfId="8" applyNumberFormat="1" applyFont="1" applyFill="1" applyBorder="1" applyProtection="1"/>
    <xf numFmtId="3" fontId="14" fillId="3" borderId="56" xfId="8" applyNumberFormat="1" applyFont="1" applyFill="1" applyBorder="1" applyProtection="1"/>
    <xf numFmtId="3" fontId="14" fillId="3" borderId="7" xfId="8" applyNumberFormat="1" applyFont="1" applyFill="1" applyBorder="1" applyProtection="1"/>
    <xf numFmtId="3" fontId="14" fillId="56" borderId="57" xfId="8" applyNumberFormat="1" applyFont="1" applyFill="1" applyBorder="1" applyProtection="1"/>
    <xf numFmtId="3" fontId="14" fillId="56" borderId="2" xfId="8" applyNumberFormat="1" applyFont="1" applyFill="1" applyBorder="1" applyProtection="1"/>
    <xf numFmtId="3" fontId="14" fillId="56" borderId="7" xfId="8" applyNumberFormat="1" applyFont="1" applyFill="1" applyBorder="1" applyProtection="1"/>
    <xf numFmtId="3" fontId="14" fillId="58" borderId="57" xfId="8" applyNumberFormat="1" applyFont="1" applyFill="1" applyBorder="1" applyProtection="1"/>
    <xf numFmtId="3" fontId="14" fillId="58" borderId="2" xfId="8" applyNumberFormat="1" applyFont="1" applyFill="1" applyBorder="1" applyProtection="1"/>
    <xf numFmtId="3" fontId="14" fillId="58" borderId="57" xfId="4" applyNumberFormat="1" applyFont="1" applyFill="1" applyBorder="1" applyProtection="1"/>
    <xf numFmtId="3" fontId="14" fillId="58" borderId="2" xfId="4" applyNumberFormat="1" applyFont="1" applyFill="1" applyBorder="1" applyProtection="1"/>
    <xf numFmtId="3" fontId="0" fillId="58" borderId="2" xfId="4" applyNumberFormat="1" applyFont="1" applyFill="1" applyBorder="1"/>
    <xf numFmtId="3" fontId="0" fillId="56" borderId="7" xfId="8" applyNumberFormat="1" applyFont="1" applyFill="1" applyBorder="1"/>
    <xf numFmtId="3" fontId="0" fillId="56" borderId="2" xfId="8" applyNumberFormat="1" applyFont="1" applyFill="1" applyBorder="1"/>
    <xf numFmtId="3" fontId="0" fillId="58" borderId="57" xfId="8" applyNumberFormat="1" applyFont="1" applyFill="1" applyBorder="1"/>
    <xf numFmtId="3" fontId="0" fillId="58" borderId="2" xfId="8" applyNumberFormat="1" applyFont="1" applyFill="1" applyBorder="1"/>
    <xf numFmtId="3" fontId="0" fillId="58" borderId="6" xfId="8" applyNumberFormat="1" applyFont="1" applyFill="1" applyBorder="1"/>
    <xf numFmtId="3" fontId="14" fillId="0" borderId="72" xfId="8" applyNumberFormat="1" applyFont="1" applyFill="1" applyBorder="1" applyProtection="1"/>
    <xf numFmtId="0" fontId="14" fillId="3" borderId="8" xfId="0" applyFont="1" applyFill="1" applyBorder="1" applyAlignment="1">
      <alignment horizontal="center" vertical="top" wrapText="1"/>
    </xf>
    <xf numFmtId="166" fontId="0" fillId="0" borderId="0" xfId="8" applyFont="1"/>
    <xf numFmtId="166" fontId="22" fillId="0" borderId="0" xfId="8" applyFont="1"/>
    <xf numFmtId="166" fontId="21" fillId="0" borderId="0" xfId="8" applyFont="1"/>
    <xf numFmtId="166" fontId="14" fillId="58" borderId="81" xfId="8" applyFont="1" applyFill="1" applyBorder="1" applyAlignment="1">
      <alignment vertical="top" wrapText="1"/>
    </xf>
    <xf numFmtId="166" fontId="14" fillId="58" borderId="57" xfId="8" applyFont="1" applyFill="1" applyBorder="1" applyAlignment="1">
      <alignment vertical="top" wrapText="1"/>
    </xf>
    <xf numFmtId="166" fontId="14" fillId="58" borderId="82" xfId="8" applyFont="1" applyFill="1" applyBorder="1" applyAlignment="1">
      <alignment vertical="top" wrapText="1"/>
    </xf>
    <xf numFmtId="166" fontId="14" fillId="58" borderId="82" xfId="8" applyFont="1" applyFill="1" applyBorder="1" applyAlignment="1" applyProtection="1">
      <alignment vertical="top" wrapText="1"/>
    </xf>
    <xf numFmtId="166" fontId="14" fillId="3" borderId="81" xfId="8" applyFont="1" applyFill="1" applyBorder="1" applyAlignment="1">
      <alignment vertical="top" wrapText="1"/>
    </xf>
    <xf numFmtId="166" fontId="14" fillId="3" borderId="57" xfId="8" applyFont="1" applyFill="1" applyBorder="1" applyAlignment="1">
      <alignment vertical="top" wrapText="1"/>
    </xf>
    <xf numFmtId="166" fontId="14" fillId="3" borderId="82" xfId="8" applyFont="1" applyFill="1" applyBorder="1" applyAlignment="1">
      <alignment vertical="top" wrapText="1"/>
    </xf>
    <xf numFmtId="166" fontId="14" fillId="3" borderId="82" xfId="8" applyFont="1" applyFill="1" applyBorder="1" applyAlignment="1" applyProtection="1">
      <alignment vertical="top" wrapText="1"/>
    </xf>
    <xf numFmtId="166" fontId="14" fillId="57" borderId="82" xfId="8" applyFont="1" applyFill="1" applyBorder="1" applyAlignment="1" applyProtection="1">
      <alignment vertical="top" wrapText="1"/>
    </xf>
    <xf numFmtId="166" fontId="14" fillId="56" borderId="81" xfId="8" applyFont="1" applyFill="1" applyBorder="1" applyAlignment="1">
      <alignment vertical="top" wrapText="1"/>
    </xf>
    <xf numFmtId="166" fontId="14" fillId="56" borderId="57" xfId="8" applyFont="1" applyFill="1" applyBorder="1" applyAlignment="1">
      <alignment vertical="top" wrapText="1"/>
    </xf>
    <xf numFmtId="166" fontId="14" fillId="56" borderId="82" xfId="8" applyFont="1" applyFill="1" applyBorder="1" applyAlignment="1">
      <alignment vertical="top" wrapText="1"/>
    </xf>
    <xf numFmtId="166" fontId="14" fillId="56" borderId="82" xfId="8" applyFont="1" applyFill="1" applyBorder="1" applyAlignment="1" applyProtection="1">
      <alignment vertical="top" wrapText="1"/>
    </xf>
    <xf numFmtId="166" fontId="0" fillId="58" borderId="82" xfId="8" applyFont="1" applyFill="1" applyBorder="1" applyAlignment="1">
      <alignment vertical="top" wrapText="1"/>
    </xf>
    <xf numFmtId="166" fontId="0" fillId="57" borderId="82" xfId="8" applyFont="1" applyFill="1" applyBorder="1" applyAlignment="1">
      <alignment vertical="top" wrapText="1"/>
    </xf>
    <xf numFmtId="166" fontId="14" fillId="0" borderId="0" xfId="8" applyFont="1"/>
    <xf numFmtId="166" fontId="21" fillId="0" borderId="102" xfId="8" applyFont="1" applyBorder="1" applyAlignment="1">
      <alignment horizontal="center" vertical="top" wrapText="1"/>
    </xf>
    <xf numFmtId="166" fontId="21" fillId="0" borderId="64" xfId="8" applyFont="1" applyBorder="1" applyAlignment="1">
      <alignment horizontal="center" vertical="top" wrapText="1"/>
    </xf>
    <xf numFmtId="166" fontId="14" fillId="58" borderId="6" xfId="8" applyFont="1" applyFill="1" applyBorder="1"/>
    <xf numFmtId="166" fontId="14" fillId="58" borderId="2" xfId="8" applyFont="1" applyFill="1" applyBorder="1"/>
    <xf numFmtId="166" fontId="14" fillId="3" borderId="6" xfId="8" applyFont="1" applyFill="1" applyBorder="1"/>
    <xf numFmtId="166" fontId="14" fillId="3" borderId="2" xfId="8" applyFont="1" applyFill="1" applyBorder="1"/>
    <xf numFmtId="166" fontId="14" fillId="56" borderId="6" xfId="8" applyFont="1" applyFill="1" applyBorder="1"/>
    <xf numFmtId="166" fontId="14" fillId="56" borderId="2" xfId="8" applyFont="1" applyFill="1" applyBorder="1"/>
    <xf numFmtId="166" fontId="14" fillId="58" borderId="104" xfId="8" applyFont="1" applyFill="1" applyBorder="1"/>
    <xf numFmtId="166" fontId="14" fillId="58" borderId="26" xfId="8" applyFont="1" applyFill="1" applyBorder="1"/>
    <xf numFmtId="166" fontId="21" fillId="0" borderId="74" xfId="8" applyFont="1" applyBorder="1"/>
    <xf numFmtId="166" fontId="21" fillId="0" borderId="105" xfId="8" applyFont="1" applyBorder="1"/>
    <xf numFmtId="166" fontId="21" fillId="0" borderId="60" xfId="8" applyFont="1" applyBorder="1"/>
    <xf numFmtId="166" fontId="14" fillId="58" borderId="28" xfId="8" applyFont="1" applyFill="1" applyBorder="1"/>
    <xf numFmtId="166" fontId="0" fillId="56" borderId="6" xfId="8" applyFont="1" applyFill="1" applyBorder="1"/>
    <xf numFmtId="166" fontId="14" fillId="58" borderId="57" xfId="8" applyFont="1" applyFill="1" applyBorder="1"/>
    <xf numFmtId="166" fontId="14" fillId="56" borderId="58" xfId="8" applyFont="1" applyFill="1" applyBorder="1"/>
    <xf numFmtId="166" fontId="14" fillId="56" borderId="57" xfId="8" applyFont="1" applyFill="1" applyBorder="1"/>
    <xf numFmtId="166" fontId="14" fillId="58" borderId="0" xfId="8" applyFont="1" applyFill="1" applyBorder="1"/>
    <xf numFmtId="166" fontId="0" fillId="58" borderId="2" xfId="8" applyFont="1" applyFill="1" applyBorder="1"/>
    <xf numFmtId="166" fontId="0" fillId="56" borderId="58" xfId="8" applyFont="1" applyFill="1" applyBorder="1"/>
    <xf numFmtId="166" fontId="0" fillId="56" borderId="57" xfId="8" applyFont="1" applyFill="1" applyBorder="1"/>
    <xf numFmtId="166" fontId="14" fillId="0" borderId="0" xfId="8" applyFont="1" applyAlignment="1">
      <alignment vertical="top"/>
    </xf>
    <xf numFmtId="166" fontId="14" fillId="58" borderId="90" xfId="8" applyFont="1" applyFill="1" applyBorder="1"/>
    <xf numFmtId="166" fontId="0" fillId="58" borderId="81" xfId="8" applyFont="1" applyFill="1" applyBorder="1"/>
    <xf numFmtId="166" fontId="21" fillId="0" borderId="26" xfId="8" applyFont="1" applyBorder="1"/>
    <xf numFmtId="166" fontId="21" fillId="0" borderId="28" xfId="8" applyFont="1" applyBorder="1" applyAlignment="1">
      <alignment horizontal="center" vertical="top" wrapText="1"/>
    </xf>
    <xf numFmtId="166" fontId="21" fillId="0" borderId="30" xfId="8" applyFont="1" applyBorder="1" applyAlignment="1">
      <alignment horizontal="center" vertical="top" wrapText="1"/>
    </xf>
    <xf numFmtId="166" fontId="21" fillId="0" borderId="94" xfId="8" applyFont="1" applyBorder="1" applyAlignment="1">
      <alignment horizontal="center" vertical="top" wrapText="1"/>
    </xf>
    <xf numFmtId="166" fontId="14" fillId="58" borderId="94" xfId="8" applyFont="1" applyFill="1" applyBorder="1" applyProtection="1"/>
    <xf numFmtId="166" fontId="14" fillId="58" borderId="58" xfId="8" applyFont="1" applyFill="1" applyBorder="1" applyProtection="1"/>
    <xf numFmtId="166" fontId="14" fillId="58" borderId="60" xfId="8" applyFont="1" applyFill="1" applyBorder="1" applyProtection="1"/>
    <xf numFmtId="166" fontId="17" fillId="0" borderId="60" xfId="8" applyFont="1" applyBorder="1"/>
    <xf numFmtId="166" fontId="21" fillId="0" borderId="61" xfId="8" applyFont="1" applyBorder="1"/>
    <xf numFmtId="166" fontId="21" fillId="0" borderId="79" xfId="8" applyFont="1" applyBorder="1"/>
    <xf numFmtId="166" fontId="21" fillId="0" borderId="64" xfId="8" applyFont="1" applyBorder="1"/>
    <xf numFmtId="166" fontId="21" fillId="0" borderId="65" xfId="8" applyFont="1" applyBorder="1"/>
    <xf numFmtId="166" fontId="21" fillId="0" borderId="65" xfId="8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66" fontId="14" fillId="0" borderId="0" xfId="8" applyFont="1" applyBorder="1"/>
    <xf numFmtId="0" fontId="14" fillId="57" borderId="10" xfId="0" applyFont="1" applyFill="1" applyBorder="1" applyAlignment="1">
      <alignment horizontal="left" vertical="center"/>
    </xf>
    <xf numFmtId="0" fontId="14" fillId="59" borderId="106" xfId="0" applyFont="1" applyFill="1" applyBorder="1"/>
    <xf numFmtId="166" fontId="14" fillId="56" borderId="11" xfId="8" applyFont="1" applyFill="1" applyBorder="1" applyAlignment="1" applyProtection="1">
      <alignment horizontal="right" vertical="center" wrapText="1"/>
    </xf>
    <xf numFmtId="14" fontId="0" fillId="0" borderId="0" xfId="8" applyNumberFormat="1" applyFont="1"/>
    <xf numFmtId="166" fontId="14" fillId="58" borderId="11" xfId="8" applyFont="1" applyFill="1" applyBorder="1"/>
    <xf numFmtId="166" fontId="14" fillId="58" borderId="7" xfId="8" applyFont="1" applyFill="1" applyBorder="1"/>
    <xf numFmtId="166" fontId="14" fillId="56" borderId="7" xfId="8" applyFont="1" applyFill="1" applyBorder="1"/>
    <xf numFmtId="166" fontId="21" fillId="0" borderId="55" xfId="8" applyFont="1" applyBorder="1"/>
    <xf numFmtId="166" fontId="21" fillId="0" borderId="59" xfId="8" applyFont="1" applyBorder="1"/>
    <xf numFmtId="10" fontId="14" fillId="0" borderId="109" xfId="8" applyNumberFormat="1" applyFont="1" applyFill="1" applyBorder="1" applyProtection="1"/>
    <xf numFmtId="0" fontId="14" fillId="0" borderId="0" xfId="0" applyFont="1" applyAlignment="1">
      <alignment wrapText="1"/>
    </xf>
    <xf numFmtId="0" fontId="21" fillId="0" borderId="0" xfId="0" applyFont="1" applyAlignment="1">
      <alignment horizontal="center" vertical="center"/>
    </xf>
    <xf numFmtId="3" fontId="14" fillId="0" borderId="0" xfId="4" applyNumberFormat="1" applyFont="1" applyFill="1" applyBorder="1" applyProtection="1"/>
    <xf numFmtId="0" fontId="19" fillId="0" borderId="101" xfId="0" quotePrefix="1" applyFont="1" applyBorder="1" applyAlignment="1">
      <alignment horizontal="left"/>
    </xf>
    <xf numFmtId="0" fontId="21" fillId="0" borderId="70" xfId="0" applyFont="1" applyBorder="1" applyAlignment="1">
      <alignment horizontal="center" vertical="center"/>
    </xf>
    <xf numFmtId="0" fontId="14" fillId="0" borderId="82" xfId="0" quotePrefix="1" applyFont="1" applyBorder="1"/>
    <xf numFmtId="166" fontId="21" fillId="0" borderId="56" xfId="8" applyFont="1" applyBorder="1" applyAlignment="1">
      <alignment horizontal="center" vertical="top" wrapText="1"/>
    </xf>
    <xf numFmtId="166" fontId="21" fillId="0" borderId="0" xfId="8" applyFont="1" applyBorder="1" applyAlignment="1">
      <alignment horizontal="center" vertical="top" wrapText="1"/>
    </xf>
    <xf numFmtId="166" fontId="17" fillId="0" borderId="0" xfId="8" applyFont="1" applyBorder="1"/>
    <xf numFmtId="166" fontId="21" fillId="0" borderId="0" xfId="8" applyFont="1" applyBorder="1"/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 wrapText="1"/>
    </xf>
    <xf numFmtId="0" fontId="25" fillId="0" borderId="66" xfId="15" applyFont="1" applyBorder="1" applyAlignment="1">
      <alignment horizontal="left" vertical="top" wrapText="1"/>
    </xf>
    <xf numFmtId="0" fontId="25" fillId="0" borderId="67" xfId="15" applyFont="1" applyBorder="1" applyAlignment="1">
      <alignment horizontal="center" vertical="top" wrapText="1"/>
    </xf>
    <xf numFmtId="3" fontId="25" fillId="58" borderId="75" xfId="8" applyNumberFormat="1" applyFont="1" applyFill="1" applyBorder="1" applyAlignment="1">
      <alignment horizontal="right" vertical="center"/>
    </xf>
    <xf numFmtId="3" fontId="25" fillId="58" borderId="67" xfId="8" applyNumberFormat="1" applyFont="1" applyFill="1" applyBorder="1" applyAlignment="1">
      <alignment horizontal="right" vertical="center"/>
    </xf>
    <xf numFmtId="3" fontId="14" fillId="58" borderId="66" xfId="8" applyNumberFormat="1" applyFont="1" applyFill="1" applyBorder="1" applyAlignment="1">
      <alignment horizontal="right" vertical="center"/>
    </xf>
    <xf numFmtId="3" fontId="14" fillId="58" borderId="67" xfId="8" applyNumberFormat="1" applyFont="1" applyFill="1" applyBorder="1" applyAlignment="1">
      <alignment horizontal="right" vertical="center"/>
    </xf>
    <xf numFmtId="3" fontId="25" fillId="58" borderId="66" xfId="8" applyNumberFormat="1" applyFont="1" applyFill="1" applyBorder="1" applyAlignment="1">
      <alignment horizontal="right" vertical="center"/>
    </xf>
    <xf numFmtId="0" fontId="25" fillId="0" borderId="110" xfId="15" applyFont="1" applyBorder="1" applyAlignment="1">
      <alignment horizontal="left" vertical="top" wrapText="1"/>
    </xf>
    <xf numFmtId="0" fontId="25" fillId="0" borderId="68" xfId="15" applyFont="1" applyBorder="1" applyAlignment="1">
      <alignment horizontal="center" vertical="top" wrapText="1"/>
    </xf>
    <xf numFmtId="3" fontId="25" fillId="58" borderId="4" xfId="8" applyNumberFormat="1" applyFont="1" applyFill="1" applyBorder="1" applyAlignment="1">
      <alignment horizontal="right" vertical="center"/>
    </xf>
    <xf numFmtId="3" fontId="25" fillId="58" borderId="68" xfId="8" applyNumberFormat="1" applyFont="1" applyFill="1" applyBorder="1" applyAlignment="1">
      <alignment horizontal="right" vertical="center"/>
    </xf>
    <xf numFmtId="3" fontId="14" fillId="58" borderId="110" xfId="8" applyNumberFormat="1" applyFont="1" applyFill="1" applyBorder="1" applyAlignment="1">
      <alignment horizontal="right" vertical="center"/>
    </xf>
    <xf numFmtId="3" fontId="14" fillId="58" borderId="68" xfId="8" applyNumberFormat="1" applyFont="1" applyFill="1" applyBorder="1" applyAlignment="1">
      <alignment horizontal="right" vertical="center"/>
    </xf>
    <xf numFmtId="3" fontId="25" fillId="58" borderId="110" xfId="8" applyNumberFormat="1" applyFont="1" applyFill="1" applyBorder="1" applyAlignment="1">
      <alignment horizontal="right" vertical="center"/>
    </xf>
    <xf numFmtId="0" fontId="25" fillId="0" borderId="110" xfId="15" applyFont="1" applyBorder="1" applyAlignment="1">
      <alignment vertical="top" wrapText="1"/>
    </xf>
    <xf numFmtId="0" fontId="25" fillId="0" borderId="103" xfId="15" applyFont="1" applyBorder="1" applyAlignment="1">
      <alignment vertical="top" wrapText="1"/>
    </xf>
    <xf numFmtId="0" fontId="25" fillId="0" borderId="69" xfId="15" applyFont="1" applyBorder="1" applyAlignment="1">
      <alignment horizontal="center" vertical="top" wrapText="1"/>
    </xf>
    <xf numFmtId="0" fontId="25" fillId="0" borderId="66" xfId="15" applyFont="1" applyBorder="1" applyAlignment="1">
      <alignment vertical="top" wrapText="1"/>
    </xf>
    <xf numFmtId="3" fontId="14" fillId="61" borderId="103" xfId="8" applyNumberFormat="1" applyFont="1" applyFill="1" applyBorder="1" applyAlignment="1">
      <alignment horizontal="right" vertical="center"/>
    </xf>
    <xf numFmtId="0" fontId="14" fillId="0" borderId="110" xfId="15" applyBorder="1" applyAlignment="1">
      <alignment vertical="top" wrapText="1"/>
    </xf>
    <xf numFmtId="3" fontId="61" fillId="61" borderId="66" xfId="8" applyNumberFormat="1" applyFont="1" applyFill="1" applyBorder="1" applyAlignment="1">
      <alignment horizontal="right" vertical="center"/>
    </xf>
    <xf numFmtId="3" fontId="14" fillId="61" borderId="66" xfId="8" applyNumberFormat="1" applyFont="1" applyFill="1" applyBorder="1" applyAlignment="1">
      <alignment horizontal="right" vertical="center"/>
    </xf>
    <xf numFmtId="3" fontId="14" fillId="0" borderId="110" xfId="8" applyNumberFormat="1" applyFont="1" applyFill="1" applyBorder="1" applyAlignment="1">
      <alignment horizontal="right" vertical="center"/>
    </xf>
    <xf numFmtId="0" fontId="25" fillId="0" borderId="77" xfId="15" applyFont="1" applyBorder="1" applyAlignment="1">
      <alignment horizontal="center" vertical="top" wrapText="1"/>
    </xf>
    <xf numFmtId="3" fontId="61" fillId="61" borderId="103" xfId="8" applyNumberFormat="1" applyFont="1" applyFill="1" applyBorder="1" applyAlignment="1">
      <alignment horizontal="right" vertical="center"/>
    </xf>
    <xf numFmtId="3" fontId="61" fillId="61" borderId="29" xfId="8" applyNumberFormat="1" applyFont="1" applyFill="1" applyBorder="1" applyAlignment="1">
      <alignment horizontal="right" vertical="center"/>
    </xf>
    <xf numFmtId="0" fontId="25" fillId="0" borderId="95" xfId="15" applyFont="1" applyBorder="1" applyAlignment="1">
      <alignment vertical="top" wrapText="1"/>
    </xf>
    <xf numFmtId="0" fontId="25" fillId="0" borderId="72" xfId="15" applyFont="1" applyBorder="1" applyAlignment="1">
      <alignment horizontal="center" vertical="top" wrapText="1"/>
    </xf>
    <xf numFmtId="0" fontId="14" fillId="61" borderId="78" xfId="15" applyFill="1" applyBorder="1" applyAlignment="1">
      <alignment vertical="center"/>
    </xf>
    <xf numFmtId="0" fontId="65" fillId="61" borderId="74" xfId="15" quotePrefix="1" applyFont="1" applyFill="1" applyBorder="1" applyAlignment="1">
      <alignment horizontal="right" vertical="center" wrapText="1"/>
    </xf>
    <xf numFmtId="3" fontId="14" fillId="0" borderId="103" xfId="8" applyNumberFormat="1" applyFont="1" applyFill="1" applyBorder="1" applyAlignment="1">
      <alignment horizontal="right" vertical="center"/>
    </xf>
    <xf numFmtId="0" fontId="14" fillId="0" borderId="66" xfId="15" applyBorder="1" applyAlignment="1">
      <alignment vertical="top" wrapText="1"/>
    </xf>
    <xf numFmtId="3" fontId="61" fillId="61" borderId="75" xfId="8" applyNumberFormat="1" applyFont="1" applyFill="1" applyBorder="1" applyAlignment="1">
      <alignment horizontal="right" vertical="center"/>
    </xf>
    <xf numFmtId="0" fontId="25" fillId="0" borderId="63" xfId="15" applyFont="1" applyBorder="1" applyAlignment="1">
      <alignment vertical="top" wrapText="1"/>
    </xf>
    <xf numFmtId="0" fontId="25" fillId="0" borderId="65" xfId="15" applyFont="1" applyBorder="1" applyAlignment="1">
      <alignment horizontal="center" vertical="top" wrapText="1"/>
    </xf>
    <xf numFmtId="3" fontId="61" fillId="61" borderId="102" xfId="8" applyNumberFormat="1" applyFont="1" applyFill="1" applyBorder="1" applyAlignment="1">
      <alignment horizontal="right" vertical="center"/>
    </xf>
    <xf numFmtId="3" fontId="14" fillId="61" borderId="63" xfId="8" applyNumberFormat="1" applyFont="1" applyFill="1" applyBorder="1" applyAlignment="1">
      <alignment horizontal="right" vertical="center"/>
    </xf>
    <xf numFmtId="3" fontId="61" fillId="61" borderId="63" xfId="8" applyNumberFormat="1" applyFont="1" applyFill="1" applyBorder="1" applyAlignment="1">
      <alignment horizontal="right" vertical="center"/>
    </xf>
    <xf numFmtId="0" fontId="14" fillId="0" borderId="110" xfId="0" applyFont="1" applyBorder="1" applyAlignment="1">
      <alignment vertical="top" wrapText="1"/>
    </xf>
    <xf numFmtId="0" fontId="14" fillId="0" borderId="110" xfId="15" applyBorder="1" applyAlignment="1">
      <alignment wrapText="1"/>
    </xf>
    <xf numFmtId="0" fontId="25" fillId="0" borderId="86" xfId="15" applyFont="1" applyBorder="1" applyAlignment="1">
      <alignment horizontal="left" vertical="top" wrapText="1"/>
    </xf>
    <xf numFmtId="3" fontId="25" fillId="58" borderId="89" xfId="8" applyNumberFormat="1" applyFont="1" applyFill="1" applyBorder="1" applyAlignment="1">
      <alignment horizontal="right" vertical="center"/>
    </xf>
    <xf numFmtId="3" fontId="25" fillId="58" borderId="77" xfId="8" applyNumberFormat="1" applyFont="1" applyFill="1" applyBorder="1" applyAlignment="1">
      <alignment horizontal="right" vertical="center"/>
    </xf>
    <xf numFmtId="3" fontId="14" fillId="58" borderId="86" xfId="8" applyNumberFormat="1" applyFont="1" applyFill="1" applyBorder="1" applyAlignment="1">
      <alignment horizontal="right" vertical="center"/>
    </xf>
    <xf numFmtId="3" fontId="14" fillId="58" borderId="77" xfId="8" applyNumberFormat="1" applyFont="1" applyFill="1" applyBorder="1" applyAlignment="1">
      <alignment horizontal="right" vertical="center"/>
    </xf>
    <xf numFmtId="3" fontId="25" fillId="58" borderId="86" xfId="8" applyNumberFormat="1" applyFont="1" applyFill="1" applyBorder="1" applyAlignment="1">
      <alignment horizontal="right" vertical="center"/>
    </xf>
    <xf numFmtId="3" fontId="14" fillId="0" borderId="66" xfId="8" applyNumberFormat="1" applyFont="1" applyFill="1" applyBorder="1" applyAlignment="1">
      <alignment horizontal="right" vertical="center"/>
    </xf>
    <xf numFmtId="3" fontId="14" fillId="0" borderId="82" xfId="4" applyNumberFormat="1" applyFont="1" applyFill="1" applyBorder="1" applyProtection="1"/>
    <xf numFmtId="3" fontId="14" fillId="0" borderId="81" xfId="4" applyNumberFormat="1" applyFont="1" applyFill="1" applyBorder="1" applyProtection="1"/>
    <xf numFmtId="3" fontId="0" fillId="0" borderId="8" xfId="0" applyNumberFormat="1" applyBorder="1" applyAlignment="1">
      <alignment horizontal="right"/>
    </xf>
    <xf numFmtId="3" fontId="21" fillId="0" borderId="0" xfId="0" applyNumberFormat="1" applyFont="1" applyAlignment="1">
      <alignment horizontal="right" vertical="top" wrapText="1"/>
    </xf>
    <xf numFmtId="166" fontId="17" fillId="0" borderId="0" xfId="8" applyFont="1" applyBorder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3" fontId="21" fillId="0" borderId="0" xfId="0" applyNumberFormat="1" applyFont="1" applyAlignment="1">
      <alignment horizontal="right"/>
    </xf>
    <xf numFmtId="166" fontId="21" fillId="0" borderId="0" xfId="8" applyFont="1" applyFill="1" applyBorder="1" applyAlignment="1">
      <alignment horizontal="center" vertical="top" wrapText="1"/>
    </xf>
    <xf numFmtId="166" fontId="17" fillId="0" borderId="0" xfId="8" applyFont="1" applyFill="1" applyBorder="1" applyAlignment="1">
      <alignment horizontal="right"/>
    </xf>
    <xf numFmtId="166" fontId="21" fillId="0" borderId="0" xfId="8" applyFont="1" applyFill="1" applyBorder="1"/>
    <xf numFmtId="166" fontId="17" fillId="0" borderId="0" xfId="8" applyFont="1" applyFill="1" applyBorder="1"/>
    <xf numFmtId="0" fontId="21" fillId="0" borderId="0" xfId="0" applyFont="1" applyAlignment="1">
      <alignment vertical="center"/>
    </xf>
    <xf numFmtId="0" fontId="21" fillId="0" borderId="55" xfId="0" applyFont="1" applyBorder="1"/>
    <xf numFmtId="4" fontId="21" fillId="0" borderId="61" xfId="0" applyNumberFormat="1" applyFont="1" applyBorder="1"/>
    <xf numFmtId="3" fontId="21" fillId="0" borderId="63" xfId="0" applyNumberFormat="1" applyFont="1" applyBorder="1"/>
    <xf numFmtId="3" fontId="21" fillId="0" borderId="100" xfId="0" applyNumberFormat="1" applyFont="1" applyBorder="1"/>
    <xf numFmtId="3" fontId="21" fillId="0" borderId="62" xfId="0" applyNumberFormat="1" applyFont="1" applyBorder="1"/>
    <xf numFmtId="0" fontId="0" fillId="62" borderId="0" xfId="0" applyFill="1"/>
    <xf numFmtId="0" fontId="21" fillId="62" borderId="0" xfId="0" applyFont="1" applyFill="1"/>
    <xf numFmtId="0" fontId="21" fillId="62" borderId="0" xfId="0" applyFont="1" applyFill="1" applyAlignment="1">
      <alignment vertical="center"/>
    </xf>
    <xf numFmtId="3" fontId="14" fillId="58" borderId="56" xfId="4" applyNumberFormat="1" applyFont="1" applyFill="1" applyBorder="1" applyProtection="1"/>
    <xf numFmtId="3" fontId="14" fillId="0" borderId="30" xfId="0" applyNumberFormat="1" applyFont="1" applyBorder="1" applyAlignment="1">
      <alignment horizontal="right" vertical="top" wrapText="1"/>
    </xf>
    <xf numFmtId="3" fontId="14" fillId="0" borderId="2" xfId="0" applyNumberFormat="1" applyFont="1" applyBorder="1" applyAlignment="1">
      <alignment horizontal="right" vertical="top" wrapText="1"/>
    </xf>
    <xf numFmtId="3" fontId="14" fillId="0" borderId="26" xfId="0" applyNumberFormat="1" applyFont="1" applyBorder="1" applyAlignment="1">
      <alignment horizontal="right" vertical="top" wrapText="1"/>
    </xf>
    <xf numFmtId="0" fontId="16" fillId="0" borderId="101" xfId="0" applyFont="1" applyBorder="1" applyAlignment="1">
      <alignment horizontal="center"/>
    </xf>
    <xf numFmtId="0" fontId="24" fillId="0" borderId="76" xfId="0" applyFont="1" applyBorder="1"/>
    <xf numFmtId="0" fontId="24" fillId="0" borderId="101" xfId="0" applyFont="1" applyBorder="1"/>
    <xf numFmtId="0" fontId="16" fillId="0" borderId="82" xfId="0" applyFont="1" applyBorder="1" applyAlignment="1">
      <alignment horizontal="center"/>
    </xf>
    <xf numFmtId="0" fontId="24" fillId="0" borderId="56" xfId="0" applyFont="1" applyBorder="1"/>
    <xf numFmtId="0" fontId="16" fillId="0" borderId="83" xfId="0" applyFont="1" applyBorder="1" applyAlignment="1">
      <alignment horizontal="center"/>
    </xf>
    <xf numFmtId="0" fontId="24" fillId="0" borderId="78" xfId="0" applyFont="1" applyBorder="1"/>
    <xf numFmtId="0" fontId="16" fillId="0" borderId="101" xfId="0" applyFont="1" applyBorder="1"/>
    <xf numFmtId="172" fontId="16" fillId="0" borderId="101" xfId="0" applyNumberFormat="1" applyFont="1" applyBorder="1"/>
    <xf numFmtId="0" fontId="16" fillId="0" borderId="82" xfId="0" applyFont="1" applyBorder="1"/>
    <xf numFmtId="172" fontId="16" fillId="0" borderId="82" xfId="0" applyNumberFormat="1" applyFont="1" applyBorder="1"/>
    <xf numFmtId="0" fontId="16" fillId="0" borderId="114" xfId="0" applyFont="1" applyBorder="1"/>
    <xf numFmtId="0" fontId="16" fillId="0" borderId="71" xfId="0" applyFont="1" applyBorder="1"/>
    <xf numFmtId="172" fontId="16" fillId="0" borderId="71" xfId="0" applyNumberFormat="1" applyFont="1" applyBorder="1"/>
    <xf numFmtId="171" fontId="24" fillId="60" borderId="81" xfId="0" applyNumberFormat="1" applyFont="1" applyFill="1" applyBorder="1"/>
    <xf numFmtId="171" fontId="24" fillId="0" borderId="99" xfId="0" applyNumberFormat="1" applyFont="1" applyBorder="1"/>
    <xf numFmtId="166" fontId="17" fillId="0" borderId="0" xfId="0" applyNumberFormat="1" applyFont="1"/>
    <xf numFmtId="166" fontId="0" fillId="0" borderId="0" xfId="8" applyFont="1" applyFill="1" applyBorder="1"/>
    <xf numFmtId="0" fontId="66" fillId="0" borderId="0" xfId="0" applyFont="1"/>
    <xf numFmtId="14" fontId="66" fillId="0" borderId="0" xfId="0" quotePrefix="1" applyNumberFormat="1" applyFont="1" applyAlignment="1">
      <alignment horizontal="right"/>
    </xf>
    <xf numFmtId="166" fontId="21" fillId="58" borderId="58" xfId="8" applyFont="1" applyFill="1" applyBorder="1"/>
    <xf numFmtId="166" fontId="14" fillId="0" borderId="0" xfId="8" applyFont="1" applyFill="1"/>
    <xf numFmtId="3" fontId="21" fillId="0" borderId="0" xfId="0" applyNumberFormat="1" applyFont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3" fontId="0" fillId="0" borderId="2" xfId="0" applyNumberFormat="1" applyBorder="1" applyAlignment="1">
      <alignment horizontal="right"/>
    </xf>
    <xf numFmtId="3" fontId="21" fillId="0" borderId="55" xfId="8" applyNumberFormat="1" applyFont="1" applyFill="1" applyBorder="1" applyAlignment="1">
      <alignment horizontal="right" vertical="center"/>
    </xf>
    <xf numFmtId="3" fontId="14" fillId="61" borderId="110" xfId="8" applyNumberFormat="1" applyFont="1" applyFill="1" applyBorder="1" applyAlignment="1">
      <alignment horizontal="right" vertical="center"/>
    </xf>
    <xf numFmtId="0" fontId="25" fillId="0" borderId="57" xfId="15" applyFont="1" applyBorder="1" applyAlignment="1">
      <alignment vertical="top" wrapText="1"/>
    </xf>
    <xf numFmtId="3" fontId="61" fillId="61" borderId="57" xfId="8" applyNumberFormat="1" applyFont="1" applyFill="1" applyBorder="1" applyAlignment="1">
      <alignment horizontal="right" vertical="center"/>
    </xf>
    <xf numFmtId="0" fontId="25" fillId="0" borderId="92" xfId="15" applyFont="1" applyBorder="1" applyAlignment="1">
      <alignment horizontal="center" vertical="top" wrapText="1"/>
    </xf>
    <xf numFmtId="0" fontId="25" fillId="0" borderId="7" xfId="15" applyFont="1" applyBorder="1" applyAlignment="1">
      <alignment horizontal="center" vertical="top" wrapText="1"/>
    </xf>
    <xf numFmtId="0" fontId="14" fillId="0" borderId="92" xfId="15" applyBorder="1" applyAlignment="1">
      <alignment horizontal="center" vertical="top" wrapText="1"/>
    </xf>
    <xf numFmtId="0" fontId="25" fillId="0" borderId="3" xfId="15" applyFont="1" applyBorder="1" applyAlignment="1">
      <alignment horizontal="center" vertical="top" wrapText="1"/>
    </xf>
    <xf numFmtId="0" fontId="14" fillId="0" borderId="3" xfId="15" applyBorder="1" applyAlignment="1">
      <alignment horizontal="center" vertical="top" wrapText="1"/>
    </xf>
    <xf numFmtId="0" fontId="25" fillId="0" borderId="97" xfId="15" applyFont="1" applyBorder="1" applyAlignment="1">
      <alignment horizontal="center" vertical="top" wrapText="1"/>
    </xf>
    <xf numFmtId="3" fontId="61" fillId="61" borderId="59" xfId="8" applyNumberFormat="1" applyFont="1" applyFill="1" applyBorder="1" applyAlignment="1">
      <alignment horizontal="right" vertical="center"/>
    </xf>
    <xf numFmtId="4" fontId="21" fillId="0" borderId="55" xfId="0" applyNumberFormat="1" applyFont="1" applyBorder="1"/>
    <xf numFmtId="3" fontId="21" fillId="0" borderId="55" xfId="0" applyNumberFormat="1" applyFont="1" applyBorder="1"/>
    <xf numFmtId="3" fontId="21" fillId="0" borderId="102" xfId="0" applyNumberFormat="1" applyFont="1" applyBorder="1"/>
    <xf numFmtId="3" fontId="21" fillId="0" borderId="61" xfId="0" applyNumberFormat="1" applyFont="1" applyBorder="1"/>
    <xf numFmtId="166" fontId="65" fillId="0" borderId="63" xfId="8" applyFont="1" applyBorder="1" applyAlignment="1">
      <alignment horizontal="right" vertical="center"/>
    </xf>
    <xf numFmtId="3" fontId="21" fillId="62" borderId="0" xfId="0" applyNumberFormat="1" applyFont="1" applyFill="1"/>
    <xf numFmtId="49" fontId="21" fillId="0" borderId="0" xfId="0" applyNumberFormat="1" applyFont="1" applyAlignment="1">
      <alignment horizontal="left" vertical="top"/>
    </xf>
    <xf numFmtId="166" fontId="14" fillId="0" borderId="0" xfId="8" quotePrefix="1" applyFont="1" applyFill="1" applyBorder="1" applyAlignment="1">
      <alignment horizontal="center" vertical="top" wrapText="1"/>
    </xf>
    <xf numFmtId="166" fontId="14" fillId="0" borderId="0" xfId="8" applyFont="1" applyFill="1" applyBorder="1" applyAlignment="1">
      <alignment vertical="top" wrapText="1"/>
    </xf>
    <xf numFmtId="0" fontId="19" fillId="0" borderId="0" xfId="0" applyFont="1"/>
    <xf numFmtId="0" fontId="14" fillId="0" borderId="82" xfId="0" quotePrefix="1" applyFont="1" applyBorder="1" applyAlignment="1">
      <alignment horizontal="left"/>
    </xf>
    <xf numFmtId="166" fontId="21" fillId="0" borderId="100" xfId="0" applyNumberFormat="1" applyFont="1" applyBorder="1"/>
    <xf numFmtId="0" fontId="21" fillId="0" borderId="96" xfId="0" applyFont="1" applyBorder="1" applyAlignment="1">
      <alignment horizontal="center" vertical="center"/>
    </xf>
    <xf numFmtId="0" fontId="21" fillId="0" borderId="100" xfId="0" applyFont="1" applyBorder="1" applyAlignment="1">
      <alignment horizontal="left" vertical="top" wrapText="1"/>
    </xf>
    <xf numFmtId="0" fontId="14" fillId="58" borderId="82" xfId="0" quotePrefix="1" applyFont="1" applyFill="1" applyBorder="1" applyAlignment="1">
      <alignment horizontal="left" vertical="top" wrapText="1"/>
    </xf>
    <xf numFmtId="0" fontId="14" fillId="0" borderId="82" xfId="0" quotePrefix="1" applyFont="1" applyBorder="1" applyAlignment="1">
      <alignment horizontal="left" vertical="top" wrapText="1"/>
    </xf>
    <xf numFmtId="0" fontId="14" fillId="0" borderId="82" xfId="0" applyFont="1" applyBorder="1" applyAlignment="1">
      <alignment horizontal="left" vertical="top" wrapText="1"/>
    </xf>
    <xf numFmtId="0" fontId="0" fillId="0" borderId="82" xfId="0" quotePrefix="1" applyBorder="1" applyAlignment="1">
      <alignment horizontal="left" vertical="top" wrapText="1"/>
    </xf>
    <xf numFmtId="0" fontId="14" fillId="58" borderId="83" xfId="0" quotePrefix="1" applyFont="1" applyFill="1" applyBorder="1" applyAlignment="1">
      <alignment horizontal="left" vertical="top" wrapText="1"/>
    </xf>
    <xf numFmtId="0" fontId="21" fillId="0" borderId="71" xfId="0" applyFont="1" applyBorder="1" applyAlignment="1">
      <alignment horizontal="left" vertical="top" wrapText="1"/>
    </xf>
    <xf numFmtId="0" fontId="21" fillId="0" borderId="101" xfId="0" applyFont="1" applyBorder="1" applyAlignment="1">
      <alignment horizontal="left" vertical="top" wrapText="1"/>
    </xf>
    <xf numFmtId="0" fontId="14" fillId="58" borderId="101" xfId="0" quotePrefix="1" applyFont="1" applyFill="1" applyBorder="1" applyAlignment="1">
      <alignment horizontal="left" vertical="top" wrapText="1"/>
    </xf>
    <xf numFmtId="0" fontId="14" fillId="58" borderId="82" xfId="0" applyFont="1" applyFill="1" applyBorder="1" applyAlignment="1">
      <alignment horizontal="left" vertical="top" wrapText="1"/>
    </xf>
    <xf numFmtId="0" fontId="0" fillId="58" borderId="83" xfId="0" applyFill="1" applyBorder="1" applyAlignment="1">
      <alignment horizontal="left" vertical="top" wrapText="1"/>
    </xf>
    <xf numFmtId="0" fontId="14" fillId="58" borderId="101" xfId="0" applyFont="1" applyFill="1" applyBorder="1" applyAlignment="1">
      <alignment horizontal="left" vertical="top" wrapText="1"/>
    </xf>
    <xf numFmtId="0" fontId="0" fillId="0" borderId="82" xfId="0" applyBorder="1"/>
    <xf numFmtId="0" fontId="0" fillId="58" borderId="82" xfId="0" applyFill="1" applyBorder="1" applyAlignment="1">
      <alignment horizontal="left" vertical="top" wrapText="1"/>
    </xf>
    <xf numFmtId="0" fontId="0" fillId="0" borderId="82" xfId="0" applyBorder="1" applyAlignment="1">
      <alignment horizontal="left" vertical="top" wrapText="1"/>
    </xf>
    <xf numFmtId="0" fontId="0" fillId="58" borderId="114" xfId="0" applyFill="1" applyBorder="1" applyAlignment="1">
      <alignment horizontal="left" vertical="top" wrapText="1"/>
    </xf>
    <xf numFmtId="166" fontId="0" fillId="58" borderId="6" xfId="8" applyFont="1" applyFill="1" applyBorder="1"/>
    <xf numFmtId="166" fontId="14" fillId="58" borderId="95" xfId="8" applyFont="1" applyFill="1" applyBorder="1"/>
    <xf numFmtId="166" fontId="14" fillId="58" borderId="72" xfId="8" applyFont="1" applyFill="1" applyBorder="1"/>
    <xf numFmtId="166" fontId="21" fillId="0" borderId="63" xfId="8" applyFont="1" applyBorder="1"/>
    <xf numFmtId="0" fontId="14" fillId="58" borderId="101" xfId="0" applyFont="1" applyFill="1" applyBorder="1" applyAlignment="1">
      <alignment horizontal="left"/>
    </xf>
    <xf numFmtId="0" fontId="14" fillId="58" borderId="82" xfId="0" applyFont="1" applyFill="1" applyBorder="1" applyAlignment="1">
      <alignment horizontal="left"/>
    </xf>
    <xf numFmtId="0" fontId="0" fillId="58" borderId="82" xfId="0" applyFill="1" applyBorder="1" applyAlignment="1">
      <alignment horizontal="left"/>
    </xf>
    <xf numFmtId="0" fontId="0" fillId="58" borderId="83" xfId="0" applyFill="1" applyBorder="1" applyAlignment="1">
      <alignment horizontal="left"/>
    </xf>
    <xf numFmtId="166" fontId="17" fillId="0" borderId="83" xfId="0" applyNumberFormat="1" applyFont="1" applyBorder="1"/>
    <xf numFmtId="0" fontId="21" fillId="0" borderId="83" xfId="0" applyFont="1" applyBorder="1" applyAlignment="1">
      <alignment horizontal="left" vertical="top" wrapText="1"/>
    </xf>
    <xf numFmtId="0" fontId="14" fillId="0" borderId="83" xfId="0" applyFont="1" applyBorder="1"/>
    <xf numFmtId="166" fontId="21" fillId="0" borderId="78" xfId="8" applyFont="1" applyBorder="1"/>
    <xf numFmtId="3" fontId="14" fillId="0" borderId="6" xfId="8" applyNumberFormat="1" applyFont="1" applyFill="1" applyBorder="1" applyProtection="1"/>
    <xf numFmtId="3" fontId="0" fillId="0" borderId="6" xfId="8" applyNumberFormat="1" applyFont="1" applyBorder="1"/>
    <xf numFmtId="3" fontId="21" fillId="0" borderId="29" xfId="0" applyNumberFormat="1" applyFont="1" applyBorder="1"/>
    <xf numFmtId="0" fontId="0" fillId="0" borderId="82" xfId="0" quotePrefix="1" applyBorder="1" applyAlignment="1">
      <alignment horizontal="left"/>
    </xf>
    <xf numFmtId="0" fontId="14" fillId="0" borderId="83" xfId="0" quotePrefix="1" applyFont="1" applyBorder="1" applyAlignment="1">
      <alignment horizontal="left"/>
    </xf>
    <xf numFmtId="0" fontId="21" fillId="0" borderId="71" xfId="0" quotePrefix="1" applyFont="1" applyBorder="1" applyAlignment="1">
      <alignment horizontal="left"/>
    </xf>
    <xf numFmtId="3" fontId="21" fillId="0" borderId="102" xfId="0" applyNumberFormat="1" applyFont="1" applyBorder="1" applyAlignment="1">
      <alignment horizontal="center" vertical="top" wrapText="1"/>
    </xf>
    <xf numFmtId="3" fontId="0" fillId="0" borderId="104" xfId="8" applyNumberFormat="1" applyFont="1" applyBorder="1"/>
    <xf numFmtId="0" fontId="14" fillId="0" borderId="88" xfId="0" quotePrefix="1" applyFont="1" applyBorder="1" applyAlignment="1">
      <alignment horizontal="left"/>
    </xf>
    <xf numFmtId="166" fontId="21" fillId="0" borderId="71" xfId="0" applyNumberFormat="1" applyFont="1" applyBorder="1"/>
    <xf numFmtId="0" fontId="14" fillId="0" borderId="101" xfId="0" quotePrefix="1" applyFont="1" applyBorder="1" applyAlignment="1">
      <alignment horizontal="left"/>
    </xf>
    <xf numFmtId="0" fontId="21" fillId="0" borderId="83" xfId="0" applyFont="1" applyBorder="1"/>
    <xf numFmtId="0" fontId="0" fillId="0" borderId="101" xfId="0" applyBorder="1" applyAlignment="1">
      <alignment horizontal="left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82" xfId="0" applyBorder="1" applyAlignment="1">
      <alignment wrapText="1"/>
    </xf>
    <xf numFmtId="0" fontId="14" fillId="0" borderId="101" xfId="0" quotePrefix="1" applyFont="1" applyBorder="1" applyAlignment="1">
      <alignment horizontal="center"/>
    </xf>
    <xf numFmtId="3" fontId="0" fillId="0" borderId="6" xfId="0" applyNumberFormat="1" applyBorder="1" applyAlignment="1">
      <alignment horizontal="right"/>
    </xf>
    <xf numFmtId="3" fontId="0" fillId="0" borderId="104" xfId="0" applyNumberFormat="1" applyBorder="1" applyAlignment="1">
      <alignment horizontal="right"/>
    </xf>
    <xf numFmtId="3" fontId="14" fillId="0" borderId="28" xfId="0" applyNumberFormat="1" applyFont="1" applyBorder="1" applyAlignment="1">
      <alignment horizontal="right" vertical="top" wrapText="1"/>
    </xf>
    <xf numFmtId="3" fontId="14" fillId="0" borderId="6" xfId="0" applyNumberFormat="1" applyFont="1" applyBorder="1" applyAlignment="1">
      <alignment horizontal="right" vertical="top" wrapText="1"/>
    </xf>
    <xf numFmtId="3" fontId="14" fillId="0" borderId="104" xfId="0" applyNumberFormat="1" applyFont="1" applyBorder="1" applyAlignment="1">
      <alignment horizontal="right" vertical="top" wrapText="1"/>
    </xf>
    <xf numFmtId="0" fontId="16" fillId="0" borderId="82" xfId="0" applyFont="1" applyBorder="1" applyAlignment="1">
      <alignment horizontal="center" wrapText="1"/>
    </xf>
    <xf numFmtId="3" fontId="14" fillId="58" borderId="82" xfId="8" applyNumberFormat="1" applyFont="1" applyFill="1" applyBorder="1" applyProtection="1"/>
    <xf numFmtId="3" fontId="0" fillId="58" borderId="82" xfId="8" applyNumberFormat="1" applyFont="1" applyFill="1" applyBorder="1"/>
    <xf numFmtId="3" fontId="14" fillId="58" borderId="114" xfId="8" applyNumberFormat="1" applyFont="1" applyFill="1" applyBorder="1" applyProtection="1"/>
    <xf numFmtId="3" fontId="14" fillId="3" borderId="82" xfId="1153" applyNumberFormat="1" applyFont="1" applyFill="1" applyBorder="1" applyProtection="1"/>
    <xf numFmtId="3" fontId="14" fillId="56" borderId="82" xfId="1153" applyNumberFormat="1" applyFont="1" applyFill="1" applyBorder="1" applyProtection="1"/>
    <xf numFmtId="3" fontId="0" fillId="56" borderId="82" xfId="1153" applyNumberFormat="1" applyFont="1" applyFill="1" applyBorder="1"/>
    <xf numFmtId="3" fontId="14" fillId="58" borderId="83" xfId="8" applyNumberFormat="1" applyFont="1" applyFill="1" applyBorder="1" applyProtection="1"/>
    <xf numFmtId="0" fontId="14" fillId="0" borderId="70" xfId="0" applyFont="1" applyBorder="1" applyAlignment="1">
      <alignment horizontal="center" vertical="top" wrapText="1"/>
    </xf>
    <xf numFmtId="0" fontId="21" fillId="0" borderId="59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  <xf numFmtId="0" fontId="21" fillId="0" borderId="80" xfId="0" applyFont="1" applyBorder="1" applyAlignment="1">
      <alignment horizontal="center" vertical="top" wrapText="1"/>
    </xf>
    <xf numFmtId="0" fontId="14" fillId="0" borderId="114" xfId="0" applyFont="1" applyBorder="1" applyAlignment="1">
      <alignment horizontal="center" vertical="top" wrapText="1"/>
    </xf>
    <xf numFmtId="3" fontId="21" fillId="0" borderId="64" xfId="0" applyNumberFormat="1" applyFont="1" applyBorder="1"/>
    <xf numFmtId="3" fontId="21" fillId="0" borderId="65" xfId="0" applyNumberFormat="1" applyFont="1" applyBorder="1"/>
    <xf numFmtId="166" fontId="21" fillId="0" borderId="55" xfId="0" applyNumberFormat="1" applyFont="1" applyBorder="1"/>
    <xf numFmtId="166" fontId="21" fillId="0" borderId="79" xfId="0" applyNumberFormat="1" applyFont="1" applyBorder="1"/>
    <xf numFmtId="166" fontId="21" fillId="0" borderId="65" xfId="0" applyNumberFormat="1" applyFont="1" applyBorder="1"/>
    <xf numFmtId="0" fontId="14" fillId="3" borderId="7" xfId="0" applyFont="1" applyFill="1" applyBorder="1" applyAlignment="1">
      <alignment horizontal="center" vertical="top" wrapText="1"/>
    </xf>
    <xf numFmtId="166" fontId="0" fillId="57" borderId="81" xfId="8" applyFont="1" applyFill="1" applyBorder="1" applyAlignment="1">
      <alignment vertical="top" wrapText="1"/>
    </xf>
    <xf numFmtId="166" fontId="14" fillId="0" borderId="96" xfId="8" quotePrefix="1" applyFont="1" applyBorder="1" applyAlignment="1">
      <alignment horizontal="center" vertical="top" wrapText="1"/>
    </xf>
    <xf numFmtId="166" fontId="14" fillId="0" borderId="67" xfId="8" quotePrefix="1" applyFont="1" applyBorder="1" applyAlignment="1">
      <alignment horizontal="center" vertical="top" wrapText="1"/>
    </xf>
    <xf numFmtId="166" fontId="14" fillId="0" borderId="66" xfId="8" quotePrefix="1" applyFont="1" applyBorder="1" applyAlignment="1">
      <alignment horizontal="center" vertical="top" wrapText="1"/>
    </xf>
    <xf numFmtId="166" fontId="14" fillId="0" borderId="91" xfId="8" quotePrefix="1" applyFont="1" applyBorder="1" applyAlignment="1">
      <alignment horizontal="center" vertical="top" wrapText="1"/>
    </xf>
    <xf numFmtId="166" fontId="14" fillId="0" borderId="70" xfId="8" quotePrefix="1" applyFont="1" applyBorder="1" applyAlignment="1">
      <alignment horizontal="center" vertical="top" wrapText="1"/>
    </xf>
    <xf numFmtId="3" fontId="0" fillId="0" borderId="0" xfId="4" applyNumberFormat="1" applyFont="1" applyFill="1" applyBorder="1"/>
    <xf numFmtId="3" fontId="14" fillId="0" borderId="82" xfId="8" applyNumberFormat="1" applyFont="1" applyFill="1" applyBorder="1" applyProtection="1"/>
    <xf numFmtId="3" fontId="0" fillId="0" borderId="82" xfId="8" applyNumberFormat="1" applyFont="1" applyFill="1" applyBorder="1"/>
    <xf numFmtId="3" fontId="14" fillId="0" borderId="114" xfId="8" applyNumberFormat="1" applyFont="1" applyFill="1" applyBorder="1" applyProtection="1"/>
    <xf numFmtId="166" fontId="21" fillId="0" borderId="100" xfId="8" applyFont="1" applyBorder="1"/>
    <xf numFmtId="0" fontId="14" fillId="58" borderId="8" xfId="0" applyFont="1" applyFill="1" applyBorder="1" applyAlignment="1">
      <alignment horizontal="center" vertical="top" wrapText="1"/>
    </xf>
    <xf numFmtId="166" fontId="21" fillId="0" borderId="10" xfId="0" applyNumberFormat="1" applyFont="1" applyBorder="1" applyAlignment="1">
      <alignment horizontal="left" indent="1"/>
    </xf>
    <xf numFmtId="166" fontId="21" fillId="0" borderId="106" xfId="0" applyNumberFormat="1" applyFont="1" applyBorder="1"/>
    <xf numFmtId="166" fontId="21" fillId="0" borderId="115" xfId="0" applyNumberFormat="1" applyFont="1" applyBorder="1"/>
    <xf numFmtId="0" fontId="14" fillId="0" borderId="87" xfId="0" quotePrefix="1" applyFont="1" applyBorder="1" applyAlignment="1">
      <alignment horizontal="left" vertical="top" wrapText="1" indent="1"/>
    </xf>
    <xf numFmtId="0" fontId="14" fillId="3" borderId="115" xfId="0" applyFont="1" applyFill="1" applyBorder="1" applyAlignment="1">
      <alignment horizontal="center" vertical="top" wrapText="1"/>
    </xf>
    <xf numFmtId="166" fontId="21" fillId="0" borderId="116" xfId="0" applyNumberFormat="1" applyFont="1" applyBorder="1" applyAlignment="1">
      <alignment horizontal="left" indent="1"/>
    </xf>
    <xf numFmtId="166" fontId="21" fillId="0" borderId="117" xfId="0" applyNumberFormat="1" applyFont="1" applyBorder="1"/>
    <xf numFmtId="166" fontId="21" fillId="0" borderId="112" xfId="0" applyNumberFormat="1" applyFont="1" applyBorder="1"/>
    <xf numFmtId="166" fontId="14" fillId="58" borderId="83" xfId="8" applyFont="1" applyFill="1" applyBorder="1" applyAlignment="1">
      <alignment vertical="top" wrapText="1"/>
    </xf>
    <xf numFmtId="0" fontId="0" fillId="0" borderId="8" xfId="0" applyBorder="1"/>
    <xf numFmtId="0" fontId="14" fillId="57" borderId="2" xfId="0" applyFont="1" applyFill="1" applyBorder="1" applyAlignment="1">
      <alignment horizontal="center" vertical="top" wrapText="1"/>
    </xf>
    <xf numFmtId="166" fontId="14" fillId="57" borderId="57" xfId="8" applyFont="1" applyFill="1" applyBorder="1" applyAlignment="1">
      <alignment vertical="top" wrapText="1"/>
    </xf>
    <xf numFmtId="166" fontId="14" fillId="57" borderId="81" xfId="8" applyFont="1" applyFill="1" applyBorder="1" applyAlignment="1">
      <alignment vertical="top" wrapText="1"/>
    </xf>
    <xf numFmtId="166" fontId="14" fillId="57" borderId="82" xfId="8" applyFont="1" applyFill="1" applyBorder="1" applyAlignment="1">
      <alignment vertical="top" wrapText="1"/>
    </xf>
    <xf numFmtId="0" fontId="14" fillId="57" borderId="57" xfId="0" quotePrefix="1" applyFont="1" applyFill="1" applyBorder="1" applyAlignment="1">
      <alignment horizontal="left" vertical="top" wrapText="1" indent="1"/>
    </xf>
    <xf numFmtId="0" fontId="14" fillId="57" borderId="95" xfId="0" quotePrefix="1" applyFont="1" applyFill="1" applyBorder="1" applyAlignment="1">
      <alignment horizontal="left" vertical="top" wrapText="1" indent="1"/>
    </xf>
    <xf numFmtId="0" fontId="14" fillId="57" borderId="72" xfId="0" applyFont="1" applyFill="1" applyBorder="1" applyAlignment="1">
      <alignment horizontal="center" vertical="top" wrapText="1"/>
    </xf>
    <xf numFmtId="0" fontId="0" fillId="57" borderId="57" xfId="0" quotePrefix="1" applyFill="1" applyBorder="1" applyAlignment="1">
      <alignment horizontal="left" vertical="top" wrapText="1" indent="1"/>
    </xf>
    <xf numFmtId="166" fontId="14" fillId="58" borderId="95" xfId="8" applyFont="1" applyFill="1" applyBorder="1" applyAlignment="1">
      <alignment vertical="top" wrapText="1"/>
    </xf>
    <xf numFmtId="166" fontId="14" fillId="58" borderId="115" xfId="8" applyFont="1" applyFill="1" applyBorder="1" applyAlignment="1">
      <alignment vertical="top" wrapText="1"/>
    </xf>
    <xf numFmtId="166" fontId="14" fillId="58" borderId="114" xfId="8" applyFont="1" applyFill="1" applyBorder="1" applyAlignment="1">
      <alignment vertical="top" wrapText="1"/>
    </xf>
    <xf numFmtId="0" fontId="14" fillId="57" borderId="10" xfId="0" applyFont="1" applyFill="1" applyBorder="1" applyAlignment="1">
      <alignment horizontal="center" vertical="top" wrapText="1"/>
    </xf>
    <xf numFmtId="0" fontId="21" fillId="0" borderId="78" xfId="0" quotePrefix="1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top" wrapText="1"/>
    </xf>
    <xf numFmtId="0" fontId="21" fillId="0" borderId="83" xfId="0" applyFont="1" applyBorder="1" applyAlignment="1">
      <alignment horizontal="center" vertical="top" wrapText="1"/>
    </xf>
    <xf numFmtId="0" fontId="14" fillId="57" borderId="7" xfId="0" applyFont="1" applyFill="1" applyBorder="1" applyAlignment="1">
      <alignment horizontal="center" vertical="top" wrapText="1"/>
    </xf>
    <xf numFmtId="166" fontId="21" fillId="0" borderId="8" xfId="0" applyNumberFormat="1" applyFont="1" applyBorder="1"/>
    <xf numFmtId="166" fontId="21" fillId="0" borderId="100" xfId="8" quotePrefix="1" applyFont="1" applyBorder="1" applyAlignment="1">
      <alignment horizontal="center" vertical="top" wrapText="1"/>
    </xf>
    <xf numFmtId="3" fontId="21" fillId="0" borderId="27" xfId="0" applyNumberFormat="1" applyFont="1" applyBorder="1" applyAlignment="1">
      <alignment horizontal="center" vertical="center" wrapText="1"/>
    </xf>
    <xf numFmtId="3" fontId="21" fillId="0" borderId="67" xfId="0" applyNumberFormat="1" applyFont="1" applyBorder="1" applyAlignment="1">
      <alignment horizontal="center" vertical="center" wrapText="1"/>
    </xf>
    <xf numFmtId="3" fontId="21" fillId="0" borderId="66" xfId="0" applyNumberFormat="1" applyFont="1" applyBorder="1" applyAlignment="1">
      <alignment horizontal="center" vertical="center" wrapText="1"/>
    </xf>
    <xf numFmtId="0" fontId="21" fillId="0" borderId="83" xfId="0" quotePrefix="1" applyFont="1" applyBorder="1" applyAlignment="1">
      <alignment horizontal="left"/>
    </xf>
    <xf numFmtId="0" fontId="21" fillId="0" borderId="101" xfId="0" applyFont="1" applyBorder="1" applyAlignment="1">
      <alignment horizontal="right" vertical="center" wrapText="1"/>
    </xf>
    <xf numFmtId="3" fontId="14" fillId="0" borderId="57" xfId="8" applyNumberFormat="1" applyFont="1" applyFill="1" applyBorder="1" applyProtection="1"/>
    <xf numFmtId="3" fontId="0" fillId="0" borderId="57" xfId="8" applyNumberFormat="1" applyFont="1" applyBorder="1"/>
    <xf numFmtId="3" fontId="21" fillId="0" borderId="103" xfId="0" applyNumberFormat="1" applyFont="1" applyBorder="1"/>
    <xf numFmtId="3" fontId="21" fillId="0" borderId="66" xfId="0" applyNumberFormat="1" applyFont="1" applyBorder="1" applyAlignment="1">
      <alignment horizontal="center" vertical="top" wrapText="1"/>
    </xf>
    <xf numFmtId="3" fontId="0" fillId="0" borderId="59" xfId="8" applyNumberFormat="1" applyFont="1" applyBorder="1"/>
    <xf numFmtId="4" fontId="0" fillId="0" borderId="60" xfId="8" applyNumberFormat="1" applyFont="1" applyBorder="1"/>
    <xf numFmtId="3" fontId="21" fillId="0" borderId="27" xfId="0" applyNumberFormat="1" applyFont="1" applyBorder="1" applyAlignment="1">
      <alignment horizontal="center" vertical="top" wrapText="1"/>
    </xf>
    <xf numFmtId="3" fontId="21" fillId="0" borderId="67" xfId="0" applyNumberFormat="1" applyFont="1" applyBorder="1" applyAlignment="1">
      <alignment horizontal="center" vertical="top" wrapText="1"/>
    </xf>
    <xf numFmtId="166" fontId="21" fillId="0" borderId="66" xfId="8" applyFont="1" applyBorder="1" applyAlignment="1">
      <alignment horizontal="center" vertical="top" wrapText="1"/>
    </xf>
    <xf numFmtId="166" fontId="21" fillId="0" borderId="27" xfId="8" applyFont="1" applyBorder="1" applyAlignment="1">
      <alignment horizontal="center" vertical="center" wrapText="1"/>
    </xf>
    <xf numFmtId="166" fontId="21" fillId="0" borderId="67" xfId="8" applyFont="1" applyBorder="1" applyAlignment="1">
      <alignment horizontal="center" vertical="center" wrapText="1"/>
    </xf>
    <xf numFmtId="0" fontId="14" fillId="0" borderId="59" xfId="0" quotePrefix="1" applyFont="1" applyBorder="1" applyAlignment="1">
      <alignment horizontal="left"/>
    </xf>
    <xf numFmtId="0" fontId="14" fillId="0" borderId="26" xfId="0" quotePrefix="1" applyFont="1" applyBorder="1" applyAlignment="1">
      <alignment horizontal="left"/>
    </xf>
    <xf numFmtId="166" fontId="22" fillId="0" borderId="26" xfId="0" applyNumberFormat="1" applyFont="1" applyBorder="1"/>
    <xf numFmtId="0" fontId="21" fillId="0" borderId="90" xfId="0" applyFont="1" applyBorder="1" applyAlignment="1">
      <alignment horizontal="center" vertical="center"/>
    </xf>
    <xf numFmtId="0" fontId="21" fillId="0" borderId="107" xfId="0" applyFont="1" applyBorder="1" applyAlignment="1">
      <alignment horizontal="center" vertical="center" wrapText="1"/>
    </xf>
    <xf numFmtId="166" fontId="22" fillId="0" borderId="105" xfId="0" applyNumberFormat="1" applyFont="1" applyBorder="1"/>
    <xf numFmtId="166" fontId="21" fillId="0" borderId="27" xfId="8" applyFont="1" applyBorder="1" applyAlignment="1">
      <alignment horizontal="center" vertical="top" wrapText="1"/>
    </xf>
    <xf numFmtId="166" fontId="21" fillId="0" borderId="67" xfId="8" applyFont="1" applyBorder="1" applyAlignment="1">
      <alignment horizontal="center" vertical="top" wrapText="1"/>
    </xf>
    <xf numFmtId="166" fontId="21" fillId="0" borderId="92" xfId="8" applyFont="1" applyBorder="1" applyAlignment="1">
      <alignment horizontal="center" vertical="top" wrapText="1"/>
    </xf>
    <xf numFmtId="0" fontId="21" fillId="0" borderId="82" xfId="0" quotePrefix="1" applyFont="1" applyBorder="1" applyAlignment="1">
      <alignment horizontal="left"/>
    </xf>
    <xf numFmtId="166" fontId="14" fillId="0" borderId="66" xfId="8" applyFont="1" applyBorder="1" applyAlignment="1">
      <alignment horizontal="center" vertical="top" wrapText="1"/>
    </xf>
    <xf numFmtId="166" fontId="14" fillId="0" borderId="27" xfId="8" applyFont="1" applyBorder="1" applyAlignment="1">
      <alignment horizontal="center" vertical="top" wrapText="1"/>
    </xf>
    <xf numFmtId="166" fontId="14" fillId="0" borderId="92" xfId="8" applyFont="1" applyBorder="1" applyAlignment="1">
      <alignment horizontal="center" vertical="top" wrapText="1"/>
    </xf>
    <xf numFmtId="166" fontId="14" fillId="0" borderId="67" xfId="8" applyFont="1" applyBorder="1" applyAlignment="1">
      <alignment horizontal="center" vertical="top" wrapText="1"/>
    </xf>
    <xf numFmtId="166" fontId="14" fillId="0" borderId="96" xfId="8" applyFont="1" applyBorder="1" applyAlignment="1">
      <alignment horizontal="center" vertical="top" wrapText="1"/>
    </xf>
    <xf numFmtId="166" fontId="14" fillId="0" borderId="91" xfId="8" applyFont="1" applyBorder="1" applyAlignment="1">
      <alignment horizontal="center" vertical="top" wrapText="1"/>
    </xf>
    <xf numFmtId="0" fontId="21" fillId="0" borderId="86" xfId="15" applyFont="1" applyBorder="1" applyAlignment="1">
      <alignment horizontal="center" vertical="center" wrapText="1"/>
    </xf>
    <xf numFmtId="0" fontId="21" fillId="0" borderId="77" xfId="15" applyFont="1" applyBorder="1" applyAlignment="1">
      <alignment horizontal="center" vertical="center" wrapText="1"/>
    </xf>
    <xf numFmtId="0" fontId="14" fillId="0" borderId="89" xfId="15" applyBorder="1" applyAlignment="1">
      <alignment horizontal="center" vertical="center" wrapText="1"/>
    </xf>
    <xf numFmtId="0" fontId="14" fillId="0" borderId="86" xfId="15" applyBorder="1" applyAlignment="1">
      <alignment horizontal="center" vertical="center" wrapText="1"/>
    </xf>
    <xf numFmtId="0" fontId="14" fillId="0" borderId="103" xfId="15" applyBorder="1" applyAlignment="1">
      <alignment horizontal="center" vertical="center" wrapText="1"/>
    </xf>
    <xf numFmtId="14" fontId="14" fillId="0" borderId="0" xfId="0" applyNumberFormat="1" applyFont="1"/>
    <xf numFmtId="0" fontId="14" fillId="62" borderId="0" xfId="0" applyFont="1" applyFill="1"/>
    <xf numFmtId="3" fontId="21" fillId="0" borderId="25" xfId="0" applyNumberFormat="1" applyFont="1" applyBorder="1" applyAlignment="1">
      <alignment horizontal="center"/>
    </xf>
    <xf numFmtId="3" fontId="21" fillId="0" borderId="78" xfId="0" applyNumberFormat="1" applyFont="1" applyBorder="1" applyAlignment="1">
      <alignment horizontal="center"/>
    </xf>
    <xf numFmtId="3" fontId="21" fillId="0" borderId="59" xfId="0" applyNumberFormat="1" applyFont="1" applyBorder="1" applyAlignment="1">
      <alignment horizontal="center"/>
    </xf>
    <xf numFmtId="3" fontId="21" fillId="0" borderId="26" xfId="0" applyNumberFormat="1" applyFont="1" applyBorder="1" applyAlignment="1">
      <alignment horizontal="center"/>
    </xf>
    <xf numFmtId="3" fontId="21" fillId="0" borderId="105" xfId="0" applyNumberFormat="1" applyFont="1" applyBorder="1" applyAlignment="1">
      <alignment horizontal="center"/>
    </xf>
    <xf numFmtId="3" fontId="21" fillId="0" borderId="60" xfId="0" applyNumberFormat="1" applyFont="1" applyBorder="1" applyAlignment="1">
      <alignment horizontal="center"/>
    </xf>
    <xf numFmtId="3" fontId="21" fillId="0" borderId="69" xfId="0" applyNumberFormat="1" applyFont="1" applyBorder="1" applyAlignment="1">
      <alignment horizontal="center"/>
    </xf>
    <xf numFmtId="3" fontId="21" fillId="0" borderId="83" xfId="0" applyNumberFormat="1" applyFont="1" applyBorder="1" applyAlignment="1">
      <alignment horizontal="center"/>
    </xf>
    <xf numFmtId="166" fontId="21" fillId="0" borderId="65" xfId="8" applyFont="1" applyBorder="1" applyAlignment="1">
      <alignment horizontal="center" vertical="top" wrapText="1"/>
    </xf>
    <xf numFmtId="166" fontId="21" fillId="58" borderId="60" xfId="8" applyFont="1" applyFill="1" applyBorder="1"/>
    <xf numFmtId="0" fontId="21" fillId="0" borderId="83" xfId="0" applyFont="1" applyBorder="1" applyAlignment="1">
      <alignment horizontal="left" vertical="center" wrapText="1"/>
    </xf>
    <xf numFmtId="3" fontId="21" fillId="0" borderId="59" xfId="0" applyNumberFormat="1" applyFont="1" applyBorder="1" applyAlignment="1">
      <alignment horizontal="center" vertical="center"/>
    </xf>
    <xf numFmtId="3" fontId="21" fillId="0" borderId="26" xfId="0" applyNumberFormat="1" applyFont="1" applyBorder="1" applyAlignment="1">
      <alignment horizontal="center" vertical="center"/>
    </xf>
    <xf numFmtId="3" fontId="21" fillId="0" borderId="105" xfId="0" applyNumberFormat="1" applyFont="1" applyBorder="1" applyAlignment="1">
      <alignment horizontal="center" vertical="center"/>
    </xf>
    <xf numFmtId="3" fontId="21" fillId="0" borderId="60" xfId="0" applyNumberFormat="1" applyFont="1" applyBorder="1" applyAlignment="1">
      <alignment horizontal="center" vertical="center"/>
    </xf>
    <xf numFmtId="166" fontId="21" fillId="0" borderId="0" xfId="8" applyFont="1" applyAlignment="1">
      <alignment vertical="center"/>
    </xf>
    <xf numFmtId="166" fontId="14" fillId="0" borderId="0" xfId="8" applyFont="1" applyAlignment="1">
      <alignment vertical="center"/>
    </xf>
    <xf numFmtId="0" fontId="14" fillId="0" borderId="0" xfId="0" applyFont="1" applyAlignment="1">
      <alignment vertical="center"/>
    </xf>
    <xf numFmtId="166" fontId="14" fillId="0" borderId="56" xfId="8" applyFont="1" applyFill="1" applyBorder="1" applyProtection="1"/>
    <xf numFmtId="166" fontId="0" fillId="0" borderId="56" xfId="8" applyFont="1" applyFill="1" applyBorder="1"/>
    <xf numFmtId="166" fontId="17" fillId="0" borderId="56" xfId="8" applyFont="1" applyFill="1" applyBorder="1"/>
    <xf numFmtId="3" fontId="21" fillId="0" borderId="56" xfId="0" applyNumberFormat="1" applyFont="1" applyBorder="1" applyAlignment="1">
      <alignment horizontal="center" vertical="center"/>
    </xf>
    <xf numFmtId="166" fontId="21" fillId="0" borderId="7" xfId="8" applyFont="1" applyFill="1" applyBorder="1" applyAlignment="1">
      <alignment horizontal="center" vertical="top" wrapText="1"/>
    </xf>
    <xf numFmtId="3" fontId="67" fillId="0" borderId="7" xfId="0" applyNumberFormat="1" applyFont="1" applyBorder="1" applyAlignment="1">
      <alignment horizontal="center"/>
    </xf>
    <xf numFmtId="166" fontId="17" fillId="0" borderId="7" xfId="8" applyFont="1" applyFill="1" applyBorder="1"/>
    <xf numFmtId="0" fontId="21" fillId="0" borderId="83" xfId="0" quotePrefix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center" vertical="center"/>
    </xf>
    <xf numFmtId="3" fontId="21" fillId="0" borderId="69" xfId="0" applyNumberFormat="1" applyFont="1" applyBorder="1" applyAlignment="1">
      <alignment horizontal="center" vertical="center"/>
    </xf>
    <xf numFmtId="0" fontId="14" fillId="0" borderId="76" xfId="0" applyFont="1" applyBorder="1" applyAlignment="1">
      <alignment horizontal="left"/>
    </xf>
    <xf numFmtId="0" fontId="14" fillId="0" borderId="56" xfId="0" applyFont="1" applyBorder="1" applyAlignment="1">
      <alignment horizontal="left"/>
    </xf>
    <xf numFmtId="0" fontId="14" fillId="0" borderId="78" xfId="0" applyFont="1" applyBorder="1" applyAlignment="1">
      <alignment horizontal="left"/>
    </xf>
    <xf numFmtId="3" fontId="21" fillId="0" borderId="103" xfId="0" applyNumberFormat="1" applyFont="1" applyBorder="1" applyAlignment="1">
      <alignment horizontal="center" vertical="center"/>
    </xf>
    <xf numFmtId="166" fontId="14" fillId="0" borderId="0" xfId="8" applyFont="1" applyFill="1" applyBorder="1"/>
    <xf numFmtId="166" fontId="21" fillId="0" borderId="0" xfId="8" applyFont="1" applyFill="1" applyBorder="1" applyAlignment="1">
      <alignment horizontal="center" vertical="center" wrapText="1"/>
    </xf>
    <xf numFmtId="166" fontId="21" fillId="57" borderId="100" xfId="0" applyNumberFormat="1" applyFont="1" applyFill="1" applyBorder="1" applyAlignment="1">
      <alignment horizontal="right"/>
    </xf>
    <xf numFmtId="166" fontId="21" fillId="0" borderId="63" xfId="8" applyFont="1" applyBorder="1" applyAlignment="1">
      <alignment horizontal="center" vertical="center" wrapText="1"/>
    </xf>
    <xf numFmtId="166" fontId="21" fillId="57" borderId="100" xfId="0" applyNumberFormat="1" applyFont="1" applyFill="1" applyBorder="1" applyAlignment="1">
      <alignment horizontal="left"/>
    </xf>
    <xf numFmtId="0" fontId="21" fillId="0" borderId="101" xfId="0" applyFont="1" applyBorder="1" applyAlignment="1">
      <alignment horizontal="center" vertical="center"/>
    </xf>
    <xf numFmtId="0" fontId="14" fillId="0" borderId="101" xfId="0" applyFont="1" applyBorder="1" applyAlignment="1">
      <alignment horizontal="center"/>
    </xf>
    <xf numFmtId="0" fontId="14" fillId="0" borderId="82" xfId="0" applyFont="1" applyBorder="1" applyAlignment="1">
      <alignment horizontal="center"/>
    </xf>
    <xf numFmtId="0" fontId="14" fillId="0" borderId="83" xfId="0" applyFont="1" applyBorder="1" applyAlignment="1">
      <alignment horizontal="center"/>
    </xf>
    <xf numFmtId="0" fontId="14" fillId="57" borderId="106" xfId="0" applyFont="1" applyFill="1" applyBorder="1" applyAlignment="1">
      <alignment horizontal="left" vertical="center"/>
    </xf>
    <xf numFmtId="0" fontId="14" fillId="0" borderId="8" xfId="0" applyFont="1" applyBorder="1"/>
    <xf numFmtId="0" fontId="21" fillId="0" borderId="60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69" fillId="62" borderId="0" xfId="0" applyFont="1" applyFill="1"/>
    <xf numFmtId="0" fontId="68" fillId="0" borderId="0" xfId="0" quotePrefix="1" applyFont="1" applyAlignment="1">
      <alignment horizontal="left" vertical="center" wrapText="1"/>
    </xf>
    <xf numFmtId="3" fontId="14" fillId="0" borderId="57" xfId="0" applyNumberFormat="1" applyFont="1" applyBorder="1" applyAlignment="1">
      <alignment horizontal="right" vertical="top" wrapText="1"/>
    </xf>
    <xf numFmtId="3" fontId="14" fillId="0" borderId="59" xfId="0" applyNumberFormat="1" applyFont="1" applyBorder="1" applyAlignment="1">
      <alignment horizontal="right" vertical="top" wrapText="1"/>
    </xf>
    <xf numFmtId="3" fontId="21" fillId="0" borderId="78" xfId="0" applyNumberFormat="1" applyFont="1" applyBorder="1" applyAlignment="1">
      <alignment horizontal="center" vertical="center"/>
    </xf>
    <xf numFmtId="0" fontId="21" fillId="0" borderId="105" xfId="0" quotePrefix="1" applyFont="1" applyBorder="1" applyAlignment="1">
      <alignment horizontal="center" vertical="center" wrapText="1"/>
    </xf>
    <xf numFmtId="0" fontId="21" fillId="0" borderId="26" xfId="0" quotePrefix="1" applyFont="1" applyBorder="1" applyAlignment="1">
      <alignment horizontal="center" vertical="center" wrapText="1"/>
    </xf>
    <xf numFmtId="0" fontId="21" fillId="0" borderId="80" xfId="0" applyFont="1" applyBorder="1" applyAlignment="1">
      <alignment horizontal="center" vertical="center" wrapText="1"/>
    </xf>
    <xf numFmtId="166" fontId="14" fillId="0" borderId="0" xfId="4" applyFont="1" applyBorder="1"/>
    <xf numFmtId="10" fontId="21" fillId="0" borderId="71" xfId="0" applyNumberFormat="1" applyFont="1" applyBorder="1" applyAlignment="1">
      <alignment horizontal="center"/>
    </xf>
    <xf numFmtId="49" fontId="70" fillId="0" borderId="0" xfId="0" applyNumberFormat="1" applyFont="1" applyAlignment="1">
      <alignment horizontal="left" vertical="top"/>
    </xf>
    <xf numFmtId="0" fontId="70" fillId="0" borderId="83" xfId="0" applyFont="1" applyBorder="1" applyAlignment="1">
      <alignment horizontal="center" vertical="top" wrapText="1"/>
    </xf>
    <xf numFmtId="166" fontId="21" fillId="0" borderId="8" xfId="0" applyNumberFormat="1" applyFont="1" applyBorder="1" applyAlignment="1">
      <alignment vertical="center"/>
    </xf>
    <xf numFmtId="14" fontId="0" fillId="56" borderId="0" xfId="0" applyNumberFormat="1" applyFill="1"/>
    <xf numFmtId="0" fontId="0" fillId="56" borderId="0" xfId="0" applyFill="1"/>
    <xf numFmtId="166" fontId="21" fillId="58" borderId="118" xfId="8" applyFont="1" applyFill="1" applyBorder="1"/>
    <xf numFmtId="166" fontId="71" fillId="0" borderId="0" xfId="8" applyFont="1"/>
    <xf numFmtId="0" fontId="71" fillId="0" borderId="0" xfId="0" applyFont="1"/>
    <xf numFmtId="166" fontId="72" fillId="0" borderId="0" xfId="8" applyFont="1"/>
    <xf numFmtId="166" fontId="73" fillId="0" borderId="0" xfId="8" applyFont="1"/>
    <xf numFmtId="0" fontId="23" fillId="0" borderId="0" xfId="0" applyFont="1"/>
    <xf numFmtId="0" fontId="73" fillId="0" borderId="0" xfId="0" applyFont="1"/>
    <xf numFmtId="0" fontId="73" fillId="0" borderId="0" xfId="0" quotePrefix="1" applyFont="1"/>
    <xf numFmtId="166" fontId="23" fillId="0" borderId="0" xfId="8" applyFont="1"/>
    <xf numFmtId="166" fontId="23" fillId="0" borderId="0" xfId="8" applyFont="1" applyAlignment="1">
      <alignment vertical="center"/>
    </xf>
    <xf numFmtId="166" fontId="73" fillId="0" borderId="0" xfId="8" applyFont="1" applyBorder="1"/>
    <xf numFmtId="3" fontId="22" fillId="0" borderId="0" xfId="0" applyNumberFormat="1" applyFont="1" applyAlignment="1">
      <alignment horizontal="center"/>
    </xf>
    <xf numFmtId="3" fontId="21" fillId="0" borderId="99" xfId="0" applyNumberFormat="1" applyFont="1" applyBorder="1" applyAlignment="1">
      <alignment horizontal="center" vertical="center"/>
    </xf>
    <xf numFmtId="0" fontId="14" fillId="57" borderId="73" xfId="0" applyFont="1" applyFill="1" applyBorder="1"/>
    <xf numFmtId="0" fontId="14" fillId="57" borderId="108" xfId="0" applyFont="1" applyFill="1" applyBorder="1"/>
    <xf numFmtId="0" fontId="14" fillId="57" borderId="81" xfId="0" applyFont="1" applyFill="1" applyBorder="1"/>
    <xf numFmtId="0" fontId="14" fillId="57" borderId="74" xfId="0" applyFont="1" applyFill="1" applyBorder="1"/>
    <xf numFmtId="0" fontId="14" fillId="57" borderId="80" xfId="0" applyFont="1" applyFill="1" applyBorder="1"/>
    <xf numFmtId="0" fontId="14" fillId="0" borderId="76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21" fillId="57" borderId="55" xfId="0" quotePrefix="1" applyFont="1" applyFill="1" applyBorder="1" applyAlignment="1">
      <alignment horizontal="left"/>
    </xf>
    <xf numFmtId="0" fontId="14" fillId="57" borderId="61" xfId="0" applyFont="1" applyFill="1" applyBorder="1"/>
    <xf numFmtId="0" fontId="14" fillId="57" borderId="62" xfId="0" applyFont="1" applyFill="1" applyBorder="1"/>
    <xf numFmtId="166" fontId="21" fillId="57" borderId="100" xfId="8" applyFont="1" applyFill="1" applyBorder="1"/>
    <xf numFmtId="166" fontId="21" fillId="57" borderId="63" xfId="8" applyFont="1" applyFill="1" applyBorder="1"/>
    <xf numFmtId="166" fontId="21" fillId="57" borderId="65" xfId="8" applyFont="1" applyFill="1" applyBorder="1"/>
    <xf numFmtId="0" fontId="21" fillId="57" borderId="78" xfId="0" quotePrefix="1" applyFont="1" applyFill="1" applyBorder="1" applyAlignment="1">
      <alignment horizontal="left"/>
    </xf>
    <xf numFmtId="166" fontId="21" fillId="0" borderId="100" xfId="8" applyFont="1" applyBorder="1" applyAlignment="1">
      <alignment horizontal="center" vertical="center" wrapText="1"/>
    </xf>
    <xf numFmtId="166" fontId="21" fillId="0" borderId="108" xfId="8" applyFont="1" applyBorder="1" applyAlignment="1">
      <alignment horizontal="center" vertical="center" wrapText="1"/>
    </xf>
    <xf numFmtId="166" fontId="21" fillId="0" borderId="90" xfId="8" applyFont="1" applyBorder="1" applyAlignment="1">
      <alignment horizontal="center" vertical="center" wrapText="1"/>
    </xf>
    <xf numFmtId="166" fontId="21" fillId="0" borderId="94" xfId="8" applyFont="1" applyBorder="1" applyAlignment="1">
      <alignment horizontal="center" vertical="center" wrapText="1"/>
    </xf>
    <xf numFmtId="166" fontId="21" fillId="0" borderId="66" xfId="8" applyFont="1" applyBorder="1" applyAlignment="1">
      <alignment horizontal="center" vertical="center" wrapText="1"/>
    </xf>
    <xf numFmtId="166" fontId="23" fillId="0" borderId="76" xfId="8" quotePrefix="1" applyFont="1" applyBorder="1" applyAlignment="1">
      <alignment horizontal="center" vertical="center" wrapText="1"/>
    </xf>
    <xf numFmtId="166" fontId="23" fillId="0" borderId="94" xfId="8" quotePrefix="1" applyFont="1" applyBorder="1" applyAlignment="1">
      <alignment horizontal="center" vertical="center" wrapText="1"/>
    </xf>
    <xf numFmtId="166" fontId="0" fillId="0" borderId="55" xfId="8" applyFont="1" applyBorder="1" applyAlignment="1">
      <alignment horizontal="right"/>
    </xf>
    <xf numFmtId="166" fontId="0" fillId="0" borderId="100" xfId="8" applyFont="1" applyBorder="1" applyAlignment="1">
      <alignment horizontal="right"/>
    </xf>
    <xf numFmtId="166" fontId="0" fillId="0" borderId="0" xfId="8" applyFont="1" applyBorder="1"/>
    <xf numFmtId="166" fontId="14" fillId="58" borderId="110" xfId="8" applyFont="1" applyFill="1" applyBorder="1"/>
    <xf numFmtId="166" fontId="14" fillId="58" borderId="68" xfId="8" applyFont="1" applyFill="1" applyBorder="1"/>
    <xf numFmtId="166" fontId="23" fillId="0" borderId="73" xfId="8" quotePrefix="1" applyFont="1" applyBorder="1" applyAlignment="1">
      <alignment horizontal="center" vertical="center" wrapText="1"/>
    </xf>
    <xf numFmtId="166" fontId="14" fillId="58" borderId="4" xfId="8" applyFont="1" applyFill="1" applyBorder="1"/>
    <xf numFmtId="166" fontId="0" fillId="0" borderId="61" xfId="8" applyFont="1" applyBorder="1" applyAlignment="1">
      <alignment horizontal="right"/>
    </xf>
    <xf numFmtId="0" fontId="21" fillId="0" borderId="55" xfId="0" quotePrefix="1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top" wrapText="1"/>
    </xf>
    <xf numFmtId="166" fontId="14" fillId="56" borderId="81" xfId="8" applyFont="1" applyFill="1" applyBorder="1"/>
    <xf numFmtId="166" fontId="14" fillId="56" borderId="57" xfId="8" applyFont="1" applyFill="1" applyBorder="1" applyProtection="1"/>
    <xf numFmtId="166" fontId="14" fillId="56" borderId="58" xfId="8" applyFont="1" applyFill="1" applyBorder="1" applyProtection="1"/>
    <xf numFmtId="166" fontId="14" fillId="56" borderId="80" xfId="8" applyFont="1" applyFill="1" applyBorder="1"/>
    <xf numFmtId="166" fontId="14" fillId="56" borderId="59" xfId="8" applyFont="1" applyFill="1" applyBorder="1" applyProtection="1"/>
    <xf numFmtId="166" fontId="14" fillId="56" borderId="90" xfId="8" applyFont="1" applyFill="1" applyBorder="1"/>
    <xf numFmtId="166" fontId="14" fillId="56" borderId="94" xfId="8" applyFont="1" applyFill="1" applyBorder="1"/>
    <xf numFmtId="0" fontId="14" fillId="56" borderId="80" xfId="0" applyFont="1" applyFill="1" applyBorder="1"/>
    <xf numFmtId="166" fontId="14" fillId="56" borderId="59" xfId="8" applyFont="1" applyFill="1" applyBorder="1"/>
    <xf numFmtId="166" fontId="14" fillId="56" borderId="60" xfId="8" applyFont="1" applyFill="1" applyBorder="1"/>
    <xf numFmtId="0" fontId="14" fillId="56" borderId="101" xfId="0" applyFont="1" applyFill="1" applyBorder="1"/>
    <xf numFmtId="0" fontId="14" fillId="56" borderId="82" xfId="0" applyFont="1" applyFill="1" applyBorder="1"/>
    <xf numFmtId="0" fontId="14" fillId="56" borderId="83" xfId="0" applyFont="1" applyFill="1" applyBorder="1"/>
    <xf numFmtId="0" fontId="55" fillId="0" borderId="0" xfId="1155" applyFont="1"/>
    <xf numFmtId="3" fontId="14" fillId="0" borderId="67" xfId="8" applyNumberFormat="1" applyFont="1" applyFill="1" applyBorder="1" applyAlignment="1">
      <alignment horizontal="right" vertical="center"/>
    </xf>
    <xf numFmtId="3" fontId="14" fillId="0" borderId="68" xfId="8" applyNumberFormat="1" applyFont="1" applyFill="1" applyBorder="1" applyAlignment="1">
      <alignment horizontal="right" vertical="center"/>
    </xf>
    <xf numFmtId="3" fontId="14" fillId="0" borderId="69" xfId="8" applyNumberFormat="1" applyFont="1" applyFill="1" applyBorder="1" applyAlignment="1">
      <alignment horizontal="right" vertical="center"/>
    </xf>
    <xf numFmtId="3" fontId="21" fillId="0" borderId="65" xfId="8" applyNumberFormat="1" applyFont="1" applyFill="1" applyBorder="1" applyAlignment="1">
      <alignment horizontal="right" vertical="center"/>
    </xf>
    <xf numFmtId="3" fontId="14" fillId="0" borderId="62" xfId="8" applyNumberFormat="1" applyFont="1" applyFill="1" applyBorder="1" applyAlignment="1">
      <alignment horizontal="right" vertical="center"/>
    </xf>
    <xf numFmtId="3" fontId="14" fillId="0" borderId="91" xfId="8" applyNumberFormat="1" applyFont="1" applyFill="1" applyBorder="1" applyAlignment="1">
      <alignment horizontal="right" vertical="center"/>
    </xf>
    <xf numFmtId="3" fontId="14" fillId="0" borderId="99" xfId="8" applyNumberFormat="1" applyFont="1" applyFill="1" applyBorder="1" applyAlignment="1">
      <alignment horizontal="right" vertical="center"/>
    </xf>
    <xf numFmtId="3" fontId="65" fillId="0" borderId="80" xfId="8" applyNumberFormat="1" applyFont="1" applyBorder="1" applyAlignment="1">
      <alignment horizontal="right" vertical="center"/>
    </xf>
    <xf numFmtId="3" fontId="14" fillId="57" borderId="85" xfId="4" applyNumberFormat="1" applyFont="1" applyFill="1" applyBorder="1" applyProtection="1"/>
    <xf numFmtId="3" fontId="14" fillId="57" borderId="81" xfId="4" applyNumberFormat="1" applyFont="1" applyFill="1" applyBorder="1" applyProtection="1"/>
    <xf numFmtId="3" fontId="14" fillId="57" borderId="80" xfId="4" applyNumberFormat="1" applyFont="1" applyFill="1" applyBorder="1" applyProtection="1"/>
    <xf numFmtId="3" fontId="21" fillId="0" borderId="80" xfId="0" applyNumberFormat="1" applyFont="1" applyBorder="1"/>
    <xf numFmtId="3" fontId="14" fillId="0" borderId="28" xfId="0" applyNumberFormat="1" applyFont="1" applyBorder="1" applyAlignment="1">
      <alignment horizontal="right" vertical="center" wrapText="1"/>
    </xf>
    <xf numFmtId="3" fontId="14" fillId="0" borderId="30" xfId="0" applyNumberFormat="1" applyFont="1" applyBorder="1" applyAlignment="1">
      <alignment horizontal="right" vertical="center" wrapText="1"/>
    </xf>
    <xf numFmtId="3" fontId="14" fillId="0" borderId="94" xfId="0" applyNumberFormat="1" applyFont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3" fontId="14" fillId="0" borderId="58" xfId="0" applyNumberFormat="1" applyFont="1" applyBorder="1" applyAlignment="1">
      <alignment horizontal="right" vertical="center" wrapText="1"/>
    </xf>
    <xf numFmtId="3" fontId="14" fillId="0" borderId="104" xfId="0" applyNumberFormat="1" applyFont="1" applyBorder="1" applyAlignment="1">
      <alignment horizontal="right" vertical="center" wrapText="1"/>
    </xf>
    <xf numFmtId="3" fontId="14" fillId="0" borderId="26" xfId="0" applyNumberFormat="1" applyFont="1" applyBorder="1" applyAlignment="1">
      <alignment horizontal="right" vertical="center" wrapText="1"/>
    </xf>
    <xf numFmtId="3" fontId="14" fillId="0" borderId="60" xfId="0" applyNumberFormat="1" applyFont="1" applyBorder="1" applyAlignment="1">
      <alignment horizontal="right" vertical="center" wrapText="1"/>
    </xf>
    <xf numFmtId="3" fontId="21" fillId="0" borderId="104" xfId="0" applyNumberFormat="1" applyFont="1" applyBorder="1" applyAlignment="1">
      <alignment horizontal="right" vertical="center"/>
    </xf>
    <xf numFmtId="3" fontId="21" fillId="0" borderId="26" xfId="0" applyNumberFormat="1" applyFont="1" applyBorder="1" applyAlignment="1">
      <alignment horizontal="right" vertical="center"/>
    </xf>
    <xf numFmtId="3" fontId="21" fillId="0" borderId="60" xfId="0" applyNumberFormat="1" applyFont="1" applyBorder="1" applyAlignment="1">
      <alignment horizontal="right" vertical="center"/>
    </xf>
    <xf numFmtId="3" fontId="14" fillId="0" borderId="6" xfId="8" applyNumberFormat="1" applyFont="1" applyBorder="1"/>
    <xf numFmtId="3" fontId="14" fillId="0" borderId="58" xfId="8" applyNumberFormat="1" applyFont="1" applyBorder="1"/>
    <xf numFmtId="3" fontId="14" fillId="0" borderId="81" xfId="8" applyNumberFormat="1" applyFont="1" applyFill="1" applyBorder="1" applyProtection="1"/>
    <xf numFmtId="167" fontId="14" fillId="0" borderId="0" xfId="8" applyNumberFormat="1" applyFont="1"/>
    <xf numFmtId="0" fontId="0" fillId="0" borderId="57" xfId="0" applyBorder="1" applyAlignment="1">
      <alignment wrapText="1"/>
    </xf>
    <xf numFmtId="0" fontId="0" fillId="63" borderId="6" xfId="0" applyFill="1" applyBorder="1" applyAlignment="1">
      <alignment wrapText="1"/>
    </xf>
    <xf numFmtId="0" fontId="0" fillId="63" borderId="57" xfId="0" applyFill="1" applyBorder="1" applyAlignment="1">
      <alignment wrapText="1"/>
    </xf>
    <xf numFmtId="0" fontId="0" fillId="63" borderId="81" xfId="0" applyFill="1" applyBorder="1" applyAlignment="1">
      <alignment wrapText="1"/>
    </xf>
    <xf numFmtId="3" fontId="0" fillId="63" borderId="6" xfId="0" applyNumberFormat="1" applyFill="1" applyBorder="1" applyAlignment="1">
      <alignment wrapText="1"/>
    </xf>
    <xf numFmtId="3" fontId="0" fillId="63" borderId="81" xfId="0" applyNumberFormat="1" applyFill="1" applyBorder="1" applyAlignment="1">
      <alignment wrapText="1"/>
    </xf>
    <xf numFmtId="3" fontId="0" fillId="63" borderId="57" xfId="0" applyNumberFormat="1" applyFill="1" applyBorder="1" applyAlignment="1">
      <alignment wrapText="1"/>
    </xf>
    <xf numFmtId="166" fontId="0" fillId="0" borderId="0" xfId="8" applyFont="1" applyAlignment="1">
      <alignment vertical="top" wrapText="1"/>
    </xf>
    <xf numFmtId="1" fontId="0" fillId="63" borderId="81" xfId="0" applyNumberFormat="1" applyFill="1" applyBorder="1" applyAlignment="1">
      <alignment wrapText="1"/>
    </xf>
    <xf numFmtId="0" fontId="14" fillId="57" borderId="76" xfId="0" applyFont="1" applyFill="1" applyBorder="1" applyAlignment="1">
      <alignment horizontal="center" vertical="top"/>
    </xf>
    <xf numFmtId="0" fontId="14" fillId="57" borderId="96" xfId="0" applyFont="1" applyFill="1" applyBorder="1" applyAlignment="1">
      <alignment horizontal="center" vertical="top"/>
    </xf>
    <xf numFmtId="0" fontId="0" fillId="0" borderId="73" xfId="0" applyBorder="1"/>
    <xf numFmtId="0" fontId="14" fillId="57" borderId="55" xfId="0" applyFont="1" applyFill="1" applyBorder="1" applyAlignment="1">
      <alignment horizontal="center" vertical="top"/>
    </xf>
    <xf numFmtId="0" fontId="14" fillId="57" borderId="64" xfId="0" applyFont="1" applyFill="1" applyBorder="1" applyAlignment="1">
      <alignment horizontal="left" vertical="center" wrapText="1"/>
    </xf>
    <xf numFmtId="0" fontId="14" fillId="57" borderId="102" xfId="0" applyFont="1" applyFill="1" applyBorder="1" applyAlignment="1">
      <alignment horizontal="left" vertical="center" wrapText="1"/>
    </xf>
    <xf numFmtId="166" fontId="14" fillId="56" borderId="64" xfId="8" applyFont="1" applyFill="1" applyBorder="1" applyAlignment="1" applyProtection="1">
      <alignment horizontal="right" vertical="center" wrapText="1"/>
    </xf>
    <xf numFmtId="0" fontId="14" fillId="0" borderId="25" xfId="0" applyFont="1" applyBorder="1"/>
    <xf numFmtId="166" fontId="14" fillId="56" borderId="94" xfId="8" quotePrefix="1" applyFont="1" applyFill="1" applyBorder="1" applyAlignment="1" applyProtection="1">
      <alignment horizontal="right" vertical="center" wrapText="1"/>
    </xf>
    <xf numFmtId="166" fontId="14" fillId="56" borderId="65" xfId="8" quotePrefix="1" applyFont="1" applyFill="1" applyBorder="1" applyAlignment="1" applyProtection="1">
      <alignment horizontal="right" vertical="center" wrapText="1"/>
    </xf>
    <xf numFmtId="0" fontId="14" fillId="57" borderId="93" xfId="0" applyFont="1" applyFill="1" applyBorder="1" applyAlignment="1">
      <alignment horizontal="center" vertical="top"/>
    </xf>
    <xf numFmtId="0" fontId="0" fillId="57" borderId="27" xfId="0" applyFill="1" applyBorder="1" applyAlignment="1">
      <alignment horizontal="left" vertical="center" wrapText="1"/>
    </xf>
    <xf numFmtId="166" fontId="0" fillId="56" borderId="27" xfId="8" applyFont="1" applyFill="1" applyBorder="1" applyAlignment="1">
      <alignment horizontal="right" vertical="center" wrapText="1"/>
    </xf>
    <xf numFmtId="0" fontId="0" fillId="57" borderId="25" xfId="0" applyFill="1" applyBorder="1" applyAlignment="1">
      <alignment horizontal="left" vertical="center" wrapText="1"/>
    </xf>
    <xf numFmtId="166" fontId="0" fillId="56" borderId="25" xfId="8" applyFont="1" applyFill="1" applyBorder="1" applyAlignment="1">
      <alignment horizontal="right" vertical="center" wrapText="1"/>
    </xf>
    <xf numFmtId="0" fontId="14" fillId="57" borderId="117" xfId="0" applyFont="1" applyFill="1" applyBorder="1" applyAlignment="1">
      <alignment horizontal="left" vertical="center" wrapText="1"/>
    </xf>
    <xf numFmtId="166" fontId="14" fillId="56" borderId="7" xfId="8" applyFont="1" applyFill="1" applyBorder="1" applyAlignment="1" applyProtection="1">
      <alignment horizontal="right" vertical="center" wrapText="1"/>
    </xf>
    <xf numFmtId="166" fontId="0" fillId="56" borderId="69" xfId="8" applyFont="1" applyFill="1" applyBorder="1" applyAlignment="1">
      <alignment horizontal="right" vertical="center" wrapText="1"/>
    </xf>
    <xf numFmtId="166" fontId="14" fillId="56" borderId="108" xfId="8" applyFont="1" applyFill="1" applyBorder="1"/>
    <xf numFmtId="166" fontId="14" fillId="56" borderId="101" xfId="8" applyFont="1" applyFill="1" applyBorder="1"/>
    <xf numFmtId="166" fontId="14" fillId="56" borderId="83" xfId="0" applyNumberFormat="1" applyFont="1" applyFill="1" applyBorder="1"/>
    <xf numFmtId="0" fontId="0" fillId="0" borderId="56" xfId="0" applyBorder="1" applyAlignment="1">
      <alignment horizontal="left"/>
    </xf>
    <xf numFmtId="3" fontId="14" fillId="0" borderId="56" xfId="8" applyNumberFormat="1" applyFont="1" applyBorder="1"/>
    <xf numFmtId="0" fontId="14" fillId="57" borderId="6" xfId="0" applyFont="1" applyFill="1" applyBorder="1" applyAlignment="1">
      <alignment horizontal="left" vertical="center" wrapText="1"/>
    </xf>
    <xf numFmtId="0" fontId="14" fillId="57" borderId="104" xfId="0" applyFont="1" applyFill="1" applyBorder="1" applyAlignment="1">
      <alignment horizontal="left" vertical="center" wrapText="1"/>
    </xf>
    <xf numFmtId="166" fontId="0" fillId="56" borderId="60" xfId="8" applyFont="1" applyFill="1" applyBorder="1" applyAlignment="1">
      <alignment horizontal="right" vertical="center" wrapText="1"/>
    </xf>
    <xf numFmtId="166" fontId="0" fillId="56" borderId="67" xfId="8" applyFont="1" applyFill="1" applyBorder="1" applyAlignment="1">
      <alignment horizontal="right" vertical="center" wrapText="1"/>
    </xf>
    <xf numFmtId="166" fontId="0" fillId="56" borderId="75" xfId="8" applyFont="1" applyFill="1" applyBorder="1" applyAlignment="1">
      <alignment horizontal="right" vertical="center" wrapText="1"/>
    </xf>
    <xf numFmtId="166" fontId="0" fillId="56" borderId="4" xfId="8" applyFont="1" applyFill="1" applyBorder="1" applyAlignment="1">
      <alignment horizontal="right" vertical="center" wrapText="1"/>
    </xf>
    <xf numFmtId="166" fontId="14" fillId="56" borderId="4" xfId="8" applyFont="1" applyFill="1" applyBorder="1" applyAlignment="1" applyProtection="1">
      <alignment horizontal="right" vertical="center" wrapText="1"/>
    </xf>
    <xf numFmtId="166" fontId="14" fillId="58" borderId="81" xfId="8" applyFont="1" applyFill="1" applyBorder="1"/>
    <xf numFmtId="3" fontId="14" fillId="0" borderId="2" xfId="8" applyNumberFormat="1" applyFont="1" applyBorder="1"/>
    <xf numFmtId="166" fontId="0" fillId="3" borderId="6" xfId="8" applyFont="1" applyFill="1" applyBorder="1"/>
    <xf numFmtId="0" fontId="0" fillId="63" borderId="2" xfId="0" applyFill="1" applyBorder="1"/>
    <xf numFmtId="3" fontId="0" fillId="63" borderId="2" xfId="0" applyNumberFormat="1" applyFill="1" applyBorder="1"/>
    <xf numFmtId="0" fontId="0" fillId="63" borderId="6" xfId="0" applyFill="1" applyBorder="1"/>
    <xf numFmtId="3" fontId="0" fillId="63" borderId="6" xfId="0" applyNumberFormat="1" applyFill="1" applyBorder="1"/>
    <xf numFmtId="0" fontId="0" fillId="59" borderId="11" xfId="0" applyFill="1" applyBorder="1" applyAlignment="1">
      <alignment wrapText="1"/>
    </xf>
    <xf numFmtId="3" fontId="0" fillId="63" borderId="8" xfId="0" applyNumberFormat="1" applyFill="1" applyBorder="1" applyAlignment="1">
      <alignment wrapText="1"/>
    </xf>
    <xf numFmtId="0" fontId="0" fillId="59" borderId="5" xfId="0" applyFill="1" applyBorder="1"/>
    <xf numFmtId="3" fontId="0" fillId="63" borderId="72" xfId="0" applyNumberFormat="1" applyFill="1" applyBorder="1" applyAlignment="1">
      <alignment wrapText="1"/>
    </xf>
    <xf numFmtId="3" fontId="0" fillId="63" borderId="5" xfId="0" applyNumberFormat="1" applyFill="1" applyBorder="1" applyAlignment="1">
      <alignment wrapText="1"/>
    </xf>
    <xf numFmtId="0" fontId="0" fillId="59" borderId="57" xfId="0" applyFill="1" applyBorder="1" applyAlignment="1">
      <alignment horizontal="center" vertical="center"/>
    </xf>
    <xf numFmtId="0" fontId="0" fillId="59" borderId="73" xfId="0" applyFill="1" applyBorder="1"/>
    <xf numFmtId="0" fontId="0" fillId="59" borderId="108" xfId="0" applyFill="1" applyBorder="1"/>
    <xf numFmtId="3" fontId="0" fillId="63" borderId="81" xfId="0" applyNumberFormat="1" applyFill="1" applyBorder="1"/>
    <xf numFmtId="0" fontId="0" fillId="63" borderId="57" xfId="0" applyFill="1" applyBorder="1"/>
    <xf numFmtId="3" fontId="0" fillId="63" borderId="57" xfId="0" applyNumberFormat="1" applyFill="1" applyBorder="1"/>
    <xf numFmtId="0" fontId="0" fillId="63" borderId="58" xfId="0" applyFill="1" applyBorder="1"/>
    <xf numFmtId="3" fontId="0" fillId="63" borderId="58" xfId="0" applyNumberFormat="1" applyFill="1" applyBorder="1"/>
    <xf numFmtId="0" fontId="0" fillId="59" borderId="0" xfId="0" applyFill="1"/>
    <xf numFmtId="0" fontId="0" fillId="59" borderId="81" xfId="0" applyFill="1" applyBorder="1"/>
    <xf numFmtId="3" fontId="75" fillId="63" borderId="101" xfId="0" applyNumberFormat="1" applyFont="1" applyFill="1" applyBorder="1"/>
    <xf numFmtId="3" fontId="0" fillId="63" borderId="90" xfId="0" applyNumberFormat="1" applyFill="1" applyBorder="1"/>
    <xf numFmtId="3" fontId="0" fillId="63" borderId="94" xfId="0" applyNumberFormat="1" applyFill="1" applyBorder="1"/>
    <xf numFmtId="0" fontId="0" fillId="63" borderId="82" xfId="0" applyFill="1" applyBorder="1"/>
    <xf numFmtId="0" fontId="0" fillId="63" borderId="83" xfId="0" applyFill="1" applyBorder="1"/>
    <xf numFmtId="0" fontId="0" fillId="63" borderId="59" xfId="0" applyFill="1" applyBorder="1"/>
    <xf numFmtId="0" fontId="0" fillId="63" borderId="60" xfId="0" applyFill="1" applyBorder="1"/>
    <xf numFmtId="0" fontId="0" fillId="0" borderId="101" xfId="0" applyBorder="1" applyAlignment="1">
      <alignment horizontal="center"/>
    </xf>
    <xf numFmtId="0" fontId="0" fillId="0" borderId="82" xfId="0" applyBorder="1" applyAlignment="1">
      <alignment horizontal="center"/>
    </xf>
    <xf numFmtId="43" fontId="14" fillId="0" borderId="0" xfId="0" applyNumberFormat="1" applyFont="1"/>
    <xf numFmtId="0" fontId="14" fillId="58" borderId="56" xfId="0" applyFont="1" applyFill="1" applyBorder="1" applyAlignment="1">
      <alignment horizontal="left" vertical="top" wrapText="1"/>
    </xf>
    <xf numFmtId="0" fontId="0" fillId="58" borderId="78" xfId="0" applyFill="1" applyBorder="1" applyAlignment="1">
      <alignment horizontal="left" vertical="top" wrapText="1"/>
    </xf>
    <xf numFmtId="3" fontId="21" fillId="0" borderId="2" xfId="0" applyNumberFormat="1" applyFont="1" applyBorder="1" applyAlignment="1">
      <alignment horizontal="center"/>
    </xf>
    <xf numFmtId="166" fontId="61" fillId="0" borderId="0" xfId="8" applyFont="1" applyFill="1" applyBorder="1" applyAlignment="1">
      <alignment vertical="top" wrapText="1"/>
    </xf>
    <xf numFmtId="167" fontId="61" fillId="0" borderId="0" xfId="8" applyNumberFormat="1" applyFont="1" applyFill="1" applyBorder="1" applyProtection="1"/>
    <xf numFmtId="166" fontId="69" fillId="0" borderId="0" xfId="8" applyFont="1"/>
    <xf numFmtId="166" fontId="77" fillId="0" borderId="0" xfId="8" applyFont="1"/>
    <xf numFmtId="3" fontId="75" fillId="0" borderId="57" xfId="8" applyNumberFormat="1" applyFont="1" applyFill="1" applyBorder="1" applyProtection="1"/>
    <xf numFmtId="3" fontId="75" fillId="0" borderId="2" xfId="8" applyNumberFormat="1" applyFont="1" applyFill="1" applyBorder="1" applyProtection="1"/>
    <xf numFmtId="3" fontId="61" fillId="0" borderId="58" xfId="8" applyNumberFormat="1" applyFont="1" applyFill="1" applyBorder="1" applyProtection="1"/>
    <xf numFmtId="0" fontId="14" fillId="3" borderId="0" xfId="0" applyFont="1" applyFill="1" applyAlignment="1">
      <alignment horizontal="center" vertical="top" wrapText="1"/>
    </xf>
    <xf numFmtId="0" fontId="0" fillId="0" borderId="56" xfId="0" applyBorder="1"/>
    <xf numFmtId="3" fontId="14" fillId="0" borderId="6" xfId="0" applyNumberFormat="1" applyFont="1" applyBorder="1" applyAlignment="1">
      <alignment horizontal="right"/>
    </xf>
    <xf numFmtId="0" fontId="14" fillId="58" borderId="76" xfId="0" applyFont="1" applyFill="1" applyBorder="1" applyAlignment="1">
      <alignment horizontal="left" vertical="top" wrapText="1"/>
    </xf>
    <xf numFmtId="0" fontId="14" fillId="0" borderId="56" xfId="0" quotePrefix="1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0" fontId="14" fillId="58" borderId="56" xfId="0" quotePrefix="1" applyFont="1" applyFill="1" applyBorder="1" applyAlignment="1">
      <alignment horizontal="left" vertical="top" wrapText="1"/>
    </xf>
    <xf numFmtId="0" fontId="0" fillId="0" borderId="56" xfId="0" quotePrefix="1" applyBorder="1" applyAlignment="1">
      <alignment horizontal="left" vertical="top" wrapText="1"/>
    </xf>
    <xf numFmtId="166" fontId="14" fillId="3" borderId="124" xfId="8" applyFont="1" applyFill="1" applyBorder="1"/>
    <xf numFmtId="166" fontId="0" fillId="3" borderId="124" xfId="8" applyFont="1" applyFill="1" applyBorder="1"/>
    <xf numFmtId="166" fontId="14" fillId="56" borderId="124" xfId="8" applyFont="1" applyFill="1" applyBorder="1"/>
    <xf numFmtId="166" fontId="14" fillId="58" borderId="124" xfId="8" applyFont="1" applyFill="1" applyBorder="1"/>
    <xf numFmtId="166" fontId="0" fillId="56" borderId="124" xfId="8" applyFont="1" applyFill="1" applyBorder="1"/>
    <xf numFmtId="166" fontId="14" fillId="58" borderId="125" xfId="8" applyFont="1" applyFill="1" applyBorder="1"/>
    <xf numFmtId="166" fontId="14" fillId="58" borderId="126" xfId="8" applyFont="1" applyFill="1" applyBorder="1"/>
    <xf numFmtId="166" fontId="0" fillId="58" borderId="124" xfId="8" applyFont="1" applyFill="1" applyBorder="1"/>
    <xf numFmtId="0" fontId="0" fillId="63" borderId="124" xfId="0" applyFill="1" applyBorder="1"/>
    <xf numFmtId="3" fontId="21" fillId="0" borderId="129" xfId="0" applyNumberFormat="1" applyFont="1" applyBorder="1" applyAlignment="1">
      <alignment horizontal="center" vertical="center"/>
    </xf>
    <xf numFmtId="3" fontId="21" fillId="0" borderId="130" xfId="0" applyNumberFormat="1" applyFont="1" applyBorder="1" applyAlignment="1">
      <alignment horizontal="center" vertical="center"/>
    </xf>
    <xf numFmtId="166" fontId="14" fillId="58" borderId="131" xfId="8" applyFont="1" applyFill="1" applyBorder="1"/>
    <xf numFmtId="166" fontId="14" fillId="3" borderId="133" xfId="8" applyFont="1" applyFill="1" applyBorder="1"/>
    <xf numFmtId="166" fontId="0" fillId="3" borderId="133" xfId="8" applyFont="1" applyFill="1" applyBorder="1"/>
    <xf numFmtId="166" fontId="14" fillId="58" borderId="133" xfId="8" applyFont="1" applyFill="1" applyBorder="1"/>
    <xf numFmtId="166" fontId="21" fillId="58" borderId="134" xfId="8" applyFont="1" applyFill="1" applyBorder="1"/>
    <xf numFmtId="166" fontId="14" fillId="56" borderId="133" xfId="8" applyFont="1" applyFill="1" applyBorder="1"/>
    <xf numFmtId="166" fontId="0" fillId="56" borderId="133" xfId="8" applyFont="1" applyFill="1" applyBorder="1"/>
    <xf numFmtId="166" fontId="0" fillId="56" borderId="129" xfId="8" applyFont="1" applyFill="1" applyBorder="1"/>
    <xf numFmtId="166" fontId="21" fillId="0" borderId="136" xfId="8" applyFont="1" applyBorder="1"/>
    <xf numFmtId="166" fontId="21" fillId="0" borderId="120" xfId="8" applyFont="1" applyBorder="1"/>
    <xf numFmtId="166" fontId="21" fillId="0" borderId="137" xfId="8" applyFont="1" applyBorder="1"/>
    <xf numFmtId="0" fontId="21" fillId="0" borderId="76" xfId="0" applyFont="1" applyBorder="1" applyAlignment="1">
      <alignment horizontal="left" vertical="top" wrapText="1"/>
    </xf>
    <xf numFmtId="0" fontId="21" fillId="0" borderId="56" xfId="0" quotePrefix="1" applyFont="1" applyBorder="1" applyAlignment="1">
      <alignment horizontal="left"/>
    </xf>
    <xf numFmtId="0" fontId="21" fillId="0" borderId="78" xfId="0" applyFont="1" applyBorder="1" applyAlignment="1">
      <alignment horizontal="left" vertical="center" wrapText="1"/>
    </xf>
    <xf numFmtId="0" fontId="0" fillId="58" borderId="56" xfId="0" applyFill="1" applyBorder="1" applyAlignment="1">
      <alignment horizontal="left" vertical="top" wrapText="1"/>
    </xf>
    <xf numFmtId="166" fontId="21" fillId="0" borderId="75" xfId="8" applyFont="1" applyBorder="1" applyAlignment="1">
      <alignment horizontal="center" vertical="top" wrapText="1"/>
    </xf>
    <xf numFmtId="3" fontId="21" fillId="0" borderId="104" xfId="0" applyNumberFormat="1" applyFont="1" applyBorder="1" applyAlignment="1">
      <alignment horizontal="center" vertical="center"/>
    </xf>
    <xf numFmtId="166" fontId="21" fillId="0" borderId="141" xfId="8" applyFont="1" applyBorder="1" applyAlignment="1">
      <alignment horizontal="center" vertical="top" wrapText="1"/>
    </xf>
    <xf numFmtId="166" fontId="21" fillId="0" borderId="142" xfId="8" applyFont="1" applyBorder="1" applyAlignment="1">
      <alignment horizontal="center" vertical="top" wrapText="1"/>
    </xf>
    <xf numFmtId="3" fontId="21" fillId="0" borderId="143" xfId="0" applyNumberFormat="1" applyFont="1" applyBorder="1" applyAlignment="1">
      <alignment horizontal="center" vertical="center"/>
    </xf>
    <xf numFmtId="3" fontId="21" fillId="0" borderId="144" xfId="0" applyNumberFormat="1" applyFont="1" applyBorder="1" applyAlignment="1">
      <alignment horizontal="center" vertical="center"/>
    </xf>
    <xf numFmtId="166" fontId="14" fillId="58" borderId="129" xfId="8" applyFont="1" applyFill="1" applyBorder="1"/>
    <xf numFmtId="166" fontId="14" fillId="58" borderId="134" xfId="8" applyFont="1" applyFill="1" applyBorder="1"/>
    <xf numFmtId="166" fontId="14" fillId="56" borderId="129" xfId="8" applyFont="1" applyFill="1" applyBorder="1"/>
    <xf numFmtId="167" fontId="14" fillId="56" borderId="134" xfId="8" applyNumberFormat="1" applyFont="1" applyFill="1" applyBorder="1"/>
    <xf numFmtId="166" fontId="14" fillId="58" borderId="98" xfId="8" applyFont="1" applyFill="1" applyBorder="1"/>
    <xf numFmtId="166" fontId="14" fillId="56" borderId="134" xfId="8" applyFont="1" applyFill="1" applyBorder="1"/>
    <xf numFmtId="166" fontId="14" fillId="58" borderId="145" xfId="8" applyFont="1" applyFill="1" applyBorder="1"/>
    <xf numFmtId="166" fontId="0" fillId="56" borderId="134" xfId="8" applyFont="1" applyFill="1" applyBorder="1"/>
    <xf numFmtId="166" fontId="21" fillId="0" borderId="148" xfId="8" applyFont="1" applyBorder="1"/>
    <xf numFmtId="166" fontId="21" fillId="0" borderId="104" xfId="8" applyFont="1" applyBorder="1"/>
    <xf numFmtId="166" fontId="21" fillId="0" borderId="63" xfId="0" applyNumberFormat="1" applyFont="1" applyBorder="1" applyAlignment="1">
      <alignment horizontal="right" wrapText="1"/>
    </xf>
    <xf numFmtId="166" fontId="21" fillId="0" borderId="64" xfId="0" applyNumberFormat="1" applyFont="1" applyBorder="1" applyAlignment="1">
      <alignment horizontal="right" wrapText="1"/>
    </xf>
    <xf numFmtId="166" fontId="21" fillId="0" borderId="79" xfId="0" applyNumberFormat="1" applyFont="1" applyBorder="1" applyAlignment="1">
      <alignment horizontal="right" wrapText="1"/>
    </xf>
    <xf numFmtId="166" fontId="21" fillId="0" borderId="65" xfId="0" applyNumberFormat="1" applyFont="1" applyBorder="1" applyAlignment="1">
      <alignment horizontal="right" wrapText="1"/>
    </xf>
    <xf numFmtId="166" fontId="21" fillId="0" borderId="65" xfId="8" applyFont="1" applyFill="1" applyBorder="1" applyAlignment="1" applyProtection="1">
      <alignment horizontal="right" wrapText="1" indent="1"/>
    </xf>
    <xf numFmtId="0" fontId="21" fillId="0" borderId="149" xfId="0" applyFont="1" applyBorder="1" applyAlignment="1">
      <alignment horizontal="center" vertical="center"/>
    </xf>
    <xf numFmtId="0" fontId="21" fillId="0" borderId="151" xfId="0" applyFont="1" applyBorder="1" applyAlignment="1">
      <alignment horizontal="center" vertical="center" wrapText="1"/>
    </xf>
    <xf numFmtId="166" fontId="21" fillId="0" borderId="152" xfId="8" applyFont="1" applyBorder="1" applyAlignment="1">
      <alignment horizontal="center" vertical="center" wrapText="1"/>
    </xf>
    <xf numFmtId="166" fontId="21" fillId="0" borderId="127" xfId="8" applyFont="1" applyBorder="1" applyAlignment="1">
      <alignment horizontal="center" vertical="center" wrapText="1"/>
    </xf>
    <xf numFmtId="166" fontId="21" fillId="0" borderId="128" xfId="8" applyFont="1" applyBorder="1" applyAlignment="1">
      <alignment horizontal="center" vertical="center" wrapText="1"/>
    </xf>
    <xf numFmtId="0" fontId="14" fillId="0" borderId="143" xfId="0" quotePrefix="1" applyFont="1" applyBorder="1" applyAlignment="1">
      <alignment horizontal="left"/>
    </xf>
    <xf numFmtId="3" fontId="21" fillId="0" borderId="144" xfId="0" applyNumberFormat="1" applyFont="1" applyBorder="1" applyAlignment="1">
      <alignment horizontal="center"/>
    </xf>
    <xf numFmtId="0" fontId="14" fillId="57" borderId="129" xfId="0" applyFont="1" applyFill="1" applyBorder="1" applyAlignment="1">
      <alignment horizontal="center" vertical="top"/>
    </xf>
    <xf numFmtId="166" fontId="14" fillId="56" borderId="153" xfId="8" applyFont="1" applyFill="1" applyBorder="1" applyAlignment="1" applyProtection="1">
      <alignment horizontal="right" vertical="center" wrapText="1"/>
    </xf>
    <xf numFmtId="166" fontId="14" fillId="56" borderId="154" xfId="8" applyFont="1" applyFill="1" applyBorder="1" applyAlignment="1" applyProtection="1">
      <alignment horizontal="right" vertical="center" wrapText="1"/>
    </xf>
    <xf numFmtId="0" fontId="14" fillId="57" borderId="143" xfId="0" applyFont="1" applyFill="1" applyBorder="1" applyAlignment="1">
      <alignment horizontal="center" vertical="center"/>
    </xf>
    <xf numFmtId="0" fontId="14" fillId="57" borderId="129" xfId="0" applyFont="1" applyFill="1" applyBorder="1" applyAlignment="1">
      <alignment horizontal="center" vertical="center"/>
    </xf>
    <xf numFmtId="166" fontId="14" fillId="56" borderId="155" xfId="8" applyFont="1" applyFill="1" applyBorder="1" applyAlignment="1" applyProtection="1">
      <alignment horizontal="right" vertical="center" wrapText="1"/>
    </xf>
    <xf numFmtId="166" fontId="21" fillId="57" borderId="156" xfId="0" applyNumberFormat="1" applyFont="1" applyFill="1" applyBorder="1" applyAlignment="1">
      <alignment horizontal="left"/>
    </xf>
    <xf numFmtId="166" fontId="21" fillId="57" borderId="157" xfId="0" applyNumberFormat="1" applyFont="1" applyFill="1" applyBorder="1" applyAlignment="1">
      <alignment horizontal="left"/>
    </xf>
    <xf numFmtId="166" fontId="21" fillId="57" borderId="62" xfId="8" applyFont="1" applyFill="1" applyBorder="1"/>
    <xf numFmtId="166" fontId="21" fillId="57" borderId="159" xfId="0" applyNumberFormat="1" applyFont="1" applyFill="1" applyBorder="1" applyAlignment="1">
      <alignment horizontal="right"/>
    </xf>
    <xf numFmtId="166" fontId="21" fillId="57" borderId="62" xfId="0" applyNumberFormat="1" applyFont="1" applyFill="1" applyBorder="1" applyAlignment="1">
      <alignment horizontal="right"/>
    </xf>
    <xf numFmtId="166" fontId="21" fillId="57" borderId="157" xfId="0" applyNumberFormat="1" applyFont="1" applyFill="1" applyBorder="1"/>
    <xf numFmtId="166" fontId="21" fillId="0" borderId="160" xfId="8" applyFont="1" applyFill="1" applyBorder="1" applyAlignment="1" applyProtection="1">
      <alignment horizontal="right" wrapText="1" indent="1"/>
    </xf>
    <xf numFmtId="166" fontId="21" fillId="57" borderId="61" xfId="0" applyNumberFormat="1" applyFont="1" applyFill="1" applyBorder="1"/>
    <xf numFmtId="166" fontId="21" fillId="0" borderId="102" xfId="8" applyFont="1" applyFill="1" applyBorder="1" applyAlignment="1" applyProtection="1">
      <alignment horizontal="right" wrapText="1" indent="1"/>
    </xf>
    <xf numFmtId="166" fontId="21" fillId="0" borderId="104" xfId="8" applyFont="1" applyBorder="1" applyAlignment="1">
      <alignment horizontal="right"/>
    </xf>
    <xf numFmtId="166" fontId="21" fillId="0" borderId="26" xfId="8" applyFont="1" applyBorder="1" applyAlignment="1">
      <alignment horizontal="right"/>
    </xf>
    <xf numFmtId="166" fontId="21" fillId="0" borderId="60" xfId="8" applyFont="1" applyBorder="1" applyAlignment="1">
      <alignment horizontal="right"/>
    </xf>
    <xf numFmtId="3" fontId="14" fillId="0" borderId="94" xfId="0" applyNumberFormat="1" applyFont="1" applyBorder="1" applyAlignment="1">
      <alignment horizontal="right" vertical="top" wrapText="1"/>
    </xf>
    <xf numFmtId="3" fontId="14" fillId="0" borderId="58" xfId="0" applyNumberFormat="1" applyFont="1" applyBorder="1" applyAlignment="1">
      <alignment horizontal="right" vertical="top" wrapText="1"/>
    </xf>
    <xf numFmtId="3" fontId="14" fillId="0" borderId="60" xfId="0" applyNumberFormat="1" applyFont="1" applyBorder="1" applyAlignment="1">
      <alignment horizontal="right" vertical="top" wrapText="1"/>
    </xf>
    <xf numFmtId="0" fontId="14" fillId="0" borderId="161" xfId="0" quotePrefix="1" applyFont="1" applyBorder="1" applyAlignment="1">
      <alignment horizontal="center"/>
    </xf>
    <xf numFmtId="3" fontId="21" fillId="0" borderId="152" xfId="0" applyNumberFormat="1" applyFont="1" applyBorder="1" applyAlignment="1">
      <alignment horizontal="center" vertical="top" wrapText="1"/>
    </xf>
    <xf numFmtId="3" fontId="21" fillId="0" borderId="150" xfId="0" applyNumberFormat="1" applyFont="1" applyBorder="1" applyAlignment="1">
      <alignment horizontal="center" vertical="top" wrapText="1"/>
    </xf>
    <xf numFmtId="3" fontId="21" fillId="0" borderId="162" xfId="0" applyNumberFormat="1" applyFont="1" applyBorder="1" applyAlignment="1">
      <alignment horizontal="center" vertical="top" wrapText="1"/>
    </xf>
    <xf numFmtId="0" fontId="21" fillId="0" borderId="163" xfId="0" quotePrefix="1" applyFont="1" applyBorder="1" applyAlignment="1">
      <alignment horizontal="left" vertical="center"/>
    </xf>
    <xf numFmtId="0" fontId="14" fillId="0" borderId="164" xfId="0" quotePrefix="1" applyFont="1" applyBorder="1" applyAlignment="1">
      <alignment horizontal="left"/>
    </xf>
    <xf numFmtId="3" fontId="14" fillId="0" borderId="132" xfId="0" applyNumberFormat="1" applyFont="1" applyBorder="1" applyAlignment="1">
      <alignment horizontal="right" vertical="top" wrapText="1"/>
    </xf>
    <xf numFmtId="0" fontId="14" fillId="0" borderId="165" xfId="0" quotePrefix="1" applyFont="1" applyBorder="1" applyAlignment="1">
      <alignment horizontal="left"/>
    </xf>
    <xf numFmtId="3" fontId="14" fillId="0" borderId="98" xfId="0" applyNumberFormat="1" applyFont="1" applyBorder="1" applyAlignment="1">
      <alignment horizontal="right" vertical="top" wrapText="1"/>
    </xf>
    <xf numFmtId="0" fontId="14" fillId="0" borderId="163" xfId="0" applyFont="1" applyBorder="1"/>
    <xf numFmtId="3" fontId="14" fillId="0" borderId="166" xfId="0" applyNumberFormat="1" applyFont="1" applyBorder="1" applyAlignment="1">
      <alignment horizontal="right" vertical="top" wrapText="1"/>
    </xf>
    <xf numFmtId="166" fontId="17" fillId="0" borderId="167" xfId="0" applyNumberFormat="1" applyFont="1" applyBorder="1"/>
    <xf numFmtId="0" fontId="21" fillId="0" borderId="161" xfId="0" applyFont="1" applyBorder="1" applyAlignment="1">
      <alignment horizontal="right" vertical="center" wrapText="1"/>
    </xf>
    <xf numFmtId="3" fontId="21" fillId="0" borderId="127" xfId="0" applyNumberFormat="1" applyFont="1" applyBorder="1" applyAlignment="1">
      <alignment horizontal="center" vertical="top" wrapText="1"/>
    </xf>
    <xf numFmtId="3" fontId="21" fillId="0" borderId="128" xfId="0" applyNumberFormat="1" applyFont="1" applyBorder="1" applyAlignment="1">
      <alignment horizontal="center" vertical="top" wrapText="1"/>
    </xf>
    <xf numFmtId="0" fontId="21" fillId="0" borderId="163" xfId="0" quotePrefix="1" applyFont="1" applyBorder="1" applyAlignment="1">
      <alignment horizontal="left"/>
    </xf>
    <xf numFmtId="0" fontId="0" fillId="0" borderId="164" xfId="0" applyBorder="1" applyAlignment="1">
      <alignment horizontal="left"/>
    </xf>
    <xf numFmtId="3" fontId="0" fillId="0" borderId="132" xfId="0" applyNumberFormat="1" applyBorder="1" applyAlignment="1">
      <alignment horizontal="right"/>
    </xf>
    <xf numFmtId="0" fontId="0" fillId="0" borderId="165" xfId="0" applyBorder="1" applyAlignment="1">
      <alignment horizontal="left"/>
    </xf>
    <xf numFmtId="3" fontId="0" fillId="0" borderId="134" xfId="0" applyNumberFormat="1" applyBorder="1" applyAlignment="1">
      <alignment horizontal="right"/>
    </xf>
    <xf numFmtId="3" fontId="0" fillId="0" borderId="98" xfId="0" applyNumberFormat="1" applyBorder="1" applyAlignment="1">
      <alignment horizontal="right"/>
    </xf>
    <xf numFmtId="0" fontId="0" fillId="0" borderId="163" xfId="0" applyBorder="1" applyAlignment="1">
      <alignment horizontal="left"/>
    </xf>
    <xf numFmtId="3" fontId="0" fillId="0" borderId="144" xfId="0" applyNumberFormat="1" applyBorder="1" applyAlignment="1">
      <alignment horizontal="right"/>
    </xf>
    <xf numFmtId="0" fontId="0" fillId="0" borderId="168" xfId="0" applyBorder="1" applyAlignment="1">
      <alignment horizontal="left"/>
    </xf>
    <xf numFmtId="3" fontId="0" fillId="0" borderId="155" xfId="0" applyNumberFormat="1" applyBorder="1" applyAlignment="1">
      <alignment horizontal="right"/>
    </xf>
    <xf numFmtId="3" fontId="0" fillId="0" borderId="153" xfId="0" applyNumberFormat="1" applyBorder="1" applyAlignment="1">
      <alignment horizontal="right"/>
    </xf>
    <xf numFmtId="0" fontId="21" fillId="0" borderId="169" xfId="0" quotePrefix="1" applyFont="1" applyBorder="1" applyAlignment="1">
      <alignment horizontal="left"/>
    </xf>
    <xf numFmtId="3" fontId="21" fillId="0" borderId="121" xfId="0" applyNumberFormat="1" applyFont="1" applyBorder="1" applyAlignment="1">
      <alignment horizontal="right"/>
    </xf>
    <xf numFmtId="3" fontId="21" fillId="0" borderId="170" xfId="0" applyNumberFormat="1" applyFont="1" applyBorder="1" applyAlignment="1">
      <alignment horizontal="right"/>
    </xf>
    <xf numFmtId="3" fontId="21" fillId="0" borderId="130" xfId="0" applyNumberFormat="1" applyFont="1" applyBorder="1" applyAlignment="1">
      <alignment horizontal="center"/>
    </xf>
    <xf numFmtId="3" fontId="0" fillId="0" borderId="132" xfId="8" applyNumberFormat="1" applyFont="1" applyBorder="1"/>
    <xf numFmtId="3" fontId="0" fillId="0" borderId="134" xfId="8" applyNumberFormat="1" applyFont="1" applyBorder="1"/>
    <xf numFmtId="0" fontId="0" fillId="0" borderId="165" xfId="0" applyBorder="1" applyAlignment="1">
      <alignment wrapText="1"/>
    </xf>
    <xf numFmtId="3" fontId="21" fillId="0" borderId="171" xfId="0" applyNumberFormat="1" applyFont="1" applyBorder="1"/>
    <xf numFmtId="3" fontId="21" fillId="0" borderId="172" xfId="0" applyNumberFormat="1" applyFont="1" applyBorder="1"/>
    <xf numFmtId="3" fontId="21" fillId="0" borderId="137" xfId="0" applyNumberFormat="1" applyFont="1" applyBorder="1"/>
    <xf numFmtId="166" fontId="21" fillId="0" borderId="122" xfId="8" applyFont="1" applyBorder="1" applyAlignment="1">
      <alignment horizontal="right"/>
    </xf>
    <xf numFmtId="166" fontId="21" fillId="0" borderId="123" xfId="8" applyFont="1" applyBorder="1" applyAlignment="1">
      <alignment horizontal="right"/>
    </xf>
    <xf numFmtId="166" fontId="21" fillId="0" borderId="147" xfId="8" applyFont="1" applyBorder="1" applyAlignment="1">
      <alignment horizontal="right"/>
    </xf>
    <xf numFmtId="166" fontId="21" fillId="0" borderId="59" xfId="8" applyFont="1" applyBorder="1" applyAlignment="1">
      <alignment horizontal="right"/>
    </xf>
    <xf numFmtId="3" fontId="14" fillId="0" borderId="150" xfId="0" applyNumberFormat="1" applyFont="1" applyBorder="1" applyAlignment="1">
      <alignment horizontal="right" vertical="top" wrapText="1"/>
    </xf>
    <xf numFmtId="3" fontId="14" fillId="0" borderId="162" xfId="0" applyNumberFormat="1" applyFont="1" applyBorder="1" applyAlignment="1">
      <alignment horizontal="right" vertical="top" wrapText="1"/>
    </xf>
    <xf numFmtId="3" fontId="14" fillId="0" borderId="129" xfId="0" applyNumberFormat="1" applyFont="1" applyBorder="1" applyAlignment="1">
      <alignment horizontal="right" vertical="top" wrapText="1"/>
    </xf>
    <xf numFmtId="3" fontId="14" fillId="0" borderId="134" xfId="0" applyNumberFormat="1" applyFont="1" applyBorder="1" applyAlignment="1">
      <alignment horizontal="right" vertical="top" wrapText="1"/>
    </xf>
    <xf numFmtId="3" fontId="14" fillId="0" borderId="146" xfId="0" applyNumberFormat="1" applyFont="1" applyBorder="1" applyAlignment="1">
      <alignment horizontal="right" vertical="top" wrapText="1"/>
    </xf>
    <xf numFmtId="3" fontId="14" fillId="0" borderId="122" xfId="0" applyNumberFormat="1" applyFont="1" applyBorder="1" applyAlignment="1">
      <alignment horizontal="right" vertical="top" wrapText="1"/>
    </xf>
    <xf numFmtId="3" fontId="14" fillId="0" borderId="158" xfId="0" applyNumberFormat="1" applyFont="1" applyBorder="1" applyAlignment="1">
      <alignment horizontal="right" vertical="top" wrapText="1"/>
    </xf>
    <xf numFmtId="0" fontId="21" fillId="0" borderId="161" xfId="0" applyFont="1" applyBorder="1" applyAlignment="1">
      <alignment horizontal="center" vertical="top" wrapText="1"/>
    </xf>
    <xf numFmtId="166" fontId="21" fillId="0" borderId="152" xfId="8" applyFont="1" applyBorder="1" applyAlignment="1">
      <alignment horizontal="center" vertical="top" wrapText="1"/>
    </xf>
    <xf numFmtId="166" fontId="21" fillId="0" borderId="150" xfId="8" applyFont="1" applyBorder="1" applyAlignment="1">
      <alignment horizontal="center" vertical="top" wrapText="1"/>
    </xf>
    <xf numFmtId="166" fontId="21" fillId="0" borderId="173" xfId="8" applyFont="1" applyBorder="1" applyAlignment="1">
      <alignment horizontal="center" vertical="top" wrapText="1"/>
    </xf>
    <xf numFmtId="166" fontId="21" fillId="0" borderId="162" xfId="8" applyFont="1" applyBorder="1" applyAlignment="1">
      <alignment horizontal="center" vertical="top" wrapText="1"/>
    </xf>
    <xf numFmtId="166" fontId="21" fillId="0" borderId="119" xfId="8" applyFont="1" applyBorder="1" applyAlignment="1">
      <alignment horizontal="right"/>
    </xf>
    <xf numFmtId="166" fontId="21" fillId="0" borderId="158" xfId="8" applyFont="1" applyBorder="1" applyAlignment="1">
      <alignment horizontal="right"/>
    </xf>
    <xf numFmtId="0" fontId="14" fillId="59" borderId="57" xfId="0" applyFont="1" applyFill="1" applyBorder="1" applyAlignment="1">
      <alignment horizontal="center" vertical="center"/>
    </xf>
    <xf numFmtId="0" fontId="14" fillId="59" borderId="11" xfId="0" applyFont="1" applyFill="1" applyBorder="1" applyAlignment="1">
      <alignment wrapText="1"/>
    </xf>
    <xf numFmtId="3" fontId="14" fillId="63" borderId="8" xfId="0" applyNumberFormat="1" applyFont="1" applyFill="1" applyBorder="1" applyAlignment="1">
      <alignment wrapText="1"/>
    </xf>
    <xf numFmtId="3" fontId="14" fillId="63" borderId="72" xfId="0" applyNumberFormat="1" applyFont="1" applyFill="1" applyBorder="1" applyAlignment="1">
      <alignment wrapText="1"/>
    </xf>
    <xf numFmtId="0" fontId="14" fillId="59" borderId="5" xfId="0" applyFont="1" applyFill="1" applyBorder="1"/>
    <xf numFmtId="3" fontId="14" fillId="63" borderId="5" xfId="0" applyNumberFormat="1" applyFont="1" applyFill="1" applyBorder="1" applyAlignment="1">
      <alignment wrapText="1"/>
    </xf>
    <xf numFmtId="0" fontId="14" fillId="59" borderId="5" xfId="0" applyFont="1" applyFill="1" applyBorder="1" applyAlignment="1">
      <alignment wrapText="1"/>
    </xf>
    <xf numFmtId="166" fontId="0" fillId="58" borderId="110" xfId="8" applyFont="1" applyFill="1" applyBorder="1"/>
    <xf numFmtId="166" fontId="0" fillId="58" borderId="68" xfId="8" applyFont="1" applyFill="1" applyBorder="1"/>
    <xf numFmtId="166" fontId="0" fillId="58" borderId="4" xfId="8" applyFont="1" applyFill="1" applyBorder="1"/>
    <xf numFmtId="3" fontId="78" fillId="0" borderId="0" xfId="0" applyNumberFormat="1" applyFont="1"/>
    <xf numFmtId="3" fontId="14" fillId="0" borderId="59" xfId="8" applyNumberFormat="1" applyFont="1" applyFill="1" applyBorder="1" applyProtection="1"/>
    <xf numFmtId="166" fontId="14" fillId="58" borderId="115" xfId="8" applyFont="1" applyFill="1" applyBorder="1" applyAlignment="1" applyProtection="1">
      <alignment vertical="top" wrapText="1"/>
    </xf>
    <xf numFmtId="166" fontId="14" fillId="57" borderId="81" xfId="8" applyFont="1" applyFill="1" applyBorder="1" applyAlignment="1" applyProtection="1">
      <alignment vertical="top" wrapText="1"/>
    </xf>
    <xf numFmtId="166" fontId="21" fillId="0" borderId="62" xfId="8" applyFont="1" applyBorder="1"/>
    <xf numFmtId="166" fontId="14" fillId="58" borderId="95" xfId="8" applyFont="1" applyFill="1" applyBorder="1" applyAlignment="1" applyProtection="1">
      <alignment vertical="top" wrapText="1"/>
    </xf>
    <xf numFmtId="166" fontId="14" fillId="57" borderId="57" xfId="8" applyFont="1" applyFill="1" applyBorder="1" applyAlignment="1" applyProtection="1">
      <alignment vertical="top" wrapText="1"/>
    </xf>
    <xf numFmtId="166" fontId="0" fillId="57" borderId="57" xfId="8" applyFont="1" applyFill="1" applyBorder="1" applyAlignment="1">
      <alignment vertical="top" wrapText="1"/>
    </xf>
    <xf numFmtId="166" fontId="22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left"/>
    </xf>
    <xf numFmtId="0" fontId="14" fillId="0" borderId="0" xfId="0" applyFont="1" applyAlignment="1">
      <alignment horizontal="left" vertical="top"/>
    </xf>
    <xf numFmtId="0" fontId="21" fillId="0" borderId="30" xfId="0" applyFont="1" applyBorder="1" applyAlignment="1">
      <alignment horizontal="center" vertical="center"/>
    </xf>
    <xf numFmtId="166" fontId="21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left"/>
    </xf>
    <xf numFmtId="166" fontId="21" fillId="57" borderId="78" xfId="0" applyNumberFormat="1" applyFont="1" applyFill="1" applyBorder="1" applyAlignment="1">
      <alignment horizontal="left"/>
    </xf>
    <xf numFmtId="166" fontId="21" fillId="57" borderId="74" xfId="0" applyNumberFormat="1" applyFont="1" applyFill="1" applyBorder="1" applyAlignment="1">
      <alignment horizontal="left"/>
    </xf>
    <xf numFmtId="166" fontId="21" fillId="57" borderId="74" xfId="0" applyNumberFormat="1" applyFont="1" applyFill="1" applyBorder="1"/>
    <xf numFmtId="0" fontId="14" fillId="57" borderId="78" xfId="0" applyFont="1" applyFill="1" applyBorder="1" applyAlignment="1">
      <alignment horizontal="center" vertical="center"/>
    </xf>
    <xf numFmtId="0" fontId="14" fillId="57" borderId="64" xfId="0" applyFont="1" applyFill="1" applyBorder="1" applyAlignment="1">
      <alignment horizontal="left" vertical="center"/>
    </xf>
    <xf numFmtId="166" fontId="21" fillId="0" borderId="0" xfId="8" applyFont="1" applyFill="1" applyAlignment="1">
      <alignment horizontal="right" vertical="top" wrapText="1" indent="1"/>
    </xf>
    <xf numFmtId="166" fontId="22" fillId="0" borderId="0" xfId="8" applyFont="1" applyFill="1"/>
    <xf numFmtId="0" fontId="21" fillId="0" borderId="150" xfId="0" applyFont="1" applyBorder="1" applyAlignment="1">
      <alignment horizontal="center" vertical="center"/>
    </xf>
    <xf numFmtId="0" fontId="14" fillId="57" borderId="3" xfId="0" applyFont="1" applyFill="1" applyBorder="1" applyAlignment="1">
      <alignment horizontal="left" vertical="top"/>
    </xf>
    <xf numFmtId="166" fontId="69" fillId="0" borderId="0" xfId="8" applyFont="1" applyBorder="1" applyAlignment="1">
      <alignment horizontal="right" wrapText="1" indent="1"/>
    </xf>
    <xf numFmtId="3" fontId="21" fillId="0" borderId="91" xfId="0" applyNumberFormat="1" applyFont="1" applyBorder="1" applyAlignment="1">
      <alignment horizontal="center" vertical="center" wrapText="1"/>
    </xf>
    <xf numFmtId="3" fontId="21" fillId="0" borderId="99" xfId="0" applyNumberFormat="1" applyFont="1" applyBorder="1" applyAlignment="1">
      <alignment horizontal="center"/>
    </xf>
    <xf numFmtId="3" fontId="0" fillId="0" borderId="81" xfId="8" applyNumberFormat="1" applyFont="1" applyBorder="1"/>
    <xf numFmtId="3" fontId="21" fillId="0" borderId="175" xfId="0" applyNumberFormat="1" applyFont="1" applyBorder="1" applyAlignment="1">
      <alignment horizontal="center" vertical="top" wrapText="1"/>
    </xf>
    <xf numFmtId="3" fontId="21" fillId="0" borderId="176" xfId="0" applyNumberFormat="1" applyFont="1" applyBorder="1" applyAlignment="1">
      <alignment horizontal="center"/>
    </xf>
    <xf numFmtId="3" fontId="0" fillId="0" borderId="98" xfId="8" applyNumberFormat="1" applyFont="1" applyBorder="1"/>
    <xf numFmtId="3" fontId="0" fillId="0" borderId="166" xfId="8" applyNumberFormat="1" applyFont="1" applyBorder="1"/>
    <xf numFmtId="3" fontId="14" fillId="0" borderId="26" xfId="8" applyNumberFormat="1" applyFont="1" applyBorder="1"/>
    <xf numFmtId="3" fontId="14" fillId="0" borderId="26" xfId="0" applyNumberFormat="1" applyFont="1" applyBorder="1" applyAlignment="1">
      <alignment horizontal="right"/>
    </xf>
    <xf numFmtId="0" fontId="14" fillId="0" borderId="56" xfId="0" quotePrefix="1" applyFont="1" applyBorder="1" applyAlignment="1">
      <alignment horizontal="left"/>
    </xf>
    <xf numFmtId="0" fontId="14" fillId="0" borderId="56" xfId="0" quotePrefix="1" applyFont="1" applyBorder="1"/>
    <xf numFmtId="0" fontId="14" fillId="0" borderId="8" xfId="0" applyFont="1" applyBorder="1" applyAlignment="1">
      <alignment horizontal="right"/>
    </xf>
    <xf numFmtId="166" fontId="21" fillId="0" borderId="93" xfId="0" applyNumberFormat="1" applyFont="1" applyBorder="1"/>
    <xf numFmtId="0" fontId="0" fillId="0" borderId="10" xfId="0" applyBorder="1" applyAlignment="1">
      <alignment horizontal="right"/>
    </xf>
    <xf numFmtId="10" fontId="0" fillId="0" borderId="8" xfId="0" applyNumberFormat="1" applyBorder="1"/>
    <xf numFmtId="0" fontId="21" fillId="0" borderId="67" xfId="0" quotePrefix="1" applyFont="1" applyBorder="1" applyAlignment="1">
      <alignment horizontal="center" vertical="center" wrapText="1"/>
    </xf>
    <xf numFmtId="0" fontId="14" fillId="0" borderId="84" xfId="0" quotePrefix="1" applyFont="1" applyBorder="1" applyAlignment="1">
      <alignment horizontal="left"/>
    </xf>
    <xf numFmtId="0" fontId="14" fillId="0" borderId="101" xfId="0" applyFont="1" applyBorder="1" applyAlignment="1">
      <alignment horizontal="center" vertical="center" wrapText="1"/>
    </xf>
    <xf numFmtId="166" fontId="21" fillId="0" borderId="82" xfId="0" applyNumberFormat="1" applyFont="1" applyBorder="1" applyAlignment="1">
      <alignment horizontal="left" indent="1"/>
    </xf>
    <xf numFmtId="0" fontId="14" fillId="0" borderId="113" xfId="0" quotePrefix="1" applyFont="1" applyBorder="1" applyAlignment="1">
      <alignment horizontal="left" vertical="top" wrapText="1" indent="1"/>
    </xf>
    <xf numFmtId="0" fontId="14" fillId="0" borderId="88" xfId="0" quotePrefix="1" applyFont="1" applyBorder="1" applyAlignment="1">
      <alignment horizontal="left" vertical="top" wrapText="1" indent="1"/>
    </xf>
    <xf numFmtId="0" fontId="0" fillId="0" borderId="113" xfId="0" quotePrefix="1" applyBorder="1" applyAlignment="1">
      <alignment horizontal="left" vertical="top" wrapText="1" indent="1"/>
    </xf>
    <xf numFmtId="0" fontId="0" fillId="0" borderId="113" xfId="0" applyBorder="1" applyAlignment="1">
      <alignment horizontal="left" vertical="top" wrapText="1" indent="1"/>
    </xf>
    <xf numFmtId="166" fontId="21" fillId="0" borderId="100" xfId="0" applyNumberFormat="1" applyFont="1" applyBorder="1" applyAlignment="1">
      <alignment horizontal="left" indent="1"/>
    </xf>
    <xf numFmtId="0" fontId="14" fillId="0" borderId="90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108" xfId="0" applyFont="1" applyBorder="1" applyAlignment="1">
      <alignment horizontal="center" vertical="top" wrapText="1"/>
    </xf>
    <xf numFmtId="166" fontId="21" fillId="0" borderId="95" xfId="0" applyNumberFormat="1" applyFont="1" applyBorder="1" applyAlignment="1">
      <alignment horizontal="left" vertical="center"/>
    </xf>
    <xf numFmtId="166" fontId="21" fillId="0" borderId="72" xfId="0" applyNumberFormat="1" applyFont="1" applyBorder="1" applyAlignment="1">
      <alignment vertical="center"/>
    </xf>
    <xf numFmtId="0" fontId="14" fillId="58" borderId="58" xfId="0" applyFont="1" applyFill="1" applyBorder="1" applyAlignment="1">
      <alignment horizontal="center" vertical="top" wrapText="1"/>
    </xf>
    <xf numFmtId="0" fontId="14" fillId="56" borderId="58" xfId="0" applyFont="1" applyFill="1" applyBorder="1" applyAlignment="1">
      <alignment horizontal="center" vertical="top" wrapText="1"/>
    </xf>
    <xf numFmtId="0" fontId="14" fillId="0" borderId="59" xfId="0" quotePrefix="1" applyFont="1" applyBorder="1" applyAlignment="1">
      <alignment horizontal="left" vertical="top" wrapText="1" indent="1"/>
    </xf>
    <xf numFmtId="0" fontId="14" fillId="58" borderId="26" xfId="0" applyFont="1" applyFill="1" applyBorder="1" applyAlignment="1">
      <alignment horizontal="center" vertical="top" wrapText="1"/>
    </xf>
    <xf numFmtId="0" fontId="14" fillId="58" borderId="60" xfId="0" applyFont="1" applyFill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94" xfId="0" applyFont="1" applyBorder="1" applyAlignment="1">
      <alignment horizontal="center" vertical="top" wrapText="1"/>
    </xf>
    <xf numFmtId="0" fontId="0" fillId="0" borderId="95" xfId="0" applyBorder="1"/>
    <xf numFmtId="0" fontId="0" fillId="0" borderId="72" xfId="0" applyBorder="1"/>
    <xf numFmtId="166" fontId="21" fillId="0" borderId="95" xfId="0" applyNumberFormat="1" applyFont="1" applyBorder="1" applyAlignment="1">
      <alignment horizontal="left" indent="1"/>
    </xf>
    <xf numFmtId="166" fontId="14" fillId="58" borderId="59" xfId="8" applyFont="1" applyFill="1" applyBorder="1" applyAlignment="1">
      <alignment vertical="top" wrapText="1"/>
    </xf>
    <xf numFmtId="166" fontId="14" fillId="58" borderId="80" xfId="8" applyFont="1" applyFill="1" applyBorder="1" applyAlignment="1">
      <alignment vertical="top" wrapText="1"/>
    </xf>
    <xf numFmtId="166" fontId="14" fillId="58" borderId="59" xfId="8" applyFont="1" applyFill="1" applyBorder="1" applyAlignment="1" applyProtection="1">
      <alignment vertical="top" wrapText="1"/>
    </xf>
    <xf numFmtId="0" fontId="14" fillId="0" borderId="0" xfId="0" applyFont="1" applyAlignment="1">
      <alignment horizontal="center" vertical="top" wrapText="1"/>
    </xf>
    <xf numFmtId="3" fontId="61" fillId="0" borderId="2" xfId="8" applyNumberFormat="1" applyFont="1" applyBorder="1"/>
    <xf numFmtId="3" fontId="14" fillId="63" borderId="81" xfId="0" applyNumberFormat="1" applyFont="1" applyFill="1" applyBorder="1"/>
    <xf numFmtId="4" fontId="0" fillId="56" borderId="82" xfId="8" applyNumberFormat="1" applyFont="1" applyFill="1" applyBorder="1"/>
    <xf numFmtId="0" fontId="14" fillId="63" borderId="6" xfId="0" applyFont="1" applyFill="1" applyBorder="1" applyAlignment="1">
      <alignment wrapText="1"/>
    </xf>
    <xf numFmtId="0" fontId="14" fillId="0" borderId="59" xfId="15" applyBorder="1" applyAlignment="1">
      <alignment vertical="top" wrapText="1"/>
    </xf>
    <xf numFmtId="0" fontId="14" fillId="0" borderId="105" xfId="15" applyBorder="1" applyAlignment="1">
      <alignment horizontal="center" vertical="top" wrapText="1"/>
    </xf>
    <xf numFmtId="3" fontId="14" fillId="0" borderId="60" xfId="8" applyNumberFormat="1" applyFont="1" applyFill="1" applyBorder="1" applyAlignment="1">
      <alignment horizontal="right" vertical="center"/>
    </xf>
    <xf numFmtId="3" fontId="25" fillId="58" borderId="116" xfId="8" applyNumberFormat="1" applyFont="1" applyFill="1" applyBorder="1" applyAlignment="1">
      <alignment horizontal="right" vertical="center"/>
    </xf>
    <xf numFmtId="3" fontId="25" fillId="58" borderId="84" xfId="8" applyNumberFormat="1" applyFont="1" applyFill="1" applyBorder="1" applyAlignment="1">
      <alignment horizontal="right" vertical="center"/>
    </xf>
    <xf numFmtId="0" fontId="14" fillId="0" borderId="95" xfId="0" applyFont="1" applyBorder="1" applyAlignment="1">
      <alignment horizontal="left" vertical="top" wrapText="1" indent="1"/>
    </xf>
    <xf numFmtId="0" fontId="14" fillId="0" borderId="59" xfId="0" applyFont="1" applyBorder="1" applyAlignment="1">
      <alignment horizontal="left" vertical="top" wrapText="1" indent="1"/>
    </xf>
    <xf numFmtId="166" fontId="14" fillId="58" borderId="94" xfId="8" applyFont="1" applyFill="1" applyBorder="1" applyAlignment="1" applyProtection="1">
      <alignment horizontal="right"/>
    </xf>
    <xf numFmtId="166" fontId="14" fillId="58" borderId="58" xfId="8" applyFont="1" applyFill="1" applyBorder="1" applyAlignment="1" applyProtection="1">
      <alignment horizontal="right"/>
    </xf>
    <xf numFmtId="166" fontId="14" fillId="58" borderId="60" xfId="8" applyFont="1" applyFill="1" applyBorder="1" applyAlignment="1" applyProtection="1">
      <alignment horizontal="right"/>
    </xf>
    <xf numFmtId="166" fontId="14" fillId="56" borderId="30" xfId="8" applyFont="1" applyFill="1" applyBorder="1"/>
    <xf numFmtId="166" fontId="14" fillId="56" borderId="26" xfId="8" applyFont="1" applyFill="1" applyBorder="1"/>
    <xf numFmtId="166" fontId="14" fillId="56" borderId="28" xfId="8" applyFont="1" applyFill="1" applyBorder="1"/>
    <xf numFmtId="166" fontId="14" fillId="56" borderId="104" xfId="8" applyFont="1" applyFill="1" applyBorder="1"/>
    <xf numFmtId="166" fontId="14" fillId="56" borderId="90" xfId="8" applyFont="1" applyFill="1" applyBorder="1" applyAlignment="1">
      <alignment horizontal="right"/>
    </xf>
    <xf numFmtId="166" fontId="14" fillId="56" borderId="30" xfId="8" applyFont="1" applyFill="1" applyBorder="1" applyAlignment="1">
      <alignment horizontal="right"/>
    </xf>
    <xf numFmtId="166" fontId="14" fillId="56" borderId="28" xfId="8" applyFont="1" applyFill="1" applyBorder="1" applyAlignment="1">
      <alignment horizontal="right"/>
    </xf>
    <xf numFmtId="166" fontId="14" fillId="56" borderId="94" xfId="8" applyFont="1" applyFill="1" applyBorder="1" applyAlignment="1">
      <alignment horizontal="right"/>
    </xf>
    <xf numFmtId="166" fontId="14" fillId="56" borderId="57" xfId="8" applyFont="1" applyFill="1" applyBorder="1" applyAlignment="1">
      <alignment horizontal="right"/>
    </xf>
    <xf numFmtId="166" fontId="14" fillId="56" borderId="2" xfId="8" applyFont="1" applyFill="1" applyBorder="1" applyAlignment="1">
      <alignment horizontal="right"/>
    </xf>
    <xf numFmtId="166" fontId="14" fillId="56" borderId="6" xfId="8" applyFont="1" applyFill="1" applyBorder="1" applyAlignment="1">
      <alignment horizontal="right"/>
    </xf>
    <xf numFmtId="166" fontId="14" fillId="56" borderId="58" xfId="8" applyFont="1" applyFill="1" applyBorder="1" applyAlignment="1">
      <alignment horizontal="right"/>
    </xf>
    <xf numFmtId="166" fontId="14" fillId="56" borderId="59" xfId="8" applyFont="1" applyFill="1" applyBorder="1" applyAlignment="1">
      <alignment horizontal="right"/>
    </xf>
    <xf numFmtId="166" fontId="14" fillId="56" borderId="26" xfId="8" applyFont="1" applyFill="1" applyBorder="1" applyAlignment="1">
      <alignment horizontal="right"/>
    </xf>
    <xf numFmtId="166" fontId="14" fillId="56" borderId="104" xfId="8" applyFont="1" applyFill="1" applyBorder="1" applyAlignment="1">
      <alignment horizontal="right"/>
    </xf>
    <xf numFmtId="166" fontId="14" fillId="56" borderId="60" xfId="8" applyFont="1" applyFill="1" applyBorder="1" applyAlignment="1">
      <alignment horizontal="right"/>
    </xf>
    <xf numFmtId="0" fontId="18" fillId="0" borderId="0" xfId="0" applyFont="1"/>
    <xf numFmtId="166" fontId="19" fillId="65" borderId="5" xfId="8" applyFont="1" applyFill="1" applyBorder="1" applyAlignment="1">
      <alignment horizontal="center" vertical="center"/>
    </xf>
    <xf numFmtId="0" fontId="19" fillId="64" borderId="5" xfId="0" applyFont="1" applyFill="1" applyBorder="1" applyAlignment="1">
      <alignment horizontal="center"/>
    </xf>
    <xf numFmtId="166" fontId="19" fillId="57" borderId="9" xfId="8" applyFont="1" applyFill="1" applyBorder="1" applyAlignment="1">
      <alignment horizontal="center" vertical="center"/>
    </xf>
    <xf numFmtId="0" fontId="19" fillId="0" borderId="76" xfId="0" applyFont="1" applyBorder="1"/>
    <xf numFmtId="0" fontId="19" fillId="0" borderId="73" xfId="0" applyFont="1" applyBorder="1"/>
    <xf numFmtId="0" fontId="19" fillId="0" borderId="108" xfId="0" applyFont="1" applyBorder="1"/>
    <xf numFmtId="166" fontId="21" fillId="0" borderId="78" xfId="8" quotePrefix="1" applyFont="1" applyBorder="1" applyAlignment="1">
      <alignment horizontal="center" vertical="center" wrapText="1"/>
    </xf>
    <xf numFmtId="166" fontId="21" fillId="0" borderId="74" xfId="8" quotePrefix="1" applyFont="1" applyBorder="1" applyAlignment="1">
      <alignment horizontal="center" vertical="center" wrapText="1"/>
    </xf>
    <xf numFmtId="166" fontId="21" fillId="0" borderId="80" xfId="8" quotePrefix="1" applyFont="1" applyBorder="1" applyAlignment="1">
      <alignment horizontal="center" vertical="center" wrapText="1"/>
    </xf>
    <xf numFmtId="166" fontId="21" fillId="0" borderId="56" xfId="8" quotePrefix="1" applyFont="1" applyBorder="1" applyAlignment="1">
      <alignment horizontal="center" vertical="center" wrapText="1"/>
    </xf>
    <xf numFmtId="166" fontId="21" fillId="0" borderId="0" xfId="8" quotePrefix="1" applyFont="1" applyBorder="1" applyAlignment="1">
      <alignment horizontal="center" vertical="center" wrapText="1"/>
    </xf>
    <xf numFmtId="166" fontId="21" fillId="0" borderId="81" xfId="8" quotePrefix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8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4" fillId="0" borderId="76" xfId="0" applyFont="1" applyBorder="1" applyAlignment="1">
      <alignment vertical="top"/>
    </xf>
    <xf numFmtId="0" fontId="85" fillId="0" borderId="73" xfId="0" applyFont="1" applyBorder="1"/>
    <xf numFmtId="0" fontId="85" fillId="0" borderId="108" xfId="0" applyFont="1" applyBorder="1"/>
    <xf numFmtId="0" fontId="85" fillId="0" borderId="73" xfId="0" applyFont="1" applyBorder="1" applyAlignment="1">
      <alignment horizontal="center"/>
    </xf>
    <xf numFmtId="0" fontId="84" fillId="0" borderId="73" xfId="0" applyFont="1" applyBorder="1" applyAlignment="1">
      <alignment horizontal="right"/>
    </xf>
    <xf numFmtId="3" fontId="19" fillId="0" borderId="67" xfId="0" applyNumberFormat="1" applyFont="1" applyBorder="1"/>
    <xf numFmtId="0" fontId="85" fillId="0" borderId="76" xfId="0" applyFont="1" applyBorder="1" applyAlignment="1">
      <alignment horizontal="center"/>
    </xf>
    <xf numFmtId="0" fontId="85" fillId="0" borderId="0" xfId="0" applyFont="1"/>
    <xf numFmtId="0" fontId="19" fillId="0" borderId="0" xfId="0" applyFont="1" applyAlignment="1">
      <alignment horizontal="right"/>
    </xf>
    <xf numFmtId="0" fontId="84" fillId="0" borderId="56" xfId="0" applyFont="1" applyBorder="1" applyAlignment="1">
      <alignment vertical="top"/>
    </xf>
    <xf numFmtId="0" fontId="85" fillId="0" borderId="81" xfId="0" applyFont="1" applyBorder="1"/>
    <xf numFmtId="0" fontId="85" fillId="0" borderId="0" xfId="0" applyFont="1" applyAlignment="1">
      <alignment horizontal="center"/>
    </xf>
    <xf numFmtId="0" fontId="86" fillId="0" borderId="0" xfId="0" applyFont="1" applyAlignment="1">
      <alignment horizontal="right"/>
    </xf>
    <xf numFmtId="0" fontId="86" fillId="0" borderId="81" xfId="0" applyFont="1" applyBorder="1" applyAlignment="1">
      <alignment horizontal="right"/>
    </xf>
    <xf numFmtId="0" fontId="85" fillId="0" borderId="56" xfId="0" applyFont="1" applyBorder="1" applyAlignment="1">
      <alignment horizontal="center"/>
    </xf>
    <xf numFmtId="0" fontId="19" fillId="0" borderId="56" xfId="0" applyFont="1" applyBorder="1"/>
    <xf numFmtId="0" fontId="72" fillId="0" borderId="0" xfId="0" applyFont="1"/>
    <xf numFmtId="0" fontId="87" fillId="0" borderId="68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6" fontId="86" fillId="0" borderId="81" xfId="8" quotePrefix="1" applyFont="1" applyBorder="1" applyAlignment="1">
      <alignment horizontal="center" vertical="center" wrapText="1"/>
    </xf>
    <xf numFmtId="0" fontId="18" fillId="0" borderId="110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right"/>
    </xf>
    <xf numFmtId="166" fontId="19" fillId="64" borderId="4" xfId="8" applyFont="1" applyFill="1" applyBorder="1" applyAlignment="1">
      <alignment horizontal="right" vertical="center"/>
    </xf>
    <xf numFmtId="166" fontId="19" fillId="65" borderId="5" xfId="8" applyFont="1" applyFill="1" applyBorder="1" applyAlignment="1">
      <alignment horizontal="right" vertical="center"/>
    </xf>
    <xf numFmtId="166" fontId="19" fillId="64" borderId="110" xfId="8" applyFont="1" applyFill="1" applyBorder="1" applyAlignment="1">
      <alignment horizontal="right" vertical="center"/>
    </xf>
    <xf numFmtId="0" fontId="19" fillId="0" borderId="77" xfId="0" applyFont="1" applyBorder="1" applyAlignment="1">
      <alignment horizontal="right" wrapText="1"/>
    </xf>
    <xf numFmtId="166" fontId="18" fillId="57" borderId="89" xfId="8" applyFont="1" applyFill="1" applyBorder="1" applyAlignment="1">
      <alignment horizontal="right" vertical="center"/>
    </xf>
    <xf numFmtId="0" fontId="19" fillId="0" borderId="81" xfId="0" applyFont="1" applyBorder="1"/>
    <xf numFmtId="0" fontId="88" fillId="0" borderId="108" xfId="0" applyFont="1" applyBorder="1" applyAlignment="1">
      <alignment horizontal="center" wrapText="1"/>
    </xf>
    <xf numFmtId="0" fontId="88" fillId="0" borderId="73" xfId="0" applyFont="1" applyBorder="1" applyAlignment="1">
      <alignment horizontal="center" wrapText="1"/>
    </xf>
    <xf numFmtId="0" fontId="88" fillId="0" borderId="76" xfId="0" applyFont="1" applyBorder="1" applyAlignment="1">
      <alignment horizontal="center" wrapText="1"/>
    </xf>
    <xf numFmtId="0" fontId="19" fillId="0" borderId="0" xfId="0" applyFont="1" applyAlignment="1">
      <alignment horizontal="right" vertical="center"/>
    </xf>
    <xf numFmtId="0" fontId="88" fillId="0" borderId="81" xfId="0" applyFont="1" applyBorder="1" applyAlignment="1">
      <alignment horizontal="center" wrapText="1"/>
    </xf>
    <xf numFmtId="0" fontId="88" fillId="0" borderId="0" xfId="0" applyFont="1" applyAlignment="1">
      <alignment horizontal="center" wrapText="1"/>
    </xf>
    <xf numFmtId="0" fontId="88" fillId="0" borderId="56" xfId="0" applyFont="1" applyBorder="1" applyAlignment="1">
      <alignment horizontal="center" wrapText="1"/>
    </xf>
    <xf numFmtId="0" fontId="18" fillId="0" borderId="68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right" wrapText="1"/>
    </xf>
    <xf numFmtId="166" fontId="19" fillId="64" borderId="4" xfId="8" applyFont="1" applyFill="1" applyBorder="1"/>
    <xf numFmtId="167" fontId="19" fillId="64" borderId="5" xfId="8" applyNumberFormat="1" applyFont="1" applyFill="1" applyBorder="1"/>
    <xf numFmtId="167" fontId="19" fillId="64" borderId="68" xfId="8" applyNumberFormat="1" applyFont="1" applyFill="1" applyBorder="1"/>
    <xf numFmtId="0" fontId="19" fillId="0" borderId="0" xfId="0" applyFont="1" applyAlignment="1">
      <alignment vertical="center"/>
    </xf>
    <xf numFmtId="166" fontId="88" fillId="0" borderId="81" xfId="8" quotePrefix="1" applyFont="1" applyBorder="1" applyAlignment="1">
      <alignment horizontal="center" vertical="center" wrapText="1"/>
    </xf>
    <xf numFmtId="0" fontId="72" fillId="0" borderId="56" xfId="0" applyFont="1" applyBorder="1"/>
    <xf numFmtId="166" fontId="19" fillId="65" borderId="4" xfId="8" applyFont="1" applyFill="1" applyBorder="1" applyAlignment="1">
      <alignment horizontal="right" vertical="center"/>
    </xf>
    <xf numFmtId="166" fontId="19" fillId="65" borderId="68" xfId="8" applyFont="1" applyFill="1" applyBorder="1" applyAlignment="1">
      <alignment horizontal="right" vertical="center"/>
    </xf>
    <xf numFmtId="166" fontId="19" fillId="65" borderId="110" xfId="8" applyFont="1" applyFill="1" applyBorder="1" applyAlignment="1">
      <alignment horizontal="right" vertical="center"/>
    </xf>
    <xf numFmtId="0" fontId="72" fillId="0" borderId="78" xfId="0" applyFont="1" applyBorder="1"/>
    <xf numFmtId="0" fontId="72" fillId="0" borderId="74" xfId="0" applyFont="1" applyBorder="1"/>
    <xf numFmtId="0" fontId="19" fillId="0" borderId="69" xfId="0" applyFont="1" applyBorder="1" applyAlignment="1">
      <alignment horizontal="right" wrapText="1"/>
    </xf>
    <xf numFmtId="0" fontId="87" fillId="0" borderId="68" xfId="0" applyFont="1" applyBorder="1" applyAlignment="1">
      <alignment vertical="center"/>
    </xf>
    <xf numFmtId="0" fontId="87" fillId="0" borderId="4" xfId="0" applyFont="1" applyBorder="1" applyAlignment="1">
      <alignment horizontal="center" vertical="center" wrapText="1"/>
    </xf>
    <xf numFmtId="0" fontId="87" fillId="0" borderId="110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right" vertical="center"/>
    </xf>
    <xf numFmtId="0" fontId="19" fillId="64" borderId="5" xfId="0" applyFont="1" applyFill="1" applyBorder="1"/>
    <xf numFmtId="0" fontId="19" fillId="64" borderId="68" xfId="0" applyFont="1" applyFill="1" applyBorder="1"/>
    <xf numFmtId="0" fontId="87" fillId="64" borderId="110" xfId="0" applyFont="1" applyFill="1" applyBorder="1"/>
    <xf numFmtId="0" fontId="19" fillId="64" borderId="110" xfId="0" applyFont="1" applyFill="1" applyBorder="1"/>
    <xf numFmtId="0" fontId="72" fillId="0" borderId="0" xfId="0" applyFont="1" applyAlignment="1">
      <alignment horizontal="center" vertical="center"/>
    </xf>
    <xf numFmtId="166" fontId="19" fillId="65" borderId="4" xfId="8" applyFont="1" applyFill="1" applyBorder="1" applyAlignment="1">
      <alignment vertical="center"/>
    </xf>
    <xf numFmtId="166" fontId="19" fillId="65" borderId="5" xfId="8" applyFont="1" applyFill="1" applyBorder="1" applyAlignment="1">
      <alignment vertical="center"/>
    </xf>
    <xf numFmtId="166" fontId="19" fillId="65" borderId="68" xfId="8" applyFont="1" applyFill="1" applyBorder="1" applyAlignment="1">
      <alignment vertical="center"/>
    </xf>
    <xf numFmtId="166" fontId="19" fillId="65" borderId="110" xfId="8" applyFont="1" applyFill="1" applyBorder="1" applyAlignment="1">
      <alignment vertical="center"/>
    </xf>
    <xf numFmtId="0" fontId="88" fillId="0" borderId="73" xfId="0" applyFont="1" applyBorder="1" applyAlignment="1">
      <alignment horizontal="center"/>
    </xf>
    <xf numFmtId="166" fontId="84" fillId="0" borderId="73" xfId="8" quotePrefix="1" applyFont="1" applyBorder="1" applyAlignment="1">
      <alignment horizontal="center" vertical="center" wrapText="1"/>
    </xf>
    <xf numFmtId="0" fontId="88" fillId="0" borderId="76" xfId="0" applyFont="1" applyBorder="1" applyAlignment="1">
      <alignment horizontal="center"/>
    </xf>
    <xf numFmtId="0" fontId="88" fillId="0" borderId="0" xfId="0" applyFont="1" applyAlignment="1">
      <alignment horizontal="center"/>
    </xf>
    <xf numFmtId="166" fontId="88" fillId="0" borderId="0" xfId="8" quotePrefix="1" applyFont="1" applyBorder="1" applyAlignment="1">
      <alignment horizontal="center" vertical="center" wrapText="1"/>
    </xf>
    <xf numFmtId="0" fontId="88" fillId="0" borderId="81" xfId="0" applyFont="1" applyBorder="1"/>
    <xf numFmtId="0" fontId="88" fillId="0" borderId="56" xfId="0" applyFont="1" applyBorder="1" applyAlignment="1">
      <alignment horizontal="center"/>
    </xf>
    <xf numFmtId="0" fontId="19" fillId="0" borderId="68" xfId="0" applyFont="1" applyBorder="1"/>
    <xf numFmtId="0" fontId="87" fillId="0" borderId="4" xfId="0" applyFont="1" applyBorder="1" applyAlignment="1">
      <alignment horizontal="center" wrapText="1"/>
    </xf>
    <xf numFmtId="0" fontId="87" fillId="0" borderId="5" xfId="0" applyFont="1" applyBorder="1" applyAlignment="1">
      <alignment horizontal="center" wrapText="1"/>
    </xf>
    <xf numFmtId="0" fontId="87" fillId="0" borderId="110" xfId="0" applyFont="1" applyBorder="1" applyAlignment="1">
      <alignment horizontal="center" wrapText="1"/>
    </xf>
    <xf numFmtId="166" fontId="89" fillId="64" borderId="110" xfId="8" applyFont="1" applyFill="1" applyBorder="1"/>
    <xf numFmtId="166" fontId="89" fillId="65" borderId="5" xfId="8" applyFont="1" applyFill="1" applyBorder="1"/>
    <xf numFmtId="167" fontId="89" fillId="64" borderId="110" xfId="8" applyNumberFormat="1" applyFont="1" applyFill="1" applyBorder="1"/>
    <xf numFmtId="0" fontId="19" fillId="0" borderId="78" xfId="0" applyFont="1" applyBorder="1"/>
    <xf numFmtId="0" fontId="19" fillId="0" borderId="74" xfId="0" applyFont="1" applyBorder="1"/>
    <xf numFmtId="0" fontId="72" fillId="0" borderId="74" xfId="0" applyFont="1" applyBorder="1" applyAlignment="1">
      <alignment horizontal="center" vertical="center"/>
    </xf>
    <xf numFmtId="166" fontId="18" fillId="57" borderId="29" xfId="8" applyFont="1" applyFill="1" applyBorder="1" applyAlignment="1">
      <alignment horizontal="right" vertical="center"/>
    </xf>
    <xf numFmtId="166" fontId="18" fillId="57" borderId="25" xfId="8" applyFont="1" applyFill="1" applyBorder="1" applyAlignment="1">
      <alignment horizontal="right" vertical="center"/>
    </xf>
    <xf numFmtId="0" fontId="88" fillId="0" borderId="80" xfId="0" applyFont="1" applyBorder="1"/>
    <xf numFmtId="166" fontId="19" fillId="57" borderId="103" xfId="8" applyFont="1" applyFill="1" applyBorder="1" applyAlignment="1">
      <alignment horizontal="right" vertical="center"/>
    </xf>
    <xf numFmtId="166" fontId="18" fillId="57" borderId="103" xfId="8" applyFont="1" applyFill="1" applyBorder="1" applyAlignment="1">
      <alignment horizontal="right" vertical="center"/>
    </xf>
    <xf numFmtId="166" fontId="84" fillId="0" borderId="73" xfId="8" quotePrefix="1" applyFont="1" applyBorder="1" applyAlignment="1">
      <alignment horizontal="right" vertical="center"/>
    </xf>
    <xf numFmtId="0" fontId="87" fillId="0" borderId="68" xfId="0" applyFont="1" applyBorder="1"/>
    <xf numFmtId="166" fontId="89" fillId="64" borderId="4" xfId="8" applyFont="1" applyFill="1" applyBorder="1"/>
    <xf numFmtId="166" fontId="19" fillId="64" borderId="5" xfId="8" applyFont="1" applyFill="1" applyBorder="1"/>
    <xf numFmtId="166" fontId="19" fillId="64" borderId="68" xfId="8" applyFont="1" applyFill="1" applyBorder="1"/>
    <xf numFmtId="166" fontId="19" fillId="64" borderId="110" xfId="8" applyFont="1" applyFill="1" applyBorder="1"/>
    <xf numFmtId="0" fontId="90" fillId="0" borderId="68" xfId="0" applyFont="1" applyBorder="1" applyAlignment="1">
      <alignment horizontal="right" vertical="center"/>
    </xf>
    <xf numFmtId="166" fontId="19" fillId="58" borderId="4" xfId="8" applyFont="1" applyFill="1" applyBorder="1" applyAlignment="1">
      <alignment horizontal="right" vertical="center"/>
    </xf>
    <xf numFmtId="167" fontId="19" fillId="58" borderId="5" xfId="8" applyNumberFormat="1" applyFont="1" applyFill="1" applyBorder="1" applyAlignment="1">
      <alignment horizontal="right" vertical="center"/>
    </xf>
    <xf numFmtId="167" fontId="19" fillId="58" borderId="68" xfId="8" applyNumberFormat="1" applyFont="1" applyFill="1" applyBorder="1" applyAlignment="1">
      <alignment horizontal="right" vertical="center"/>
    </xf>
    <xf numFmtId="166" fontId="19" fillId="58" borderId="110" xfId="8" applyFont="1" applyFill="1" applyBorder="1" applyAlignment="1">
      <alignment horizontal="right" vertical="center"/>
    </xf>
    <xf numFmtId="0" fontId="90" fillId="0" borderId="69" xfId="0" applyFont="1" applyBorder="1" applyAlignment="1">
      <alignment horizontal="right" vertical="center"/>
    </xf>
    <xf numFmtId="166" fontId="19" fillId="58" borderId="29" xfId="8" applyFont="1" applyFill="1" applyBorder="1" applyAlignment="1">
      <alignment horizontal="right" vertical="center"/>
    </xf>
    <xf numFmtId="167" fontId="19" fillId="58" borderId="25" xfId="8" applyNumberFormat="1" applyFont="1" applyFill="1" applyBorder="1" applyAlignment="1">
      <alignment horizontal="right" vertical="center"/>
    </xf>
    <xf numFmtId="167" fontId="19" fillId="58" borderId="69" xfId="8" applyNumberFormat="1" applyFont="1" applyFill="1" applyBorder="1" applyAlignment="1">
      <alignment horizontal="right" vertical="center"/>
    </xf>
    <xf numFmtId="166" fontId="19" fillId="58" borderId="103" xfId="8" applyFont="1" applyFill="1" applyBorder="1" applyAlignment="1">
      <alignment horizontal="right" vertical="center"/>
    </xf>
    <xf numFmtId="166" fontId="18" fillId="0" borderId="76" xfId="8" quotePrefix="1" applyFont="1" applyBorder="1" applyAlignment="1">
      <alignment horizontal="center" vertical="center" wrapText="1"/>
    </xf>
    <xf numFmtId="166" fontId="18" fillId="0" borderId="81" xfId="8" quotePrefix="1" applyFont="1" applyBorder="1" applyAlignment="1">
      <alignment horizontal="center" vertical="center" wrapText="1"/>
    </xf>
    <xf numFmtId="166" fontId="18" fillId="0" borderId="56" xfId="8" quotePrefix="1" applyFont="1" applyBorder="1" applyAlignment="1">
      <alignment horizontal="center" vertical="center" wrapText="1"/>
    </xf>
    <xf numFmtId="166" fontId="18" fillId="0" borderId="0" xfId="8" quotePrefix="1" applyFont="1" applyBorder="1" applyAlignment="1">
      <alignment horizontal="center" vertical="center" wrapText="1"/>
    </xf>
    <xf numFmtId="0" fontId="87" fillId="0" borderId="5" xfId="0" applyFont="1" applyBorder="1" applyAlignment="1">
      <alignment horizontal="center" vertical="center" wrapText="1"/>
    </xf>
    <xf numFmtId="166" fontId="19" fillId="58" borderId="5" xfId="8" applyFont="1" applyFill="1" applyBorder="1" applyAlignment="1">
      <alignment horizontal="right" vertical="center"/>
    </xf>
    <xf numFmtId="166" fontId="87" fillId="64" borderId="4" xfId="8" applyFont="1" applyFill="1" applyBorder="1"/>
    <xf numFmtId="0" fontId="19" fillId="0" borderId="80" xfId="0" applyFont="1" applyBorder="1"/>
    <xf numFmtId="0" fontId="19" fillId="0" borderId="81" xfId="0" applyFont="1" applyBorder="1" applyAlignment="1">
      <alignment horizontal="center"/>
    </xf>
    <xf numFmtId="166" fontId="19" fillId="58" borderId="68" xfId="8" applyFont="1" applyFill="1" applyBorder="1" applyAlignment="1">
      <alignment horizontal="right" vertical="center"/>
    </xf>
    <xf numFmtId="166" fontId="19" fillId="58" borderId="25" xfId="8" applyFont="1" applyFill="1" applyBorder="1" applyAlignment="1">
      <alignment horizontal="right" vertical="center"/>
    </xf>
    <xf numFmtId="166" fontId="19" fillId="58" borderId="69" xfId="8" applyFont="1" applyFill="1" applyBorder="1" applyAlignment="1">
      <alignment horizontal="right" vertical="center"/>
    </xf>
    <xf numFmtId="0" fontId="82" fillId="57" borderId="76" xfId="0" applyFont="1" applyFill="1" applyBorder="1"/>
    <xf numFmtId="0" fontId="72" fillId="57" borderId="73" xfId="0" applyFont="1" applyFill="1" applyBorder="1"/>
    <xf numFmtId="0" fontId="19" fillId="57" borderId="108" xfId="0" applyFont="1" applyFill="1" applyBorder="1" applyAlignment="1">
      <alignment horizontal="right" wrapText="1"/>
    </xf>
    <xf numFmtId="166" fontId="19" fillId="57" borderId="73" xfId="8" applyFont="1" applyFill="1" applyBorder="1" applyAlignment="1">
      <alignment horizontal="right" vertical="center"/>
    </xf>
    <xf numFmtId="166" fontId="19" fillId="57" borderId="108" xfId="8" applyFont="1" applyFill="1" applyBorder="1" applyAlignment="1">
      <alignment horizontal="right" vertical="center"/>
    </xf>
    <xf numFmtId="166" fontId="19" fillId="57" borderId="76" xfId="8" applyFont="1" applyFill="1" applyBorder="1" applyAlignment="1">
      <alignment horizontal="right" vertical="center"/>
    </xf>
    <xf numFmtId="0" fontId="19" fillId="57" borderId="0" xfId="0" applyFont="1" applyFill="1"/>
    <xf numFmtId="0" fontId="92" fillId="0" borderId="73" xfId="0" applyFont="1" applyBorder="1" applyAlignment="1">
      <alignment horizontal="left" vertical="center"/>
    </xf>
    <xf numFmtId="0" fontId="92" fillId="0" borderId="108" xfId="0" applyFont="1" applyBorder="1" applyAlignment="1">
      <alignment horizontal="left" vertical="center"/>
    </xf>
    <xf numFmtId="0" fontId="83" fillId="0" borderId="0" xfId="0" applyFont="1"/>
    <xf numFmtId="0" fontId="19" fillId="0" borderId="56" xfId="0" applyFont="1" applyBorder="1" applyAlignment="1">
      <alignment horizontal="right"/>
    </xf>
    <xf numFmtId="0" fontId="93" fillId="0" borderId="0" xfId="0" applyFont="1"/>
    <xf numFmtId="0" fontId="19" fillId="0" borderId="3" xfId="0" applyFont="1" applyBorder="1" applyAlignment="1">
      <alignment horizontal="right"/>
    </xf>
    <xf numFmtId="166" fontId="19" fillId="64" borderId="5" xfId="8" applyFont="1" applyFill="1" applyBorder="1" applyAlignment="1">
      <alignment horizontal="right" vertical="center"/>
    </xf>
    <xf numFmtId="166" fontId="19" fillId="64" borderId="66" xfId="8" applyFont="1" applyFill="1" applyBorder="1" applyAlignment="1">
      <alignment horizontal="right" vertical="center"/>
    </xf>
    <xf numFmtId="0" fontId="93" fillId="0" borderId="3" xfId="0" applyFont="1" applyBorder="1" applyAlignment="1">
      <alignment horizontal="right"/>
    </xf>
    <xf numFmtId="166" fontId="19" fillId="64" borderId="86" xfId="8" applyFont="1" applyFill="1" applyBorder="1" applyAlignment="1">
      <alignment horizontal="right" vertical="center"/>
    </xf>
    <xf numFmtId="0" fontId="93" fillId="0" borderId="78" xfId="0" applyFont="1" applyBorder="1" applyAlignment="1">
      <alignment horizontal="right"/>
    </xf>
    <xf numFmtId="0" fontId="19" fillId="0" borderId="97" xfId="0" applyFont="1" applyBorder="1" applyAlignment="1">
      <alignment horizontal="right" wrapText="1"/>
    </xf>
    <xf numFmtId="0" fontId="18" fillId="0" borderId="7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166" fontId="19" fillId="64" borderId="29" xfId="8" applyFont="1" applyFill="1" applyBorder="1"/>
    <xf numFmtId="167" fontId="19" fillId="64" borderId="25" xfId="8" applyNumberFormat="1" applyFont="1" applyFill="1" applyBorder="1"/>
    <xf numFmtId="167" fontId="19" fillId="64" borderId="69" xfId="8" applyNumberFormat="1" applyFont="1" applyFill="1" applyBorder="1"/>
    <xf numFmtId="0" fontId="18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94" xfId="0" applyFont="1" applyBorder="1" applyAlignment="1">
      <alignment horizontal="center" vertical="center" wrapText="1"/>
    </xf>
    <xf numFmtId="0" fontId="87" fillId="0" borderId="75" xfId="0" applyFont="1" applyBorder="1" applyAlignment="1">
      <alignment horizontal="center" vertical="center" wrapText="1"/>
    </xf>
    <xf numFmtId="0" fontId="87" fillId="0" borderId="66" xfId="0" applyFont="1" applyBorder="1" applyAlignment="1">
      <alignment horizontal="center" vertical="center" wrapText="1"/>
    </xf>
    <xf numFmtId="166" fontId="19" fillId="64" borderId="103" xfId="8" applyFont="1" applyFill="1" applyBorder="1"/>
    <xf numFmtId="0" fontId="19" fillId="0" borderId="69" xfId="0" applyFont="1" applyBorder="1" applyAlignment="1">
      <alignment horizontal="right" vertical="center"/>
    </xf>
    <xf numFmtId="0" fontId="87" fillId="0" borderId="75" xfId="0" applyFont="1" applyBorder="1" applyAlignment="1">
      <alignment horizontal="center" wrapText="1"/>
    </xf>
    <xf numFmtId="0" fontId="87" fillId="0" borderId="27" xfId="0" applyFont="1" applyBorder="1" applyAlignment="1">
      <alignment horizontal="center" wrapText="1"/>
    </xf>
    <xf numFmtId="0" fontId="87" fillId="0" borderId="66" xfId="0" applyFont="1" applyBorder="1" applyAlignment="1">
      <alignment horizontal="center" wrapText="1"/>
    </xf>
    <xf numFmtId="166" fontId="89" fillId="58" borderId="5" xfId="8" applyFont="1" applyFill="1" applyBorder="1"/>
    <xf numFmtId="0" fontId="93" fillId="0" borderId="56" xfId="0" applyFont="1" applyBorder="1"/>
    <xf numFmtId="167" fontId="89" fillId="64" borderId="4" xfId="8" applyNumberFormat="1" applyFont="1" applyFill="1" applyBorder="1"/>
    <xf numFmtId="167" fontId="89" fillId="64" borderId="29" xfId="8" applyNumberFormat="1" applyFont="1" applyFill="1" applyBorder="1"/>
    <xf numFmtId="166" fontId="89" fillId="58" borderId="25" xfId="8" applyFont="1" applyFill="1" applyBorder="1"/>
    <xf numFmtId="166" fontId="89" fillId="64" borderId="5" xfId="8" applyFont="1" applyFill="1" applyBorder="1"/>
    <xf numFmtId="0" fontId="93" fillId="0" borderId="68" xfId="0" applyFont="1" applyBorder="1" applyAlignment="1">
      <alignment horizontal="right"/>
    </xf>
    <xf numFmtId="166" fontId="19" fillId="64" borderId="25" xfId="8" applyFont="1" applyFill="1" applyBorder="1"/>
    <xf numFmtId="166" fontId="19" fillId="64" borderId="69" xfId="8" applyFont="1" applyFill="1" applyBorder="1"/>
    <xf numFmtId="0" fontId="19" fillId="64" borderId="103" xfId="0" applyFont="1" applyFill="1" applyBorder="1"/>
    <xf numFmtId="0" fontId="19" fillId="64" borderId="25" xfId="0" applyFont="1" applyFill="1" applyBorder="1"/>
    <xf numFmtId="0" fontId="19" fillId="64" borderId="69" xfId="0" applyFont="1" applyFill="1" applyBorder="1"/>
    <xf numFmtId="167" fontId="89" fillId="64" borderId="103" xfId="8" applyNumberFormat="1" applyFont="1" applyFill="1" applyBorder="1"/>
    <xf numFmtId="166" fontId="87" fillId="64" borderId="110" xfId="8" applyFont="1" applyFill="1" applyBorder="1"/>
    <xf numFmtId="166" fontId="89" fillId="64" borderId="29" xfId="8" applyFont="1" applyFill="1" applyBorder="1"/>
    <xf numFmtId="166" fontId="87" fillId="64" borderId="103" xfId="8" applyFont="1" applyFill="1" applyBorder="1"/>
    <xf numFmtId="0" fontId="19" fillId="0" borderId="77" xfId="0" applyFont="1" applyBorder="1" applyAlignment="1">
      <alignment horizontal="right"/>
    </xf>
    <xf numFmtId="166" fontId="19" fillId="64" borderId="89" xfId="8" applyFont="1" applyFill="1" applyBorder="1" applyAlignment="1">
      <alignment horizontal="right" vertical="center"/>
    </xf>
    <xf numFmtId="0" fontId="95" fillId="0" borderId="0" xfId="0" applyFont="1" applyAlignment="1">
      <alignment horizontal="right"/>
    </xf>
    <xf numFmtId="166" fontId="95" fillId="0" borderId="0" xfId="8" applyFont="1" applyAlignment="1">
      <alignment horizontal="right"/>
    </xf>
    <xf numFmtId="166" fontId="19" fillId="66" borderId="9" xfId="8" applyFont="1" applyFill="1" applyBorder="1" applyAlignment="1">
      <alignment horizontal="right" vertical="center"/>
    </xf>
    <xf numFmtId="0" fontId="72" fillId="0" borderId="0" xfId="0" applyFont="1" applyAlignment="1">
      <alignment horizontal="right"/>
    </xf>
    <xf numFmtId="0" fontId="72" fillId="0" borderId="56" xfId="0" applyFont="1" applyBorder="1" applyAlignment="1">
      <alignment horizontal="right"/>
    </xf>
    <xf numFmtId="0" fontId="72" fillId="0" borderId="78" xfId="0" applyFont="1" applyBorder="1" applyAlignment="1">
      <alignment horizontal="right"/>
    </xf>
    <xf numFmtId="0" fontId="72" fillId="0" borderId="74" xfId="0" applyFont="1" applyBorder="1" applyAlignment="1">
      <alignment horizontal="right"/>
    </xf>
    <xf numFmtId="0" fontId="72" fillId="0" borderId="56" xfId="0" applyFont="1" applyBorder="1" applyAlignment="1">
      <alignment horizontal="right" vertical="center"/>
    </xf>
    <xf numFmtId="0" fontId="72" fillId="0" borderId="0" xfId="0" applyFont="1" applyAlignment="1">
      <alignment horizontal="right" vertical="center"/>
    </xf>
    <xf numFmtId="0" fontId="72" fillId="0" borderId="78" xfId="0" applyFont="1" applyBorder="1" applyAlignment="1">
      <alignment horizontal="right" vertical="center"/>
    </xf>
    <xf numFmtId="0" fontId="72" fillId="0" borderId="74" xfId="0" applyFont="1" applyBorder="1" applyAlignment="1">
      <alignment horizontal="right" vertical="center"/>
    </xf>
    <xf numFmtId="3" fontId="69" fillId="0" borderId="0" xfId="0" applyNumberFormat="1" applyFont="1"/>
    <xf numFmtId="3" fontId="61" fillId="0" borderId="0" xfId="0" applyNumberFormat="1" applyFont="1"/>
    <xf numFmtId="3" fontId="69" fillId="0" borderId="0" xfId="0" applyNumberFormat="1" applyFont="1" applyAlignment="1">
      <alignment horizontal="center" vertical="top" wrapText="1"/>
    </xf>
    <xf numFmtId="3" fontId="69" fillId="0" borderId="0" xfId="0" applyNumberFormat="1" applyFont="1" applyAlignment="1">
      <alignment horizontal="center"/>
    </xf>
    <xf numFmtId="0" fontId="61" fillId="0" borderId="0" xfId="0" quotePrefix="1" applyFont="1" applyAlignment="1">
      <alignment horizontal="left"/>
    </xf>
    <xf numFmtId="166" fontId="61" fillId="0" borderId="0" xfId="8" applyFont="1" applyFill="1" applyBorder="1"/>
    <xf numFmtId="166" fontId="94" fillId="0" borderId="0" xfId="0" applyNumberFormat="1" applyFont="1"/>
    <xf numFmtId="166" fontId="69" fillId="0" borderId="0" xfId="8" applyFont="1" applyFill="1" applyBorder="1" applyAlignment="1">
      <alignment horizontal="right"/>
    </xf>
    <xf numFmtId="166" fontId="21" fillId="0" borderId="100" xfId="8" applyFont="1" applyBorder="1" applyAlignment="1">
      <alignment horizontal="center" vertical="top" wrapText="1"/>
    </xf>
    <xf numFmtId="3" fontId="21" fillId="0" borderId="83" xfId="0" applyNumberFormat="1" applyFont="1" applyBorder="1" applyAlignment="1">
      <alignment horizontal="center" vertical="center"/>
    </xf>
    <xf numFmtId="166" fontId="14" fillId="56" borderId="101" xfId="8" applyFont="1" applyFill="1" applyBorder="1" applyAlignment="1">
      <alignment horizontal="right"/>
    </xf>
    <xf numFmtId="166" fontId="14" fillId="56" borderId="82" xfId="8" applyFont="1" applyFill="1" applyBorder="1" applyAlignment="1">
      <alignment horizontal="right"/>
    </xf>
    <xf numFmtId="166" fontId="14" fillId="56" borderId="83" xfId="8" applyFont="1" applyFill="1" applyBorder="1" applyAlignment="1">
      <alignment horizontal="right"/>
    </xf>
    <xf numFmtId="0" fontId="93" fillId="0" borderId="104" xfId="0" applyFont="1" applyBorder="1"/>
    <xf numFmtId="0" fontId="84" fillId="0" borderId="55" xfId="0" applyFont="1" applyBorder="1" applyAlignment="1">
      <alignment vertical="top"/>
    </xf>
    <xf numFmtId="0" fontId="19" fillId="0" borderId="61" xfId="0" applyFont="1" applyBorder="1"/>
    <xf numFmtId="0" fontId="19" fillId="0" borderId="62" xfId="0" applyFont="1" applyBorder="1"/>
    <xf numFmtId="166" fontId="84" fillId="0" borderId="61" xfId="8" quotePrefix="1" applyFont="1" applyBorder="1" applyAlignment="1">
      <alignment horizontal="right" vertical="center"/>
    </xf>
    <xf numFmtId="3" fontId="19" fillId="0" borderId="65" xfId="0" applyNumberFormat="1" applyFont="1" applyBorder="1"/>
    <xf numFmtId="0" fontId="19" fillId="0" borderId="55" xfId="0" applyFont="1" applyBorder="1"/>
    <xf numFmtId="0" fontId="14" fillId="0" borderId="56" xfId="15" applyBorder="1" applyAlignment="1">
      <alignment vertical="center"/>
    </xf>
    <xf numFmtId="0" fontId="14" fillId="0" borderId="0" xfId="15" applyAlignment="1">
      <alignment vertical="center"/>
    </xf>
    <xf numFmtId="0" fontId="14" fillId="0" borderId="0" xfId="15" applyAlignment="1">
      <alignment horizontal="left"/>
    </xf>
    <xf numFmtId="0" fontId="14" fillId="0" borderId="0" xfId="15"/>
    <xf numFmtId="0" fontId="97" fillId="0" borderId="70" xfId="15" applyFont="1" applyBorder="1" applyAlignment="1">
      <alignment horizontal="center" vertical="center"/>
    </xf>
    <xf numFmtId="0" fontId="21" fillId="0" borderId="83" xfId="253" applyFont="1" applyBorder="1" applyAlignment="1">
      <alignment horizontal="center" vertical="center" wrapText="1"/>
    </xf>
    <xf numFmtId="0" fontId="14" fillId="0" borderId="56" xfId="15" applyBorder="1" applyAlignment="1">
      <alignment vertical="center" wrapText="1"/>
    </xf>
    <xf numFmtId="0" fontId="14" fillId="0" borderId="2" xfId="15" applyBorder="1" applyAlignment="1">
      <alignment vertical="center" wrapText="1"/>
    </xf>
    <xf numFmtId="0" fontId="14" fillId="0" borderId="6" xfId="15" applyBorder="1" applyAlignment="1">
      <alignment vertical="center" wrapText="1"/>
    </xf>
    <xf numFmtId="0" fontId="14" fillId="0" borderId="8" xfId="15" applyBorder="1" applyAlignment="1">
      <alignment horizontal="left" vertical="center" wrapText="1"/>
    </xf>
    <xf numFmtId="2" fontId="14" fillId="0" borderId="10" xfId="15" applyNumberFormat="1" applyBorder="1" applyAlignment="1">
      <alignment horizontal="center" vertical="center" wrapText="1"/>
    </xf>
    <xf numFmtId="0" fontId="14" fillId="0" borderId="8" xfId="15" quotePrefix="1" applyBorder="1" applyAlignment="1">
      <alignment horizontal="center" vertical="center" wrapText="1"/>
    </xf>
    <xf numFmtId="14" fontId="14" fillId="0" borderId="8" xfId="15" quotePrefix="1" applyNumberFormat="1" applyBorder="1" applyAlignment="1">
      <alignment horizontal="center" vertical="center" wrapText="1"/>
    </xf>
    <xf numFmtId="0" fontId="14" fillId="0" borderId="10" xfId="15" quotePrefix="1" applyBorder="1" applyAlignment="1">
      <alignment horizontal="center" vertical="center" wrapText="1"/>
    </xf>
    <xf numFmtId="0" fontId="14" fillId="0" borderId="67" xfId="15" quotePrefix="1" applyBorder="1" applyAlignment="1">
      <alignment horizontal="center" vertical="center" wrapText="1"/>
    </xf>
    <xf numFmtId="0" fontId="14" fillId="0" borderId="5" xfId="15" quotePrefix="1" applyBorder="1" applyAlignment="1">
      <alignment horizontal="center" vertical="center" wrapText="1"/>
    </xf>
    <xf numFmtId="14" fontId="14" fillId="0" borderId="5" xfId="15" quotePrefix="1" applyNumberFormat="1" applyBorder="1" applyAlignment="1">
      <alignment horizontal="center" vertical="center" wrapText="1"/>
    </xf>
    <xf numFmtId="0" fontId="14" fillId="0" borderId="3" xfId="15" quotePrefix="1" applyBorder="1" applyAlignment="1">
      <alignment horizontal="center" vertical="center" wrapText="1"/>
    </xf>
    <xf numFmtId="0" fontId="14" fillId="0" borderId="68" xfId="15" quotePrefix="1" applyBorder="1" applyAlignment="1">
      <alignment horizontal="center" vertical="center" wrapText="1"/>
    </xf>
    <xf numFmtId="0" fontId="14" fillId="0" borderId="2" xfId="15" applyBorder="1" applyAlignment="1">
      <alignment horizontal="left" vertical="center" wrapText="1"/>
    </xf>
    <xf numFmtId="2" fontId="14" fillId="0" borderId="7" xfId="15" applyNumberFormat="1" applyBorder="1" applyAlignment="1">
      <alignment horizontal="center" vertical="center" wrapText="1"/>
    </xf>
    <xf numFmtId="0" fontId="14" fillId="0" borderId="9" xfId="15" quotePrefix="1" applyBorder="1" applyAlignment="1">
      <alignment horizontal="center" vertical="center" wrapText="1"/>
    </xf>
    <xf numFmtId="14" fontId="14" fillId="0" borderId="9" xfId="15" quotePrefix="1" applyNumberFormat="1" applyBorder="1" applyAlignment="1">
      <alignment horizontal="center" vertical="center" wrapText="1"/>
    </xf>
    <xf numFmtId="0" fontId="14" fillId="0" borderId="31" xfId="15" quotePrefix="1" applyBorder="1" applyAlignment="1">
      <alignment horizontal="center" vertical="center" wrapText="1"/>
    </xf>
    <xf numFmtId="0" fontId="14" fillId="0" borderId="69" xfId="15" quotePrefix="1" applyBorder="1" applyAlignment="1">
      <alignment horizontal="center" vertical="center" wrapText="1"/>
    </xf>
    <xf numFmtId="0" fontId="14" fillId="0" borderId="55" xfId="15" applyBorder="1" applyAlignment="1">
      <alignment vertical="center" wrapText="1"/>
    </xf>
    <xf numFmtId="0" fontId="14" fillId="0" borderId="64" xfId="15" applyBorder="1" applyAlignment="1">
      <alignment vertical="center" wrapText="1"/>
    </xf>
    <xf numFmtId="0" fontId="14" fillId="0" borderId="102" xfId="15" applyBorder="1" applyAlignment="1">
      <alignment vertical="center" wrapText="1"/>
    </xf>
    <xf numFmtId="0" fontId="14" fillId="0" borderId="64" xfId="15" applyBorder="1" applyAlignment="1">
      <alignment horizontal="left" vertical="center" wrapText="1"/>
    </xf>
    <xf numFmtId="3" fontId="21" fillId="61" borderId="79" xfId="15" applyNumberFormat="1" applyFont="1" applyFill="1" applyBorder="1" applyAlignment="1" applyProtection="1">
      <alignment horizontal="center" vertical="center"/>
      <protection locked="0"/>
    </xf>
    <xf numFmtId="0" fontId="14" fillId="0" borderId="64" xfId="15" quotePrefix="1" applyBorder="1" applyAlignment="1">
      <alignment horizontal="center" vertical="center" wrapText="1"/>
    </xf>
    <xf numFmtId="0" fontId="14" fillId="0" borderId="102" xfId="15" quotePrefix="1" applyBorder="1" applyAlignment="1">
      <alignment horizontal="center" vertical="center" wrapText="1"/>
    </xf>
    <xf numFmtId="14" fontId="14" fillId="0" borderId="64" xfId="15" quotePrefix="1" applyNumberFormat="1" applyBorder="1" applyAlignment="1">
      <alignment horizontal="center" vertical="center" wrapText="1"/>
    </xf>
    <xf numFmtId="0" fontId="14" fillId="0" borderId="62" xfId="15" quotePrefix="1" applyBorder="1" applyAlignment="1">
      <alignment horizontal="center" vertical="center" wrapText="1"/>
    </xf>
    <xf numFmtId="0" fontId="14" fillId="0" borderId="76" xfId="15" applyBorder="1" applyAlignment="1">
      <alignment vertical="center" wrapText="1"/>
    </xf>
    <xf numFmtId="0" fontId="14" fillId="0" borderId="30" xfId="15" applyBorder="1" applyAlignment="1">
      <alignment vertical="center" wrapText="1"/>
    </xf>
    <xf numFmtId="0" fontId="14" fillId="0" borderId="28" xfId="15" applyBorder="1" applyAlignment="1">
      <alignment vertical="center" wrapText="1"/>
    </xf>
    <xf numFmtId="0" fontId="14" fillId="0" borderId="27" xfId="15" applyBorder="1" applyAlignment="1">
      <alignment horizontal="left" vertical="center" wrapText="1"/>
    </xf>
    <xf numFmtId="3" fontId="21" fillId="61" borderId="92" xfId="15" applyNumberFormat="1" applyFont="1" applyFill="1" applyBorder="1" applyAlignment="1" applyProtection="1">
      <alignment horizontal="center" vertical="center"/>
      <protection locked="0"/>
    </xf>
    <xf numFmtId="0" fontId="14" fillId="0" borderId="27" xfId="15" quotePrefix="1" applyBorder="1" applyAlignment="1">
      <alignment horizontal="center" vertical="center" wrapText="1"/>
    </xf>
    <xf numFmtId="0" fontId="14" fillId="0" borderId="75" xfId="15" quotePrefix="1" applyBorder="1" applyAlignment="1">
      <alignment horizontal="center" vertical="center" wrapText="1"/>
    </xf>
    <xf numFmtId="14" fontId="14" fillId="0" borderId="27" xfId="15" quotePrefix="1" applyNumberFormat="1" applyBorder="1" applyAlignment="1">
      <alignment horizontal="center" vertical="center" wrapText="1"/>
    </xf>
    <xf numFmtId="0" fontId="14" fillId="0" borderId="112" xfId="15" quotePrefix="1" applyBorder="1" applyAlignment="1">
      <alignment horizontal="center" vertical="center" wrapText="1"/>
    </xf>
    <xf numFmtId="3" fontId="21" fillId="61" borderId="3" xfId="15" applyNumberFormat="1" applyFont="1" applyFill="1" applyBorder="1" applyAlignment="1" applyProtection="1">
      <alignment horizontal="center" vertical="center"/>
      <protection locked="0"/>
    </xf>
    <xf numFmtId="0" fontId="14" fillId="0" borderId="4" xfId="15" quotePrefix="1" applyBorder="1" applyAlignment="1">
      <alignment horizontal="center" vertical="center" wrapText="1"/>
    </xf>
    <xf numFmtId="0" fontId="14" fillId="0" borderId="0" xfId="15" applyAlignment="1">
      <alignment vertical="center" wrapText="1"/>
    </xf>
    <xf numFmtId="3" fontId="21" fillId="61" borderId="7" xfId="15" applyNumberFormat="1" applyFont="1" applyFill="1" applyBorder="1" applyAlignment="1" applyProtection="1">
      <alignment horizontal="center" vertical="center"/>
      <protection locked="0"/>
    </xf>
    <xf numFmtId="0" fontId="14" fillId="0" borderId="89" xfId="15" quotePrefix="1" applyBorder="1" applyAlignment="1">
      <alignment horizontal="center" vertical="center" wrapText="1"/>
    </xf>
    <xf numFmtId="14" fontId="14" fillId="0" borderId="2" xfId="15" quotePrefix="1" applyNumberFormat="1" applyBorder="1" applyAlignment="1">
      <alignment horizontal="center" vertical="center" wrapText="1"/>
    </xf>
    <xf numFmtId="14" fontId="14" fillId="0" borderId="25" xfId="15" quotePrefix="1" applyNumberFormat="1" applyBorder="1" applyAlignment="1">
      <alignment horizontal="center" vertical="center" wrapText="1"/>
    </xf>
    <xf numFmtId="0" fontId="14" fillId="0" borderId="99" xfId="15" quotePrefix="1" applyBorder="1" applyAlignment="1">
      <alignment horizontal="center" vertical="center" wrapText="1"/>
    </xf>
    <xf numFmtId="0" fontId="0" fillId="57" borderId="55" xfId="0" applyFill="1" applyBorder="1" applyAlignment="1">
      <alignment vertical="center"/>
    </xf>
    <xf numFmtId="0" fontId="0" fillId="57" borderId="61" xfId="0" applyFill="1" applyBorder="1" applyAlignment="1">
      <alignment vertical="center"/>
    </xf>
    <xf numFmtId="0" fontId="0" fillId="57" borderId="61" xfId="0" applyFill="1" applyBorder="1" applyAlignment="1">
      <alignment horizontal="left"/>
    </xf>
    <xf numFmtId="0" fontId="0" fillId="57" borderId="61" xfId="0" applyFill="1" applyBorder="1"/>
    <xf numFmtId="0" fontId="61" fillId="57" borderId="61" xfId="15" applyFont="1" applyFill="1" applyBorder="1" applyAlignment="1">
      <alignment vertical="center" wrapText="1"/>
    </xf>
    <xf numFmtId="0" fontId="61" fillId="57" borderId="62" xfId="15" applyFont="1" applyFill="1" applyBorder="1" applyAlignment="1">
      <alignment vertical="center" wrapText="1"/>
    </xf>
    <xf numFmtId="0" fontId="14" fillId="0" borderId="64" xfId="15" applyBorder="1" applyAlignment="1">
      <alignment horizontal="center" vertical="center" wrapText="1"/>
    </xf>
    <xf numFmtId="0" fontId="14" fillId="57" borderId="56" xfId="15" applyFill="1" applyBorder="1" applyAlignment="1">
      <alignment vertical="center" wrapText="1"/>
    </xf>
    <xf numFmtId="0" fontId="14" fillId="57" borderId="2" xfId="15" applyFill="1" applyBorder="1" applyAlignment="1">
      <alignment vertical="center" wrapText="1"/>
    </xf>
    <xf numFmtId="0" fontId="14" fillId="57" borderId="6" xfId="15" applyFill="1" applyBorder="1" applyAlignment="1">
      <alignment vertical="center" wrapText="1"/>
    </xf>
    <xf numFmtId="0" fontId="14" fillId="57" borderId="8" xfId="15" applyFill="1" applyBorder="1" applyAlignment="1">
      <alignment horizontal="left" vertical="center" wrapText="1"/>
    </xf>
    <xf numFmtId="0" fontId="14" fillId="0" borderId="27" xfId="15" applyBorder="1" applyAlignment="1">
      <alignment horizontal="center" vertical="center" wrapText="1"/>
    </xf>
    <xf numFmtId="0" fontId="14" fillId="61" borderId="8" xfId="15" applyFill="1" applyBorder="1" applyAlignment="1">
      <alignment horizontal="center" vertical="center" wrapText="1"/>
    </xf>
    <xf numFmtId="14" fontId="14" fillId="0" borderId="8" xfId="15" applyNumberFormat="1" applyBorder="1" applyAlignment="1">
      <alignment horizontal="center" vertical="center" wrapText="1"/>
    </xf>
    <xf numFmtId="14" fontId="14" fillId="0" borderId="27" xfId="15" applyNumberFormat="1" applyBorder="1" applyAlignment="1">
      <alignment horizontal="center" vertical="center" wrapText="1"/>
    </xf>
    <xf numFmtId="14" fontId="14" fillId="0" borderId="115" xfId="15" applyNumberFormat="1" applyBorder="1" applyAlignment="1">
      <alignment horizontal="center" vertical="center" wrapText="1"/>
    </xf>
    <xf numFmtId="0" fontId="14" fillId="57" borderId="5" xfId="15" applyFill="1" applyBorder="1" applyAlignment="1">
      <alignment horizontal="left" vertical="center" wrapText="1"/>
    </xf>
    <xf numFmtId="2" fontId="14" fillId="0" borderId="3" xfId="15" applyNumberFormat="1" applyBorder="1" applyAlignment="1">
      <alignment horizontal="center" vertical="center" wrapText="1"/>
    </xf>
    <xf numFmtId="0" fontId="14" fillId="0" borderId="5" xfId="15" applyBorder="1" applyAlignment="1">
      <alignment horizontal="center" vertical="center" wrapText="1"/>
    </xf>
    <xf numFmtId="0" fontId="14" fillId="61" borderId="5" xfId="15" applyFill="1" applyBorder="1" applyAlignment="1">
      <alignment horizontal="center" vertical="center" wrapText="1"/>
    </xf>
    <xf numFmtId="14" fontId="14" fillId="0" borderId="5" xfId="15" applyNumberFormat="1" applyBorder="1" applyAlignment="1">
      <alignment horizontal="center" vertical="center" wrapText="1"/>
    </xf>
    <xf numFmtId="14" fontId="14" fillId="0" borderId="112" xfId="15" applyNumberFormat="1" applyBorder="1" applyAlignment="1">
      <alignment horizontal="center" vertical="center" wrapText="1"/>
    </xf>
    <xf numFmtId="0" fontId="14" fillId="57" borderId="9" xfId="15" applyFill="1" applyBorder="1" applyAlignment="1">
      <alignment horizontal="left" vertical="center" wrapText="1"/>
    </xf>
    <xf numFmtId="2" fontId="14" fillId="0" borderId="31" xfId="15" applyNumberFormat="1" applyBorder="1" applyAlignment="1">
      <alignment horizontal="center" vertical="center" wrapText="1"/>
    </xf>
    <xf numFmtId="0" fontId="75" fillId="0" borderId="5" xfId="15" applyFont="1" applyBorder="1" applyAlignment="1">
      <alignment horizontal="center" vertical="center" wrapText="1"/>
    </xf>
    <xf numFmtId="0" fontId="14" fillId="57" borderId="84" xfId="15" applyFill="1" applyBorder="1" applyAlignment="1">
      <alignment vertical="center" wrapText="1"/>
    </xf>
    <xf numFmtId="0" fontId="14" fillId="57" borderId="9" xfId="15" applyFill="1" applyBorder="1" applyAlignment="1">
      <alignment vertical="center" wrapText="1"/>
    </xf>
    <xf numFmtId="0" fontId="14" fillId="57" borderId="57" xfId="15" applyFill="1" applyBorder="1" applyAlignment="1">
      <alignment vertical="center" wrapText="1"/>
    </xf>
    <xf numFmtId="0" fontId="14" fillId="57" borderId="4" xfId="15" applyFill="1" applyBorder="1" applyAlignment="1">
      <alignment horizontal="left" vertical="center" wrapText="1"/>
    </xf>
    <xf numFmtId="0" fontId="14" fillId="57" borderId="95" xfId="15" applyFill="1" applyBorder="1" applyAlignment="1">
      <alignment vertical="center" wrapText="1"/>
    </xf>
    <xf numFmtId="0" fontId="14" fillId="57" borderId="8" xfId="15" applyFill="1" applyBorder="1" applyAlignment="1">
      <alignment vertical="center" wrapText="1"/>
    </xf>
    <xf numFmtId="0" fontId="14" fillId="0" borderId="25" xfId="15" applyBorder="1" applyAlignment="1">
      <alignment horizontal="center" vertical="center" wrapText="1"/>
    </xf>
    <xf numFmtId="0" fontId="14" fillId="61" borderId="9" xfId="15" applyFill="1" applyBorder="1" applyAlignment="1">
      <alignment horizontal="center" vertical="center" wrapText="1"/>
    </xf>
    <xf numFmtId="14" fontId="14" fillId="0" borderId="25" xfId="15" applyNumberFormat="1" applyBorder="1" applyAlignment="1">
      <alignment horizontal="center" vertical="center" wrapText="1"/>
    </xf>
    <xf numFmtId="14" fontId="14" fillId="0" borderId="85" xfId="15" applyNumberFormat="1" applyBorder="1" applyAlignment="1">
      <alignment horizontal="center" vertical="center" wrapText="1"/>
    </xf>
    <xf numFmtId="14" fontId="14" fillId="0" borderId="10" xfId="15" applyNumberFormat="1" applyBorder="1" applyAlignment="1">
      <alignment horizontal="center" vertical="center" wrapText="1"/>
    </xf>
    <xf numFmtId="14" fontId="14" fillId="0" borderId="67" xfId="15" applyNumberFormat="1" applyBorder="1" applyAlignment="1">
      <alignment horizontal="center" vertical="center" wrapText="1"/>
    </xf>
    <xf numFmtId="0" fontId="14" fillId="57" borderId="87" xfId="15" applyFill="1" applyBorder="1" applyAlignment="1">
      <alignment vertical="center" wrapText="1"/>
    </xf>
    <xf numFmtId="14" fontId="14" fillId="0" borderId="3" xfId="15" applyNumberFormat="1" applyBorder="1" applyAlignment="1">
      <alignment horizontal="center" vertical="center" wrapText="1"/>
    </xf>
    <xf numFmtId="14" fontId="14" fillId="0" borderId="68" xfId="15" applyNumberFormat="1" applyBorder="1" applyAlignment="1">
      <alignment horizontal="center" vertical="center" wrapText="1"/>
    </xf>
    <xf numFmtId="0" fontId="14" fillId="57" borderId="89" xfId="15" applyFill="1" applyBorder="1" applyAlignment="1">
      <alignment vertical="center" wrapText="1"/>
    </xf>
    <xf numFmtId="0" fontId="14" fillId="57" borderId="11" xfId="15" applyFill="1" applyBorder="1" applyAlignment="1">
      <alignment vertical="center" wrapText="1"/>
    </xf>
    <xf numFmtId="14" fontId="14" fillId="0" borderId="31" xfId="15" applyNumberFormat="1" applyBorder="1" applyAlignment="1">
      <alignment horizontal="center" vertical="center" wrapText="1"/>
    </xf>
    <xf numFmtId="14" fontId="14" fillId="0" borderId="69" xfId="15" applyNumberFormat="1" applyBorder="1" applyAlignment="1">
      <alignment horizontal="center" vertical="center" wrapText="1"/>
    </xf>
    <xf numFmtId="0" fontId="14" fillId="57" borderId="76" xfId="15" applyFill="1" applyBorder="1" applyAlignment="1">
      <alignment vertical="center" wrapText="1"/>
    </xf>
    <xf numFmtId="0" fontId="14" fillId="57" borderId="30" xfId="15" applyFill="1" applyBorder="1" applyAlignment="1">
      <alignment vertical="center" wrapText="1"/>
    </xf>
    <xf numFmtId="0" fontId="14" fillId="57" borderId="28" xfId="15" applyFill="1" applyBorder="1" applyAlignment="1">
      <alignment vertical="center" wrapText="1"/>
    </xf>
    <xf numFmtId="0" fontId="14" fillId="57" borderId="27" xfId="15" applyFill="1" applyBorder="1" applyAlignment="1">
      <alignment horizontal="left" vertical="center" wrapText="1"/>
    </xf>
    <xf numFmtId="2" fontId="14" fillId="57" borderId="92" xfId="15" applyNumberFormat="1" applyFill="1" applyBorder="1" applyAlignment="1">
      <alignment horizontal="center" vertical="center" wrapText="1"/>
    </xf>
    <xf numFmtId="0" fontId="14" fillId="57" borderId="27" xfId="15" applyFill="1" applyBorder="1" applyAlignment="1">
      <alignment horizontal="center" vertical="center" wrapText="1"/>
    </xf>
    <xf numFmtId="0" fontId="14" fillId="61" borderId="30" xfId="15" applyFill="1" applyBorder="1" applyAlignment="1">
      <alignment horizontal="center" vertical="center" wrapText="1"/>
    </xf>
    <xf numFmtId="14" fontId="14" fillId="57" borderId="27" xfId="15" applyNumberFormat="1" applyFill="1" applyBorder="1" applyAlignment="1">
      <alignment horizontal="center" vertical="center" wrapText="1"/>
    </xf>
    <xf numFmtId="14" fontId="14" fillId="57" borderId="67" xfId="15" applyNumberFormat="1" applyFill="1" applyBorder="1" applyAlignment="1">
      <alignment vertical="center" wrapText="1"/>
    </xf>
    <xf numFmtId="0" fontId="14" fillId="57" borderId="0" xfId="15" applyFill="1" applyAlignment="1">
      <alignment vertical="center" wrapText="1"/>
    </xf>
    <xf numFmtId="2" fontId="14" fillId="57" borderId="7" xfId="15" applyNumberFormat="1" applyFill="1" applyBorder="1" applyAlignment="1">
      <alignment horizontal="center" vertical="center" wrapText="1"/>
    </xf>
    <xf numFmtId="0" fontId="14" fillId="57" borderId="9" xfId="15" applyFill="1" applyBorder="1" applyAlignment="1">
      <alignment horizontal="center" vertical="center" wrapText="1"/>
    </xf>
    <xf numFmtId="14" fontId="14" fillId="57" borderId="9" xfId="15" applyNumberFormat="1" applyFill="1" applyBorder="1" applyAlignment="1">
      <alignment horizontal="center" vertical="center" wrapText="1"/>
    </xf>
    <xf numFmtId="14" fontId="14" fillId="57" borderId="77" xfId="15" applyNumberFormat="1" applyFill="1" applyBorder="1" applyAlignment="1">
      <alignment vertical="center" wrapText="1"/>
    </xf>
    <xf numFmtId="0" fontId="14" fillId="57" borderId="96" xfId="15" applyFill="1" applyBorder="1" applyAlignment="1">
      <alignment horizontal="center" vertical="center" wrapText="1"/>
    </xf>
    <xf numFmtId="0" fontId="14" fillId="57" borderId="111" xfId="15" applyFill="1" applyBorder="1" applyAlignment="1">
      <alignment horizontal="center" vertical="center" wrapText="1"/>
    </xf>
    <xf numFmtId="0" fontId="14" fillId="57" borderId="111" xfId="15" applyFill="1" applyBorder="1" applyAlignment="1">
      <alignment horizontal="left" vertical="center" wrapText="1"/>
    </xf>
    <xf numFmtId="0" fontId="14" fillId="57" borderId="27" xfId="15" applyFill="1" applyBorder="1" applyAlignment="1">
      <alignment vertical="center" wrapText="1"/>
    </xf>
    <xf numFmtId="0" fontId="14" fillId="57" borderId="116" xfId="15" applyFill="1" applyBorder="1" applyAlignment="1">
      <alignment vertical="center" wrapText="1"/>
    </xf>
    <xf numFmtId="0" fontId="14" fillId="57" borderId="5" xfId="15" applyFill="1" applyBorder="1" applyAlignment="1">
      <alignment vertical="center" wrapText="1"/>
    </xf>
    <xf numFmtId="0" fontId="14" fillId="57" borderId="4" xfId="15" applyFill="1" applyBorder="1" applyAlignment="1">
      <alignment vertical="center" wrapText="1"/>
    </xf>
    <xf numFmtId="2" fontId="14" fillId="57" borderId="3" xfId="15" applyNumberFormat="1" applyFill="1" applyBorder="1" applyAlignment="1">
      <alignment horizontal="center" vertical="center" wrapText="1"/>
    </xf>
    <xf numFmtId="0" fontId="14" fillId="57" borderId="5" xfId="15" applyFill="1" applyBorder="1" applyAlignment="1">
      <alignment horizontal="center" vertical="center" wrapText="1"/>
    </xf>
    <xf numFmtId="14" fontId="14" fillId="57" borderId="5" xfId="15" applyNumberFormat="1" applyFill="1" applyBorder="1" applyAlignment="1">
      <alignment horizontal="center" vertical="center" wrapText="1"/>
    </xf>
    <xf numFmtId="0" fontId="14" fillId="57" borderId="68" xfId="15" applyFill="1" applyBorder="1" applyAlignment="1">
      <alignment horizontal="center" vertical="center" wrapText="1"/>
    </xf>
    <xf numFmtId="0" fontId="14" fillId="57" borderId="2" xfId="15" applyFill="1" applyBorder="1" applyAlignment="1">
      <alignment horizontal="left" vertical="center" wrapText="1"/>
    </xf>
    <xf numFmtId="14" fontId="14" fillId="57" borderId="9" xfId="15" applyNumberFormat="1" applyFill="1" applyBorder="1" applyAlignment="1">
      <alignment vertical="center" wrapText="1"/>
    </xf>
    <xf numFmtId="0" fontId="14" fillId="0" borderId="59" xfId="15" applyBorder="1" applyAlignment="1">
      <alignment vertical="center" wrapText="1"/>
    </xf>
    <xf numFmtId="0" fontId="14" fillId="0" borderId="26" xfId="15" applyBorder="1" applyAlignment="1">
      <alignment vertical="center" wrapText="1"/>
    </xf>
    <xf numFmtId="0" fontId="14" fillId="0" borderId="26" xfId="15" applyBorder="1" applyAlignment="1">
      <alignment horizontal="left" vertical="center" wrapText="1"/>
    </xf>
    <xf numFmtId="2" fontId="14" fillId="61" borderId="105" xfId="15" quotePrefix="1" applyNumberFormat="1" applyFill="1" applyBorder="1" applyAlignment="1">
      <alignment horizontal="center" vertical="center" wrapText="1"/>
    </xf>
    <xf numFmtId="14" fontId="14" fillId="0" borderId="64" xfId="15" applyNumberFormat="1" applyBorder="1" applyAlignment="1">
      <alignment vertical="center" wrapText="1"/>
    </xf>
    <xf numFmtId="14" fontId="14" fillId="0" borderId="65" xfId="15" applyNumberFormat="1" applyBorder="1" applyAlignment="1">
      <alignment vertical="center" wrapText="1"/>
    </xf>
    <xf numFmtId="0" fontId="14" fillId="0" borderId="103" xfId="15" applyBorder="1" applyAlignment="1">
      <alignment vertical="center" wrapText="1"/>
    </xf>
    <xf numFmtId="0" fontId="14" fillId="0" borderId="25" xfId="15" applyBorder="1" applyAlignment="1">
      <alignment vertical="center" wrapText="1"/>
    </xf>
    <xf numFmtId="0" fontId="14" fillId="0" borderId="25" xfId="15" applyBorder="1" applyAlignment="1">
      <alignment horizontal="left" vertical="center" wrapText="1"/>
    </xf>
    <xf numFmtId="2" fontId="14" fillId="61" borderId="97" xfId="15" quotePrefix="1" applyNumberFormat="1" applyFill="1" applyBorder="1" applyAlignment="1">
      <alignment horizontal="center" vertical="center" wrapText="1"/>
    </xf>
    <xf numFmtId="0" fontId="14" fillId="0" borderId="86" xfId="15" applyBorder="1" applyAlignment="1">
      <alignment vertical="center" wrapText="1"/>
    </xf>
    <xf numFmtId="0" fontId="14" fillId="0" borderId="9" xfId="15" applyBorder="1" applyAlignment="1">
      <alignment vertical="center" wrapText="1"/>
    </xf>
    <xf numFmtId="0" fontId="14" fillId="0" borderId="9" xfId="15" applyBorder="1" applyAlignment="1">
      <alignment horizontal="left" vertical="center" wrapText="1"/>
    </xf>
    <xf numFmtId="2" fontId="14" fillId="61" borderId="31" xfId="15" quotePrefix="1" applyNumberFormat="1" applyFill="1" applyBorder="1" applyAlignment="1">
      <alignment horizontal="center" vertical="center" wrapText="1"/>
    </xf>
    <xf numFmtId="14" fontId="14" fillId="0" borderId="9" xfId="15" applyNumberFormat="1" applyBorder="1" applyAlignment="1">
      <alignment vertical="center" wrapText="1"/>
    </xf>
    <xf numFmtId="14" fontId="14" fillId="0" borderId="77" xfId="15" applyNumberFormat="1" applyBorder="1" applyAlignment="1">
      <alignment vertical="center" wrapText="1"/>
    </xf>
    <xf numFmtId="0" fontId="14" fillId="0" borderId="63" xfId="15" applyBorder="1" applyAlignment="1">
      <alignment vertical="center" wrapText="1"/>
    </xf>
    <xf numFmtId="2" fontId="14" fillId="61" borderId="79" xfId="15" applyNumberFormat="1" applyFill="1" applyBorder="1" applyAlignment="1">
      <alignment horizontal="center" vertical="center" wrapText="1"/>
    </xf>
    <xf numFmtId="0" fontId="14" fillId="0" borderId="57" xfId="15" applyBorder="1" applyAlignment="1">
      <alignment vertical="center" wrapText="1"/>
    </xf>
    <xf numFmtId="0" fontId="75" fillId="0" borderId="2" xfId="15" applyFont="1" applyBorder="1" applyAlignment="1">
      <alignment vertical="center" wrapText="1"/>
    </xf>
    <xf numFmtId="2" fontId="14" fillId="61" borderId="7" xfId="15" applyNumberFormat="1" applyFill="1" applyBorder="1" applyAlignment="1">
      <alignment horizontal="center" vertical="center" wrapText="1"/>
    </xf>
    <xf numFmtId="14" fontId="14" fillId="0" borderId="2" xfId="15" applyNumberFormat="1" applyBorder="1" applyAlignment="1">
      <alignment vertical="center" wrapText="1"/>
    </xf>
    <xf numFmtId="14" fontId="14" fillId="0" borderId="58" xfId="15" applyNumberFormat="1" applyBorder="1" applyAlignment="1">
      <alignment vertical="center" wrapText="1"/>
    </xf>
    <xf numFmtId="0" fontId="0" fillId="0" borderId="55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1" xfId="0" applyBorder="1" applyAlignment="1">
      <alignment horizontal="left"/>
    </xf>
    <xf numFmtId="0" fontId="0" fillId="0" borderId="61" xfId="0" applyBorder="1"/>
    <xf numFmtId="0" fontId="14" fillId="0" borderId="61" xfId="15" applyBorder="1" applyAlignment="1">
      <alignment vertical="center" wrapText="1"/>
    </xf>
    <xf numFmtId="14" fontId="14" fillId="0" borderId="61" xfId="15" applyNumberFormat="1" applyBorder="1" applyAlignment="1">
      <alignment vertical="center" wrapText="1"/>
    </xf>
    <xf numFmtId="14" fontId="14" fillId="0" borderId="62" xfId="15" applyNumberFormat="1" applyBorder="1" applyAlignment="1">
      <alignment vertical="center" wrapText="1"/>
    </xf>
    <xf numFmtId="0" fontId="14" fillId="0" borderId="55" xfId="15" applyBorder="1" applyAlignment="1">
      <alignment vertical="top" wrapText="1"/>
    </xf>
    <xf numFmtId="0" fontId="14" fillId="0" borderId="64" xfId="15" applyBorder="1" applyAlignment="1">
      <alignment vertical="top" wrapText="1"/>
    </xf>
    <xf numFmtId="0" fontId="14" fillId="0" borderId="61" xfId="15" applyBorder="1" applyAlignment="1">
      <alignment vertical="top" wrapText="1"/>
    </xf>
    <xf numFmtId="0" fontId="25" fillId="0" borderId="64" xfId="15" applyFont="1" applyBorder="1" applyAlignment="1">
      <alignment horizontal="left" vertical="top" wrapText="1"/>
    </xf>
    <xf numFmtId="0" fontId="25" fillId="0" borderId="79" xfId="15" applyFont="1" applyBorder="1" applyAlignment="1">
      <alignment horizontal="center" vertical="center" wrapText="1"/>
    </xf>
    <xf numFmtId="14" fontId="14" fillId="0" borderId="64" xfId="15" applyNumberFormat="1" applyBorder="1" applyAlignment="1">
      <alignment horizontal="center" vertical="center" wrapText="1"/>
    </xf>
    <xf numFmtId="14" fontId="14" fillId="0" borderId="65" xfId="15" applyNumberFormat="1" applyBorder="1" applyAlignment="1">
      <alignment horizontal="center" vertical="center" wrapText="1"/>
    </xf>
    <xf numFmtId="0" fontId="14" fillId="0" borderId="56" xfId="15" applyBorder="1" applyAlignment="1">
      <alignment vertical="top"/>
    </xf>
    <xf numFmtId="0" fontId="14" fillId="0" borderId="2" xfId="15" applyBorder="1" applyAlignment="1">
      <alignment vertical="top"/>
    </xf>
    <xf numFmtId="0" fontId="14" fillId="0" borderId="0" xfId="15" applyAlignment="1">
      <alignment vertical="top"/>
    </xf>
    <xf numFmtId="0" fontId="14" fillId="0" borderId="8" xfId="15" applyBorder="1" applyAlignment="1">
      <alignment horizontal="center" vertical="center" wrapText="1"/>
    </xf>
    <xf numFmtId="0" fontId="14" fillId="61" borderId="8" xfId="15" quotePrefix="1" applyFill="1" applyBorder="1" applyAlignment="1">
      <alignment horizontal="center" vertical="center" wrapText="1"/>
    </xf>
    <xf numFmtId="14" fontId="14" fillId="0" borderId="72" xfId="15" applyNumberFormat="1" applyBorder="1" applyAlignment="1">
      <alignment horizontal="center" vertical="center" wrapText="1"/>
    </xf>
    <xf numFmtId="0" fontId="14" fillId="0" borderId="5" xfId="15" applyBorder="1" applyAlignment="1">
      <alignment horizontal="left" vertical="center" wrapText="1"/>
    </xf>
    <xf numFmtId="0" fontId="14" fillId="61" borderId="5" xfId="15" quotePrefix="1" applyFill="1" applyBorder="1" applyAlignment="1">
      <alignment horizontal="center" vertical="center" wrapText="1"/>
    </xf>
    <xf numFmtId="0" fontId="14" fillId="0" borderId="9" xfId="15" applyBorder="1" applyAlignment="1">
      <alignment horizontal="center" vertical="center" wrapText="1"/>
    </xf>
    <xf numFmtId="0" fontId="14" fillId="61" borderId="9" xfId="15" quotePrefix="1" applyFill="1" applyBorder="1" applyAlignment="1">
      <alignment horizontal="center" vertical="center" wrapText="1"/>
    </xf>
    <xf numFmtId="14" fontId="14" fillId="0" borderId="9" xfId="15" applyNumberFormat="1" applyBorder="1" applyAlignment="1">
      <alignment horizontal="center" vertical="center" wrapText="1"/>
    </xf>
    <xf numFmtId="14" fontId="14" fillId="0" borderId="77" xfId="15" applyNumberFormat="1" applyBorder="1" applyAlignment="1">
      <alignment horizontal="center" vertical="center" wrapText="1"/>
    </xf>
    <xf numFmtId="0" fontId="14" fillId="0" borderId="64" xfId="15" applyBorder="1" applyAlignment="1">
      <alignment horizontal="left" vertical="top" wrapText="1"/>
    </xf>
    <xf numFmtId="0" fontId="14" fillId="0" borderId="79" xfId="15" applyBorder="1" applyAlignment="1">
      <alignment horizontal="center" vertical="center" wrapText="1"/>
    </xf>
    <xf numFmtId="0" fontId="14" fillId="0" borderId="2" xfId="15" applyBorder="1" applyAlignment="1">
      <alignment vertical="center"/>
    </xf>
    <xf numFmtId="0" fontId="23" fillId="0" borderId="0" xfId="15" applyFont="1" applyAlignment="1">
      <alignment vertical="center"/>
    </xf>
    <xf numFmtId="0" fontId="14" fillId="0" borderId="78" xfId="15" applyBorder="1" applyAlignment="1">
      <alignment vertical="top" wrapText="1"/>
    </xf>
    <xf numFmtId="0" fontId="14" fillId="0" borderId="26" xfId="15" applyBorder="1" applyAlignment="1">
      <alignment vertical="top" wrapText="1"/>
    </xf>
    <xf numFmtId="0" fontId="14" fillId="0" borderId="74" xfId="15" applyBorder="1" applyAlignment="1">
      <alignment vertical="top" wrapText="1"/>
    </xf>
    <xf numFmtId="0" fontId="14" fillId="0" borderId="26" xfId="15" applyBorder="1" applyAlignment="1">
      <alignment horizontal="left" vertical="top" wrapText="1"/>
    </xf>
    <xf numFmtId="0" fontId="14" fillId="0" borderId="105" xfId="15" applyBorder="1" applyAlignment="1">
      <alignment horizontal="center" vertical="center" wrapText="1"/>
    </xf>
    <xf numFmtId="0" fontId="14" fillId="0" borderId="76" xfId="15" applyBorder="1" applyAlignment="1">
      <alignment vertical="center"/>
    </xf>
    <xf numFmtId="0" fontId="14" fillId="0" borderId="30" xfId="15" applyBorder="1" applyAlignment="1">
      <alignment vertical="center"/>
    </xf>
    <xf numFmtId="0" fontId="23" fillId="0" borderId="73" xfId="15" applyFont="1" applyBorder="1" applyAlignment="1">
      <alignment vertical="center"/>
    </xf>
    <xf numFmtId="2" fontId="14" fillId="0" borderId="92" xfId="15" applyNumberFormat="1" applyBorder="1" applyAlignment="1">
      <alignment horizontal="center" vertical="center" wrapText="1"/>
    </xf>
    <xf numFmtId="0" fontId="14" fillId="61" borderId="27" xfId="15" quotePrefix="1" applyFill="1" applyBorder="1" applyAlignment="1">
      <alignment horizontal="center" vertical="center" wrapText="1"/>
    </xf>
    <xf numFmtId="0" fontId="14" fillId="0" borderId="78" xfId="15" applyBorder="1" applyAlignment="1">
      <alignment vertical="top"/>
    </xf>
    <xf numFmtId="0" fontId="14" fillId="0" borderId="26" xfId="15" applyBorder="1" applyAlignment="1">
      <alignment vertical="top"/>
    </xf>
    <xf numFmtId="0" fontId="14" fillId="0" borderId="74" xfId="15" applyBorder="1" applyAlignment="1">
      <alignment vertical="top"/>
    </xf>
    <xf numFmtId="2" fontId="14" fillId="0" borderId="97" xfId="15" applyNumberFormat="1" applyBorder="1" applyAlignment="1">
      <alignment horizontal="center" vertical="center" wrapText="1"/>
    </xf>
    <xf numFmtId="0" fontId="14" fillId="61" borderId="25" xfId="15" quotePrefix="1" applyFill="1" applyBorder="1" applyAlignment="1">
      <alignment horizontal="center" vertical="center" wrapText="1"/>
    </xf>
    <xf numFmtId="0" fontId="0" fillId="0" borderId="81" xfId="0" applyBorder="1"/>
    <xf numFmtId="0" fontId="14" fillId="0" borderId="57" xfId="253" applyBorder="1" applyAlignment="1">
      <alignment vertical="top"/>
    </xf>
    <xf numFmtId="0" fontId="14" fillId="0" borderId="6" xfId="253" applyBorder="1" applyAlignment="1">
      <alignment vertical="top"/>
    </xf>
    <xf numFmtId="0" fontId="21" fillId="0" borderId="6" xfId="253" applyFont="1" applyBorder="1" applyAlignment="1">
      <alignment vertical="top"/>
    </xf>
    <xf numFmtId="0" fontId="14" fillId="0" borderId="8" xfId="253" applyBorder="1" applyAlignment="1">
      <alignment horizontal="left" vertical="center" wrapText="1"/>
    </xf>
    <xf numFmtId="2" fontId="14" fillId="0" borderId="10" xfId="253" applyNumberFormat="1" applyBorder="1" applyAlignment="1">
      <alignment horizontal="center" vertical="center" wrapText="1"/>
    </xf>
    <xf numFmtId="14" fontId="14" fillId="0" borderId="8" xfId="15" applyNumberFormat="1" applyBorder="1" applyAlignment="1">
      <alignment vertical="center" wrapText="1"/>
    </xf>
    <xf numFmtId="14" fontId="14" fillId="0" borderId="72" xfId="15" applyNumberFormat="1" applyBorder="1" applyAlignment="1">
      <alignment vertical="center" wrapText="1"/>
    </xf>
    <xf numFmtId="0" fontId="14" fillId="0" borderId="5" xfId="253" applyBorder="1" applyAlignment="1">
      <alignment horizontal="left" vertical="center" wrapText="1"/>
    </xf>
    <xf numFmtId="2" fontId="14" fillId="0" borderId="3" xfId="253" applyNumberFormat="1" applyBorder="1" applyAlignment="1">
      <alignment horizontal="center" vertical="center" wrapText="1"/>
    </xf>
    <xf numFmtId="14" fontId="14" fillId="0" borderId="5" xfId="15" applyNumberFormat="1" applyBorder="1" applyAlignment="1">
      <alignment vertical="center" wrapText="1"/>
    </xf>
    <xf numFmtId="14" fontId="14" fillId="0" borderId="68" xfId="15" applyNumberFormat="1" applyBorder="1" applyAlignment="1">
      <alignment vertical="center" wrapText="1"/>
    </xf>
    <xf numFmtId="0" fontId="14" fillId="0" borderId="9" xfId="253" applyBorder="1" applyAlignment="1">
      <alignment horizontal="left" vertical="center" wrapText="1"/>
    </xf>
    <xf numFmtId="2" fontId="14" fillId="0" borderId="31" xfId="253" applyNumberFormat="1" applyBorder="1" applyAlignment="1">
      <alignment horizontal="center" vertical="center" wrapText="1"/>
    </xf>
    <xf numFmtId="0" fontId="14" fillId="0" borderId="63" xfId="253" applyBorder="1" applyAlignment="1">
      <alignment vertical="center"/>
    </xf>
    <xf numFmtId="0" fontId="14" fillId="0" borderId="102" xfId="253" applyBorder="1" applyAlignment="1">
      <alignment vertical="center"/>
    </xf>
    <xf numFmtId="0" fontId="21" fillId="0" borderId="102" xfId="253" applyFont="1" applyBorder="1" applyAlignment="1">
      <alignment vertical="center"/>
    </xf>
    <xf numFmtId="0" fontId="21" fillId="0" borderId="64" xfId="253" applyFont="1" applyBorder="1" applyAlignment="1">
      <alignment horizontal="left" vertical="center" wrapText="1"/>
    </xf>
    <xf numFmtId="0" fontId="14" fillId="0" borderId="79" xfId="253" applyBorder="1" applyAlignment="1">
      <alignment horizontal="center" vertical="center" wrapText="1"/>
    </xf>
    <xf numFmtId="0" fontId="14" fillId="0" borderId="90" xfId="253" applyBorder="1" applyAlignment="1">
      <alignment vertical="top"/>
    </xf>
    <xf numFmtId="0" fontId="14" fillId="0" borderId="28" xfId="253" applyBorder="1" applyAlignment="1">
      <alignment vertical="top"/>
    </xf>
    <xf numFmtId="0" fontId="21" fillId="0" borderId="28" xfId="253" applyFont="1" applyBorder="1" applyAlignment="1">
      <alignment vertical="top"/>
    </xf>
    <xf numFmtId="0" fontId="14" fillId="0" borderId="27" xfId="253" applyBorder="1" applyAlignment="1">
      <alignment horizontal="left" vertical="center" wrapText="1"/>
    </xf>
    <xf numFmtId="0" fontId="14" fillId="0" borderId="92" xfId="253" applyBorder="1" applyAlignment="1">
      <alignment horizontal="center" vertical="center" wrapText="1"/>
    </xf>
    <xf numFmtId="0" fontId="14" fillId="61" borderId="27" xfId="15" applyFill="1" applyBorder="1" applyAlignment="1">
      <alignment horizontal="center" vertical="center" wrapText="1"/>
    </xf>
    <xf numFmtId="14" fontId="14" fillId="0" borderId="27" xfId="15" applyNumberFormat="1" applyBorder="1" applyAlignment="1">
      <alignment vertical="center" wrapText="1"/>
    </xf>
    <xf numFmtId="14" fontId="14" fillId="0" borderId="67" xfId="15" applyNumberFormat="1" applyBorder="1" applyAlignment="1">
      <alignment vertical="center" wrapText="1"/>
    </xf>
    <xf numFmtId="0" fontId="14" fillId="0" borderId="59" xfId="253" applyBorder="1" applyAlignment="1">
      <alignment vertical="top"/>
    </xf>
    <xf numFmtId="0" fontId="14" fillId="0" borderId="104" xfId="253" applyBorder="1" applyAlignment="1">
      <alignment vertical="top"/>
    </xf>
    <xf numFmtId="0" fontId="21" fillId="0" borderId="104" xfId="253" applyFont="1" applyBorder="1" applyAlignment="1">
      <alignment vertical="top"/>
    </xf>
    <xf numFmtId="0" fontId="14" fillId="0" borderId="25" xfId="253" applyBorder="1" applyAlignment="1">
      <alignment horizontal="left" vertical="center" wrapText="1"/>
    </xf>
    <xf numFmtId="2" fontId="14" fillId="0" borderId="97" xfId="253" applyNumberFormat="1" applyBorder="1" applyAlignment="1">
      <alignment horizontal="center" vertical="center" wrapText="1"/>
    </xf>
    <xf numFmtId="0" fontId="14" fillId="61" borderId="25" xfId="15" applyFill="1" applyBorder="1" applyAlignment="1">
      <alignment horizontal="center" vertical="center" wrapText="1"/>
    </xf>
    <xf numFmtId="14" fontId="14" fillId="0" borderId="25" xfId="15" applyNumberFormat="1" applyBorder="1" applyAlignment="1">
      <alignment vertical="center" wrapText="1"/>
    </xf>
    <xf numFmtId="14" fontId="14" fillId="0" borderId="69" xfId="15" applyNumberFormat="1" applyBorder="1" applyAlignment="1">
      <alignment vertical="center" wrapText="1"/>
    </xf>
    <xf numFmtId="0" fontId="14" fillId="0" borderId="57" xfId="253" applyBorder="1" applyAlignment="1">
      <alignment vertical="center"/>
    </xf>
    <xf numFmtId="0" fontId="14" fillId="0" borderId="6" xfId="253" applyBorder="1" applyAlignment="1">
      <alignment vertical="center"/>
    </xf>
    <xf numFmtId="0" fontId="21" fillId="0" borderId="6" xfId="253" applyFont="1" applyBorder="1" applyAlignment="1">
      <alignment vertical="center"/>
    </xf>
    <xf numFmtId="0" fontId="21" fillId="0" borderId="2" xfId="253" applyFont="1" applyBorder="1" applyAlignment="1">
      <alignment horizontal="left" vertical="center" wrapText="1"/>
    </xf>
    <xf numFmtId="0" fontId="14" fillId="0" borderId="7" xfId="253" applyBorder="1" applyAlignment="1">
      <alignment horizontal="center" vertical="center" wrapText="1"/>
    </xf>
    <xf numFmtId="0" fontId="14" fillId="0" borderId="2" xfId="15" applyBorder="1" applyAlignment="1">
      <alignment horizontal="center" vertical="center" wrapText="1"/>
    </xf>
    <xf numFmtId="0" fontId="21" fillId="0" borderId="100" xfId="253" applyFont="1" applyBorder="1" applyAlignment="1">
      <alignment horizontal="center" vertical="center" wrapText="1"/>
    </xf>
    <xf numFmtId="0" fontId="70" fillId="0" borderId="100" xfId="253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3" fontId="21" fillId="56" borderId="66" xfId="1157" applyNumberFormat="1" applyFont="1" applyFill="1" applyBorder="1" applyAlignment="1" applyProtection="1">
      <alignment horizontal="right" vertical="center"/>
      <protection locked="0"/>
    </xf>
    <xf numFmtId="4" fontId="21" fillId="56" borderId="67" xfId="1157" applyNumberFormat="1" applyFont="1" applyFill="1" applyBorder="1" applyAlignment="1" applyProtection="1">
      <alignment horizontal="right" vertical="center"/>
      <protection locked="0"/>
    </xf>
    <xf numFmtId="3" fontId="21" fillId="56" borderId="110" xfId="1157" applyNumberFormat="1" applyFont="1" applyFill="1" applyBorder="1" applyAlignment="1" applyProtection="1">
      <alignment horizontal="right" vertical="center"/>
      <protection locked="0"/>
    </xf>
    <xf numFmtId="4" fontId="21" fillId="56" borderId="68" xfId="1157" applyNumberFormat="1" applyFont="1" applyFill="1" applyBorder="1" applyAlignment="1" applyProtection="1">
      <alignment horizontal="right" vertical="center"/>
      <protection locked="0"/>
    </xf>
    <xf numFmtId="0" fontId="0" fillId="0" borderId="56" xfId="0" applyBorder="1" applyAlignment="1">
      <alignment horizontal="right"/>
    </xf>
    <xf numFmtId="0" fontId="0" fillId="0" borderId="81" xfId="0" applyBorder="1" applyAlignment="1">
      <alignment horizontal="right"/>
    </xf>
    <xf numFmtId="3" fontId="69" fillId="56" borderId="110" xfId="1157" applyNumberFormat="1" applyFont="1" applyFill="1" applyBorder="1" applyAlignment="1" applyProtection="1">
      <alignment horizontal="right" vertical="center"/>
      <protection locked="0"/>
    </xf>
    <xf numFmtId="4" fontId="69" fillId="56" borderId="68" xfId="1157" applyNumberFormat="1" applyFont="1" applyFill="1" applyBorder="1" applyAlignment="1" applyProtection="1">
      <alignment horizontal="right" vertical="center"/>
      <protection locked="0"/>
    </xf>
    <xf numFmtId="3" fontId="21" fillId="0" borderId="110" xfId="1157" applyNumberFormat="1" applyFont="1" applyBorder="1" applyAlignment="1" applyProtection="1">
      <alignment horizontal="right" vertical="center"/>
      <protection locked="0"/>
    </xf>
    <xf numFmtId="3" fontId="69" fillId="61" borderId="110" xfId="1157" applyNumberFormat="1" applyFont="1" applyFill="1" applyBorder="1" applyAlignment="1" applyProtection="1">
      <alignment horizontal="right" vertical="center"/>
      <protection locked="0"/>
    </xf>
    <xf numFmtId="3" fontId="21" fillId="61" borderId="110" xfId="1157" applyNumberFormat="1" applyFont="1" applyFill="1" applyBorder="1" applyAlignment="1" applyProtection="1">
      <alignment horizontal="right" vertical="center"/>
      <protection locked="0"/>
    </xf>
    <xf numFmtId="3" fontId="25" fillId="58" borderId="96" xfId="8" applyNumberFormat="1" applyFont="1" applyFill="1" applyBorder="1" applyAlignment="1">
      <alignment horizontal="right" vertical="center"/>
    </xf>
    <xf numFmtId="3" fontId="14" fillId="0" borderId="96" xfId="8" applyNumberFormat="1" applyFont="1" applyFill="1" applyBorder="1" applyAlignment="1">
      <alignment horizontal="right" vertical="center"/>
    </xf>
    <xf numFmtId="3" fontId="14" fillId="0" borderId="116" xfId="8" applyNumberFormat="1" applyFont="1" applyFill="1" applyBorder="1" applyAlignment="1">
      <alignment horizontal="right" vertical="center"/>
    </xf>
    <xf numFmtId="3" fontId="14" fillId="0" borderId="93" xfId="8" applyNumberFormat="1" applyFont="1" applyFill="1" applyBorder="1" applyAlignment="1">
      <alignment horizontal="right" vertical="center"/>
    </xf>
    <xf numFmtId="3" fontId="14" fillId="0" borderId="87" xfId="8" applyNumberFormat="1" applyFont="1" applyFill="1" applyBorder="1" applyAlignment="1">
      <alignment horizontal="right" vertical="center"/>
    </xf>
    <xf numFmtId="3" fontId="25" fillId="61" borderId="77" xfId="8" applyNumberFormat="1" applyFont="1" applyFill="1" applyBorder="1" applyAlignment="1">
      <alignment horizontal="right" vertical="center"/>
    </xf>
    <xf numFmtId="3" fontId="25" fillId="61" borderId="84" xfId="8" applyNumberFormat="1" applyFont="1" applyFill="1" applyBorder="1" applyAlignment="1">
      <alignment horizontal="right" vertical="center"/>
    </xf>
    <xf numFmtId="3" fontId="25" fillId="61" borderId="86" xfId="8" applyNumberFormat="1" applyFont="1" applyFill="1" applyBorder="1" applyAlignment="1">
      <alignment horizontal="right" vertical="center"/>
    </xf>
    <xf numFmtId="3" fontId="0" fillId="61" borderId="86" xfId="8" applyNumberFormat="1" applyFont="1" applyFill="1" applyBorder="1" applyAlignment="1">
      <alignment horizontal="right" vertical="center"/>
    </xf>
    <xf numFmtId="3" fontId="0" fillId="61" borderId="77" xfId="8" applyNumberFormat="1" applyFont="1" applyFill="1" applyBorder="1" applyAlignment="1">
      <alignment horizontal="right" vertical="center"/>
    </xf>
    <xf numFmtId="3" fontId="25" fillId="61" borderId="89" xfId="8" applyNumberFormat="1" applyFont="1" applyFill="1" applyBorder="1" applyAlignment="1">
      <alignment horizontal="right" vertical="center"/>
    </xf>
    <xf numFmtId="3" fontId="25" fillId="61" borderId="110" xfId="8" applyNumberFormat="1" applyFont="1" applyFill="1" applyBorder="1" applyAlignment="1">
      <alignment horizontal="right" vertical="center"/>
    </xf>
    <xf numFmtId="3" fontId="25" fillId="61" borderId="68" xfId="8" applyNumberFormat="1" applyFont="1" applyFill="1" applyBorder="1" applyAlignment="1">
      <alignment horizontal="right" vertical="center"/>
    </xf>
    <xf numFmtId="0" fontId="61" fillId="0" borderId="56" xfId="0" applyFont="1" applyBorder="1" applyAlignment="1">
      <alignment horizontal="right"/>
    </xf>
    <xf numFmtId="0" fontId="61" fillId="0" borderId="81" xfId="0" applyFont="1" applyBorder="1" applyAlignment="1">
      <alignment horizontal="right"/>
    </xf>
    <xf numFmtId="3" fontId="69" fillId="0" borderId="110" xfId="1157" applyNumberFormat="1" applyFont="1" applyBorder="1" applyAlignment="1" applyProtection="1">
      <alignment horizontal="right" vertical="center"/>
      <protection locked="0"/>
    </xf>
    <xf numFmtId="0" fontId="18" fillId="0" borderId="6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113" xfId="0" applyFont="1" applyBorder="1" applyAlignment="1">
      <alignment horizontal="left" vertical="center" wrapText="1"/>
    </xf>
    <xf numFmtId="0" fontId="19" fillId="57" borderId="113" xfId="0" applyFont="1" applyFill="1" applyBorder="1" applyAlignment="1">
      <alignment wrapText="1"/>
    </xf>
    <xf numFmtId="0" fontId="18" fillId="0" borderId="71" xfId="0" applyFont="1" applyBorder="1" applyAlignment="1">
      <alignment horizontal="left" vertical="center" wrapText="1"/>
    </xf>
    <xf numFmtId="3" fontId="18" fillId="67" borderId="103" xfId="0" applyNumberFormat="1" applyFont="1" applyFill="1" applyBorder="1" applyAlignment="1">
      <alignment horizontal="right" vertical="center"/>
    </xf>
    <xf numFmtId="3" fontId="18" fillId="67" borderId="71" xfId="0" applyNumberFormat="1" applyFont="1" applyFill="1" applyBorder="1" applyAlignment="1">
      <alignment horizontal="right" vertical="center"/>
    </xf>
    <xf numFmtId="0" fontId="19" fillId="67" borderId="71" xfId="0" applyFont="1" applyFill="1" applyBorder="1" applyAlignment="1">
      <alignment horizontal="right" wrapText="1"/>
    </xf>
    <xf numFmtId="0" fontId="16" fillId="0" borderId="0" xfId="0" applyFont="1"/>
    <xf numFmtId="4" fontId="99" fillId="57" borderId="68" xfId="245" applyNumberFormat="1" applyFont="1" applyFill="1" applyBorder="1" applyAlignment="1">
      <alignment horizontal="right" vertical="center"/>
    </xf>
    <xf numFmtId="4" fontId="99" fillId="57" borderId="69" xfId="245" applyNumberFormat="1" applyFont="1" applyFill="1" applyBorder="1" applyAlignment="1">
      <alignment horizontal="right" vertical="center"/>
    </xf>
    <xf numFmtId="4" fontId="19" fillId="57" borderId="103" xfId="245" applyNumberFormat="1" applyFont="1" applyFill="1" applyBorder="1" applyAlignment="1">
      <alignment horizontal="right" vertical="center"/>
    </xf>
    <xf numFmtId="4" fontId="99" fillId="57" borderId="5" xfId="245" applyNumberFormat="1" applyFont="1" applyFill="1" applyBorder="1" applyAlignment="1">
      <alignment horizontal="right" vertical="center"/>
    </xf>
    <xf numFmtId="4" fontId="19" fillId="68" borderId="5" xfId="0" applyNumberFormat="1" applyFont="1" applyFill="1" applyBorder="1" applyAlignment="1">
      <alignment horizontal="right" vertical="center"/>
    </xf>
    <xf numFmtId="4" fontId="19" fillId="68" borderId="68" xfId="0" applyNumberFormat="1" applyFont="1" applyFill="1" applyBorder="1" applyAlignment="1">
      <alignment horizontal="right" vertical="center"/>
    </xf>
    <xf numFmtId="4" fontId="99" fillId="57" borderId="3" xfId="245" applyNumberFormat="1" applyFont="1" applyFill="1" applyBorder="1" applyAlignment="1">
      <alignment horizontal="right" vertical="center"/>
    </xf>
    <xf numFmtId="4" fontId="99" fillId="57" borderId="25" xfId="245" applyNumberFormat="1" applyFont="1" applyFill="1" applyBorder="1" applyAlignment="1">
      <alignment horizontal="right" vertical="center"/>
    </xf>
    <xf numFmtId="4" fontId="99" fillId="57" borderId="97" xfId="245" applyNumberFormat="1" applyFont="1" applyFill="1" applyBorder="1" applyAlignment="1">
      <alignment horizontal="right" vertical="center"/>
    </xf>
    <xf numFmtId="4" fontId="99" fillId="57" borderId="8" xfId="245" applyNumberFormat="1" applyFont="1" applyFill="1" applyBorder="1" applyAlignment="1">
      <alignment horizontal="right" vertical="center"/>
    </xf>
    <xf numFmtId="4" fontId="99" fillId="57" borderId="72" xfId="245" applyNumberFormat="1" applyFont="1" applyFill="1" applyBorder="1" applyAlignment="1">
      <alignment horizontal="right" vertical="center"/>
    </xf>
    <xf numFmtId="0" fontId="89" fillId="0" borderId="103" xfId="0" applyFont="1" applyBorder="1" applyAlignment="1">
      <alignment horizontal="center" vertical="center" wrapText="1"/>
    </xf>
    <xf numFmtId="0" fontId="89" fillId="0" borderId="25" xfId="0" applyFont="1" applyBorder="1" applyAlignment="1">
      <alignment horizontal="center" vertical="center" wrapText="1"/>
    </xf>
    <xf numFmtId="0" fontId="89" fillId="0" borderId="69" xfId="0" applyFont="1" applyBorder="1" applyAlignment="1">
      <alignment horizontal="center" vertical="center" wrapText="1"/>
    </xf>
    <xf numFmtId="0" fontId="21" fillId="0" borderId="27" xfId="0" quotePrefix="1" applyFont="1" applyBorder="1" applyAlignment="1">
      <alignment horizontal="center" vertical="center" wrapText="1"/>
    </xf>
    <xf numFmtId="0" fontId="101" fillId="0" borderId="86" xfId="15" applyFont="1" applyBorder="1" applyAlignment="1">
      <alignment vertical="top" wrapText="1"/>
    </xf>
    <xf numFmtId="0" fontId="101" fillId="0" borderId="77" xfId="15" applyFont="1" applyBorder="1" applyAlignment="1">
      <alignment horizontal="center" vertical="top" wrapText="1"/>
    </xf>
    <xf numFmtId="0" fontId="14" fillId="0" borderId="67" xfId="15" applyBorder="1" applyAlignment="1">
      <alignment horizontal="center" vertical="top" wrapText="1"/>
    </xf>
    <xf numFmtId="0" fontId="14" fillId="0" borderId="69" xfId="15" applyBorder="1" applyAlignment="1">
      <alignment horizontal="center" vertical="top" wrapText="1"/>
    </xf>
    <xf numFmtId="3" fontId="19" fillId="57" borderId="95" xfId="245" applyNumberFormat="1" applyFont="1" applyFill="1" applyBorder="1" applyAlignment="1">
      <alignment horizontal="right" vertical="center"/>
    </xf>
    <xf numFmtId="3" fontId="19" fillId="57" borderId="110" xfId="245" applyNumberFormat="1" applyFont="1" applyFill="1" applyBorder="1" applyAlignment="1">
      <alignment horizontal="right" vertical="center"/>
    </xf>
    <xf numFmtId="3" fontId="19" fillId="68" borderId="110" xfId="0" applyNumberFormat="1" applyFont="1" applyFill="1" applyBorder="1" applyAlignment="1">
      <alignment horizontal="right" vertical="center"/>
    </xf>
    <xf numFmtId="4" fontId="19" fillId="57" borderId="110" xfId="245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/>
    </xf>
    <xf numFmtId="0" fontId="19" fillId="0" borderId="101" xfId="0" applyFont="1" applyBorder="1" applyAlignment="1">
      <alignment horizontal="left"/>
    </xf>
    <xf numFmtId="0" fontId="0" fillId="0" borderId="83" xfId="0" applyBorder="1"/>
    <xf numFmtId="3" fontId="0" fillId="58" borderId="56" xfId="4" applyNumberFormat="1" applyFont="1" applyFill="1" applyBorder="1"/>
    <xf numFmtId="3" fontId="0" fillId="0" borderId="81" xfId="4" applyNumberFormat="1" applyFont="1" applyBorder="1"/>
    <xf numFmtId="3" fontId="0" fillId="0" borderId="82" xfId="4" applyNumberFormat="1" applyFont="1" applyBorder="1"/>
    <xf numFmtId="0" fontId="0" fillId="0" borderId="82" xfId="0" quotePrefix="1" applyBorder="1"/>
    <xf numFmtId="0" fontId="0" fillId="56" borderId="82" xfId="0" applyFill="1" applyBorder="1"/>
    <xf numFmtId="0" fontId="0" fillId="56" borderId="83" xfId="0" applyFill="1" applyBorder="1"/>
    <xf numFmtId="0" fontId="0" fillId="0" borderId="83" xfId="0" applyBorder="1" applyAlignment="1">
      <alignment horizontal="center"/>
    </xf>
    <xf numFmtId="166" fontId="0" fillId="56" borderId="101" xfId="8" applyFont="1" applyFill="1" applyBorder="1" applyAlignment="1">
      <alignment horizontal="right"/>
    </xf>
    <xf numFmtId="0" fontId="14" fillId="0" borderId="56" xfId="0" applyFont="1" applyBorder="1" applyAlignment="1">
      <alignment horizontal="right"/>
    </xf>
    <xf numFmtId="0" fontId="14" fillId="0" borderId="81" xfId="0" applyFont="1" applyBorder="1" applyAlignment="1">
      <alignment horizontal="right"/>
    </xf>
    <xf numFmtId="3" fontId="21" fillId="56" borderId="103" xfId="1157" applyNumberFormat="1" applyFont="1" applyFill="1" applyBorder="1" applyAlignment="1" applyProtection="1">
      <alignment horizontal="right" vertical="center"/>
      <protection locked="0"/>
    </xf>
    <xf numFmtId="4" fontId="21" fillId="56" borderId="69" xfId="1157" applyNumberFormat="1" applyFont="1" applyFill="1" applyBorder="1" applyAlignment="1" applyProtection="1">
      <alignment horizontal="right" vertical="center"/>
      <protection locked="0"/>
    </xf>
    <xf numFmtId="0" fontId="14" fillId="0" borderId="63" xfId="15" applyBorder="1" applyAlignment="1">
      <alignment vertical="top" wrapText="1"/>
    </xf>
    <xf numFmtId="0" fontId="0" fillId="59" borderId="90" xfId="0" applyFill="1" applyBorder="1" applyAlignment="1">
      <alignment horizontal="center" vertical="center"/>
    </xf>
    <xf numFmtId="0" fontId="0" fillId="59" borderId="30" xfId="0" applyFill="1" applyBorder="1"/>
    <xf numFmtId="0" fontId="0" fillId="59" borderId="28" xfId="0" applyFill="1" applyBorder="1" applyAlignment="1">
      <alignment wrapText="1"/>
    </xf>
    <xf numFmtId="3" fontId="0" fillId="63" borderId="30" xfId="0" applyNumberFormat="1" applyFill="1" applyBorder="1" applyAlignment="1">
      <alignment wrapText="1"/>
    </xf>
    <xf numFmtId="0" fontId="0" fillId="59" borderId="63" xfId="0" applyFill="1" applyBorder="1" applyAlignment="1">
      <alignment horizontal="center" vertical="center"/>
    </xf>
    <xf numFmtId="0" fontId="0" fillId="59" borderId="64" xfId="0" applyFill="1" applyBorder="1"/>
    <xf numFmtId="0" fontId="0" fillId="59" borderId="102" xfId="0" applyFill="1" applyBorder="1" applyAlignment="1">
      <alignment wrapText="1"/>
    </xf>
    <xf numFmtId="3" fontId="0" fillId="63" borderId="64" xfId="0" applyNumberFormat="1" applyFill="1" applyBorder="1" applyAlignment="1">
      <alignment wrapText="1"/>
    </xf>
    <xf numFmtId="3" fontId="0" fillId="63" borderId="65" xfId="0" applyNumberFormat="1" applyFill="1" applyBorder="1" applyAlignment="1">
      <alignment wrapText="1"/>
    </xf>
    <xf numFmtId="0" fontId="0" fillId="59" borderId="5" xfId="0" applyFill="1" applyBorder="1" applyAlignment="1">
      <alignment wrapText="1"/>
    </xf>
    <xf numFmtId="3" fontId="0" fillId="63" borderId="94" xfId="0" applyNumberFormat="1" applyFill="1" applyBorder="1" applyAlignment="1">
      <alignment wrapText="1"/>
    </xf>
    <xf numFmtId="0" fontId="0" fillId="59" borderId="56" xfId="0" applyFill="1" applyBorder="1" applyAlignment="1">
      <alignment horizontal="center" vertical="center"/>
    </xf>
    <xf numFmtId="3" fontId="0" fillId="63" borderId="68" xfId="0" applyNumberFormat="1" applyFill="1" applyBorder="1" applyAlignment="1">
      <alignment wrapText="1"/>
    </xf>
    <xf numFmtId="0" fontId="0" fillId="59" borderId="59" xfId="0" applyFill="1" applyBorder="1" applyAlignment="1">
      <alignment horizontal="center" vertical="center"/>
    </xf>
    <xf numFmtId="0" fontId="0" fillId="59" borderId="25" xfId="0" applyFill="1" applyBorder="1"/>
    <xf numFmtId="0" fontId="0" fillId="59" borderId="104" xfId="0" applyFill="1" applyBorder="1" applyAlignment="1">
      <alignment wrapText="1"/>
    </xf>
    <xf numFmtId="3" fontId="14" fillId="63" borderId="26" xfId="0" applyNumberFormat="1" applyFont="1" applyFill="1" applyBorder="1" applyAlignment="1">
      <alignment wrapText="1"/>
    </xf>
    <xf numFmtId="3" fontId="0" fillId="63" borderId="26" xfId="0" applyNumberFormat="1" applyFill="1" applyBorder="1" applyAlignment="1">
      <alignment wrapText="1"/>
    </xf>
    <xf numFmtId="3" fontId="0" fillId="63" borderId="60" xfId="0" applyNumberFormat="1" applyFill="1" applyBorder="1" applyAlignment="1">
      <alignment wrapText="1"/>
    </xf>
    <xf numFmtId="0" fontId="0" fillId="59" borderId="27" xfId="0" applyFill="1" applyBorder="1"/>
    <xf numFmtId="0" fontId="0" fillId="59" borderId="75" xfId="0" applyFill="1" applyBorder="1" applyAlignment="1">
      <alignment wrapText="1"/>
    </xf>
    <xf numFmtId="3" fontId="14" fillId="63" borderId="27" xfId="0" applyNumberFormat="1" applyFont="1" applyFill="1" applyBorder="1" applyAlignment="1">
      <alignment wrapText="1"/>
    </xf>
    <xf numFmtId="3" fontId="0" fillId="63" borderId="27" xfId="0" applyNumberFormat="1" applyFill="1" applyBorder="1" applyAlignment="1">
      <alignment wrapText="1"/>
    </xf>
    <xf numFmtId="3" fontId="0" fillId="63" borderId="67" xfId="0" applyNumberFormat="1" applyFill="1" applyBorder="1" applyAlignment="1">
      <alignment wrapText="1"/>
    </xf>
    <xf numFmtId="0" fontId="14" fillId="59" borderId="56" xfId="0" applyFont="1" applyFill="1" applyBorder="1" applyAlignment="1">
      <alignment horizontal="center" vertical="center"/>
    </xf>
    <xf numFmtId="3" fontId="14" fillId="63" borderId="68" xfId="0" applyNumberFormat="1" applyFont="1" applyFill="1" applyBorder="1" applyAlignment="1">
      <alignment wrapText="1"/>
    </xf>
    <xf numFmtId="0" fontId="14" fillId="59" borderId="59" xfId="0" applyFont="1" applyFill="1" applyBorder="1" applyAlignment="1">
      <alignment horizontal="center" vertical="center"/>
    </xf>
    <xf numFmtId="0" fontId="14" fillId="59" borderId="25" xfId="0" applyFont="1" applyFill="1" applyBorder="1"/>
    <xf numFmtId="0" fontId="14" fillId="59" borderId="104" xfId="0" applyFont="1" applyFill="1" applyBorder="1" applyAlignment="1">
      <alignment wrapText="1"/>
    </xf>
    <xf numFmtId="3" fontId="14" fillId="63" borderId="60" xfId="0" applyNumberFormat="1" applyFont="1" applyFill="1" applyBorder="1" applyAlignment="1">
      <alignment wrapText="1"/>
    </xf>
    <xf numFmtId="166" fontId="21" fillId="0" borderId="78" xfId="0" applyNumberFormat="1" applyFont="1" applyBorder="1" applyAlignment="1">
      <alignment horizontal="left"/>
    </xf>
    <xf numFmtId="166" fontId="21" fillId="0" borderId="74" xfId="0" applyNumberFormat="1" applyFont="1" applyBorder="1" applyAlignment="1">
      <alignment horizontal="left"/>
    </xf>
    <xf numFmtId="166" fontId="21" fillId="0" borderId="74" xfId="0" applyNumberFormat="1" applyFont="1" applyBorder="1"/>
    <xf numFmtId="0" fontId="14" fillId="59" borderId="90" xfId="0" applyFont="1" applyFill="1" applyBorder="1" applyAlignment="1">
      <alignment horizontal="center" vertical="center"/>
    </xf>
    <xf numFmtId="0" fontId="14" fillId="59" borderId="27" xfId="0" applyFont="1" applyFill="1" applyBorder="1"/>
    <xf numFmtId="0" fontId="14" fillId="59" borderId="75" xfId="0" applyFont="1" applyFill="1" applyBorder="1" applyAlignment="1">
      <alignment wrapText="1"/>
    </xf>
    <xf numFmtId="3" fontId="14" fillId="63" borderId="67" xfId="0" applyNumberFormat="1" applyFont="1" applyFill="1" applyBorder="1" applyAlignment="1">
      <alignment wrapText="1"/>
    </xf>
    <xf numFmtId="3" fontId="14" fillId="63" borderId="25" xfId="0" applyNumberFormat="1" applyFont="1" applyFill="1" applyBorder="1" applyAlignment="1">
      <alignment wrapText="1"/>
    </xf>
    <xf numFmtId="0" fontId="102" fillId="0" borderId="177" xfId="1156" applyFont="1" applyBorder="1" applyAlignment="1">
      <alignment horizontal="left" vertical="top" wrapText="1" readingOrder="1"/>
    </xf>
    <xf numFmtId="166" fontId="21" fillId="0" borderId="160" xfId="8" applyFont="1" applyBorder="1" applyAlignment="1">
      <alignment horizontal="right" wrapText="1" indent="1"/>
    </xf>
    <xf numFmtId="166" fontId="21" fillId="0" borderId="102" xfId="8" applyFont="1" applyBorder="1" applyAlignment="1">
      <alignment horizontal="right" wrapText="1" indent="1"/>
    </xf>
    <xf numFmtId="166" fontId="21" fillId="0" borderId="65" xfId="8" applyFont="1" applyBorder="1" applyAlignment="1">
      <alignment horizontal="right" wrapText="1" indent="1"/>
    </xf>
    <xf numFmtId="0" fontId="14" fillId="57" borderId="178" xfId="0" applyFont="1" applyFill="1" applyBorder="1" applyAlignment="1">
      <alignment horizontal="center" vertical="center"/>
    </xf>
    <xf numFmtId="0" fontId="14" fillId="57" borderId="143" xfId="0" applyFont="1" applyFill="1" applyBorder="1" applyAlignment="1">
      <alignment horizontal="center" vertical="top"/>
    </xf>
    <xf numFmtId="166" fontId="14" fillId="3" borderId="64" xfId="8" applyFont="1" applyFill="1" applyBorder="1" applyAlignment="1" applyProtection="1">
      <alignment horizontal="right" vertical="center" wrapText="1"/>
    </xf>
    <xf numFmtId="166" fontId="14" fillId="3" borderId="179" xfId="8" applyFont="1" applyFill="1" applyBorder="1" applyAlignment="1" applyProtection="1">
      <alignment horizontal="right" vertical="center" wrapText="1"/>
    </xf>
    <xf numFmtId="0" fontId="14" fillId="59" borderId="29" xfId="0" applyFont="1" applyFill="1" applyBorder="1"/>
    <xf numFmtId="166" fontId="14" fillId="56" borderId="130" xfId="8" applyFont="1" applyFill="1" applyBorder="1" applyAlignment="1" applyProtection="1">
      <alignment horizontal="right" vertical="center" wrapText="1"/>
    </xf>
    <xf numFmtId="0" fontId="14" fillId="57" borderId="97" xfId="0" applyFont="1" applyFill="1" applyBorder="1" applyAlignment="1">
      <alignment horizontal="left" vertical="center"/>
    </xf>
    <xf numFmtId="166" fontId="14" fillId="56" borderId="29" xfId="8" applyFont="1" applyFill="1" applyBorder="1" applyAlignment="1" applyProtection="1">
      <alignment horizontal="right" vertical="center" wrapText="1"/>
    </xf>
    <xf numFmtId="0" fontId="103" fillId="0" borderId="0" xfId="0" applyFont="1"/>
    <xf numFmtId="166" fontId="84" fillId="0" borderId="61" xfId="8" applyFont="1" applyBorder="1" applyAlignment="1">
      <alignment horizontal="right" vertical="center"/>
    </xf>
    <xf numFmtId="166" fontId="0" fillId="56" borderId="101" xfId="8" applyFont="1" applyFill="1" applyBorder="1"/>
    <xf numFmtId="3" fontId="0" fillId="0" borderId="56" xfId="8" applyNumberFormat="1" applyFont="1" applyBorder="1"/>
    <xf numFmtId="3" fontId="0" fillId="0" borderId="7" xfId="8" applyNumberFormat="1" applyFont="1" applyBorder="1"/>
    <xf numFmtId="3" fontId="0" fillId="0" borderId="2" xfId="8" applyNumberFormat="1" applyFont="1" applyFill="1" applyBorder="1"/>
    <xf numFmtId="0" fontId="104" fillId="0" borderId="0" xfId="0" applyFont="1"/>
    <xf numFmtId="0" fontId="93" fillId="0" borderId="56" xfId="0" applyFont="1" applyBorder="1" applyAlignment="1">
      <alignment horizontal="right"/>
    </xf>
    <xf numFmtId="0" fontId="19" fillId="0" borderId="0" xfId="0" applyFont="1" applyAlignment="1">
      <alignment horizontal="right" wrapText="1"/>
    </xf>
    <xf numFmtId="166" fontId="19" fillId="58" borderId="0" xfId="8" applyFont="1" applyFill="1" applyBorder="1" applyAlignment="1">
      <alignment horizontal="right" vertical="center"/>
    </xf>
    <xf numFmtId="166" fontId="0" fillId="3" borderId="2" xfId="8" applyFont="1" applyFill="1" applyBorder="1"/>
    <xf numFmtId="3" fontId="0" fillId="58" borderId="7" xfId="8" applyNumberFormat="1" applyFont="1" applyFill="1" applyBorder="1"/>
    <xf numFmtId="0" fontId="0" fillId="0" borderId="57" xfId="0" applyBorder="1" applyAlignment="1">
      <alignment horizontal="left" vertical="top" wrapText="1" indent="1"/>
    </xf>
    <xf numFmtId="0" fontId="0" fillId="3" borderId="2" xfId="0" applyFill="1" applyBorder="1" applyAlignment="1">
      <alignment horizontal="center" vertical="top" wrapText="1"/>
    </xf>
    <xf numFmtId="0" fontId="0" fillId="3" borderId="58" xfId="0" applyFill="1" applyBorder="1" applyAlignment="1">
      <alignment horizontal="center" vertical="top" wrapText="1"/>
    </xf>
    <xf numFmtId="166" fontId="0" fillId="3" borderId="57" xfId="8" applyFont="1" applyFill="1" applyBorder="1" applyAlignment="1">
      <alignment vertical="top" wrapText="1"/>
    </xf>
    <xf numFmtId="166" fontId="0" fillId="3" borderId="81" xfId="8" applyFont="1" applyFill="1" applyBorder="1" applyAlignment="1">
      <alignment vertical="top" wrapText="1"/>
    </xf>
    <xf numFmtId="166" fontId="0" fillId="3" borderId="82" xfId="8" applyFont="1" applyFill="1" applyBorder="1" applyAlignment="1">
      <alignment vertical="top" wrapText="1"/>
    </xf>
    <xf numFmtId="166" fontId="0" fillId="58" borderId="57" xfId="8" applyFont="1" applyFill="1" applyBorder="1" applyAlignment="1">
      <alignment vertical="top" wrapText="1"/>
    </xf>
    <xf numFmtId="0" fontId="0" fillId="60" borderId="82" xfId="0" quotePrefix="1" applyFill="1" applyBorder="1" applyAlignment="1">
      <alignment horizontal="left" vertical="top" wrapText="1"/>
    </xf>
    <xf numFmtId="0" fontId="0" fillId="60" borderId="56" xfId="0" quotePrefix="1" applyFill="1" applyBorder="1" applyAlignment="1">
      <alignment horizontal="left" vertical="top" wrapText="1"/>
    </xf>
    <xf numFmtId="4" fontId="21" fillId="56" borderId="66" xfId="1157" applyNumberFormat="1" applyFont="1" applyFill="1" applyBorder="1" applyAlignment="1" applyProtection="1">
      <alignment horizontal="right" vertical="center"/>
      <protection locked="0"/>
    </xf>
    <xf numFmtId="4" fontId="21" fillId="56" borderId="95" xfId="1157" applyNumberFormat="1" applyFont="1" applyFill="1" applyBorder="1" applyAlignment="1" applyProtection="1">
      <alignment horizontal="right" vertical="center"/>
      <protection locked="0"/>
    </xf>
    <xf numFmtId="4" fontId="21" fillId="56" borderId="57" xfId="1157" applyNumberFormat="1" applyFont="1" applyFill="1" applyBorder="1" applyAlignment="1" applyProtection="1">
      <alignment horizontal="right" vertical="center"/>
      <protection locked="0"/>
    </xf>
    <xf numFmtId="4" fontId="21" fillId="56" borderId="58" xfId="1157" applyNumberFormat="1" applyFont="1" applyFill="1" applyBorder="1" applyAlignment="1" applyProtection="1">
      <alignment horizontal="right" vertical="center"/>
      <protection locked="0"/>
    </xf>
    <xf numFmtId="4" fontId="21" fillId="56" borderId="110" xfId="1157" applyNumberFormat="1" applyFont="1" applyFill="1" applyBorder="1" applyAlignment="1" applyProtection="1">
      <alignment horizontal="right" vertical="center"/>
      <protection locked="0"/>
    </xf>
    <xf numFmtId="4" fontId="21" fillId="56" borderId="77" xfId="1157" applyNumberFormat="1" applyFont="1" applyFill="1" applyBorder="1" applyAlignment="1" applyProtection="1">
      <alignment horizontal="right" vertical="center"/>
      <protection locked="0"/>
    </xf>
    <xf numFmtId="0" fontId="14" fillId="0" borderId="82" xfId="0" applyFont="1" applyBorder="1" applyAlignment="1">
      <alignment wrapText="1"/>
    </xf>
    <xf numFmtId="4" fontId="0" fillId="63" borderId="82" xfId="0" applyNumberFormat="1" applyFill="1" applyBorder="1" applyAlignment="1">
      <alignment wrapText="1"/>
    </xf>
    <xf numFmtId="0" fontId="0" fillId="0" borderId="0" xfId="0" quotePrefix="1"/>
    <xf numFmtId="0" fontId="0" fillId="56" borderId="2" xfId="0" applyFill="1" applyBorder="1" applyAlignment="1">
      <alignment horizontal="center" vertical="top" wrapText="1"/>
    </xf>
    <xf numFmtId="0" fontId="0" fillId="56" borderId="58" xfId="0" applyFill="1" applyBorder="1" applyAlignment="1">
      <alignment horizontal="center" vertical="top" wrapText="1"/>
    </xf>
    <xf numFmtId="166" fontId="0" fillId="56" borderId="82" xfId="8" applyFont="1" applyFill="1" applyBorder="1" applyAlignment="1">
      <alignment vertical="top" wrapText="1"/>
    </xf>
    <xf numFmtId="166" fontId="0" fillId="58" borderId="95" xfId="8" applyFont="1" applyFill="1" applyBorder="1" applyAlignment="1">
      <alignment vertical="top" wrapText="1"/>
    </xf>
    <xf numFmtId="166" fontId="0" fillId="58" borderId="81" xfId="8" applyFont="1" applyFill="1" applyBorder="1" applyAlignment="1">
      <alignment vertical="top" wrapText="1"/>
    </xf>
    <xf numFmtId="3" fontId="14" fillId="0" borderId="77" xfId="15" applyNumberFormat="1" applyBorder="1" applyAlignment="1">
      <alignment horizontal="center" vertical="center" wrapText="1"/>
    </xf>
    <xf numFmtId="3" fontId="14" fillId="0" borderId="72" xfId="8" applyNumberFormat="1" applyFont="1" applyFill="1" applyBorder="1" applyAlignment="1">
      <alignment horizontal="right" vertical="center"/>
    </xf>
    <xf numFmtId="3" fontId="14" fillId="0" borderId="58" xfId="8" applyNumberFormat="1" applyFont="1" applyFill="1" applyBorder="1" applyAlignment="1">
      <alignment horizontal="right" vertical="center"/>
    </xf>
    <xf numFmtId="3" fontId="21" fillId="0" borderId="79" xfId="0" applyNumberFormat="1" applyFont="1" applyBorder="1"/>
    <xf numFmtId="3" fontId="14" fillId="0" borderId="65" xfId="8" applyNumberFormat="1" applyFont="1" applyFill="1" applyBorder="1" applyAlignment="1">
      <alignment horizontal="right" vertical="center"/>
    </xf>
    <xf numFmtId="3" fontId="68" fillId="0" borderId="0" xfId="0" quotePrefix="1" applyNumberFormat="1" applyFont="1" applyAlignment="1">
      <alignment horizontal="left" vertical="center" wrapText="1"/>
    </xf>
    <xf numFmtId="3" fontId="14" fillId="0" borderId="69" xfId="15" applyNumberFormat="1" applyBorder="1" applyAlignment="1">
      <alignment horizontal="center" vertical="center" wrapText="1"/>
    </xf>
    <xf numFmtId="3" fontId="25" fillId="58" borderId="69" xfId="8" applyNumberFormat="1" applyFont="1" applyFill="1" applyBorder="1" applyAlignment="1">
      <alignment horizontal="right" vertical="center"/>
    </xf>
    <xf numFmtId="3" fontId="25" fillId="61" borderId="69" xfId="8" applyNumberFormat="1" applyFont="1" applyFill="1" applyBorder="1" applyAlignment="1">
      <alignment horizontal="right" vertical="center"/>
    </xf>
    <xf numFmtId="0" fontId="0" fillId="0" borderId="111" xfId="0" applyBorder="1"/>
    <xf numFmtId="0" fontId="0" fillId="57" borderId="29" xfId="0" applyFill="1" applyBorder="1" applyAlignment="1">
      <alignment horizontal="left" vertical="center" wrapText="1"/>
    </xf>
    <xf numFmtId="166" fontId="14" fillId="56" borderId="25" xfId="8" quotePrefix="1" applyFont="1" applyFill="1" applyBorder="1" applyAlignment="1" applyProtection="1">
      <alignment horizontal="right" vertical="center" wrapText="1"/>
    </xf>
    <xf numFmtId="0" fontId="0" fillId="57" borderId="96" xfId="0" applyFill="1" applyBorder="1" applyAlignment="1">
      <alignment horizontal="center" vertical="top"/>
    </xf>
    <xf numFmtId="166" fontId="0" fillId="56" borderId="67" xfId="8" quotePrefix="1" applyFont="1" applyFill="1" applyBorder="1" applyAlignment="1">
      <alignment horizontal="right" vertical="center" wrapText="1"/>
    </xf>
    <xf numFmtId="0" fontId="0" fillId="57" borderId="93" xfId="0" applyFill="1" applyBorder="1" applyAlignment="1">
      <alignment horizontal="center" vertical="top"/>
    </xf>
    <xf numFmtId="166" fontId="0" fillId="56" borderId="25" xfId="8" quotePrefix="1" applyFont="1" applyFill="1" applyBorder="1" applyAlignment="1">
      <alignment horizontal="right" vertical="center" wrapText="1"/>
    </xf>
    <xf numFmtId="166" fontId="0" fillId="56" borderId="68" xfId="8" quotePrefix="1" applyFont="1" applyFill="1" applyBorder="1" applyAlignment="1">
      <alignment horizontal="right" vertical="center" wrapText="1"/>
    </xf>
    <xf numFmtId="0" fontId="0" fillId="57" borderId="116" xfId="0" applyFill="1" applyBorder="1" applyAlignment="1">
      <alignment horizontal="center" vertical="top"/>
    </xf>
    <xf numFmtId="0" fontId="0" fillId="57" borderId="5" xfId="0" applyFill="1" applyBorder="1" applyAlignment="1">
      <alignment horizontal="left" vertical="center" wrapText="1"/>
    </xf>
    <xf numFmtId="0" fontId="0" fillId="57" borderId="4" xfId="0" applyFill="1" applyBorder="1" applyAlignment="1">
      <alignment horizontal="left" vertical="center" wrapText="1"/>
    </xf>
    <xf numFmtId="166" fontId="0" fillId="56" borderId="5" xfId="8" quotePrefix="1" applyFont="1" applyFill="1" applyBorder="1" applyAlignment="1">
      <alignment horizontal="right" vertical="center" wrapText="1"/>
    </xf>
    <xf numFmtId="0" fontId="0" fillId="0" borderId="117" xfId="0" applyBorder="1"/>
    <xf numFmtId="0" fontId="14" fillId="57" borderId="116" xfId="0" applyFont="1" applyFill="1" applyBorder="1" applyAlignment="1">
      <alignment horizontal="center" vertical="top"/>
    </xf>
    <xf numFmtId="166" fontId="14" fillId="56" borderId="97" xfId="8" quotePrefix="1" applyFont="1" applyFill="1" applyBorder="1" applyAlignment="1" applyProtection="1">
      <alignment horizontal="right" vertical="center" wrapText="1"/>
    </xf>
    <xf numFmtId="0" fontId="0" fillId="0" borderId="180" xfId="0" applyBorder="1"/>
    <xf numFmtId="166" fontId="0" fillId="56" borderId="3" xfId="8" applyFont="1" applyFill="1" applyBorder="1" applyAlignment="1">
      <alignment horizontal="right" vertical="center" wrapText="1"/>
    </xf>
    <xf numFmtId="166" fontId="14" fillId="56" borderId="5" xfId="8" quotePrefix="1" applyFont="1" applyFill="1" applyBorder="1" applyAlignment="1">
      <alignment horizontal="right" vertical="center" wrapText="1"/>
    </xf>
    <xf numFmtId="166" fontId="14" fillId="56" borderId="4" xfId="8" quotePrefix="1" applyFont="1" applyFill="1" applyBorder="1" applyAlignment="1" applyProtection="1">
      <alignment horizontal="right" vertical="center" wrapText="1"/>
    </xf>
    <xf numFmtId="166" fontId="14" fillId="56" borderId="29" xfId="8" quotePrefix="1" applyFont="1" applyFill="1" applyBorder="1" applyAlignment="1" applyProtection="1">
      <alignment horizontal="right" vertical="center" wrapText="1"/>
    </xf>
    <xf numFmtId="166" fontId="14" fillId="56" borderId="67" xfId="8" quotePrefix="1" applyFont="1" applyFill="1" applyBorder="1" applyAlignment="1">
      <alignment horizontal="right" vertical="center" wrapText="1"/>
    </xf>
    <xf numFmtId="166" fontId="14" fillId="56" borderId="68" xfId="8" quotePrefix="1" applyFont="1" applyFill="1" applyBorder="1" applyAlignment="1">
      <alignment horizontal="right" vertical="center" wrapText="1"/>
    </xf>
    <xf numFmtId="0" fontId="14" fillId="57" borderId="66" xfId="0" applyFont="1" applyFill="1" applyBorder="1" applyAlignment="1">
      <alignment horizontal="center" vertical="top"/>
    </xf>
    <xf numFmtId="166" fontId="14" fillId="56" borderId="75" xfId="8" applyFont="1" applyFill="1" applyBorder="1" applyAlignment="1" applyProtection="1">
      <alignment horizontal="right" vertical="center" wrapText="1"/>
    </xf>
    <xf numFmtId="0" fontId="14" fillId="57" borderId="110" xfId="0" applyFont="1" applyFill="1" applyBorder="1" applyAlignment="1">
      <alignment horizontal="center" vertical="top"/>
    </xf>
    <xf numFmtId="0" fontId="14" fillId="57" borderId="103" xfId="0" applyFont="1" applyFill="1" applyBorder="1" applyAlignment="1">
      <alignment horizontal="center" vertical="top"/>
    </xf>
    <xf numFmtId="166" fontId="14" fillId="57" borderId="25" xfId="8" applyFont="1" applyFill="1" applyBorder="1" applyAlignment="1" applyProtection="1">
      <alignment horizontal="left" vertical="center" wrapText="1"/>
    </xf>
    <xf numFmtId="0" fontId="14" fillId="57" borderId="110" xfId="0" applyFont="1" applyFill="1" applyBorder="1" applyAlignment="1">
      <alignment horizontal="center" vertical="center"/>
    </xf>
    <xf numFmtId="0" fontId="14" fillId="57" borderId="103" xfId="0" applyFont="1" applyFill="1" applyBorder="1" applyAlignment="1">
      <alignment horizontal="center" vertical="center"/>
    </xf>
    <xf numFmtId="0" fontId="14" fillId="57" borderId="66" xfId="0" applyFont="1" applyFill="1" applyBorder="1" applyAlignment="1">
      <alignment horizontal="center" vertical="center"/>
    </xf>
    <xf numFmtId="166" fontId="14" fillId="56" borderId="69" xfId="8" applyFont="1" applyFill="1" applyBorder="1" applyAlignment="1" applyProtection="1">
      <alignment horizontal="right" vertical="center" wrapText="1"/>
    </xf>
    <xf numFmtId="3" fontId="77" fillId="0" borderId="57" xfId="8" applyNumberFormat="1" applyFont="1" applyBorder="1"/>
    <xf numFmtId="3" fontId="77" fillId="0" borderId="2" xfId="8" applyNumberFormat="1" applyFont="1" applyBorder="1"/>
    <xf numFmtId="3" fontId="105" fillId="0" borderId="57" xfId="8" applyNumberFormat="1" applyFont="1" applyBorder="1"/>
    <xf numFmtId="3" fontId="77" fillId="0" borderId="58" xfId="8" applyNumberFormat="1" applyFont="1" applyBorder="1"/>
    <xf numFmtId="3" fontId="77" fillId="0" borderId="2" xfId="8" applyNumberFormat="1" applyFont="1" applyFill="1" applyBorder="1"/>
    <xf numFmtId="3" fontId="14" fillId="0" borderId="60" xfId="8" applyNumberFormat="1" applyFont="1" applyBorder="1"/>
    <xf numFmtId="166" fontId="21" fillId="58" borderId="132" xfId="8" applyFont="1" applyFill="1" applyBorder="1"/>
    <xf numFmtId="166" fontId="14" fillId="58" borderId="108" xfId="8" applyFont="1" applyFill="1" applyBorder="1"/>
    <xf numFmtId="166" fontId="14" fillId="58" borderId="115" xfId="8" applyFont="1" applyFill="1" applyBorder="1"/>
    <xf numFmtId="0" fontId="0" fillId="57" borderId="5" xfId="0" applyFill="1" applyBorder="1" applyAlignment="1">
      <alignment horizontal="left" vertical="center"/>
    </xf>
    <xf numFmtId="0" fontId="0" fillId="57" borderId="11" xfId="0" applyFill="1" applyBorder="1" applyAlignment="1">
      <alignment horizontal="left" vertical="center"/>
    </xf>
    <xf numFmtId="0" fontId="0" fillId="57" borderId="11" xfId="0" applyFill="1" applyBorder="1" applyAlignment="1">
      <alignment horizontal="left" vertical="center" wrapText="1"/>
    </xf>
    <xf numFmtId="0" fontId="0" fillId="57" borderId="8" xfId="0" applyFill="1" applyBorder="1" applyAlignment="1">
      <alignment horizontal="left" vertical="center"/>
    </xf>
    <xf numFmtId="0" fontId="0" fillId="57" borderId="56" xfId="0" applyFill="1" applyBorder="1" applyAlignment="1">
      <alignment horizontal="center" vertical="center"/>
    </xf>
    <xf numFmtId="0" fontId="0" fillId="57" borderId="78" xfId="0" applyFill="1" applyBorder="1" applyAlignment="1">
      <alignment horizontal="center" vertical="center"/>
    </xf>
    <xf numFmtId="0" fontId="0" fillId="57" borderId="25" xfId="0" applyFill="1" applyBorder="1" applyAlignment="1">
      <alignment horizontal="left" vertical="center"/>
    </xf>
    <xf numFmtId="0" fontId="0" fillId="57" borderId="104" xfId="0" applyFill="1" applyBorder="1" applyAlignment="1">
      <alignment horizontal="left" vertical="center" wrapText="1"/>
    </xf>
    <xf numFmtId="3" fontId="21" fillId="0" borderId="80" xfId="0" applyNumberFormat="1" applyFont="1" applyBorder="1" applyAlignment="1">
      <alignment horizontal="center"/>
    </xf>
    <xf numFmtId="166" fontId="14" fillId="56" borderId="73" xfId="8" applyFont="1" applyFill="1" applyBorder="1"/>
    <xf numFmtId="0" fontId="14" fillId="56" borderId="0" xfId="0" applyFont="1" applyFill="1"/>
    <xf numFmtId="0" fontId="14" fillId="56" borderId="74" xfId="0" applyFont="1" applyFill="1" applyBorder="1"/>
    <xf numFmtId="166" fontId="14" fillId="56" borderId="76" xfId="8" applyFont="1" applyFill="1" applyBorder="1"/>
    <xf numFmtId="0" fontId="14" fillId="56" borderId="56" xfId="0" applyFont="1" applyFill="1" applyBorder="1"/>
    <xf numFmtId="0" fontId="14" fillId="56" borderId="78" xfId="0" applyFont="1" applyFill="1" applyBorder="1"/>
    <xf numFmtId="3" fontId="21" fillId="0" borderId="100" xfId="0" applyNumberFormat="1" applyFont="1" applyBorder="1" applyAlignment="1">
      <alignment horizontal="center"/>
    </xf>
    <xf numFmtId="166" fontId="14" fillId="56" borderId="82" xfId="8" applyFont="1" applyFill="1" applyBorder="1"/>
    <xf numFmtId="166" fontId="14" fillId="56" borderId="83" xfId="8" applyFont="1" applyFill="1" applyBorder="1"/>
    <xf numFmtId="3" fontId="21" fillId="0" borderId="2" xfId="8" applyNumberFormat="1" applyFont="1" applyBorder="1"/>
    <xf numFmtId="3" fontId="106" fillId="0" borderId="58" xfId="8" applyNumberFormat="1" applyFont="1" applyBorder="1"/>
    <xf numFmtId="166" fontId="14" fillId="58" borderId="135" xfId="8" applyFont="1" applyFill="1" applyBorder="1"/>
    <xf numFmtId="0" fontId="0" fillId="0" borderId="58" xfId="0" applyBorder="1"/>
    <xf numFmtId="0" fontId="14" fillId="57" borderId="181" xfId="0" applyFont="1" applyFill="1" applyBorder="1" applyAlignment="1">
      <alignment horizontal="left" vertical="center"/>
    </xf>
    <xf numFmtId="0" fontId="14" fillId="59" borderId="182" xfId="0" applyFont="1" applyFill="1" applyBorder="1"/>
    <xf numFmtId="166" fontId="14" fillId="56" borderId="181" xfId="8" applyFont="1" applyFill="1" applyBorder="1" applyAlignment="1" applyProtection="1">
      <alignment horizontal="right" vertical="center" wrapText="1"/>
    </xf>
    <xf numFmtId="166" fontId="14" fillId="56" borderId="183" xfId="8" applyFont="1" applyFill="1" applyBorder="1" applyAlignment="1" applyProtection="1">
      <alignment horizontal="right" vertical="center" wrapText="1"/>
    </xf>
    <xf numFmtId="0" fontId="14" fillId="57" borderId="184" xfId="0" applyFont="1" applyFill="1" applyBorder="1" applyAlignment="1">
      <alignment horizontal="left" vertical="center"/>
    </xf>
    <xf numFmtId="0" fontId="14" fillId="57" borderId="185" xfId="0" applyFont="1" applyFill="1" applyBorder="1" applyAlignment="1">
      <alignment horizontal="left" vertical="center" wrapText="1"/>
    </xf>
    <xf numFmtId="166" fontId="14" fillId="56" borderId="184" xfId="8" applyFont="1" applyFill="1" applyBorder="1" applyAlignment="1" applyProtection="1">
      <alignment horizontal="right" vertical="center" wrapText="1"/>
    </xf>
    <xf numFmtId="166" fontId="14" fillId="3" borderId="184" xfId="8" applyFont="1" applyFill="1" applyBorder="1" applyAlignment="1" applyProtection="1">
      <alignment horizontal="right" vertical="center" wrapText="1"/>
    </xf>
    <xf numFmtId="166" fontId="14" fillId="3" borderId="186" xfId="8" applyFont="1" applyFill="1" applyBorder="1" applyAlignment="1" applyProtection="1">
      <alignment horizontal="right" vertical="center" wrapText="1"/>
    </xf>
    <xf numFmtId="0" fontId="14" fillId="57" borderId="188" xfId="0" applyFont="1" applyFill="1" applyBorder="1" applyAlignment="1">
      <alignment horizontal="center" vertical="center"/>
    </xf>
    <xf numFmtId="0" fontId="14" fillId="57" borderId="187" xfId="0" applyFont="1" applyFill="1" applyBorder="1" applyAlignment="1">
      <alignment horizontal="center" vertical="top"/>
    </xf>
    <xf numFmtId="0" fontId="0" fillId="0" borderId="57" xfId="0" applyBorder="1"/>
    <xf numFmtId="0" fontId="14" fillId="0" borderId="110" xfId="0" quotePrefix="1" applyFont="1" applyBorder="1" applyAlignment="1">
      <alignment horizontal="left" vertical="top" wrapText="1" indent="1"/>
    </xf>
    <xf numFmtId="0" fontId="14" fillId="58" borderId="68" xfId="0" applyFont="1" applyFill="1" applyBorder="1" applyAlignment="1">
      <alignment horizontal="center" vertical="top" wrapText="1"/>
    </xf>
    <xf numFmtId="166" fontId="14" fillId="58" borderId="11" xfId="8" applyFont="1" applyFill="1" applyBorder="1" applyAlignment="1">
      <alignment vertical="top" wrapText="1"/>
    </xf>
    <xf numFmtId="0" fontId="14" fillId="57" borderId="58" xfId="0" applyFont="1" applyFill="1" applyBorder="1" applyAlignment="1">
      <alignment horizontal="center" vertical="top" wrapText="1"/>
    </xf>
    <xf numFmtId="0" fontId="14" fillId="0" borderId="110" xfId="0" applyFont="1" applyBorder="1" applyAlignment="1">
      <alignment horizontal="left" vertical="top" wrapText="1" indent="1"/>
    </xf>
    <xf numFmtId="3" fontId="14" fillId="0" borderId="94" xfId="8" applyNumberFormat="1" applyFont="1" applyFill="1" applyBorder="1" applyProtection="1"/>
    <xf numFmtId="3" fontId="14" fillId="0" borderId="104" xfId="8" applyNumberFormat="1" applyFont="1" applyFill="1" applyBorder="1" applyProtection="1"/>
    <xf numFmtId="3" fontId="14" fillId="0" borderId="28" xfId="8" applyNumberFormat="1" applyFont="1" applyFill="1" applyBorder="1" applyProtection="1"/>
    <xf numFmtId="3" fontId="14" fillId="0" borderId="90" xfId="8" applyNumberFormat="1" applyFont="1" applyFill="1" applyBorder="1" applyProtection="1"/>
    <xf numFmtId="3" fontId="14" fillId="0" borderId="57" xfId="8" applyNumberFormat="1" applyFont="1" applyBorder="1"/>
    <xf numFmtId="3" fontId="0" fillId="56" borderId="8" xfId="8" applyNumberFormat="1" applyFont="1" applyFill="1" applyBorder="1" applyAlignment="1">
      <alignment horizontal="right" vertical="center" wrapText="1"/>
    </xf>
    <xf numFmtId="3" fontId="0" fillId="56" borderId="72" xfId="8" applyNumberFormat="1" applyFont="1" applyFill="1" applyBorder="1" applyAlignment="1">
      <alignment horizontal="right" vertical="center" wrapText="1"/>
    </xf>
    <xf numFmtId="3" fontId="0" fillId="56" borderId="5" xfId="8" applyNumberFormat="1" applyFont="1" applyFill="1" applyBorder="1" applyAlignment="1">
      <alignment horizontal="right" vertical="center" wrapText="1"/>
    </xf>
    <xf numFmtId="3" fontId="0" fillId="56" borderId="9" xfId="8" applyNumberFormat="1" applyFont="1" applyFill="1" applyBorder="1" applyAlignment="1">
      <alignment horizontal="right" vertical="center" wrapText="1"/>
    </xf>
    <xf numFmtId="3" fontId="0" fillId="56" borderId="25" xfId="8" applyNumberFormat="1" applyFont="1" applyFill="1" applyBorder="1" applyAlignment="1">
      <alignment horizontal="right" vertical="center" wrapText="1"/>
    </xf>
    <xf numFmtId="3" fontId="0" fillId="56" borderId="60" xfId="8" applyNumberFormat="1" applyFont="1" applyFill="1" applyBorder="1" applyAlignment="1">
      <alignment horizontal="right" vertical="center" wrapText="1"/>
    </xf>
    <xf numFmtId="3" fontId="14" fillId="56" borderId="8" xfId="8" applyNumberFormat="1" applyFont="1" applyFill="1" applyBorder="1" applyAlignment="1" applyProtection="1">
      <alignment horizontal="right" vertical="center" wrapText="1"/>
    </xf>
    <xf numFmtId="3" fontId="14" fillId="56" borderId="5" xfId="8" applyNumberFormat="1" applyFont="1" applyFill="1" applyBorder="1" applyAlignment="1" applyProtection="1">
      <alignment horizontal="right" vertical="center" wrapText="1"/>
    </xf>
    <xf numFmtId="3" fontId="14" fillId="56" borderId="9" xfId="8" applyNumberFormat="1" applyFont="1" applyFill="1" applyBorder="1" applyAlignment="1" applyProtection="1">
      <alignment horizontal="right" vertical="center" wrapText="1"/>
    </xf>
    <xf numFmtId="3" fontId="0" fillId="56" borderId="68" xfId="8" applyNumberFormat="1" applyFont="1" applyFill="1" applyBorder="1" applyAlignment="1">
      <alignment horizontal="right" vertical="center" wrapText="1"/>
    </xf>
    <xf numFmtId="3" fontId="14" fillId="56" borderId="25" xfId="8" applyNumberFormat="1" applyFont="1" applyFill="1" applyBorder="1" applyAlignment="1" applyProtection="1">
      <alignment horizontal="right" vertical="center" wrapText="1"/>
    </xf>
    <xf numFmtId="3" fontId="14" fillId="56" borderId="2" xfId="8" applyNumberFormat="1" applyFont="1" applyFill="1" applyBorder="1" applyAlignment="1" applyProtection="1">
      <alignment horizontal="right" vertical="center" wrapText="1"/>
    </xf>
    <xf numFmtId="3" fontId="0" fillId="56" borderId="77" xfId="8" applyNumberFormat="1" applyFont="1" applyFill="1" applyBorder="1" applyAlignment="1">
      <alignment horizontal="right" vertical="center" wrapText="1"/>
    </xf>
    <xf numFmtId="3" fontId="14" fillId="56" borderId="31" xfId="8" applyNumberFormat="1" applyFont="1" applyFill="1" applyBorder="1" applyAlignment="1" applyProtection="1">
      <alignment horizontal="right" vertical="center" wrapText="1"/>
    </xf>
    <xf numFmtId="3" fontId="0" fillId="56" borderId="174" xfId="8" applyNumberFormat="1" applyFont="1" applyFill="1" applyBorder="1" applyAlignment="1">
      <alignment horizontal="right" vertical="center" wrapText="1"/>
    </xf>
    <xf numFmtId="3" fontId="14" fillId="0" borderId="90" xfId="8" applyNumberFormat="1" applyFont="1" applyBorder="1"/>
    <xf numFmtId="3" fontId="14" fillId="0" borderId="30" xfId="8" applyNumberFormat="1" applyFont="1" applyBorder="1"/>
    <xf numFmtId="3" fontId="14" fillId="0" borderId="30" xfId="8" applyNumberFormat="1" applyFont="1" applyFill="1" applyBorder="1"/>
    <xf numFmtId="3" fontId="14" fillId="0" borderId="94" xfId="8" applyNumberFormat="1" applyFont="1" applyBorder="1"/>
    <xf numFmtId="3" fontId="14" fillId="0" borderId="28" xfId="8" applyNumberFormat="1" applyFont="1" applyBorder="1"/>
    <xf numFmtId="3" fontId="14" fillId="0" borderId="2" xfId="8" applyNumberFormat="1" applyFont="1" applyFill="1" applyBorder="1"/>
    <xf numFmtId="3" fontId="14" fillId="0" borderId="149" xfId="0" applyNumberFormat="1" applyFont="1" applyBorder="1" applyAlignment="1">
      <alignment horizontal="right" vertical="top" wrapText="1"/>
    </xf>
    <xf numFmtId="3" fontId="14" fillId="0" borderId="94" xfId="8" applyNumberFormat="1" applyFont="1" applyFill="1" applyBorder="1"/>
    <xf numFmtId="3" fontId="14" fillId="0" borderId="28" xfId="0" applyNumberFormat="1" applyFont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3" fontId="14" fillId="0" borderId="90" xfId="0" applyNumberFormat="1" applyFont="1" applyBorder="1" applyAlignment="1">
      <alignment horizontal="right" vertical="top" wrapText="1"/>
    </xf>
    <xf numFmtId="3" fontId="1" fillId="0" borderId="57" xfId="8" applyNumberFormat="1" applyFont="1" applyBorder="1"/>
    <xf numFmtId="3" fontId="1" fillId="0" borderId="2" xfId="8" applyNumberFormat="1" applyFont="1" applyBorder="1"/>
    <xf numFmtId="3" fontId="1" fillId="0" borderId="26" xfId="8" applyNumberFormat="1" applyFont="1" applyBorder="1"/>
    <xf numFmtId="3" fontId="1" fillId="0" borderId="6" xfId="8" applyNumberFormat="1" applyFont="1" applyBorder="1"/>
    <xf numFmtId="0" fontId="1" fillId="57" borderId="2" xfId="15" applyFont="1" applyFill="1" applyBorder="1" applyAlignment="1">
      <alignment horizontal="left" vertical="center" wrapText="1"/>
    </xf>
    <xf numFmtId="0" fontId="1" fillId="0" borderId="82" xfId="0" applyFont="1" applyBorder="1" applyAlignment="1">
      <alignment horizontal="left"/>
    </xf>
    <xf numFmtId="3" fontId="1" fillId="0" borderId="58" xfId="8" applyNumberFormat="1" applyFont="1" applyBorder="1"/>
    <xf numFmtId="3" fontId="1" fillId="0" borderId="2" xfId="0" applyNumberFormat="1" applyFont="1" applyBorder="1" applyAlignment="1">
      <alignment horizontal="right"/>
    </xf>
    <xf numFmtId="0" fontId="107" fillId="0" borderId="0" xfId="0" quotePrefix="1" applyFont="1" applyAlignment="1">
      <alignment horizontal="left"/>
    </xf>
    <xf numFmtId="0" fontId="107" fillId="0" borderId="0" xfId="0" applyFont="1" applyAlignment="1">
      <alignment horizontal="left"/>
    </xf>
    <xf numFmtId="166" fontId="107" fillId="0" borderId="0" xfId="0" applyNumberFormat="1" applyFont="1"/>
    <xf numFmtId="166" fontId="107" fillId="0" borderId="0" xfId="8" applyFont="1"/>
    <xf numFmtId="14" fontId="108" fillId="0" borderId="0" xfId="8" applyNumberFormat="1" applyFont="1"/>
    <xf numFmtId="49" fontId="107" fillId="0" borderId="0" xfId="0" applyNumberFormat="1" applyFont="1" applyAlignment="1">
      <alignment horizontal="left" vertical="top"/>
    </xf>
    <xf numFmtId="0" fontId="107" fillId="0" borderId="0" xfId="0" quotePrefix="1" applyFont="1"/>
    <xf numFmtId="0" fontId="107" fillId="0" borderId="0" xfId="359" quotePrefix="1" applyFont="1" applyAlignment="1">
      <alignment horizontal="left"/>
    </xf>
    <xf numFmtId="0" fontId="107" fillId="0" borderId="0" xfId="0" applyFont="1"/>
    <xf numFmtId="0" fontId="21" fillId="0" borderId="82" xfId="0" quotePrefix="1" applyFont="1" applyBorder="1" applyAlignment="1">
      <alignment horizontal="left" vertical="center"/>
    </xf>
    <xf numFmtId="0" fontId="21" fillId="0" borderId="83" xfId="0" applyFont="1" applyBorder="1" applyAlignment="1">
      <alignment horizontal="right" vertical="center" wrapText="1"/>
    </xf>
    <xf numFmtId="166" fontId="21" fillId="0" borderId="63" xfId="8" applyFont="1" applyBorder="1" applyAlignment="1">
      <alignment horizontal="center" vertical="top" wrapText="1"/>
    </xf>
    <xf numFmtId="0" fontId="17" fillId="0" borderId="0" xfId="359" quotePrefix="1" applyFont="1" applyAlignment="1">
      <alignment horizontal="left"/>
    </xf>
    <xf numFmtId="166" fontId="17" fillId="0" borderId="0" xfId="8" applyFont="1"/>
    <xf numFmtId="0" fontId="97" fillId="0" borderId="55" xfId="15" applyFont="1" applyBorder="1" applyAlignment="1">
      <alignment horizontal="center" vertical="center"/>
    </xf>
    <xf numFmtId="0" fontId="97" fillId="0" borderId="62" xfId="15" applyFont="1" applyBorder="1" applyAlignment="1">
      <alignment horizontal="center" vertical="center"/>
    </xf>
    <xf numFmtId="0" fontId="63" fillId="61" borderId="78" xfId="15" applyFont="1" applyFill="1" applyBorder="1" applyAlignment="1">
      <alignment horizontal="center" vertical="center" wrapText="1"/>
    </xf>
    <xf numFmtId="0" fontId="63" fillId="61" borderId="74" xfId="15" applyFont="1" applyFill="1" applyBorder="1" applyAlignment="1">
      <alignment horizontal="center" vertical="center" wrapText="1"/>
    </xf>
    <xf numFmtId="0" fontId="63" fillId="61" borderId="80" xfId="15" applyFont="1" applyFill="1" applyBorder="1" applyAlignment="1">
      <alignment horizontal="center" vertical="center" wrapText="1"/>
    </xf>
    <xf numFmtId="0" fontId="21" fillId="67" borderId="55" xfId="15" applyFont="1" applyFill="1" applyBorder="1" applyAlignment="1">
      <alignment horizontal="center" vertical="center" wrapText="1"/>
    </xf>
    <xf numFmtId="0" fontId="21" fillId="67" borderId="61" xfId="15" applyFont="1" applyFill="1" applyBorder="1" applyAlignment="1">
      <alignment horizontal="center" vertical="center" wrapText="1"/>
    </xf>
    <xf numFmtId="0" fontId="21" fillId="67" borderId="62" xfId="15" applyFont="1" applyFill="1" applyBorder="1" applyAlignment="1">
      <alignment horizontal="center" vertical="center" wrapText="1"/>
    </xf>
    <xf numFmtId="0" fontId="63" fillId="61" borderId="55" xfId="15" applyFont="1" applyFill="1" applyBorder="1" applyAlignment="1">
      <alignment horizontal="center" vertical="center" wrapText="1"/>
    </xf>
    <xf numFmtId="0" fontId="63" fillId="61" borderId="61" xfId="15" applyFont="1" applyFill="1" applyBorder="1" applyAlignment="1">
      <alignment horizontal="center" vertical="center" wrapText="1"/>
    </xf>
    <xf numFmtId="0" fontId="63" fillId="61" borderId="62" xfId="15" applyFont="1" applyFill="1" applyBorder="1" applyAlignment="1">
      <alignment horizontal="center" vertical="center" wrapText="1"/>
    </xf>
    <xf numFmtId="0" fontId="17" fillId="58" borderId="76" xfId="0" applyFont="1" applyFill="1" applyBorder="1" applyAlignment="1">
      <alignment horizontal="center" vertical="center" wrapText="1"/>
    </xf>
    <xf numFmtId="0" fontId="17" fillId="58" borderId="73" xfId="0" applyFont="1" applyFill="1" applyBorder="1" applyAlignment="1">
      <alignment horizontal="center" vertical="center" wrapText="1"/>
    </xf>
    <xf numFmtId="0" fontId="17" fillId="58" borderId="108" xfId="0" applyFont="1" applyFill="1" applyBorder="1" applyAlignment="1">
      <alignment horizontal="center" vertical="center" wrapText="1"/>
    </xf>
    <xf numFmtId="0" fontId="17" fillId="58" borderId="78" xfId="0" applyFont="1" applyFill="1" applyBorder="1" applyAlignment="1">
      <alignment horizontal="center" vertical="center" wrapText="1"/>
    </xf>
    <xf numFmtId="0" fontId="17" fillId="58" borderId="74" xfId="0" applyFont="1" applyFill="1" applyBorder="1" applyAlignment="1">
      <alignment horizontal="center" vertical="center" wrapText="1"/>
    </xf>
    <xf numFmtId="0" fontId="17" fillId="58" borderId="80" xfId="0" applyFont="1" applyFill="1" applyBorder="1" applyAlignment="1">
      <alignment horizontal="center" vertical="center" wrapText="1"/>
    </xf>
    <xf numFmtId="0" fontId="17" fillId="58" borderId="70" xfId="0" applyFont="1" applyFill="1" applyBorder="1" applyAlignment="1">
      <alignment horizontal="left" vertical="center"/>
    </xf>
    <xf numFmtId="0" fontId="17" fillId="58" borderId="113" xfId="0" applyFont="1" applyFill="1" applyBorder="1" applyAlignment="1">
      <alignment horizontal="left" vertical="center"/>
    </xf>
    <xf numFmtId="0" fontId="61" fillId="57" borderId="55" xfId="15" applyFont="1" applyFill="1" applyBorder="1" applyAlignment="1">
      <alignment horizontal="center" vertical="center" wrapText="1"/>
    </xf>
    <xf numFmtId="0" fontId="61" fillId="57" borderId="61" xfId="15" applyFont="1" applyFill="1" applyBorder="1" applyAlignment="1">
      <alignment horizontal="center" vertical="center" wrapText="1"/>
    </xf>
    <xf numFmtId="0" fontId="61" fillId="57" borderId="62" xfId="15" applyFont="1" applyFill="1" applyBorder="1" applyAlignment="1">
      <alignment horizontal="center" vertical="center" wrapText="1"/>
    </xf>
    <xf numFmtId="0" fontId="63" fillId="0" borderId="56" xfId="15" applyFont="1" applyBorder="1" applyAlignment="1">
      <alignment horizontal="center" vertical="center"/>
    </xf>
    <xf numFmtId="0" fontId="63" fillId="0" borderId="0" xfId="15" applyFont="1" applyAlignment="1">
      <alignment horizontal="center" vertical="center"/>
    </xf>
    <xf numFmtId="0" fontId="107" fillId="0" borderId="0" xfId="0" applyFont="1" applyAlignment="1">
      <alignment horizontal="left" vertical="top" wrapText="1"/>
    </xf>
    <xf numFmtId="166" fontId="21" fillId="0" borderId="90" xfId="8" quotePrefix="1" applyFont="1" applyBorder="1" applyAlignment="1">
      <alignment horizontal="center" vertical="top" wrapText="1"/>
    </xf>
    <xf numFmtId="166" fontId="21" fillId="0" borderId="94" xfId="8" applyFont="1" applyBorder="1" applyAlignment="1">
      <alignment horizontal="center" vertical="top"/>
    </xf>
    <xf numFmtId="166" fontId="21" fillId="0" borderId="28" xfId="8" quotePrefix="1" applyFont="1" applyBorder="1" applyAlignment="1">
      <alignment horizontal="center" vertical="top" wrapText="1"/>
    </xf>
    <xf numFmtId="166" fontId="21" fillId="0" borderId="101" xfId="8" applyFont="1" applyBorder="1" applyAlignment="1">
      <alignment horizontal="center" vertical="center"/>
    </xf>
    <xf numFmtId="166" fontId="21" fillId="0" borderId="114" xfId="8" applyFont="1" applyBorder="1" applyAlignment="1">
      <alignment horizontal="center" vertical="center"/>
    </xf>
    <xf numFmtId="166" fontId="21" fillId="0" borderId="101" xfId="8" applyFont="1" applyBorder="1" applyAlignment="1">
      <alignment horizontal="center" vertical="center" wrapText="1"/>
    </xf>
    <xf numFmtId="166" fontId="21" fillId="0" borderId="114" xfId="8" applyFont="1" applyBorder="1" applyAlignment="1">
      <alignment horizontal="center" vertical="center" wrapText="1"/>
    </xf>
    <xf numFmtId="0" fontId="65" fillId="0" borderId="96" xfId="15" applyFont="1" applyBorder="1" applyAlignment="1">
      <alignment horizontal="center" vertical="center" wrapText="1"/>
    </xf>
    <xf numFmtId="0" fontId="65" fillId="0" borderId="70" xfId="15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14" fillId="0" borderId="55" xfId="15" applyBorder="1" applyAlignment="1">
      <alignment horizontal="center" vertical="top" wrapText="1"/>
    </xf>
    <xf numFmtId="0" fontId="14" fillId="0" borderId="62" xfId="15" applyBorder="1" applyAlignment="1">
      <alignment horizontal="center" vertical="top" wrapText="1"/>
    </xf>
    <xf numFmtId="0" fontId="65" fillId="0" borderId="101" xfId="15" applyFont="1" applyBorder="1" applyAlignment="1">
      <alignment horizontal="center" vertical="center" wrapText="1"/>
    </xf>
    <xf numFmtId="0" fontId="65" fillId="0" borderId="111" xfId="15" applyFont="1" applyBorder="1" applyAlignment="1">
      <alignment horizontal="center" vertical="center" wrapText="1"/>
    </xf>
    <xf numFmtId="0" fontId="21" fillId="0" borderId="0" xfId="0" quotePrefix="1" applyFont="1" applyAlignment="1">
      <alignment horizontal="left" wrapText="1"/>
    </xf>
    <xf numFmtId="0" fontId="65" fillId="0" borderId="55" xfId="15" applyFont="1" applyBorder="1" applyAlignment="1">
      <alignment horizontal="center" vertical="center" wrapText="1"/>
    </xf>
    <xf numFmtId="0" fontId="65" fillId="0" borderId="62" xfId="15" applyFont="1" applyBorder="1" applyAlignment="1">
      <alignment horizontal="center" vertical="center" wrapText="1"/>
    </xf>
    <xf numFmtId="0" fontId="21" fillId="0" borderId="55" xfId="15" applyFont="1" applyBorder="1" applyAlignment="1">
      <alignment horizontal="center" vertical="center" wrapText="1"/>
    </xf>
    <xf numFmtId="0" fontId="21" fillId="0" borderId="61" xfId="15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quotePrefix="1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166" fontId="14" fillId="0" borderId="101" xfId="8" applyFont="1" applyBorder="1" applyAlignment="1">
      <alignment horizontal="center"/>
    </xf>
    <xf numFmtId="166" fontId="14" fillId="0" borderId="83" xfId="8" applyFont="1" applyBorder="1" applyAlignment="1">
      <alignment horizontal="center"/>
    </xf>
    <xf numFmtId="166" fontId="21" fillId="0" borderId="61" xfId="8" applyFont="1" applyBorder="1" applyAlignment="1">
      <alignment horizontal="center" vertical="top" wrapText="1"/>
    </xf>
    <xf numFmtId="166" fontId="21" fillId="0" borderId="55" xfId="8" applyFont="1" applyBorder="1" applyAlignment="1">
      <alignment horizontal="center" vertical="top" wrapText="1"/>
    </xf>
    <xf numFmtId="166" fontId="21" fillId="0" borderId="62" xfId="8" applyFont="1" applyBorder="1" applyAlignment="1">
      <alignment horizontal="center" vertical="top" wrapText="1"/>
    </xf>
    <xf numFmtId="166" fontId="21" fillId="0" borderId="138" xfId="8" applyFont="1" applyBorder="1" applyAlignment="1">
      <alignment horizontal="center" vertical="top" wrapText="1"/>
    </xf>
    <xf numFmtId="166" fontId="21" fillId="0" borderId="139" xfId="8" applyFont="1" applyBorder="1" applyAlignment="1">
      <alignment horizontal="center" vertical="top" wrapText="1"/>
    </xf>
    <xf numFmtId="166" fontId="21" fillId="0" borderId="140" xfId="8" applyFont="1" applyBorder="1" applyAlignment="1">
      <alignment horizontal="center" vertical="top" wrapText="1"/>
    </xf>
    <xf numFmtId="166" fontId="21" fillId="0" borderId="76" xfId="8" applyFont="1" applyBorder="1" applyAlignment="1">
      <alignment horizontal="center" vertical="top" wrapText="1"/>
    </xf>
    <xf numFmtId="166" fontId="21" fillId="0" borderId="73" xfId="8" applyFont="1" applyBorder="1" applyAlignment="1">
      <alignment horizontal="center" vertical="top" wrapText="1"/>
    </xf>
    <xf numFmtId="0" fontId="14" fillId="0" borderId="56" xfId="0" applyFont="1" applyBorder="1" applyAlignment="1">
      <alignment horizontal="left"/>
    </xf>
    <xf numFmtId="0" fontId="14" fillId="0" borderId="81" xfId="0" applyFont="1" applyBorder="1" applyAlignment="1">
      <alignment horizontal="left"/>
    </xf>
    <xf numFmtId="0" fontId="21" fillId="0" borderId="76" xfId="0" applyFont="1" applyBorder="1" applyAlignment="1">
      <alignment horizontal="center" vertical="center" wrapText="1"/>
    </xf>
    <xf numFmtId="0" fontId="21" fillId="0" borderId="108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81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left"/>
    </xf>
    <xf numFmtId="0" fontId="14" fillId="0" borderId="108" xfId="0" applyFont="1" applyBorder="1" applyAlignment="1">
      <alignment horizontal="left"/>
    </xf>
    <xf numFmtId="166" fontId="21" fillId="57" borderId="55" xfId="0" applyNumberFormat="1" applyFont="1" applyFill="1" applyBorder="1" applyAlignment="1">
      <alignment horizontal="center"/>
    </xf>
    <xf numFmtId="166" fontId="21" fillId="57" borderId="62" xfId="0" applyNumberFormat="1" applyFont="1" applyFill="1" applyBorder="1" applyAlignment="1">
      <alignment horizontal="center"/>
    </xf>
    <xf numFmtId="0" fontId="21" fillId="0" borderId="73" xfId="0" applyFont="1" applyBorder="1" applyAlignment="1">
      <alignment horizontal="center" vertical="center" wrapText="1"/>
    </xf>
    <xf numFmtId="0" fontId="21" fillId="0" borderId="78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 wrapText="1"/>
    </xf>
    <xf numFmtId="0" fontId="21" fillId="0" borderId="80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left"/>
    </xf>
    <xf numFmtId="0" fontId="14" fillId="0" borderId="80" xfId="0" applyFont="1" applyBorder="1" applyAlignment="1">
      <alignment horizontal="left"/>
    </xf>
    <xf numFmtId="0" fontId="0" fillId="0" borderId="76" xfId="0" applyBorder="1"/>
    <xf numFmtId="0" fontId="0" fillId="0" borderId="73" xfId="0" applyBorder="1"/>
    <xf numFmtId="0" fontId="0" fillId="0" borderId="56" xfId="0" applyBorder="1"/>
    <xf numFmtId="0" fontId="0" fillId="0" borderId="0" xfId="0"/>
    <xf numFmtId="0" fontId="0" fillId="0" borderId="78" xfId="0" applyBorder="1"/>
    <xf numFmtId="0" fontId="0" fillId="0" borderId="74" xfId="0" applyBorder="1"/>
    <xf numFmtId="0" fontId="14" fillId="0" borderId="55" xfId="0" applyFont="1" applyBorder="1" applyAlignment="1">
      <alignment horizontal="left"/>
    </xf>
    <xf numFmtId="0" fontId="14" fillId="0" borderId="62" xfId="0" applyFont="1" applyBorder="1" applyAlignment="1">
      <alignment horizontal="left"/>
    </xf>
    <xf numFmtId="0" fontId="14" fillId="0" borderId="7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74" xfId="0" applyFont="1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10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1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80" xfId="0" applyBorder="1" applyAlignment="1">
      <alignment horizontal="left"/>
    </xf>
    <xf numFmtId="0" fontId="0" fillId="0" borderId="76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78" xfId="0" applyBorder="1" applyAlignment="1">
      <alignment horizontal="left"/>
    </xf>
    <xf numFmtId="166" fontId="21" fillId="0" borderId="94" xfId="8" applyFont="1" applyBorder="1" applyAlignment="1">
      <alignment horizontal="center" vertical="top" wrapText="1"/>
    </xf>
    <xf numFmtId="0" fontId="91" fillId="0" borderId="78" xfId="0" applyFont="1" applyBorder="1" applyAlignment="1">
      <alignment horizontal="left" vertical="center"/>
    </xf>
    <xf numFmtId="0" fontId="91" fillId="0" borderId="74" xfId="0" applyFont="1" applyBorder="1" applyAlignment="1">
      <alignment horizontal="left" vertical="center"/>
    </xf>
    <xf numFmtId="0" fontId="91" fillId="0" borderId="80" xfId="0" applyFont="1" applyBorder="1" applyAlignment="1">
      <alignment horizontal="left" vertical="center"/>
    </xf>
    <xf numFmtId="166" fontId="21" fillId="0" borderId="66" xfId="8" quotePrefix="1" applyFont="1" applyBorder="1" applyAlignment="1">
      <alignment horizontal="center" vertical="center" wrapText="1"/>
    </xf>
    <xf numFmtId="166" fontId="21" fillId="0" borderId="27" xfId="8" quotePrefix="1" applyFont="1" applyBorder="1" applyAlignment="1">
      <alignment horizontal="center" vertical="center" wrapText="1"/>
    </xf>
    <xf numFmtId="166" fontId="21" fillId="0" borderId="67" xfId="8" quotePrefix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81" xfId="0" applyFont="1" applyBorder="1" applyAlignment="1">
      <alignment horizontal="center"/>
    </xf>
    <xf numFmtId="166" fontId="88" fillId="0" borderId="56" xfId="8" quotePrefix="1" applyFont="1" applyBorder="1" applyAlignment="1">
      <alignment horizontal="center" vertical="center" wrapText="1"/>
    </xf>
    <xf numFmtId="166" fontId="88" fillId="0" borderId="0" xfId="8" quotePrefix="1" applyFont="1" applyBorder="1" applyAlignment="1">
      <alignment horizontal="center" vertical="center" wrapText="1"/>
    </xf>
    <xf numFmtId="166" fontId="88" fillId="0" borderId="81" xfId="8" quotePrefix="1" applyFont="1" applyBorder="1" applyAlignment="1">
      <alignment horizontal="center" vertical="center" wrapText="1"/>
    </xf>
    <xf numFmtId="0" fontId="82" fillId="0" borderId="78" xfId="0" applyFont="1" applyBorder="1" applyAlignment="1">
      <alignment horizontal="left" vertical="center"/>
    </xf>
    <xf numFmtId="0" fontId="82" fillId="0" borderId="74" xfId="0" applyFont="1" applyBorder="1" applyAlignment="1">
      <alignment horizontal="left" vertical="center"/>
    </xf>
    <xf numFmtId="0" fontId="82" fillId="0" borderId="80" xfId="0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19" fillId="0" borderId="81" xfId="0" applyFont="1" applyBorder="1" applyAlignment="1">
      <alignment horizontal="left"/>
    </xf>
  </cellXfs>
  <cellStyles count="1159">
    <cellStyle name="_Data" xfId="1" xr:uid="{00000000-0005-0000-0000-000000000000}"/>
    <cellStyle name="_Data 2" xfId="314" xr:uid="{00000000-0005-0000-0000-000001000000}"/>
    <cellStyle name="Accent1 - 20%" xfId="83" xr:uid="{00000000-0005-0000-0000-000002000000}"/>
    <cellStyle name="Accent1 - 40%" xfId="84" xr:uid="{00000000-0005-0000-0000-000003000000}"/>
    <cellStyle name="Accent1 - 60%" xfId="85" xr:uid="{00000000-0005-0000-0000-000004000000}"/>
    <cellStyle name="Accent2 - 20%" xfId="86" xr:uid="{00000000-0005-0000-0000-000005000000}"/>
    <cellStyle name="Accent2 - 40%" xfId="87" xr:uid="{00000000-0005-0000-0000-000006000000}"/>
    <cellStyle name="Accent2 - 60%" xfId="88" xr:uid="{00000000-0005-0000-0000-000007000000}"/>
    <cellStyle name="Accent3 - 20%" xfId="89" xr:uid="{00000000-0005-0000-0000-000008000000}"/>
    <cellStyle name="Accent3 - 40%" xfId="90" xr:uid="{00000000-0005-0000-0000-000009000000}"/>
    <cellStyle name="Accent3 - 60%" xfId="91" xr:uid="{00000000-0005-0000-0000-00000A000000}"/>
    <cellStyle name="Accent4 - 20%" xfId="92" xr:uid="{00000000-0005-0000-0000-00000B000000}"/>
    <cellStyle name="Accent4 - 40%" xfId="93" xr:uid="{00000000-0005-0000-0000-00000C000000}"/>
    <cellStyle name="Accent4 - 60%" xfId="94" xr:uid="{00000000-0005-0000-0000-00000D000000}"/>
    <cellStyle name="Accent5 - 20%" xfId="95" xr:uid="{00000000-0005-0000-0000-00000E000000}"/>
    <cellStyle name="Accent5 - 40%" xfId="96" xr:uid="{00000000-0005-0000-0000-00000F000000}"/>
    <cellStyle name="Accent5 - 60%" xfId="97" xr:uid="{00000000-0005-0000-0000-000010000000}"/>
    <cellStyle name="Accent6 - 20%" xfId="98" xr:uid="{00000000-0005-0000-0000-000011000000}"/>
    <cellStyle name="Accent6 - 40%" xfId="99" xr:uid="{00000000-0005-0000-0000-000012000000}"/>
    <cellStyle name="Accent6 - 60%" xfId="100" xr:uid="{00000000-0005-0000-0000-000013000000}"/>
    <cellStyle name="Akzent1 2" xfId="101" xr:uid="{00000000-0005-0000-0000-000014000000}"/>
    <cellStyle name="Akzent1 3" xfId="102" xr:uid="{00000000-0005-0000-0000-000015000000}"/>
    <cellStyle name="Akzent2 2" xfId="103" xr:uid="{00000000-0005-0000-0000-000016000000}"/>
    <cellStyle name="Akzent2 3" xfId="104" xr:uid="{00000000-0005-0000-0000-000017000000}"/>
    <cellStyle name="Akzent3 2" xfId="105" xr:uid="{00000000-0005-0000-0000-000018000000}"/>
    <cellStyle name="Akzent3 3" xfId="106" xr:uid="{00000000-0005-0000-0000-000019000000}"/>
    <cellStyle name="Akzent4 2" xfId="107" xr:uid="{00000000-0005-0000-0000-00001A000000}"/>
    <cellStyle name="Akzent4 3" xfId="108" xr:uid="{00000000-0005-0000-0000-00001B000000}"/>
    <cellStyle name="Akzent5 2" xfId="109" xr:uid="{00000000-0005-0000-0000-00001C000000}"/>
    <cellStyle name="Akzent5 3" xfId="110" xr:uid="{00000000-0005-0000-0000-00001D000000}"/>
    <cellStyle name="Akzent6 2" xfId="111" xr:uid="{00000000-0005-0000-0000-00001E000000}"/>
    <cellStyle name="Akzent6 3" xfId="112" xr:uid="{00000000-0005-0000-0000-00001F000000}"/>
    <cellStyle name="Ausgabe 2" xfId="113" xr:uid="{00000000-0005-0000-0000-000020000000}"/>
    <cellStyle name="Ausgabe 2 2" xfId="470" xr:uid="{00000000-0005-0000-0000-000021000000}"/>
    <cellStyle name="Ausgabe 2 2 2" xfId="868" xr:uid="{00000000-0005-0000-0000-000022000000}"/>
    <cellStyle name="Ausgabe 2 3" xfId="655" xr:uid="{00000000-0005-0000-0000-000023000000}"/>
    <cellStyle name="Ausgabe 2 3 2" xfId="1053" xr:uid="{00000000-0005-0000-0000-000024000000}"/>
    <cellStyle name="Ausgabe 3" xfId="114" xr:uid="{00000000-0005-0000-0000-000025000000}"/>
    <cellStyle name="Ausgabe 3 2" xfId="471" xr:uid="{00000000-0005-0000-0000-000026000000}"/>
    <cellStyle name="Ausgabe 3 2 2" xfId="869" xr:uid="{00000000-0005-0000-0000-000027000000}"/>
    <cellStyle name="Ausgabe 3 3" xfId="619" xr:uid="{00000000-0005-0000-0000-000028000000}"/>
    <cellStyle name="Ausgabe 3 3 2" xfId="1017" xr:uid="{00000000-0005-0000-0000-000029000000}"/>
    <cellStyle name="Berechnung 2" xfId="115" xr:uid="{00000000-0005-0000-0000-00002A000000}"/>
    <cellStyle name="Berechnung 2 2" xfId="472" xr:uid="{00000000-0005-0000-0000-00002B000000}"/>
    <cellStyle name="Berechnung 2 2 2" xfId="870" xr:uid="{00000000-0005-0000-0000-00002C000000}"/>
    <cellStyle name="Berechnung 2 3" xfId="641" xr:uid="{00000000-0005-0000-0000-00002D000000}"/>
    <cellStyle name="Berechnung 2 3 2" xfId="1039" xr:uid="{00000000-0005-0000-0000-00002E000000}"/>
    <cellStyle name="Berechnung 2 4" xfId="750" xr:uid="{00000000-0005-0000-0000-00002F000000}"/>
    <cellStyle name="Berechnung 2 4 2" xfId="1145" xr:uid="{00000000-0005-0000-0000-000030000000}"/>
    <cellStyle name="Berechnung 3" xfId="116" xr:uid="{00000000-0005-0000-0000-000031000000}"/>
    <cellStyle name="Berechnung 3 2" xfId="473" xr:uid="{00000000-0005-0000-0000-000032000000}"/>
    <cellStyle name="Berechnung 3 2 2" xfId="871" xr:uid="{00000000-0005-0000-0000-000033000000}"/>
    <cellStyle name="Berechnung 3 3" xfId="683" xr:uid="{00000000-0005-0000-0000-000034000000}"/>
    <cellStyle name="Berechnung 3 3 2" xfId="1081" xr:uid="{00000000-0005-0000-0000-000035000000}"/>
    <cellStyle name="Berechnung 3 4" xfId="730" xr:uid="{00000000-0005-0000-0000-000036000000}"/>
    <cellStyle name="Berechnung 3 4 2" xfId="1125" xr:uid="{00000000-0005-0000-0000-000037000000}"/>
    <cellStyle name="Comma 2" xfId="367" xr:uid="{00000000-0005-0000-0000-000038000000}"/>
    <cellStyle name="Comma 2 2" xfId="436" xr:uid="{00000000-0005-0000-0000-000039000000}"/>
    <cellStyle name="Comma 2 2 2" xfId="705" xr:uid="{00000000-0005-0000-0000-00003A000000}"/>
    <cellStyle name="Comma 2 2 2 2" xfId="1103" xr:uid="{00000000-0005-0000-0000-00003B000000}"/>
    <cellStyle name="Comma 2 2 3" xfId="834" xr:uid="{00000000-0005-0000-0000-00003C000000}"/>
    <cellStyle name="Comma 2 3" xfId="667" xr:uid="{00000000-0005-0000-0000-00003D000000}"/>
    <cellStyle name="Comma 2 3 2" xfId="1065" xr:uid="{00000000-0005-0000-0000-00003E000000}"/>
    <cellStyle name="Comma 2 4" xfId="795" xr:uid="{00000000-0005-0000-0000-00003F000000}"/>
    <cellStyle name="Datum 10" xfId="44" xr:uid="{00000000-0005-0000-0000-000040000000}"/>
    <cellStyle name="Datum 11" xfId="45" xr:uid="{00000000-0005-0000-0000-000041000000}"/>
    <cellStyle name="Datum 12" xfId="46" xr:uid="{00000000-0005-0000-0000-000042000000}"/>
    <cellStyle name="Datum 8" xfId="47" xr:uid="{00000000-0005-0000-0000-000043000000}"/>
    <cellStyle name="Datum 9" xfId="48" xr:uid="{00000000-0005-0000-0000-000044000000}"/>
    <cellStyle name="Dezimal [0] 2" xfId="81" xr:uid="{00000000-0005-0000-0000-000045000000}"/>
    <cellStyle name="Dezimal 2" xfId="2" xr:uid="{00000000-0005-0000-0000-000046000000}"/>
    <cellStyle name="Dezimal 2 2" xfId="3" xr:uid="{00000000-0005-0000-0000-000047000000}"/>
    <cellStyle name="Dezimal 2 2 2" xfId="315" xr:uid="{00000000-0005-0000-0000-000048000000}"/>
    <cellStyle name="Dezimal 2 3" xfId="117" xr:uid="{00000000-0005-0000-0000-000049000000}"/>
    <cellStyle name="Dezimal 2 4" xfId="368" xr:uid="{00000000-0005-0000-0000-00004A000000}"/>
    <cellStyle name="Dezimal 2 4 2" xfId="796" xr:uid="{00000000-0005-0000-0000-00004B000000}"/>
    <cellStyle name="Dezimal 3" xfId="4" xr:uid="{00000000-0005-0000-0000-00004C000000}"/>
    <cellStyle name="Dezimal 3 2" xfId="118" xr:uid="{00000000-0005-0000-0000-00004D000000}"/>
    <cellStyle name="Dezimal 3 3" xfId="316" xr:uid="{00000000-0005-0000-0000-00004E000000}"/>
    <cellStyle name="Eingabe 2" xfId="119" xr:uid="{00000000-0005-0000-0000-00004F000000}"/>
    <cellStyle name="Eingabe 2 2" xfId="120" xr:uid="{00000000-0005-0000-0000-000050000000}"/>
    <cellStyle name="Eingabe 2 2 2" xfId="474" xr:uid="{00000000-0005-0000-0000-000051000000}"/>
    <cellStyle name="Eingabe 2 2 2 2" xfId="872" xr:uid="{00000000-0005-0000-0000-000052000000}"/>
    <cellStyle name="Eingabe 2 2 3" xfId="452" xr:uid="{00000000-0005-0000-0000-000053000000}"/>
    <cellStyle name="Eingabe 2 2 3 2" xfId="850" xr:uid="{00000000-0005-0000-0000-000054000000}"/>
    <cellStyle name="Eingabe 2 2 4" xfId="749" xr:uid="{00000000-0005-0000-0000-000055000000}"/>
    <cellStyle name="Eingabe 2 2 4 2" xfId="1144" xr:uid="{00000000-0005-0000-0000-000056000000}"/>
    <cellStyle name="Eingabe 3" xfId="121" xr:uid="{00000000-0005-0000-0000-000057000000}"/>
    <cellStyle name="Eingabe 4" xfId="122" xr:uid="{00000000-0005-0000-0000-000058000000}"/>
    <cellStyle name="Eingabe 4 2" xfId="475" xr:uid="{00000000-0005-0000-0000-000059000000}"/>
    <cellStyle name="Eingabe 4 2 2" xfId="873" xr:uid="{00000000-0005-0000-0000-00005A000000}"/>
    <cellStyle name="Eingabe 4 3" xfId="681" xr:uid="{00000000-0005-0000-0000-00005B000000}"/>
    <cellStyle name="Eingabe 4 3 2" xfId="1079" xr:uid="{00000000-0005-0000-0000-00005C000000}"/>
    <cellStyle name="Eingabe 4 4" xfId="718" xr:uid="{00000000-0005-0000-0000-00005D000000}"/>
    <cellStyle name="Eingabe 4 4 2" xfId="1113" xr:uid="{00000000-0005-0000-0000-00005E000000}"/>
    <cellStyle name="Emphasis 1" xfId="123" xr:uid="{00000000-0005-0000-0000-00005F000000}"/>
    <cellStyle name="Emphasis 2" xfId="124" xr:uid="{00000000-0005-0000-0000-000060000000}"/>
    <cellStyle name="Emphasis 3" xfId="125" xr:uid="{00000000-0005-0000-0000-000061000000}"/>
    <cellStyle name="Ergebnis 2" xfId="126" xr:uid="{00000000-0005-0000-0000-000062000000}"/>
    <cellStyle name="Ergebnis 2 2" xfId="476" xr:uid="{00000000-0005-0000-0000-000063000000}"/>
    <cellStyle name="Ergebnis 2 2 2" xfId="874" xr:uid="{00000000-0005-0000-0000-000064000000}"/>
    <cellStyle name="Ergebnis 2 3" xfId="682" xr:uid="{00000000-0005-0000-0000-000065000000}"/>
    <cellStyle name="Ergebnis 2 3 2" xfId="1080" xr:uid="{00000000-0005-0000-0000-000066000000}"/>
    <cellStyle name="Ergebnis 2 4" xfId="748" xr:uid="{00000000-0005-0000-0000-000067000000}"/>
    <cellStyle name="Ergebnis 2 4 2" xfId="1143" xr:uid="{00000000-0005-0000-0000-000068000000}"/>
    <cellStyle name="Ergebnis 3" xfId="127" xr:uid="{00000000-0005-0000-0000-000069000000}"/>
    <cellStyle name="Ergebnis 3 2" xfId="477" xr:uid="{00000000-0005-0000-0000-00006A000000}"/>
    <cellStyle name="Ergebnis 3 2 2" xfId="875" xr:uid="{00000000-0005-0000-0000-00006B000000}"/>
    <cellStyle name="Ergebnis 3 3" xfId="700" xr:uid="{00000000-0005-0000-0000-00006C000000}"/>
    <cellStyle name="Ergebnis 3 3 2" xfId="1098" xr:uid="{00000000-0005-0000-0000-00006D000000}"/>
    <cellStyle name="Ergebnis 3 4" xfId="634" xr:uid="{00000000-0005-0000-0000-00006E000000}"/>
    <cellStyle name="Ergebnis 3 4 2" xfId="1032" xr:uid="{00000000-0005-0000-0000-00006F000000}"/>
    <cellStyle name="Euro" xfId="5" xr:uid="{00000000-0005-0000-0000-000070000000}"/>
    <cellStyle name="Euro 2" xfId="6" xr:uid="{00000000-0005-0000-0000-000071000000}"/>
    <cellStyle name="Euro 2 2" xfId="318" xr:uid="{00000000-0005-0000-0000-000072000000}"/>
    <cellStyle name="Euro 2 2 2" xfId="408" xr:uid="{00000000-0005-0000-0000-000073000000}"/>
    <cellStyle name="Euro 2 2 2 2" xfId="821" xr:uid="{00000000-0005-0000-0000-000074000000}"/>
    <cellStyle name="Euro 2 2 3" xfId="782" xr:uid="{00000000-0005-0000-0000-000075000000}"/>
    <cellStyle name="Euro 2 3" xfId="370" xr:uid="{00000000-0005-0000-0000-000076000000}"/>
    <cellStyle name="Euro 2 3 2" xfId="798" xr:uid="{00000000-0005-0000-0000-000077000000}"/>
    <cellStyle name="Euro 2 4" xfId="759" xr:uid="{00000000-0005-0000-0000-000078000000}"/>
    <cellStyle name="Euro 3" xfId="7" xr:uid="{00000000-0005-0000-0000-000079000000}"/>
    <cellStyle name="Euro 3 2" xfId="319" xr:uid="{00000000-0005-0000-0000-00007A000000}"/>
    <cellStyle name="Euro 3 2 2" xfId="409" xr:uid="{00000000-0005-0000-0000-00007B000000}"/>
    <cellStyle name="Euro 3 2 2 2" xfId="822" xr:uid="{00000000-0005-0000-0000-00007C000000}"/>
    <cellStyle name="Euro 3 2 3" xfId="783" xr:uid="{00000000-0005-0000-0000-00007D000000}"/>
    <cellStyle name="Euro 3 3" xfId="371" xr:uid="{00000000-0005-0000-0000-00007E000000}"/>
    <cellStyle name="Euro 3 3 2" xfId="799" xr:uid="{00000000-0005-0000-0000-00007F000000}"/>
    <cellStyle name="Euro 3 4" xfId="760" xr:uid="{00000000-0005-0000-0000-000080000000}"/>
    <cellStyle name="Euro 4" xfId="317" xr:uid="{00000000-0005-0000-0000-000081000000}"/>
    <cellStyle name="Euro 4 2" xfId="407" xr:uid="{00000000-0005-0000-0000-000082000000}"/>
    <cellStyle name="Euro 4 2 2" xfId="820" xr:uid="{00000000-0005-0000-0000-000083000000}"/>
    <cellStyle name="Euro 4 3" xfId="781" xr:uid="{00000000-0005-0000-0000-000084000000}"/>
    <cellStyle name="Euro 5" xfId="369" xr:uid="{00000000-0005-0000-0000-000085000000}"/>
    <cellStyle name="Euro 5 2" xfId="797" xr:uid="{00000000-0005-0000-0000-000086000000}"/>
    <cellStyle name="Euro 6" xfId="758" xr:uid="{00000000-0005-0000-0000-000087000000}"/>
    <cellStyle name="Gut 2" xfId="128" xr:uid="{00000000-0005-0000-0000-000088000000}"/>
    <cellStyle name="Gut 2 2" xfId="129" xr:uid="{00000000-0005-0000-0000-000089000000}"/>
    <cellStyle name="Gut 3" xfId="130" xr:uid="{00000000-0005-0000-0000-00008A000000}"/>
    <cellStyle name="Gut 3 2" xfId="131" xr:uid="{00000000-0005-0000-0000-00008B000000}"/>
    <cellStyle name="Gut 4" xfId="132" xr:uid="{00000000-0005-0000-0000-00008C000000}"/>
    <cellStyle name="Gut 5" xfId="133" xr:uid="{00000000-0005-0000-0000-00008D000000}"/>
    <cellStyle name="Hyperlink 2" xfId="358" xr:uid="{00000000-0005-0000-0000-00008E000000}"/>
    <cellStyle name="Komma" xfId="8" builtinId="3"/>
    <cellStyle name="Komma 2" xfId="9" xr:uid="{00000000-0005-0000-0000-000090000000}"/>
    <cellStyle name="Komma 2 2" xfId="135" xr:uid="{00000000-0005-0000-0000-000091000000}"/>
    <cellStyle name="Komma 2 3" xfId="136" xr:uid="{00000000-0005-0000-0000-000092000000}"/>
    <cellStyle name="Komma 2 4" xfId="134" xr:uid="{00000000-0005-0000-0000-000093000000}"/>
    <cellStyle name="Komma 3" xfId="10" xr:uid="{00000000-0005-0000-0000-000094000000}"/>
    <cellStyle name="Komma 3 2" xfId="38" xr:uid="{00000000-0005-0000-0000-000095000000}"/>
    <cellStyle name="Komma 3 2 2" xfId="138" xr:uid="{00000000-0005-0000-0000-000096000000}"/>
    <cellStyle name="Komma 3 2 3" xfId="331" xr:uid="{00000000-0005-0000-0000-000097000000}"/>
    <cellStyle name="Komma 3 2 3 2" xfId="415" xr:uid="{00000000-0005-0000-0000-000098000000}"/>
    <cellStyle name="Komma 3 2 4" xfId="379" xr:uid="{00000000-0005-0000-0000-000099000000}"/>
    <cellStyle name="Komma 3 3" xfId="137" xr:uid="{00000000-0005-0000-0000-00009A000000}"/>
    <cellStyle name="Komma 3 4" xfId="320" xr:uid="{00000000-0005-0000-0000-00009B000000}"/>
    <cellStyle name="Komma 3 4 2" xfId="410" xr:uid="{00000000-0005-0000-0000-00009C000000}"/>
    <cellStyle name="Komma 3 5" xfId="372" xr:uid="{00000000-0005-0000-0000-00009D000000}"/>
    <cellStyle name="Komma 4" xfId="37" xr:uid="{00000000-0005-0000-0000-00009E000000}"/>
    <cellStyle name="Komma 4 2" xfId="330" xr:uid="{00000000-0005-0000-0000-00009F000000}"/>
    <cellStyle name="Komma 4 3" xfId="364" xr:uid="{00000000-0005-0000-0000-0000A0000000}"/>
    <cellStyle name="Komma 5" xfId="357" xr:uid="{00000000-0005-0000-0000-0000A1000000}"/>
    <cellStyle name="Komma 7" xfId="1154" xr:uid="{C98049BB-62F0-490B-80E0-4C8EA5AAAE23}"/>
    <cellStyle name="Link" xfId="1155" builtinId="8"/>
    <cellStyle name="Neutral 2" xfId="139" xr:uid="{00000000-0005-0000-0000-0000A4000000}"/>
    <cellStyle name="Neutral 2 2" xfId="140" xr:uid="{00000000-0005-0000-0000-0000A5000000}"/>
    <cellStyle name="Neutral 3" xfId="141" xr:uid="{00000000-0005-0000-0000-0000A6000000}"/>
    <cellStyle name="Neutral 3 2" xfId="142" xr:uid="{00000000-0005-0000-0000-0000A7000000}"/>
    <cellStyle name="Neutral 4" xfId="143" xr:uid="{00000000-0005-0000-0000-0000A8000000}"/>
    <cellStyle name="Neutral 5" xfId="144" xr:uid="{00000000-0005-0000-0000-0000A9000000}"/>
    <cellStyle name="Normal" xfId="1156" xr:uid="{C3A11D6A-94AE-43EF-BF10-689FE0A2DE63}"/>
    <cellStyle name="Normal 2" xfId="359" xr:uid="{00000000-0005-0000-0000-0000AA000000}"/>
    <cellStyle name="Normal 3" xfId="366" xr:uid="{00000000-0005-0000-0000-0000AB000000}"/>
    <cellStyle name="Normal 3 2" xfId="435" xr:uid="{00000000-0005-0000-0000-0000AC000000}"/>
    <cellStyle name="Normal 3 2 2" xfId="704" xr:uid="{00000000-0005-0000-0000-0000AD000000}"/>
    <cellStyle name="Normal 3 2 2 2" xfId="1102" xr:uid="{00000000-0005-0000-0000-0000AE000000}"/>
    <cellStyle name="Normal 3 2 3" xfId="833" xr:uid="{00000000-0005-0000-0000-0000AF000000}"/>
    <cellStyle name="Normal 3 3" xfId="666" xr:uid="{00000000-0005-0000-0000-0000B0000000}"/>
    <cellStyle name="Normal 3 3 2" xfId="1064" xr:uid="{00000000-0005-0000-0000-0000B1000000}"/>
    <cellStyle name="Normal 3 4" xfId="794" xr:uid="{00000000-0005-0000-0000-0000B2000000}"/>
    <cellStyle name="Notiz 2" xfId="145" xr:uid="{00000000-0005-0000-0000-0000B3000000}"/>
    <cellStyle name="Notiz 2 2" xfId="495" xr:uid="{00000000-0005-0000-0000-0000B4000000}"/>
    <cellStyle name="Notiz 2 2 2" xfId="893" xr:uid="{00000000-0005-0000-0000-0000B5000000}"/>
    <cellStyle name="Notiz 2 3" xfId="614" xr:uid="{00000000-0005-0000-0000-0000B6000000}"/>
    <cellStyle name="Notiz 2 3 2" xfId="1012" xr:uid="{00000000-0005-0000-0000-0000B7000000}"/>
    <cellStyle name="Notiz 2 4" xfId="673" xr:uid="{00000000-0005-0000-0000-0000B8000000}"/>
    <cellStyle name="Notiz 2 4 2" xfId="1071" xr:uid="{00000000-0005-0000-0000-0000B9000000}"/>
    <cellStyle name="Notiz 3" xfId="146" xr:uid="{00000000-0005-0000-0000-0000BA000000}"/>
    <cellStyle name="Notiz 3 2" xfId="496" xr:uid="{00000000-0005-0000-0000-0000BB000000}"/>
    <cellStyle name="Notiz 3 2 2" xfId="894" xr:uid="{00000000-0005-0000-0000-0000BC000000}"/>
    <cellStyle name="Notiz 3 3" xfId="615" xr:uid="{00000000-0005-0000-0000-0000BD000000}"/>
    <cellStyle name="Notiz 3 3 2" xfId="1013" xr:uid="{00000000-0005-0000-0000-0000BE000000}"/>
    <cellStyle name="Notiz 3 4" xfId="630" xr:uid="{00000000-0005-0000-0000-0000BF000000}"/>
    <cellStyle name="Notiz 3 4 2" xfId="1028" xr:uid="{00000000-0005-0000-0000-0000C0000000}"/>
    <cellStyle name="Prozent 2" xfId="11" xr:uid="{00000000-0005-0000-0000-0000C1000000}"/>
    <cellStyle name="Prozent 2 2" xfId="147" xr:uid="{00000000-0005-0000-0000-0000C2000000}"/>
    <cellStyle name="Prozent 2 3" xfId="321" xr:uid="{00000000-0005-0000-0000-0000C3000000}"/>
    <cellStyle name="Prozent 3" xfId="148" xr:uid="{00000000-0005-0000-0000-0000C4000000}"/>
    <cellStyle name="Prozent 4" xfId="149" xr:uid="{00000000-0005-0000-0000-0000C5000000}"/>
    <cellStyle name="SAPBEXaggData" xfId="150" xr:uid="{00000000-0005-0000-0000-0000C6000000}"/>
    <cellStyle name="SAPBEXaggData 2" xfId="151" xr:uid="{00000000-0005-0000-0000-0000C7000000}"/>
    <cellStyle name="SAPBEXaggData 2 2" xfId="501" xr:uid="{00000000-0005-0000-0000-0000C8000000}"/>
    <cellStyle name="SAPBEXaggData 2 2 2" xfId="899" xr:uid="{00000000-0005-0000-0000-0000C9000000}"/>
    <cellStyle name="SAPBEXaggData 2 3" xfId="611" xr:uid="{00000000-0005-0000-0000-0000CA000000}"/>
    <cellStyle name="SAPBEXaggData 2 3 2" xfId="1009" xr:uid="{00000000-0005-0000-0000-0000CB000000}"/>
    <cellStyle name="SAPBEXaggData 2 4" xfId="723" xr:uid="{00000000-0005-0000-0000-0000CC000000}"/>
    <cellStyle name="SAPBEXaggData 2 4 2" xfId="1118" xr:uid="{00000000-0005-0000-0000-0000CD000000}"/>
    <cellStyle name="SAPBEXaggData 3" xfId="152" xr:uid="{00000000-0005-0000-0000-0000CE000000}"/>
    <cellStyle name="SAPBEXaggData 3 2" xfId="502" xr:uid="{00000000-0005-0000-0000-0000CF000000}"/>
    <cellStyle name="SAPBEXaggData 3 2 2" xfId="900" xr:uid="{00000000-0005-0000-0000-0000D0000000}"/>
    <cellStyle name="SAPBEXaggData 3 3" xfId="610" xr:uid="{00000000-0005-0000-0000-0000D1000000}"/>
    <cellStyle name="SAPBEXaggData 3 3 2" xfId="1008" xr:uid="{00000000-0005-0000-0000-0000D2000000}"/>
    <cellStyle name="SAPBEXaggData 3 4" xfId="757" xr:uid="{00000000-0005-0000-0000-0000D3000000}"/>
    <cellStyle name="SAPBEXaggData 3 4 2" xfId="1152" xr:uid="{00000000-0005-0000-0000-0000D4000000}"/>
    <cellStyle name="SAPBEXaggData 4" xfId="500" xr:uid="{00000000-0005-0000-0000-0000D5000000}"/>
    <cellStyle name="SAPBEXaggData 4 2" xfId="898" xr:uid="{00000000-0005-0000-0000-0000D6000000}"/>
    <cellStyle name="SAPBEXaggData 5" xfId="612" xr:uid="{00000000-0005-0000-0000-0000D7000000}"/>
    <cellStyle name="SAPBEXaggData 5 2" xfId="1010" xr:uid="{00000000-0005-0000-0000-0000D8000000}"/>
    <cellStyle name="SAPBEXaggData 6" xfId="726" xr:uid="{00000000-0005-0000-0000-0000D9000000}"/>
    <cellStyle name="SAPBEXaggData 6 2" xfId="1121" xr:uid="{00000000-0005-0000-0000-0000DA000000}"/>
    <cellStyle name="SAPBEXaggDataEmph" xfId="153" xr:uid="{00000000-0005-0000-0000-0000DB000000}"/>
    <cellStyle name="SAPBEXaggDataEmph 2" xfId="503" xr:uid="{00000000-0005-0000-0000-0000DC000000}"/>
    <cellStyle name="SAPBEXaggDataEmph 2 2" xfId="901" xr:uid="{00000000-0005-0000-0000-0000DD000000}"/>
    <cellStyle name="SAPBEXaggDataEmph 3" xfId="609" xr:uid="{00000000-0005-0000-0000-0000DE000000}"/>
    <cellStyle name="SAPBEXaggDataEmph 3 2" xfId="1007" xr:uid="{00000000-0005-0000-0000-0000DF000000}"/>
    <cellStyle name="SAPBEXaggDataEmph 4" xfId="755" xr:uid="{00000000-0005-0000-0000-0000E0000000}"/>
    <cellStyle name="SAPBEXaggDataEmph 4 2" xfId="1150" xr:uid="{00000000-0005-0000-0000-0000E1000000}"/>
    <cellStyle name="SAPBEXaggItem" xfId="154" xr:uid="{00000000-0005-0000-0000-0000E2000000}"/>
    <cellStyle name="SAPBEXaggItem 2" xfId="155" xr:uid="{00000000-0005-0000-0000-0000E3000000}"/>
    <cellStyle name="SAPBEXaggItem 2 2" xfId="505" xr:uid="{00000000-0005-0000-0000-0000E4000000}"/>
    <cellStyle name="SAPBEXaggItem 2 2 2" xfId="903" xr:uid="{00000000-0005-0000-0000-0000E5000000}"/>
    <cellStyle name="SAPBEXaggItem 2 3" xfId="608" xr:uid="{00000000-0005-0000-0000-0000E6000000}"/>
    <cellStyle name="SAPBEXaggItem 2 3 2" xfId="1006" xr:uid="{00000000-0005-0000-0000-0000E7000000}"/>
    <cellStyle name="SAPBEXaggItem 2 4" xfId="754" xr:uid="{00000000-0005-0000-0000-0000E8000000}"/>
    <cellStyle name="SAPBEXaggItem 2 4 2" xfId="1149" xr:uid="{00000000-0005-0000-0000-0000E9000000}"/>
    <cellStyle name="SAPBEXaggItem 3" xfId="156" xr:uid="{00000000-0005-0000-0000-0000EA000000}"/>
    <cellStyle name="SAPBEXaggItem 3 2" xfId="506" xr:uid="{00000000-0005-0000-0000-0000EB000000}"/>
    <cellStyle name="SAPBEXaggItem 3 2 2" xfId="904" xr:uid="{00000000-0005-0000-0000-0000EC000000}"/>
    <cellStyle name="SAPBEXaggItem 3 3" xfId="458" xr:uid="{00000000-0005-0000-0000-0000ED000000}"/>
    <cellStyle name="SAPBEXaggItem 3 3 2" xfId="856" xr:uid="{00000000-0005-0000-0000-0000EE000000}"/>
    <cellStyle name="SAPBEXaggItem 3 4" xfId="753" xr:uid="{00000000-0005-0000-0000-0000EF000000}"/>
    <cellStyle name="SAPBEXaggItem 3 4 2" xfId="1148" xr:uid="{00000000-0005-0000-0000-0000F0000000}"/>
    <cellStyle name="SAPBEXaggItem 4" xfId="504" xr:uid="{00000000-0005-0000-0000-0000F1000000}"/>
    <cellStyle name="SAPBEXaggItem 4 2" xfId="902" xr:uid="{00000000-0005-0000-0000-0000F2000000}"/>
    <cellStyle name="SAPBEXaggItem 5" xfId="649" xr:uid="{00000000-0005-0000-0000-0000F3000000}"/>
    <cellStyle name="SAPBEXaggItem 5 2" xfId="1047" xr:uid="{00000000-0005-0000-0000-0000F4000000}"/>
    <cellStyle name="SAPBEXaggItem 6" xfId="756" xr:uid="{00000000-0005-0000-0000-0000F5000000}"/>
    <cellStyle name="SAPBEXaggItem 6 2" xfId="1151" xr:uid="{00000000-0005-0000-0000-0000F6000000}"/>
    <cellStyle name="SAPBEXaggItemX" xfId="157" xr:uid="{00000000-0005-0000-0000-0000F7000000}"/>
    <cellStyle name="SAPBEXaggItemX 2" xfId="507" xr:uid="{00000000-0005-0000-0000-0000F8000000}"/>
    <cellStyle name="SAPBEXaggItemX 2 2" xfId="905" xr:uid="{00000000-0005-0000-0000-0000F9000000}"/>
    <cellStyle name="SAPBEXaggItemX 3" xfId="606" xr:uid="{00000000-0005-0000-0000-0000FA000000}"/>
    <cellStyle name="SAPBEXaggItemX 3 2" xfId="1004" xr:uid="{00000000-0005-0000-0000-0000FB000000}"/>
    <cellStyle name="SAPBEXaggItemX 4" xfId="654" xr:uid="{00000000-0005-0000-0000-0000FC000000}"/>
    <cellStyle name="SAPBEXaggItemX 4 2" xfId="1052" xr:uid="{00000000-0005-0000-0000-0000FD000000}"/>
    <cellStyle name="SAPBEXchaText" xfId="158" xr:uid="{00000000-0005-0000-0000-0000FE000000}"/>
    <cellStyle name="SAPBEXchaText 2" xfId="159" xr:uid="{00000000-0005-0000-0000-0000FF000000}"/>
    <cellStyle name="SAPBEXchaText 2 2" xfId="509" xr:uid="{00000000-0005-0000-0000-000000010000}"/>
    <cellStyle name="SAPBEXchaText 2 2 2" xfId="907" xr:uid="{00000000-0005-0000-0000-000001010000}"/>
    <cellStyle name="SAPBEXchaText 2 3" xfId="449" xr:uid="{00000000-0005-0000-0000-000002010000}"/>
    <cellStyle name="SAPBEXchaText 2 3 2" xfId="847" xr:uid="{00000000-0005-0000-0000-000003010000}"/>
    <cellStyle name="SAPBEXchaText 2 4" xfId="727" xr:uid="{00000000-0005-0000-0000-000004010000}"/>
    <cellStyle name="SAPBEXchaText 2 4 2" xfId="1122" xr:uid="{00000000-0005-0000-0000-000005010000}"/>
    <cellStyle name="SAPBEXchaText 3" xfId="160" xr:uid="{00000000-0005-0000-0000-000006010000}"/>
    <cellStyle name="SAPBEXchaText 3 2" xfId="510" xr:uid="{00000000-0005-0000-0000-000007010000}"/>
    <cellStyle name="SAPBEXchaText 3 2 2" xfId="908" xr:uid="{00000000-0005-0000-0000-000008010000}"/>
    <cellStyle name="SAPBEXchaText 3 3" xfId="605" xr:uid="{00000000-0005-0000-0000-000009010000}"/>
    <cellStyle name="SAPBEXchaText 3 3 2" xfId="1003" xr:uid="{00000000-0005-0000-0000-00000A010000}"/>
    <cellStyle name="SAPBEXchaText 3 4" xfId="722" xr:uid="{00000000-0005-0000-0000-00000B010000}"/>
    <cellStyle name="SAPBEXchaText 3 4 2" xfId="1117" xr:uid="{00000000-0005-0000-0000-00000C010000}"/>
    <cellStyle name="SAPBEXchaText 4" xfId="508" xr:uid="{00000000-0005-0000-0000-00000D010000}"/>
    <cellStyle name="SAPBEXchaText 4 2" xfId="906" xr:uid="{00000000-0005-0000-0000-00000E010000}"/>
    <cellStyle name="SAPBEXchaText 5" xfId="607" xr:uid="{00000000-0005-0000-0000-00000F010000}"/>
    <cellStyle name="SAPBEXchaText 5 2" xfId="1005" xr:uid="{00000000-0005-0000-0000-000010010000}"/>
    <cellStyle name="SAPBEXchaText 6" xfId="711" xr:uid="{00000000-0005-0000-0000-000011010000}"/>
    <cellStyle name="SAPBEXchaText 6 2" xfId="1106" xr:uid="{00000000-0005-0000-0000-000012010000}"/>
    <cellStyle name="SAPBEXexcBad7" xfId="161" xr:uid="{00000000-0005-0000-0000-000013010000}"/>
    <cellStyle name="SAPBEXexcBad7 2" xfId="162" xr:uid="{00000000-0005-0000-0000-000014010000}"/>
    <cellStyle name="SAPBEXexcBad7 2 2" xfId="512" xr:uid="{00000000-0005-0000-0000-000015010000}"/>
    <cellStyle name="SAPBEXexcBad7 2 2 2" xfId="910" xr:uid="{00000000-0005-0000-0000-000016010000}"/>
    <cellStyle name="SAPBEXexcBad7 2 3" xfId="604" xr:uid="{00000000-0005-0000-0000-000017010000}"/>
    <cellStyle name="SAPBEXexcBad7 2 3 2" xfId="1002" xr:uid="{00000000-0005-0000-0000-000018010000}"/>
    <cellStyle name="SAPBEXexcBad7 2 4" xfId="747" xr:uid="{00000000-0005-0000-0000-000019010000}"/>
    <cellStyle name="SAPBEXexcBad7 2 4 2" xfId="1142" xr:uid="{00000000-0005-0000-0000-00001A010000}"/>
    <cellStyle name="SAPBEXexcBad7 3" xfId="163" xr:uid="{00000000-0005-0000-0000-00001B010000}"/>
    <cellStyle name="SAPBEXexcBad7 3 2" xfId="513" xr:uid="{00000000-0005-0000-0000-00001C010000}"/>
    <cellStyle name="SAPBEXexcBad7 3 2 2" xfId="911" xr:uid="{00000000-0005-0000-0000-00001D010000}"/>
    <cellStyle name="SAPBEXexcBad7 3 3" xfId="602" xr:uid="{00000000-0005-0000-0000-00001E010000}"/>
    <cellStyle name="SAPBEXexcBad7 3 3 2" xfId="1000" xr:uid="{00000000-0005-0000-0000-00001F010000}"/>
    <cellStyle name="SAPBEXexcBad7 3 4" xfId="642" xr:uid="{00000000-0005-0000-0000-000020010000}"/>
    <cellStyle name="SAPBEXexcBad7 3 4 2" xfId="1040" xr:uid="{00000000-0005-0000-0000-000021010000}"/>
    <cellStyle name="SAPBEXexcBad7 4" xfId="511" xr:uid="{00000000-0005-0000-0000-000022010000}"/>
    <cellStyle name="SAPBEXexcBad7 4 2" xfId="909" xr:uid="{00000000-0005-0000-0000-000023010000}"/>
    <cellStyle name="SAPBEXexcBad7 5" xfId="601" xr:uid="{00000000-0005-0000-0000-000024010000}"/>
    <cellStyle name="SAPBEXexcBad7 5 2" xfId="999" xr:uid="{00000000-0005-0000-0000-000025010000}"/>
    <cellStyle name="SAPBEXexcBad7 6" xfId="739" xr:uid="{00000000-0005-0000-0000-000026010000}"/>
    <cellStyle name="SAPBEXexcBad7 6 2" xfId="1134" xr:uid="{00000000-0005-0000-0000-000027010000}"/>
    <cellStyle name="SAPBEXexcBad8" xfId="164" xr:uid="{00000000-0005-0000-0000-000028010000}"/>
    <cellStyle name="SAPBEXexcBad8 2" xfId="165" xr:uid="{00000000-0005-0000-0000-000029010000}"/>
    <cellStyle name="SAPBEXexcBad8 2 2" xfId="515" xr:uid="{00000000-0005-0000-0000-00002A010000}"/>
    <cellStyle name="SAPBEXexcBad8 2 2 2" xfId="913" xr:uid="{00000000-0005-0000-0000-00002B010000}"/>
    <cellStyle name="SAPBEXexcBad8 2 3" xfId="448" xr:uid="{00000000-0005-0000-0000-00002C010000}"/>
    <cellStyle name="SAPBEXexcBad8 2 3 2" xfId="846" xr:uid="{00000000-0005-0000-0000-00002D010000}"/>
    <cellStyle name="SAPBEXexcBad8 2 4" xfId="725" xr:uid="{00000000-0005-0000-0000-00002E010000}"/>
    <cellStyle name="SAPBEXexcBad8 2 4 2" xfId="1120" xr:uid="{00000000-0005-0000-0000-00002F010000}"/>
    <cellStyle name="SAPBEXexcBad8 3" xfId="166" xr:uid="{00000000-0005-0000-0000-000030010000}"/>
    <cellStyle name="SAPBEXexcBad8 3 2" xfId="516" xr:uid="{00000000-0005-0000-0000-000031010000}"/>
    <cellStyle name="SAPBEXexcBad8 3 2 2" xfId="914" xr:uid="{00000000-0005-0000-0000-000032010000}"/>
    <cellStyle name="SAPBEXexcBad8 3 3" xfId="447" xr:uid="{00000000-0005-0000-0000-000033010000}"/>
    <cellStyle name="SAPBEXexcBad8 3 3 2" xfId="845" xr:uid="{00000000-0005-0000-0000-000034010000}"/>
    <cellStyle name="SAPBEXexcBad8 3 4" xfId="656" xr:uid="{00000000-0005-0000-0000-000035010000}"/>
    <cellStyle name="SAPBEXexcBad8 3 4 2" xfId="1054" xr:uid="{00000000-0005-0000-0000-000036010000}"/>
    <cellStyle name="SAPBEXexcBad8 4" xfId="514" xr:uid="{00000000-0005-0000-0000-000037010000}"/>
    <cellStyle name="SAPBEXexcBad8 4 2" xfId="912" xr:uid="{00000000-0005-0000-0000-000038010000}"/>
    <cellStyle name="SAPBEXexcBad8 5" xfId="603" xr:uid="{00000000-0005-0000-0000-000039010000}"/>
    <cellStyle name="SAPBEXexcBad8 5 2" xfId="1001" xr:uid="{00000000-0005-0000-0000-00003A010000}"/>
    <cellStyle name="SAPBEXexcBad8 6" xfId="631" xr:uid="{00000000-0005-0000-0000-00003B010000}"/>
    <cellStyle name="SAPBEXexcBad8 6 2" xfId="1029" xr:uid="{00000000-0005-0000-0000-00003C010000}"/>
    <cellStyle name="SAPBEXexcBad9" xfId="167" xr:uid="{00000000-0005-0000-0000-00003D010000}"/>
    <cellStyle name="SAPBEXexcBad9 2" xfId="168" xr:uid="{00000000-0005-0000-0000-00003E010000}"/>
    <cellStyle name="SAPBEXexcBad9 2 2" xfId="518" xr:uid="{00000000-0005-0000-0000-00003F010000}"/>
    <cellStyle name="SAPBEXexcBad9 2 2 2" xfId="916" xr:uid="{00000000-0005-0000-0000-000040010000}"/>
    <cellStyle name="SAPBEXexcBad9 2 3" xfId="599" xr:uid="{00000000-0005-0000-0000-000041010000}"/>
    <cellStyle name="SAPBEXexcBad9 2 3 2" xfId="997" xr:uid="{00000000-0005-0000-0000-000042010000}"/>
    <cellStyle name="SAPBEXexcBad9 2 4" xfId="650" xr:uid="{00000000-0005-0000-0000-000043010000}"/>
    <cellStyle name="SAPBEXexcBad9 2 4 2" xfId="1048" xr:uid="{00000000-0005-0000-0000-000044010000}"/>
    <cellStyle name="SAPBEXexcBad9 3" xfId="169" xr:uid="{00000000-0005-0000-0000-000045010000}"/>
    <cellStyle name="SAPBEXexcBad9 3 2" xfId="519" xr:uid="{00000000-0005-0000-0000-000046010000}"/>
    <cellStyle name="SAPBEXexcBad9 3 2 2" xfId="917" xr:uid="{00000000-0005-0000-0000-000047010000}"/>
    <cellStyle name="SAPBEXexcBad9 3 3" xfId="446" xr:uid="{00000000-0005-0000-0000-000048010000}"/>
    <cellStyle name="SAPBEXexcBad9 3 3 2" xfId="844" xr:uid="{00000000-0005-0000-0000-000049010000}"/>
    <cellStyle name="SAPBEXexcBad9 3 4" xfId="717" xr:uid="{00000000-0005-0000-0000-00004A010000}"/>
    <cellStyle name="SAPBEXexcBad9 3 4 2" xfId="1112" xr:uid="{00000000-0005-0000-0000-00004B010000}"/>
    <cellStyle name="SAPBEXexcBad9 4" xfId="517" xr:uid="{00000000-0005-0000-0000-00004C010000}"/>
    <cellStyle name="SAPBEXexcBad9 4 2" xfId="915" xr:uid="{00000000-0005-0000-0000-00004D010000}"/>
    <cellStyle name="SAPBEXexcBad9 5" xfId="600" xr:uid="{00000000-0005-0000-0000-00004E010000}"/>
    <cellStyle name="SAPBEXexcBad9 5 2" xfId="998" xr:uid="{00000000-0005-0000-0000-00004F010000}"/>
    <cellStyle name="SAPBEXexcBad9 6" xfId="714" xr:uid="{00000000-0005-0000-0000-000050010000}"/>
    <cellStyle name="SAPBEXexcBad9 6 2" xfId="1109" xr:uid="{00000000-0005-0000-0000-000051010000}"/>
    <cellStyle name="SAPBEXexcCritical4" xfId="170" xr:uid="{00000000-0005-0000-0000-000052010000}"/>
    <cellStyle name="SAPBEXexcCritical4 2" xfId="171" xr:uid="{00000000-0005-0000-0000-000053010000}"/>
    <cellStyle name="SAPBEXexcCritical4 2 2" xfId="521" xr:uid="{00000000-0005-0000-0000-000054010000}"/>
    <cellStyle name="SAPBEXexcCritical4 2 2 2" xfId="919" xr:uid="{00000000-0005-0000-0000-000055010000}"/>
    <cellStyle name="SAPBEXexcCritical4 2 3" xfId="464" xr:uid="{00000000-0005-0000-0000-000056010000}"/>
    <cellStyle name="SAPBEXexcCritical4 2 3 2" xfId="862" xr:uid="{00000000-0005-0000-0000-000057010000}"/>
    <cellStyle name="SAPBEXexcCritical4 2 4" xfId="633" xr:uid="{00000000-0005-0000-0000-000058010000}"/>
    <cellStyle name="SAPBEXexcCritical4 2 4 2" xfId="1031" xr:uid="{00000000-0005-0000-0000-000059010000}"/>
    <cellStyle name="SAPBEXexcCritical4 3" xfId="172" xr:uid="{00000000-0005-0000-0000-00005A010000}"/>
    <cellStyle name="SAPBEXexcCritical4 3 2" xfId="522" xr:uid="{00000000-0005-0000-0000-00005B010000}"/>
    <cellStyle name="SAPBEXexcCritical4 3 2 2" xfId="920" xr:uid="{00000000-0005-0000-0000-00005C010000}"/>
    <cellStyle name="SAPBEXexcCritical4 3 3" xfId="651" xr:uid="{00000000-0005-0000-0000-00005D010000}"/>
    <cellStyle name="SAPBEXexcCritical4 3 3 2" xfId="1049" xr:uid="{00000000-0005-0000-0000-00005E010000}"/>
    <cellStyle name="SAPBEXexcCritical4 3 4" xfId="679" xr:uid="{00000000-0005-0000-0000-00005F010000}"/>
    <cellStyle name="SAPBEXexcCritical4 3 4 2" xfId="1077" xr:uid="{00000000-0005-0000-0000-000060010000}"/>
    <cellStyle name="SAPBEXexcCritical4 4" xfId="520" xr:uid="{00000000-0005-0000-0000-000061010000}"/>
    <cellStyle name="SAPBEXexcCritical4 4 2" xfId="918" xr:uid="{00000000-0005-0000-0000-000062010000}"/>
    <cellStyle name="SAPBEXexcCritical4 5" xfId="659" xr:uid="{00000000-0005-0000-0000-000063010000}"/>
    <cellStyle name="SAPBEXexcCritical4 5 2" xfId="1057" xr:uid="{00000000-0005-0000-0000-000064010000}"/>
    <cellStyle name="SAPBEXexcCritical4 6" xfId="720" xr:uid="{00000000-0005-0000-0000-000065010000}"/>
    <cellStyle name="SAPBEXexcCritical4 6 2" xfId="1115" xr:uid="{00000000-0005-0000-0000-000066010000}"/>
    <cellStyle name="SAPBEXexcCritical5" xfId="173" xr:uid="{00000000-0005-0000-0000-000067010000}"/>
    <cellStyle name="SAPBEXexcCritical5 2" xfId="174" xr:uid="{00000000-0005-0000-0000-000068010000}"/>
    <cellStyle name="SAPBEXexcCritical5 2 2" xfId="524" xr:uid="{00000000-0005-0000-0000-000069010000}"/>
    <cellStyle name="SAPBEXexcCritical5 2 2 2" xfId="922" xr:uid="{00000000-0005-0000-0000-00006A010000}"/>
    <cellStyle name="SAPBEXexcCritical5 2 3" xfId="674" xr:uid="{00000000-0005-0000-0000-00006B010000}"/>
    <cellStyle name="SAPBEXexcCritical5 2 3 2" xfId="1072" xr:uid="{00000000-0005-0000-0000-00006C010000}"/>
    <cellStyle name="SAPBEXexcCritical5 2 4" xfId="699" xr:uid="{00000000-0005-0000-0000-00006D010000}"/>
    <cellStyle name="SAPBEXexcCritical5 2 4 2" xfId="1097" xr:uid="{00000000-0005-0000-0000-00006E010000}"/>
    <cellStyle name="SAPBEXexcCritical5 3" xfId="175" xr:uid="{00000000-0005-0000-0000-00006F010000}"/>
    <cellStyle name="SAPBEXexcCritical5 3 2" xfId="525" xr:uid="{00000000-0005-0000-0000-000070010000}"/>
    <cellStyle name="SAPBEXexcCritical5 3 2 2" xfId="923" xr:uid="{00000000-0005-0000-0000-000071010000}"/>
    <cellStyle name="SAPBEXexcCritical5 3 3" xfId="697" xr:uid="{00000000-0005-0000-0000-000072010000}"/>
    <cellStyle name="SAPBEXexcCritical5 3 3 2" xfId="1095" xr:uid="{00000000-0005-0000-0000-000073010000}"/>
    <cellStyle name="SAPBEXexcCritical5 3 4" xfId="618" xr:uid="{00000000-0005-0000-0000-000074010000}"/>
    <cellStyle name="SAPBEXexcCritical5 3 4 2" xfId="1016" xr:uid="{00000000-0005-0000-0000-000075010000}"/>
    <cellStyle name="SAPBEXexcCritical5 4" xfId="523" xr:uid="{00000000-0005-0000-0000-000076010000}"/>
    <cellStyle name="SAPBEXexcCritical5 4 2" xfId="921" xr:uid="{00000000-0005-0000-0000-000077010000}"/>
    <cellStyle name="SAPBEXexcCritical5 5" xfId="462" xr:uid="{00000000-0005-0000-0000-000078010000}"/>
    <cellStyle name="SAPBEXexcCritical5 5 2" xfId="860" xr:uid="{00000000-0005-0000-0000-000079010000}"/>
    <cellStyle name="SAPBEXexcCritical5 6" xfId="617" xr:uid="{00000000-0005-0000-0000-00007A010000}"/>
    <cellStyle name="SAPBEXexcCritical5 6 2" xfId="1015" xr:uid="{00000000-0005-0000-0000-00007B010000}"/>
    <cellStyle name="SAPBEXexcCritical6" xfId="176" xr:uid="{00000000-0005-0000-0000-00007C010000}"/>
    <cellStyle name="SAPBEXexcCritical6 2" xfId="177" xr:uid="{00000000-0005-0000-0000-00007D010000}"/>
    <cellStyle name="SAPBEXexcCritical6 2 2" xfId="527" xr:uid="{00000000-0005-0000-0000-00007E010000}"/>
    <cellStyle name="SAPBEXexcCritical6 2 2 2" xfId="925" xr:uid="{00000000-0005-0000-0000-00007F010000}"/>
    <cellStyle name="SAPBEXexcCritical6 2 3" xfId="598" xr:uid="{00000000-0005-0000-0000-000080010000}"/>
    <cellStyle name="SAPBEXexcCritical6 2 3 2" xfId="996" xr:uid="{00000000-0005-0000-0000-000081010000}"/>
    <cellStyle name="SAPBEXexcCritical6 2 4" xfId="713" xr:uid="{00000000-0005-0000-0000-000082010000}"/>
    <cellStyle name="SAPBEXexcCritical6 2 4 2" xfId="1108" xr:uid="{00000000-0005-0000-0000-000083010000}"/>
    <cellStyle name="SAPBEXexcCritical6 3" xfId="178" xr:uid="{00000000-0005-0000-0000-000084010000}"/>
    <cellStyle name="SAPBEXexcCritical6 3 2" xfId="528" xr:uid="{00000000-0005-0000-0000-000085010000}"/>
    <cellStyle name="SAPBEXexcCritical6 3 2 2" xfId="926" xr:uid="{00000000-0005-0000-0000-000086010000}"/>
    <cellStyle name="SAPBEXexcCritical6 3 3" xfId="457" xr:uid="{00000000-0005-0000-0000-000087010000}"/>
    <cellStyle name="SAPBEXexcCritical6 3 3 2" xfId="855" xr:uid="{00000000-0005-0000-0000-000088010000}"/>
    <cellStyle name="SAPBEXexcCritical6 3 4" xfId="728" xr:uid="{00000000-0005-0000-0000-000089010000}"/>
    <cellStyle name="SAPBEXexcCritical6 3 4 2" xfId="1123" xr:uid="{00000000-0005-0000-0000-00008A010000}"/>
    <cellStyle name="SAPBEXexcCritical6 4" xfId="526" xr:uid="{00000000-0005-0000-0000-00008B010000}"/>
    <cellStyle name="SAPBEXexcCritical6 4 2" xfId="924" xr:uid="{00000000-0005-0000-0000-00008C010000}"/>
    <cellStyle name="SAPBEXexcCritical6 5" xfId="648" xr:uid="{00000000-0005-0000-0000-00008D010000}"/>
    <cellStyle name="SAPBEXexcCritical6 5 2" xfId="1046" xr:uid="{00000000-0005-0000-0000-00008E010000}"/>
    <cellStyle name="SAPBEXexcCritical6 6" xfId="653" xr:uid="{00000000-0005-0000-0000-00008F010000}"/>
    <cellStyle name="SAPBEXexcCritical6 6 2" xfId="1051" xr:uid="{00000000-0005-0000-0000-000090010000}"/>
    <cellStyle name="SAPBEXexcGood1" xfId="179" xr:uid="{00000000-0005-0000-0000-000091010000}"/>
    <cellStyle name="SAPBEXexcGood1 2" xfId="180" xr:uid="{00000000-0005-0000-0000-000092010000}"/>
    <cellStyle name="SAPBEXexcGood1 2 2" xfId="530" xr:uid="{00000000-0005-0000-0000-000093010000}"/>
    <cellStyle name="SAPBEXexcGood1 2 2 2" xfId="928" xr:uid="{00000000-0005-0000-0000-000094010000}"/>
    <cellStyle name="SAPBEXexcGood1 2 3" xfId="665" xr:uid="{00000000-0005-0000-0000-000095010000}"/>
    <cellStyle name="SAPBEXexcGood1 2 3 2" xfId="1063" xr:uid="{00000000-0005-0000-0000-000096010000}"/>
    <cellStyle name="SAPBEXexcGood1 2 4" xfId="719" xr:uid="{00000000-0005-0000-0000-000097010000}"/>
    <cellStyle name="SAPBEXexcGood1 2 4 2" xfId="1114" xr:uid="{00000000-0005-0000-0000-000098010000}"/>
    <cellStyle name="SAPBEXexcGood1 3" xfId="181" xr:uid="{00000000-0005-0000-0000-000099010000}"/>
    <cellStyle name="SAPBEXexcGood1 3 2" xfId="531" xr:uid="{00000000-0005-0000-0000-00009A010000}"/>
    <cellStyle name="SAPBEXexcGood1 3 2 2" xfId="929" xr:uid="{00000000-0005-0000-0000-00009B010000}"/>
    <cellStyle name="SAPBEXexcGood1 3 3" xfId="669" xr:uid="{00000000-0005-0000-0000-00009C010000}"/>
    <cellStyle name="SAPBEXexcGood1 3 3 2" xfId="1067" xr:uid="{00000000-0005-0000-0000-00009D010000}"/>
    <cellStyle name="SAPBEXexcGood1 3 4" xfId="724" xr:uid="{00000000-0005-0000-0000-00009E010000}"/>
    <cellStyle name="SAPBEXexcGood1 3 4 2" xfId="1119" xr:uid="{00000000-0005-0000-0000-00009F010000}"/>
    <cellStyle name="SAPBEXexcGood1 4" xfId="529" xr:uid="{00000000-0005-0000-0000-0000A0010000}"/>
    <cellStyle name="SAPBEXexcGood1 4 2" xfId="927" xr:uid="{00000000-0005-0000-0000-0000A1010000}"/>
    <cellStyle name="SAPBEXexcGood1 5" xfId="597" xr:uid="{00000000-0005-0000-0000-0000A2010000}"/>
    <cellStyle name="SAPBEXexcGood1 5 2" xfId="995" xr:uid="{00000000-0005-0000-0000-0000A3010000}"/>
    <cellStyle name="SAPBEXexcGood1 6" xfId="616" xr:uid="{00000000-0005-0000-0000-0000A4010000}"/>
    <cellStyle name="SAPBEXexcGood1 6 2" xfId="1014" xr:uid="{00000000-0005-0000-0000-0000A5010000}"/>
    <cellStyle name="SAPBEXexcGood2" xfId="182" xr:uid="{00000000-0005-0000-0000-0000A6010000}"/>
    <cellStyle name="SAPBEXexcGood2 2" xfId="183" xr:uid="{00000000-0005-0000-0000-0000A7010000}"/>
    <cellStyle name="SAPBEXexcGood2 2 2" xfId="533" xr:uid="{00000000-0005-0000-0000-0000A8010000}"/>
    <cellStyle name="SAPBEXexcGood2 2 2 2" xfId="931" xr:uid="{00000000-0005-0000-0000-0000A9010000}"/>
    <cellStyle name="SAPBEXexcGood2 2 3" xfId="639" xr:uid="{00000000-0005-0000-0000-0000AA010000}"/>
    <cellStyle name="SAPBEXexcGood2 2 3 2" xfId="1037" xr:uid="{00000000-0005-0000-0000-0000AB010000}"/>
    <cellStyle name="SAPBEXexcGood2 2 4" xfId="752" xr:uid="{00000000-0005-0000-0000-0000AC010000}"/>
    <cellStyle name="SAPBEXexcGood2 2 4 2" xfId="1147" xr:uid="{00000000-0005-0000-0000-0000AD010000}"/>
    <cellStyle name="SAPBEXexcGood2 3" xfId="184" xr:uid="{00000000-0005-0000-0000-0000AE010000}"/>
    <cellStyle name="SAPBEXexcGood2 3 2" xfId="534" xr:uid="{00000000-0005-0000-0000-0000AF010000}"/>
    <cellStyle name="SAPBEXexcGood2 3 2 2" xfId="932" xr:uid="{00000000-0005-0000-0000-0000B0010000}"/>
    <cellStyle name="SAPBEXexcGood2 3 3" xfId="596" xr:uid="{00000000-0005-0000-0000-0000B1010000}"/>
    <cellStyle name="SAPBEXexcGood2 3 3 2" xfId="994" xr:uid="{00000000-0005-0000-0000-0000B2010000}"/>
    <cellStyle name="SAPBEXexcGood2 3 4" xfId="732" xr:uid="{00000000-0005-0000-0000-0000B3010000}"/>
    <cellStyle name="SAPBEXexcGood2 3 4 2" xfId="1127" xr:uid="{00000000-0005-0000-0000-0000B4010000}"/>
    <cellStyle name="SAPBEXexcGood2 4" xfId="532" xr:uid="{00000000-0005-0000-0000-0000B5010000}"/>
    <cellStyle name="SAPBEXexcGood2 4 2" xfId="930" xr:uid="{00000000-0005-0000-0000-0000B6010000}"/>
    <cellStyle name="SAPBEXexcGood2 5" xfId="692" xr:uid="{00000000-0005-0000-0000-0000B7010000}"/>
    <cellStyle name="SAPBEXexcGood2 5 2" xfId="1090" xr:uid="{00000000-0005-0000-0000-0000B8010000}"/>
    <cellStyle name="SAPBEXexcGood2 6" xfId="733" xr:uid="{00000000-0005-0000-0000-0000B9010000}"/>
    <cellStyle name="SAPBEXexcGood2 6 2" xfId="1128" xr:uid="{00000000-0005-0000-0000-0000BA010000}"/>
    <cellStyle name="SAPBEXexcGood3" xfId="185" xr:uid="{00000000-0005-0000-0000-0000BB010000}"/>
    <cellStyle name="SAPBEXexcGood3 2" xfId="186" xr:uid="{00000000-0005-0000-0000-0000BC010000}"/>
    <cellStyle name="SAPBEXexcGood3 2 2" xfId="536" xr:uid="{00000000-0005-0000-0000-0000BD010000}"/>
    <cellStyle name="SAPBEXexcGood3 2 2 2" xfId="934" xr:uid="{00000000-0005-0000-0000-0000BE010000}"/>
    <cellStyle name="SAPBEXexcGood3 2 3" xfId="695" xr:uid="{00000000-0005-0000-0000-0000BF010000}"/>
    <cellStyle name="SAPBEXexcGood3 2 3 2" xfId="1093" xr:uid="{00000000-0005-0000-0000-0000C0010000}"/>
    <cellStyle name="SAPBEXexcGood3 2 4" xfId="731" xr:uid="{00000000-0005-0000-0000-0000C1010000}"/>
    <cellStyle name="SAPBEXexcGood3 2 4 2" xfId="1126" xr:uid="{00000000-0005-0000-0000-0000C2010000}"/>
    <cellStyle name="SAPBEXexcGood3 3" xfId="187" xr:uid="{00000000-0005-0000-0000-0000C3010000}"/>
    <cellStyle name="SAPBEXexcGood3 3 2" xfId="537" xr:uid="{00000000-0005-0000-0000-0000C4010000}"/>
    <cellStyle name="SAPBEXexcGood3 3 2 2" xfId="935" xr:uid="{00000000-0005-0000-0000-0000C5010000}"/>
    <cellStyle name="SAPBEXexcGood3 3 3" xfId="646" xr:uid="{00000000-0005-0000-0000-0000C6010000}"/>
    <cellStyle name="SAPBEXexcGood3 3 3 2" xfId="1044" xr:uid="{00000000-0005-0000-0000-0000C7010000}"/>
    <cellStyle name="SAPBEXexcGood3 3 4" xfId="740" xr:uid="{00000000-0005-0000-0000-0000C8010000}"/>
    <cellStyle name="SAPBEXexcGood3 3 4 2" xfId="1135" xr:uid="{00000000-0005-0000-0000-0000C9010000}"/>
    <cellStyle name="SAPBEXexcGood3 4" xfId="535" xr:uid="{00000000-0005-0000-0000-0000CA010000}"/>
    <cellStyle name="SAPBEXexcGood3 4 2" xfId="933" xr:uid="{00000000-0005-0000-0000-0000CB010000}"/>
    <cellStyle name="SAPBEXexcGood3 5" xfId="672" xr:uid="{00000000-0005-0000-0000-0000CC010000}"/>
    <cellStyle name="SAPBEXexcGood3 5 2" xfId="1070" xr:uid="{00000000-0005-0000-0000-0000CD010000}"/>
    <cellStyle name="SAPBEXexcGood3 6" xfId="751" xr:uid="{00000000-0005-0000-0000-0000CE010000}"/>
    <cellStyle name="SAPBEXexcGood3 6 2" xfId="1146" xr:uid="{00000000-0005-0000-0000-0000CF010000}"/>
    <cellStyle name="SAPBEXfilterDrill" xfId="188" xr:uid="{00000000-0005-0000-0000-0000D0010000}"/>
    <cellStyle name="SAPBEXfilterDrill 2" xfId="189" xr:uid="{00000000-0005-0000-0000-0000D1010000}"/>
    <cellStyle name="SAPBEXfilterDrill 2 2" xfId="539" xr:uid="{00000000-0005-0000-0000-0000D2010000}"/>
    <cellStyle name="SAPBEXfilterDrill 2 2 2" xfId="937" xr:uid="{00000000-0005-0000-0000-0000D3010000}"/>
    <cellStyle name="SAPBEXfilterDrill 2 3" xfId="444" xr:uid="{00000000-0005-0000-0000-0000D4010000}"/>
    <cellStyle name="SAPBEXfilterDrill 2 3 2" xfId="842" xr:uid="{00000000-0005-0000-0000-0000D5010000}"/>
    <cellStyle name="SAPBEXfilterDrill 2 4" xfId="469" xr:uid="{00000000-0005-0000-0000-0000D6010000}"/>
    <cellStyle name="SAPBEXfilterDrill 2 4 2" xfId="867" xr:uid="{00000000-0005-0000-0000-0000D7010000}"/>
    <cellStyle name="SAPBEXfilterDrill 3" xfId="190" xr:uid="{00000000-0005-0000-0000-0000D8010000}"/>
    <cellStyle name="SAPBEXfilterDrill 3 2" xfId="540" xr:uid="{00000000-0005-0000-0000-0000D9010000}"/>
    <cellStyle name="SAPBEXfilterDrill 3 2 2" xfId="938" xr:uid="{00000000-0005-0000-0000-0000DA010000}"/>
    <cellStyle name="SAPBEXfilterDrill 3 3" xfId="638" xr:uid="{00000000-0005-0000-0000-0000DB010000}"/>
    <cellStyle name="SAPBEXfilterDrill 3 3 2" xfId="1036" xr:uid="{00000000-0005-0000-0000-0000DC010000}"/>
    <cellStyle name="SAPBEXfilterDrill 3 4" xfId="685" xr:uid="{00000000-0005-0000-0000-0000DD010000}"/>
    <cellStyle name="SAPBEXfilterDrill 3 4 2" xfId="1083" xr:uid="{00000000-0005-0000-0000-0000DE010000}"/>
    <cellStyle name="SAPBEXfilterDrill 4" xfId="538" xr:uid="{00000000-0005-0000-0000-0000DF010000}"/>
    <cellStyle name="SAPBEXfilterDrill 4 2" xfId="936" xr:uid="{00000000-0005-0000-0000-0000E0010000}"/>
    <cellStyle name="SAPBEXfilterDrill 5" xfId="456" xr:uid="{00000000-0005-0000-0000-0000E1010000}"/>
    <cellStyle name="SAPBEXfilterDrill 5 2" xfId="854" xr:uid="{00000000-0005-0000-0000-0000E2010000}"/>
    <cellStyle name="SAPBEXfilterDrill 6" xfId="468" xr:uid="{00000000-0005-0000-0000-0000E3010000}"/>
    <cellStyle name="SAPBEXfilterDrill 6 2" xfId="866" xr:uid="{00000000-0005-0000-0000-0000E4010000}"/>
    <cellStyle name="SAPBEXfilterItem" xfId="191" xr:uid="{00000000-0005-0000-0000-0000E5010000}"/>
    <cellStyle name="SAPBEXfilterItem 2" xfId="192" xr:uid="{00000000-0005-0000-0000-0000E6010000}"/>
    <cellStyle name="SAPBEXfilterItem 2 2" xfId="542" xr:uid="{00000000-0005-0000-0000-0000E7010000}"/>
    <cellStyle name="SAPBEXfilterItem 2 2 2" xfId="940" xr:uid="{00000000-0005-0000-0000-0000E8010000}"/>
    <cellStyle name="SAPBEXfilterItem 2 3" xfId="455" xr:uid="{00000000-0005-0000-0000-0000E9010000}"/>
    <cellStyle name="SAPBEXfilterItem 2 3 2" xfId="853" xr:uid="{00000000-0005-0000-0000-0000EA010000}"/>
    <cellStyle name="SAPBEXfilterItem 2 4" xfId="738" xr:uid="{00000000-0005-0000-0000-0000EB010000}"/>
    <cellStyle name="SAPBEXfilterItem 2 4 2" xfId="1133" xr:uid="{00000000-0005-0000-0000-0000EC010000}"/>
    <cellStyle name="SAPBEXfilterItem 3" xfId="541" xr:uid="{00000000-0005-0000-0000-0000ED010000}"/>
    <cellStyle name="SAPBEXfilterItem 3 2" xfId="939" xr:uid="{00000000-0005-0000-0000-0000EE010000}"/>
    <cellStyle name="SAPBEXfilterItem 4" xfId="645" xr:uid="{00000000-0005-0000-0000-0000EF010000}"/>
    <cellStyle name="SAPBEXfilterItem 4 2" xfId="1043" xr:uid="{00000000-0005-0000-0000-0000F0010000}"/>
    <cellStyle name="SAPBEXfilterItem 5" xfId="460" xr:uid="{00000000-0005-0000-0000-0000F1010000}"/>
    <cellStyle name="SAPBEXfilterItem 5 2" xfId="858" xr:uid="{00000000-0005-0000-0000-0000F2010000}"/>
    <cellStyle name="SAPBEXfilterText" xfId="193" xr:uid="{00000000-0005-0000-0000-0000F3010000}"/>
    <cellStyle name="SAPBEXfilterText 2" xfId="194" xr:uid="{00000000-0005-0000-0000-0000F4010000}"/>
    <cellStyle name="SAPBEXfilterText 2 2" xfId="544" xr:uid="{00000000-0005-0000-0000-0000F5010000}"/>
    <cellStyle name="SAPBEXfilterText 2 2 2" xfId="942" xr:uid="{00000000-0005-0000-0000-0000F6010000}"/>
    <cellStyle name="SAPBEXfilterText 2 3" xfId="437" xr:uid="{00000000-0005-0000-0000-0000F7010000}"/>
    <cellStyle name="SAPBEXfilterText 2 3 2" xfId="835" xr:uid="{00000000-0005-0000-0000-0000F8010000}"/>
    <cellStyle name="SAPBEXfilterText 2 4" xfId="624" xr:uid="{00000000-0005-0000-0000-0000F9010000}"/>
    <cellStyle name="SAPBEXfilterText 2 4 2" xfId="1022" xr:uid="{00000000-0005-0000-0000-0000FA010000}"/>
    <cellStyle name="SAPBEXfilterText 3" xfId="543" xr:uid="{00000000-0005-0000-0000-0000FB010000}"/>
    <cellStyle name="SAPBEXfilterText 3 2" xfId="941" xr:uid="{00000000-0005-0000-0000-0000FC010000}"/>
    <cellStyle name="SAPBEXfilterText 4" xfId="443" xr:uid="{00000000-0005-0000-0000-0000FD010000}"/>
    <cellStyle name="SAPBEXfilterText 4 2" xfId="841" xr:uid="{00000000-0005-0000-0000-0000FE010000}"/>
    <cellStyle name="SAPBEXfilterText 5" xfId="746" xr:uid="{00000000-0005-0000-0000-0000FF010000}"/>
    <cellStyle name="SAPBEXfilterText 5 2" xfId="1141" xr:uid="{00000000-0005-0000-0000-000000020000}"/>
    <cellStyle name="SAPBEXformats" xfId="195" xr:uid="{00000000-0005-0000-0000-000001020000}"/>
    <cellStyle name="SAPBEXformats 2" xfId="196" xr:uid="{00000000-0005-0000-0000-000002020000}"/>
    <cellStyle name="SAPBEXformats 2 2" xfId="546" xr:uid="{00000000-0005-0000-0000-000003020000}"/>
    <cellStyle name="SAPBEXformats 2 2 2" xfId="944" xr:uid="{00000000-0005-0000-0000-000004020000}"/>
    <cellStyle name="SAPBEXformats 2 3" xfId="592" xr:uid="{00000000-0005-0000-0000-000005020000}"/>
    <cellStyle name="SAPBEXformats 2 3 2" xfId="990" xr:uid="{00000000-0005-0000-0000-000006020000}"/>
    <cellStyle name="SAPBEXformats 2 4" xfId="459" xr:uid="{00000000-0005-0000-0000-000007020000}"/>
    <cellStyle name="SAPBEXformats 2 4 2" xfId="857" xr:uid="{00000000-0005-0000-0000-000008020000}"/>
    <cellStyle name="SAPBEXformats 3" xfId="197" xr:uid="{00000000-0005-0000-0000-000009020000}"/>
    <cellStyle name="SAPBEXformats 3 2" xfId="547" xr:uid="{00000000-0005-0000-0000-00000A020000}"/>
    <cellStyle name="SAPBEXformats 3 2 2" xfId="945" xr:uid="{00000000-0005-0000-0000-00000B020000}"/>
    <cellStyle name="SAPBEXformats 3 3" xfId="591" xr:uid="{00000000-0005-0000-0000-00000C020000}"/>
    <cellStyle name="SAPBEXformats 3 3 2" xfId="989" xr:uid="{00000000-0005-0000-0000-00000D020000}"/>
    <cellStyle name="SAPBEXformats 3 4" xfId="736" xr:uid="{00000000-0005-0000-0000-00000E020000}"/>
    <cellStyle name="SAPBEXformats 3 4 2" xfId="1131" xr:uid="{00000000-0005-0000-0000-00000F020000}"/>
    <cellStyle name="SAPBEXformats 4" xfId="545" xr:uid="{00000000-0005-0000-0000-000010020000}"/>
    <cellStyle name="SAPBEXformats 4 2" xfId="943" xr:uid="{00000000-0005-0000-0000-000011020000}"/>
    <cellStyle name="SAPBEXformats 5" xfId="593" xr:uid="{00000000-0005-0000-0000-000012020000}"/>
    <cellStyle name="SAPBEXformats 5 2" xfId="991" xr:uid="{00000000-0005-0000-0000-000013020000}"/>
    <cellStyle name="SAPBEXformats 6" xfId="721" xr:uid="{00000000-0005-0000-0000-000014020000}"/>
    <cellStyle name="SAPBEXformats 6 2" xfId="1116" xr:uid="{00000000-0005-0000-0000-000015020000}"/>
    <cellStyle name="SAPBEXheaderItem" xfId="198" xr:uid="{00000000-0005-0000-0000-000016020000}"/>
    <cellStyle name="SAPBEXheaderItem 2" xfId="199" xr:uid="{00000000-0005-0000-0000-000017020000}"/>
    <cellStyle name="SAPBEXheaderItem 2 2" xfId="549" xr:uid="{00000000-0005-0000-0000-000018020000}"/>
    <cellStyle name="SAPBEXheaderItem 2 2 2" xfId="947" xr:uid="{00000000-0005-0000-0000-000019020000}"/>
    <cellStyle name="SAPBEXheaderItem 2 3" xfId="589" xr:uid="{00000000-0005-0000-0000-00001A020000}"/>
    <cellStyle name="SAPBEXheaderItem 2 3 2" xfId="987" xr:uid="{00000000-0005-0000-0000-00001B020000}"/>
    <cellStyle name="SAPBEXheaderItem 2 4" xfId="620" xr:uid="{00000000-0005-0000-0000-00001C020000}"/>
    <cellStyle name="SAPBEXheaderItem 2 4 2" xfId="1018" xr:uid="{00000000-0005-0000-0000-00001D020000}"/>
    <cellStyle name="SAPBEXheaderItem 3" xfId="200" xr:uid="{00000000-0005-0000-0000-00001E020000}"/>
    <cellStyle name="SAPBEXheaderItem 3 2" xfId="550" xr:uid="{00000000-0005-0000-0000-00001F020000}"/>
    <cellStyle name="SAPBEXheaderItem 3 2 2" xfId="948" xr:uid="{00000000-0005-0000-0000-000020020000}"/>
    <cellStyle name="SAPBEXheaderItem 3 3" xfId="587" xr:uid="{00000000-0005-0000-0000-000021020000}"/>
    <cellStyle name="SAPBEXheaderItem 3 3 2" xfId="985" xr:uid="{00000000-0005-0000-0000-000022020000}"/>
    <cellStyle name="SAPBEXheaderItem 3 4" xfId="729" xr:uid="{00000000-0005-0000-0000-000023020000}"/>
    <cellStyle name="SAPBEXheaderItem 3 4 2" xfId="1124" xr:uid="{00000000-0005-0000-0000-000024020000}"/>
    <cellStyle name="SAPBEXheaderItem 4" xfId="548" xr:uid="{00000000-0005-0000-0000-000025020000}"/>
    <cellStyle name="SAPBEXheaderItem 4 2" xfId="946" xr:uid="{00000000-0005-0000-0000-000026020000}"/>
    <cellStyle name="SAPBEXheaderItem 5" xfId="590" xr:uid="{00000000-0005-0000-0000-000027020000}"/>
    <cellStyle name="SAPBEXheaderItem 5 2" xfId="988" xr:uid="{00000000-0005-0000-0000-000028020000}"/>
    <cellStyle name="SAPBEXheaderItem 6" xfId="744" xr:uid="{00000000-0005-0000-0000-000029020000}"/>
    <cellStyle name="SAPBEXheaderItem 6 2" xfId="1139" xr:uid="{00000000-0005-0000-0000-00002A020000}"/>
    <cellStyle name="SAPBEXheaderText" xfId="201" xr:uid="{00000000-0005-0000-0000-00002B020000}"/>
    <cellStyle name="SAPBEXheaderText 2" xfId="202" xr:uid="{00000000-0005-0000-0000-00002C020000}"/>
    <cellStyle name="SAPBEXheaderText 2 2" xfId="552" xr:uid="{00000000-0005-0000-0000-00002D020000}"/>
    <cellStyle name="SAPBEXheaderText 2 2 2" xfId="950" xr:uid="{00000000-0005-0000-0000-00002E020000}"/>
    <cellStyle name="SAPBEXheaderText 2 3" xfId="585" xr:uid="{00000000-0005-0000-0000-00002F020000}"/>
    <cellStyle name="SAPBEXheaderText 2 3 2" xfId="983" xr:uid="{00000000-0005-0000-0000-000030020000}"/>
    <cellStyle name="SAPBEXheaderText 2 4" xfId="734" xr:uid="{00000000-0005-0000-0000-000031020000}"/>
    <cellStyle name="SAPBEXheaderText 2 4 2" xfId="1129" xr:uid="{00000000-0005-0000-0000-000032020000}"/>
    <cellStyle name="SAPBEXheaderText 3" xfId="203" xr:uid="{00000000-0005-0000-0000-000033020000}"/>
    <cellStyle name="SAPBEXheaderText 3 2" xfId="553" xr:uid="{00000000-0005-0000-0000-000034020000}"/>
    <cellStyle name="SAPBEXheaderText 3 2 2" xfId="951" xr:uid="{00000000-0005-0000-0000-000035020000}"/>
    <cellStyle name="SAPBEXheaderText 3 3" xfId="573" xr:uid="{00000000-0005-0000-0000-000036020000}"/>
    <cellStyle name="SAPBEXheaderText 3 3 2" xfId="971" xr:uid="{00000000-0005-0000-0000-000037020000}"/>
    <cellStyle name="SAPBEXheaderText 3 4" xfId="735" xr:uid="{00000000-0005-0000-0000-000038020000}"/>
    <cellStyle name="SAPBEXheaderText 3 4 2" xfId="1130" xr:uid="{00000000-0005-0000-0000-000039020000}"/>
    <cellStyle name="SAPBEXheaderText 4" xfId="551" xr:uid="{00000000-0005-0000-0000-00003A020000}"/>
    <cellStyle name="SAPBEXheaderText 4 2" xfId="949" xr:uid="{00000000-0005-0000-0000-00003B020000}"/>
    <cellStyle name="SAPBEXheaderText 5" xfId="586" xr:uid="{00000000-0005-0000-0000-00003C020000}"/>
    <cellStyle name="SAPBEXheaderText 5 2" xfId="984" xr:uid="{00000000-0005-0000-0000-00003D020000}"/>
    <cellStyle name="SAPBEXheaderText 6" xfId="632" xr:uid="{00000000-0005-0000-0000-00003E020000}"/>
    <cellStyle name="SAPBEXheaderText 6 2" xfId="1030" xr:uid="{00000000-0005-0000-0000-00003F020000}"/>
    <cellStyle name="SAPBEXHLevel0" xfId="204" xr:uid="{00000000-0005-0000-0000-000040020000}"/>
    <cellStyle name="SAPBEXHLevel0 2" xfId="205" xr:uid="{00000000-0005-0000-0000-000041020000}"/>
    <cellStyle name="SAPBEXHLevel0 2 2" xfId="555" xr:uid="{00000000-0005-0000-0000-000042020000}"/>
    <cellStyle name="SAPBEXHLevel0 2 2 2" xfId="953" xr:uid="{00000000-0005-0000-0000-000043020000}"/>
    <cellStyle name="SAPBEXHLevel0 2 3" xfId="499" xr:uid="{00000000-0005-0000-0000-000044020000}"/>
    <cellStyle name="SAPBEXHLevel0 2 3 2" xfId="897" xr:uid="{00000000-0005-0000-0000-000045020000}"/>
    <cellStyle name="SAPBEXHLevel0 2 4" xfId="453" xr:uid="{00000000-0005-0000-0000-000046020000}"/>
    <cellStyle name="SAPBEXHLevel0 2 4 2" xfId="851" xr:uid="{00000000-0005-0000-0000-000047020000}"/>
    <cellStyle name="SAPBEXHLevel0 3" xfId="206" xr:uid="{00000000-0005-0000-0000-000048020000}"/>
    <cellStyle name="SAPBEXHLevel0 3 2" xfId="556" xr:uid="{00000000-0005-0000-0000-000049020000}"/>
    <cellStyle name="SAPBEXHLevel0 3 2 2" xfId="954" xr:uid="{00000000-0005-0000-0000-00004A020000}"/>
    <cellStyle name="SAPBEXHLevel0 3 3" xfId="498" xr:uid="{00000000-0005-0000-0000-00004B020000}"/>
    <cellStyle name="SAPBEXHLevel0 3 3 2" xfId="896" xr:uid="{00000000-0005-0000-0000-00004C020000}"/>
    <cellStyle name="SAPBEXHLevel0 3 4" xfId="696" xr:uid="{00000000-0005-0000-0000-00004D020000}"/>
    <cellStyle name="SAPBEXHLevel0 3 4 2" xfId="1094" xr:uid="{00000000-0005-0000-0000-00004E020000}"/>
    <cellStyle name="SAPBEXHLevel0 4" xfId="554" xr:uid="{00000000-0005-0000-0000-00004F020000}"/>
    <cellStyle name="SAPBEXHLevel0 4 2" xfId="952" xr:uid="{00000000-0005-0000-0000-000050020000}"/>
    <cellStyle name="SAPBEXHLevel0 5" xfId="570" xr:uid="{00000000-0005-0000-0000-000051020000}"/>
    <cellStyle name="SAPBEXHLevel0 5 2" xfId="968" xr:uid="{00000000-0005-0000-0000-000052020000}"/>
    <cellStyle name="SAPBEXHLevel0 6" xfId="743" xr:uid="{00000000-0005-0000-0000-000053020000}"/>
    <cellStyle name="SAPBEXHLevel0 6 2" xfId="1138" xr:uid="{00000000-0005-0000-0000-000054020000}"/>
    <cellStyle name="SAPBEXHLevel0X" xfId="207" xr:uid="{00000000-0005-0000-0000-000055020000}"/>
    <cellStyle name="SAPBEXHLevel0X 2" xfId="557" xr:uid="{00000000-0005-0000-0000-000056020000}"/>
    <cellStyle name="SAPBEXHLevel0X 2 2" xfId="955" xr:uid="{00000000-0005-0000-0000-000057020000}"/>
    <cellStyle name="SAPBEXHLevel0X 3" xfId="637" xr:uid="{00000000-0005-0000-0000-000058020000}"/>
    <cellStyle name="SAPBEXHLevel0X 3 2" xfId="1035" xr:uid="{00000000-0005-0000-0000-000059020000}"/>
    <cellStyle name="SAPBEXHLevel0X 4" xfId="737" xr:uid="{00000000-0005-0000-0000-00005A020000}"/>
    <cellStyle name="SAPBEXHLevel0X 4 2" xfId="1132" xr:uid="{00000000-0005-0000-0000-00005B020000}"/>
    <cellStyle name="SAPBEXHLevel1" xfId="208" xr:uid="{00000000-0005-0000-0000-00005C020000}"/>
    <cellStyle name="SAPBEXHLevel1 2" xfId="209" xr:uid="{00000000-0005-0000-0000-00005D020000}"/>
    <cellStyle name="SAPBEXHLevel1 2 2" xfId="559" xr:uid="{00000000-0005-0000-0000-00005E020000}"/>
    <cellStyle name="SAPBEXHLevel1 2 2 2" xfId="957" xr:uid="{00000000-0005-0000-0000-00005F020000}"/>
    <cellStyle name="SAPBEXHLevel1 2 3" xfId="442" xr:uid="{00000000-0005-0000-0000-000060020000}"/>
    <cellStyle name="SAPBEXHLevel1 2 3 2" xfId="840" xr:uid="{00000000-0005-0000-0000-000061020000}"/>
    <cellStyle name="SAPBEXHLevel1 2 4" xfId="621" xr:uid="{00000000-0005-0000-0000-000062020000}"/>
    <cellStyle name="SAPBEXHLevel1 2 4 2" xfId="1019" xr:uid="{00000000-0005-0000-0000-000063020000}"/>
    <cellStyle name="SAPBEXHLevel1 3" xfId="210" xr:uid="{00000000-0005-0000-0000-000064020000}"/>
    <cellStyle name="SAPBEXHLevel1 3 2" xfId="560" xr:uid="{00000000-0005-0000-0000-000065020000}"/>
    <cellStyle name="SAPBEXHLevel1 3 2 2" xfId="958" xr:uid="{00000000-0005-0000-0000-000066020000}"/>
    <cellStyle name="SAPBEXHLevel1 3 3" xfId="662" xr:uid="{00000000-0005-0000-0000-000067020000}"/>
    <cellStyle name="SAPBEXHLevel1 3 3 2" xfId="1060" xr:uid="{00000000-0005-0000-0000-000068020000}"/>
    <cellStyle name="SAPBEXHLevel1 3 4" xfId="467" xr:uid="{00000000-0005-0000-0000-000069020000}"/>
    <cellStyle name="SAPBEXHLevel1 3 4 2" xfId="865" xr:uid="{00000000-0005-0000-0000-00006A020000}"/>
    <cellStyle name="SAPBEXHLevel1 4" xfId="558" xr:uid="{00000000-0005-0000-0000-00006B020000}"/>
    <cellStyle name="SAPBEXHLevel1 4 2" xfId="956" xr:uid="{00000000-0005-0000-0000-00006C020000}"/>
    <cellStyle name="SAPBEXHLevel1 5" xfId="497" xr:uid="{00000000-0005-0000-0000-00006D020000}"/>
    <cellStyle name="SAPBEXHLevel1 5 2" xfId="895" xr:uid="{00000000-0005-0000-0000-00006E020000}"/>
    <cellStyle name="SAPBEXHLevel1 6" xfId="745" xr:uid="{00000000-0005-0000-0000-00006F020000}"/>
    <cellStyle name="SAPBEXHLevel1 6 2" xfId="1140" xr:uid="{00000000-0005-0000-0000-000070020000}"/>
    <cellStyle name="SAPBEXHLevel1X" xfId="211" xr:uid="{00000000-0005-0000-0000-000071020000}"/>
    <cellStyle name="SAPBEXHLevel1X 2" xfId="561" xr:uid="{00000000-0005-0000-0000-000072020000}"/>
    <cellStyle name="SAPBEXHLevel1X 2 2" xfId="959" xr:uid="{00000000-0005-0000-0000-000073020000}"/>
    <cellStyle name="SAPBEXHLevel1X 3" xfId="494" xr:uid="{00000000-0005-0000-0000-000074020000}"/>
    <cellStyle name="SAPBEXHLevel1X 3 2" xfId="892" xr:uid="{00000000-0005-0000-0000-000075020000}"/>
    <cellStyle name="SAPBEXHLevel1X 4" xfId="461" xr:uid="{00000000-0005-0000-0000-000076020000}"/>
    <cellStyle name="SAPBEXHLevel1X 4 2" xfId="859" xr:uid="{00000000-0005-0000-0000-000077020000}"/>
    <cellStyle name="SAPBEXHLevel2" xfId="212" xr:uid="{00000000-0005-0000-0000-000078020000}"/>
    <cellStyle name="SAPBEXHLevel2 2" xfId="213" xr:uid="{00000000-0005-0000-0000-000079020000}"/>
    <cellStyle name="SAPBEXHLevel2 2 2" xfId="563" xr:uid="{00000000-0005-0000-0000-00007A020000}"/>
    <cellStyle name="SAPBEXHLevel2 2 2 2" xfId="961" xr:uid="{00000000-0005-0000-0000-00007B020000}"/>
    <cellStyle name="SAPBEXHLevel2 2 3" xfId="492" xr:uid="{00000000-0005-0000-0000-00007C020000}"/>
    <cellStyle name="SAPBEXHLevel2 2 3 2" xfId="890" xr:uid="{00000000-0005-0000-0000-00007D020000}"/>
    <cellStyle name="SAPBEXHLevel2 2 4" xfId="741" xr:uid="{00000000-0005-0000-0000-00007E020000}"/>
    <cellStyle name="SAPBEXHLevel2 2 4 2" xfId="1136" xr:uid="{00000000-0005-0000-0000-00007F020000}"/>
    <cellStyle name="SAPBEXHLevel2 3" xfId="214" xr:uid="{00000000-0005-0000-0000-000080020000}"/>
    <cellStyle name="SAPBEXHLevel2 3 2" xfId="564" xr:uid="{00000000-0005-0000-0000-000081020000}"/>
    <cellStyle name="SAPBEXHLevel2 3 2 2" xfId="962" xr:uid="{00000000-0005-0000-0000-000082020000}"/>
    <cellStyle name="SAPBEXHLevel2 3 3" xfId="491" xr:uid="{00000000-0005-0000-0000-000083020000}"/>
    <cellStyle name="SAPBEXHLevel2 3 3 2" xfId="889" xr:uid="{00000000-0005-0000-0000-000084020000}"/>
    <cellStyle name="SAPBEXHLevel2 3 4" xfId="712" xr:uid="{00000000-0005-0000-0000-000085020000}"/>
    <cellStyle name="SAPBEXHLevel2 3 4 2" xfId="1107" xr:uid="{00000000-0005-0000-0000-000086020000}"/>
    <cellStyle name="SAPBEXHLevel2 4" xfId="562" xr:uid="{00000000-0005-0000-0000-000087020000}"/>
    <cellStyle name="SAPBEXHLevel2 4 2" xfId="960" xr:uid="{00000000-0005-0000-0000-000088020000}"/>
    <cellStyle name="SAPBEXHLevel2 5" xfId="493" xr:uid="{00000000-0005-0000-0000-000089020000}"/>
    <cellStyle name="SAPBEXHLevel2 5 2" xfId="891" xr:uid="{00000000-0005-0000-0000-00008A020000}"/>
    <cellStyle name="SAPBEXHLevel2 6" xfId="680" xr:uid="{00000000-0005-0000-0000-00008B020000}"/>
    <cellStyle name="SAPBEXHLevel2 6 2" xfId="1078" xr:uid="{00000000-0005-0000-0000-00008C020000}"/>
    <cellStyle name="SAPBEXHLevel2X" xfId="215" xr:uid="{00000000-0005-0000-0000-00008D020000}"/>
    <cellStyle name="SAPBEXHLevel2X 2" xfId="565" xr:uid="{00000000-0005-0000-0000-00008E020000}"/>
    <cellStyle name="SAPBEXHLevel2X 2 2" xfId="963" xr:uid="{00000000-0005-0000-0000-00008F020000}"/>
    <cellStyle name="SAPBEXHLevel2X 3" xfId="490" xr:uid="{00000000-0005-0000-0000-000090020000}"/>
    <cellStyle name="SAPBEXHLevel2X 3 2" xfId="888" xr:uid="{00000000-0005-0000-0000-000091020000}"/>
    <cellStyle name="SAPBEXHLevel2X 4" xfId="623" xr:uid="{00000000-0005-0000-0000-000092020000}"/>
    <cellStyle name="SAPBEXHLevel2X 4 2" xfId="1021" xr:uid="{00000000-0005-0000-0000-000093020000}"/>
    <cellStyle name="SAPBEXHLevel3" xfId="216" xr:uid="{00000000-0005-0000-0000-000094020000}"/>
    <cellStyle name="SAPBEXHLevel3 2" xfId="217" xr:uid="{00000000-0005-0000-0000-000095020000}"/>
    <cellStyle name="SAPBEXHLevel3 2 2" xfId="567" xr:uid="{00000000-0005-0000-0000-000096020000}"/>
    <cellStyle name="SAPBEXHLevel3 2 2 2" xfId="965" xr:uid="{00000000-0005-0000-0000-000097020000}"/>
    <cellStyle name="SAPBEXHLevel3 2 3" xfId="660" xr:uid="{00000000-0005-0000-0000-000098020000}"/>
    <cellStyle name="SAPBEXHLevel3 2 3 2" xfId="1058" xr:uid="{00000000-0005-0000-0000-000099020000}"/>
    <cellStyle name="SAPBEXHLevel3 2 4" xfId="451" xr:uid="{00000000-0005-0000-0000-00009A020000}"/>
    <cellStyle name="SAPBEXHLevel3 2 4 2" xfId="849" xr:uid="{00000000-0005-0000-0000-00009B020000}"/>
    <cellStyle name="SAPBEXHLevel3 3" xfId="218" xr:uid="{00000000-0005-0000-0000-00009C020000}"/>
    <cellStyle name="SAPBEXHLevel3 3 2" xfId="568" xr:uid="{00000000-0005-0000-0000-00009D020000}"/>
    <cellStyle name="SAPBEXHLevel3 3 2 2" xfId="966" xr:uid="{00000000-0005-0000-0000-00009E020000}"/>
    <cellStyle name="SAPBEXHLevel3 3 3" xfId="664" xr:uid="{00000000-0005-0000-0000-00009F020000}"/>
    <cellStyle name="SAPBEXHLevel3 3 3 2" xfId="1062" xr:uid="{00000000-0005-0000-0000-0000A0020000}"/>
    <cellStyle name="SAPBEXHLevel3 3 4" xfId="466" xr:uid="{00000000-0005-0000-0000-0000A1020000}"/>
    <cellStyle name="SAPBEXHLevel3 3 4 2" xfId="864" xr:uid="{00000000-0005-0000-0000-0000A2020000}"/>
    <cellStyle name="SAPBEXHLevel3 4" xfId="566" xr:uid="{00000000-0005-0000-0000-0000A3020000}"/>
    <cellStyle name="SAPBEXHLevel3 4 2" xfId="964" xr:uid="{00000000-0005-0000-0000-0000A4020000}"/>
    <cellStyle name="SAPBEXHLevel3 5" xfId="489" xr:uid="{00000000-0005-0000-0000-0000A5020000}"/>
    <cellStyle name="SAPBEXHLevel3 5 2" xfId="887" xr:uid="{00000000-0005-0000-0000-0000A6020000}"/>
    <cellStyle name="SAPBEXHLevel3 6" xfId="742" xr:uid="{00000000-0005-0000-0000-0000A7020000}"/>
    <cellStyle name="SAPBEXHLevel3 6 2" xfId="1137" xr:uid="{00000000-0005-0000-0000-0000A8020000}"/>
    <cellStyle name="SAPBEXHLevel3X" xfId="219" xr:uid="{00000000-0005-0000-0000-0000A9020000}"/>
    <cellStyle name="SAPBEXHLevel3X 2" xfId="569" xr:uid="{00000000-0005-0000-0000-0000AA020000}"/>
    <cellStyle name="SAPBEXHLevel3X 2 2" xfId="967" xr:uid="{00000000-0005-0000-0000-0000AB020000}"/>
    <cellStyle name="SAPBEXHLevel3X 3" xfId="643" xr:uid="{00000000-0005-0000-0000-0000AC020000}"/>
    <cellStyle name="SAPBEXHLevel3X 3 2" xfId="1041" xr:uid="{00000000-0005-0000-0000-0000AD020000}"/>
    <cellStyle name="SAPBEXHLevel3X 4" xfId="716" xr:uid="{00000000-0005-0000-0000-0000AE020000}"/>
    <cellStyle name="SAPBEXHLevel3X 4 2" xfId="1111" xr:uid="{00000000-0005-0000-0000-0000AF020000}"/>
    <cellStyle name="SAPBEXinputData" xfId="220" xr:uid="{00000000-0005-0000-0000-0000B0020000}"/>
    <cellStyle name="SAPBEXItemHeader" xfId="221" xr:uid="{00000000-0005-0000-0000-0000B1020000}"/>
    <cellStyle name="SAPBEXItemHeader 2" xfId="571" xr:uid="{00000000-0005-0000-0000-0000B2020000}"/>
    <cellStyle name="SAPBEXItemHeader 2 2" xfId="969" xr:uid="{00000000-0005-0000-0000-0000B3020000}"/>
    <cellStyle name="SAPBEXItemHeader 3" xfId="668" xr:uid="{00000000-0005-0000-0000-0000B4020000}"/>
    <cellStyle name="SAPBEXItemHeader 3 2" xfId="1066" xr:uid="{00000000-0005-0000-0000-0000B5020000}"/>
    <cellStyle name="SAPBEXItemHeader 4" xfId="450" xr:uid="{00000000-0005-0000-0000-0000B6020000}"/>
    <cellStyle name="SAPBEXItemHeader 4 2" xfId="848" xr:uid="{00000000-0005-0000-0000-0000B7020000}"/>
    <cellStyle name="SAPBEXresData" xfId="222" xr:uid="{00000000-0005-0000-0000-0000B8020000}"/>
    <cellStyle name="SAPBEXresData 2" xfId="572" xr:uid="{00000000-0005-0000-0000-0000B9020000}"/>
    <cellStyle name="SAPBEXresData 2 2" xfId="970" xr:uid="{00000000-0005-0000-0000-0000BA020000}"/>
    <cellStyle name="SAPBEXresData 3" xfId="691" xr:uid="{00000000-0005-0000-0000-0000BB020000}"/>
    <cellStyle name="SAPBEXresData 3 2" xfId="1089" xr:uid="{00000000-0005-0000-0000-0000BC020000}"/>
    <cellStyle name="SAPBEXresData 4" xfId="613" xr:uid="{00000000-0005-0000-0000-0000BD020000}"/>
    <cellStyle name="SAPBEXresData 4 2" xfId="1011" xr:uid="{00000000-0005-0000-0000-0000BE020000}"/>
    <cellStyle name="SAPBEXresDataEmph" xfId="223" xr:uid="{00000000-0005-0000-0000-0000BF020000}"/>
    <cellStyle name="SAPBEXresItem" xfId="224" xr:uid="{00000000-0005-0000-0000-0000C0020000}"/>
    <cellStyle name="SAPBEXresItem 2" xfId="574" xr:uid="{00000000-0005-0000-0000-0000C1020000}"/>
    <cellStyle name="SAPBEXresItem 2 2" xfId="972" xr:uid="{00000000-0005-0000-0000-0000C2020000}"/>
    <cellStyle name="SAPBEXresItem 3" xfId="487" xr:uid="{00000000-0005-0000-0000-0000C3020000}"/>
    <cellStyle name="SAPBEXresItem 3 2" xfId="885" xr:uid="{00000000-0005-0000-0000-0000C4020000}"/>
    <cellStyle name="SAPBEXresItem 4" xfId="636" xr:uid="{00000000-0005-0000-0000-0000C5020000}"/>
    <cellStyle name="SAPBEXresItem 4 2" xfId="1034" xr:uid="{00000000-0005-0000-0000-0000C6020000}"/>
    <cellStyle name="SAPBEXresItemX" xfId="225" xr:uid="{00000000-0005-0000-0000-0000C7020000}"/>
    <cellStyle name="SAPBEXresItemX 2" xfId="575" xr:uid="{00000000-0005-0000-0000-0000C8020000}"/>
    <cellStyle name="SAPBEXresItemX 2 2" xfId="973" xr:uid="{00000000-0005-0000-0000-0000C9020000}"/>
    <cellStyle name="SAPBEXresItemX 3" xfId="671" xr:uid="{00000000-0005-0000-0000-0000CA020000}"/>
    <cellStyle name="SAPBEXresItemX 3 2" xfId="1069" xr:uid="{00000000-0005-0000-0000-0000CB020000}"/>
    <cellStyle name="SAPBEXresItemX 4" xfId="439" xr:uid="{00000000-0005-0000-0000-0000CC020000}"/>
    <cellStyle name="SAPBEXresItemX 4 2" xfId="837" xr:uid="{00000000-0005-0000-0000-0000CD020000}"/>
    <cellStyle name="SAPBEXstdData" xfId="226" xr:uid="{00000000-0005-0000-0000-0000CE020000}"/>
    <cellStyle name="SAPBEXstdData 2" xfId="227" xr:uid="{00000000-0005-0000-0000-0000CF020000}"/>
    <cellStyle name="SAPBEXstdData 2 2" xfId="577" xr:uid="{00000000-0005-0000-0000-0000D0020000}"/>
    <cellStyle name="SAPBEXstdData 2 2 2" xfId="975" xr:uid="{00000000-0005-0000-0000-0000D1020000}"/>
    <cellStyle name="SAPBEXstdData 2 3" xfId="644" xr:uid="{00000000-0005-0000-0000-0000D2020000}"/>
    <cellStyle name="SAPBEXstdData 2 3 2" xfId="1042" xr:uid="{00000000-0005-0000-0000-0000D3020000}"/>
    <cellStyle name="SAPBEXstdData 2 4" xfId="438" xr:uid="{00000000-0005-0000-0000-0000D4020000}"/>
    <cellStyle name="SAPBEXstdData 2 4 2" xfId="836" xr:uid="{00000000-0005-0000-0000-0000D5020000}"/>
    <cellStyle name="SAPBEXstdData 3" xfId="228" xr:uid="{00000000-0005-0000-0000-0000D6020000}"/>
    <cellStyle name="SAPBEXstdData 3 2" xfId="578" xr:uid="{00000000-0005-0000-0000-0000D7020000}"/>
    <cellStyle name="SAPBEXstdData 3 2 2" xfId="976" xr:uid="{00000000-0005-0000-0000-0000D8020000}"/>
    <cellStyle name="SAPBEXstdData 3 3" xfId="488" xr:uid="{00000000-0005-0000-0000-0000D9020000}"/>
    <cellStyle name="SAPBEXstdData 3 3 2" xfId="886" xr:uid="{00000000-0005-0000-0000-0000DA020000}"/>
    <cellStyle name="SAPBEXstdData 3 4" xfId="482" xr:uid="{00000000-0005-0000-0000-0000DB020000}"/>
    <cellStyle name="SAPBEXstdData 3 4 2" xfId="880" xr:uid="{00000000-0005-0000-0000-0000DC020000}"/>
    <cellStyle name="SAPBEXstdData 4" xfId="576" xr:uid="{00000000-0005-0000-0000-0000DD020000}"/>
    <cellStyle name="SAPBEXstdData 4 2" xfId="974" xr:uid="{00000000-0005-0000-0000-0000DE020000}"/>
    <cellStyle name="SAPBEXstdData 5" xfId="694" xr:uid="{00000000-0005-0000-0000-0000DF020000}"/>
    <cellStyle name="SAPBEXstdData 5 2" xfId="1092" xr:uid="{00000000-0005-0000-0000-0000E0020000}"/>
    <cellStyle name="SAPBEXstdData 6" xfId="661" xr:uid="{00000000-0005-0000-0000-0000E1020000}"/>
    <cellStyle name="SAPBEXstdData 6 2" xfId="1059" xr:uid="{00000000-0005-0000-0000-0000E2020000}"/>
    <cellStyle name="SAPBEXstdDataEmph" xfId="229" xr:uid="{00000000-0005-0000-0000-0000E3020000}"/>
    <cellStyle name="SAPBEXstdDataEmph 2" xfId="579" xr:uid="{00000000-0005-0000-0000-0000E4020000}"/>
    <cellStyle name="SAPBEXstdDataEmph 2 2" xfId="977" xr:uid="{00000000-0005-0000-0000-0000E5020000}"/>
    <cellStyle name="SAPBEXstdDataEmph 3" xfId="454" xr:uid="{00000000-0005-0000-0000-0000E6020000}"/>
    <cellStyle name="SAPBEXstdDataEmph 3 2" xfId="852" xr:uid="{00000000-0005-0000-0000-0000E7020000}"/>
    <cellStyle name="SAPBEXstdDataEmph 4" xfId="481" xr:uid="{00000000-0005-0000-0000-0000E8020000}"/>
    <cellStyle name="SAPBEXstdDataEmph 4 2" xfId="879" xr:uid="{00000000-0005-0000-0000-0000E9020000}"/>
    <cellStyle name="SAPBEXstdItem" xfId="230" xr:uid="{00000000-0005-0000-0000-0000EA020000}"/>
    <cellStyle name="SAPBEXstdItem 2" xfId="231" xr:uid="{00000000-0005-0000-0000-0000EB020000}"/>
    <cellStyle name="SAPBEXstdItem 2 2" xfId="581" xr:uid="{00000000-0005-0000-0000-0000EC020000}"/>
    <cellStyle name="SAPBEXstdItem 2 2 2" xfId="979" xr:uid="{00000000-0005-0000-0000-0000ED020000}"/>
    <cellStyle name="SAPBEXstdItem 2 3" xfId="484" xr:uid="{00000000-0005-0000-0000-0000EE020000}"/>
    <cellStyle name="SAPBEXstdItem 2 3 2" xfId="882" xr:uid="{00000000-0005-0000-0000-0000EF020000}"/>
    <cellStyle name="SAPBEXstdItem 2 4" xfId="479" xr:uid="{00000000-0005-0000-0000-0000F0020000}"/>
    <cellStyle name="SAPBEXstdItem 2 4 2" xfId="877" xr:uid="{00000000-0005-0000-0000-0000F1020000}"/>
    <cellStyle name="SAPBEXstdItem 3" xfId="232" xr:uid="{00000000-0005-0000-0000-0000F2020000}"/>
    <cellStyle name="SAPBEXstdItem 3 2" xfId="582" xr:uid="{00000000-0005-0000-0000-0000F3020000}"/>
    <cellStyle name="SAPBEXstdItem 3 2 2" xfId="980" xr:uid="{00000000-0005-0000-0000-0000F4020000}"/>
    <cellStyle name="SAPBEXstdItem 3 3" xfId="486" xr:uid="{00000000-0005-0000-0000-0000F5020000}"/>
    <cellStyle name="SAPBEXstdItem 3 3 2" xfId="884" xr:uid="{00000000-0005-0000-0000-0000F6020000}"/>
    <cellStyle name="SAPBEXstdItem 3 4" xfId="478" xr:uid="{00000000-0005-0000-0000-0000F7020000}"/>
    <cellStyle name="SAPBEXstdItem 3 4 2" xfId="876" xr:uid="{00000000-0005-0000-0000-0000F8020000}"/>
    <cellStyle name="SAPBEXstdItem 4" xfId="580" xr:uid="{00000000-0005-0000-0000-0000F9020000}"/>
    <cellStyle name="SAPBEXstdItem 4 2" xfId="978" xr:uid="{00000000-0005-0000-0000-0000FA020000}"/>
    <cellStyle name="SAPBEXstdItem 5" xfId="441" xr:uid="{00000000-0005-0000-0000-0000FB020000}"/>
    <cellStyle name="SAPBEXstdItem 5 2" xfId="839" xr:uid="{00000000-0005-0000-0000-0000FC020000}"/>
    <cellStyle name="SAPBEXstdItem 6" xfId="480" xr:uid="{00000000-0005-0000-0000-0000FD020000}"/>
    <cellStyle name="SAPBEXstdItem 6 2" xfId="878" xr:uid="{00000000-0005-0000-0000-0000FE020000}"/>
    <cellStyle name="SAPBEXstdItemX" xfId="233" xr:uid="{00000000-0005-0000-0000-0000FF020000}"/>
    <cellStyle name="SAPBEXstdItemX 2" xfId="583" xr:uid="{00000000-0005-0000-0000-000000030000}"/>
    <cellStyle name="SAPBEXstdItemX 2 2" xfId="981" xr:uid="{00000000-0005-0000-0000-000001030000}"/>
    <cellStyle name="SAPBEXstdItemX 3" xfId="485" xr:uid="{00000000-0005-0000-0000-000002030000}"/>
    <cellStyle name="SAPBEXstdItemX 3 2" xfId="883" xr:uid="{00000000-0005-0000-0000-000003030000}"/>
    <cellStyle name="SAPBEXstdItemX 4" xfId="635" xr:uid="{00000000-0005-0000-0000-000004030000}"/>
    <cellStyle name="SAPBEXstdItemX 4 2" xfId="1033" xr:uid="{00000000-0005-0000-0000-000005030000}"/>
    <cellStyle name="SAPBEXtitle" xfId="234" xr:uid="{00000000-0005-0000-0000-000006030000}"/>
    <cellStyle name="SAPBEXtitle 2" xfId="584" xr:uid="{00000000-0005-0000-0000-000007030000}"/>
    <cellStyle name="SAPBEXtitle 2 2" xfId="982" xr:uid="{00000000-0005-0000-0000-000008030000}"/>
    <cellStyle name="SAPBEXtitle 3" xfId="440" xr:uid="{00000000-0005-0000-0000-000009030000}"/>
    <cellStyle name="SAPBEXtitle 3 2" xfId="838" xr:uid="{00000000-0005-0000-0000-00000A030000}"/>
    <cellStyle name="SAPBEXtitle 4" xfId="647" xr:uid="{00000000-0005-0000-0000-00000B030000}"/>
    <cellStyle name="SAPBEXtitle 4 2" xfId="1045" xr:uid="{00000000-0005-0000-0000-00000C030000}"/>
    <cellStyle name="SAPBEXunassignedItem" xfId="235" xr:uid="{00000000-0005-0000-0000-00000D030000}"/>
    <cellStyle name="SAPBEXunassignedItem 2" xfId="236" xr:uid="{00000000-0005-0000-0000-00000E030000}"/>
    <cellStyle name="SAPBEXunassignedItem 3" xfId="237" xr:uid="{00000000-0005-0000-0000-00000F030000}"/>
    <cellStyle name="SAPBEXundefined" xfId="238" xr:uid="{00000000-0005-0000-0000-000010030000}"/>
    <cellStyle name="SAPBEXundefined 2" xfId="588" xr:uid="{00000000-0005-0000-0000-000011030000}"/>
    <cellStyle name="SAPBEXundefined 2 2" xfId="986" xr:uid="{00000000-0005-0000-0000-000012030000}"/>
    <cellStyle name="SAPBEXundefined 3" xfId="483" xr:uid="{00000000-0005-0000-0000-000013030000}"/>
    <cellStyle name="SAPBEXundefined 3 2" xfId="881" xr:uid="{00000000-0005-0000-0000-000014030000}"/>
    <cellStyle name="SAPBEXundefined 4" xfId="715" xr:uid="{00000000-0005-0000-0000-000015030000}"/>
    <cellStyle name="SAPBEXundefined 4 2" xfId="1110" xr:uid="{00000000-0005-0000-0000-000016030000}"/>
    <cellStyle name="Schlecht 2" xfId="239" xr:uid="{00000000-0005-0000-0000-000017030000}"/>
    <cellStyle name="Schlecht 2 2" xfId="240" xr:uid="{00000000-0005-0000-0000-000018030000}"/>
    <cellStyle name="Schlecht 3" xfId="241" xr:uid="{00000000-0005-0000-0000-000019030000}"/>
    <cellStyle name="Schlecht 4" xfId="242" xr:uid="{00000000-0005-0000-0000-00001A030000}"/>
    <cellStyle name="Sheet Title" xfId="243" xr:uid="{00000000-0005-0000-0000-00001B030000}"/>
    <cellStyle name="Standard" xfId="0" builtinId="0"/>
    <cellStyle name="Standard 10" xfId="12" xr:uid="{00000000-0005-0000-0000-00001D030000}"/>
    <cellStyle name="Standard 10 2" xfId="39" xr:uid="{00000000-0005-0000-0000-00001E030000}"/>
    <cellStyle name="Standard 10 2 2" xfId="245" xr:uid="{00000000-0005-0000-0000-00001F030000}"/>
    <cellStyle name="Standard 10 2 2 2" xfId="386" xr:uid="{00000000-0005-0000-0000-000020030000}"/>
    <cellStyle name="Standard 10 2 2 2 2" xfId="678" xr:uid="{00000000-0005-0000-0000-000021030000}"/>
    <cellStyle name="Standard 10 2 2 2 2 2" xfId="1076" xr:uid="{00000000-0005-0000-0000-000022030000}"/>
    <cellStyle name="Standard 10 2 2 2 3" xfId="809" xr:uid="{00000000-0005-0000-0000-000023030000}"/>
    <cellStyle name="Standard 10 2 2 3" xfId="595" xr:uid="{00000000-0005-0000-0000-000024030000}"/>
    <cellStyle name="Standard 10 2 2 3 2" xfId="993" xr:uid="{00000000-0005-0000-0000-000025030000}"/>
    <cellStyle name="Standard 10 2 2 4" xfId="770" xr:uid="{00000000-0005-0000-0000-000026030000}"/>
    <cellStyle name="Standard 10 2 3" xfId="332" xr:uid="{00000000-0005-0000-0000-000027030000}"/>
    <cellStyle name="Standard 10 3" xfId="244" xr:uid="{00000000-0005-0000-0000-000028030000}"/>
    <cellStyle name="Standard 10 3 2" xfId="385" xr:uid="{00000000-0005-0000-0000-000029030000}"/>
    <cellStyle name="Standard 10 3 2 2" xfId="677" xr:uid="{00000000-0005-0000-0000-00002A030000}"/>
    <cellStyle name="Standard 10 3 2 2 2" xfId="1075" xr:uid="{00000000-0005-0000-0000-00002B030000}"/>
    <cellStyle name="Standard 10 3 2 3" xfId="808" xr:uid="{00000000-0005-0000-0000-00002C030000}"/>
    <cellStyle name="Standard 10 3 3" xfId="594" xr:uid="{00000000-0005-0000-0000-00002D030000}"/>
    <cellStyle name="Standard 10 3 3 2" xfId="992" xr:uid="{00000000-0005-0000-0000-00002E030000}"/>
    <cellStyle name="Standard 10 3 4" xfId="769" xr:uid="{00000000-0005-0000-0000-00002F030000}"/>
    <cellStyle name="Standard 10 4" xfId="322" xr:uid="{00000000-0005-0000-0000-000030030000}"/>
    <cellStyle name="Standard 11" xfId="13" xr:uid="{00000000-0005-0000-0000-000031030000}"/>
    <cellStyle name="Standard 11 2" xfId="40" xr:uid="{00000000-0005-0000-0000-000032030000}"/>
    <cellStyle name="Standard 11 2 2" xfId="333" xr:uid="{00000000-0005-0000-0000-000033030000}"/>
    <cellStyle name="Standard 11 2 2 2" xfId="416" xr:uid="{00000000-0005-0000-0000-000034030000}"/>
    <cellStyle name="Standard 11 2 3" xfId="380" xr:uid="{00000000-0005-0000-0000-000035030000}"/>
    <cellStyle name="Standard 11 3" xfId="246" xr:uid="{00000000-0005-0000-0000-000036030000}"/>
    <cellStyle name="Standard 11 4" xfId="323" xr:uid="{00000000-0005-0000-0000-000037030000}"/>
    <cellStyle name="Standard 11 4 2" xfId="411" xr:uid="{00000000-0005-0000-0000-000038030000}"/>
    <cellStyle name="Standard 11 5" xfId="373" xr:uid="{00000000-0005-0000-0000-000039030000}"/>
    <cellStyle name="Standard 11 5 2" xfId="365" xr:uid="{00000000-0005-0000-0000-00003A030000}"/>
    <cellStyle name="Standard 12" xfId="14" xr:uid="{00000000-0005-0000-0000-00003B030000}"/>
    <cellStyle name="Standard 12 2" xfId="247" xr:uid="{00000000-0005-0000-0000-00003C030000}"/>
    <cellStyle name="Standard 12 3" xfId="324" xr:uid="{00000000-0005-0000-0000-00003D030000}"/>
    <cellStyle name="Standard 12 3 2" xfId="412" xr:uid="{00000000-0005-0000-0000-00003E030000}"/>
    <cellStyle name="Standard 12 3 2 2" xfId="693" xr:uid="{00000000-0005-0000-0000-00003F030000}"/>
    <cellStyle name="Standard 12 3 2 2 2" xfId="1091" xr:uid="{00000000-0005-0000-0000-000040030000}"/>
    <cellStyle name="Standard 12 3 2 3" xfId="823" xr:uid="{00000000-0005-0000-0000-000041030000}"/>
    <cellStyle name="Standard 12 3 3" xfId="640" xr:uid="{00000000-0005-0000-0000-000042030000}"/>
    <cellStyle name="Standard 12 3 3 2" xfId="1038" xr:uid="{00000000-0005-0000-0000-000043030000}"/>
    <cellStyle name="Standard 12 3 4" xfId="784" xr:uid="{00000000-0005-0000-0000-000044030000}"/>
    <cellStyle name="Standard 12 4" xfId="374" xr:uid="{00000000-0005-0000-0000-000045030000}"/>
    <cellStyle name="Standard 12 4 2" xfId="670" xr:uid="{00000000-0005-0000-0000-000046030000}"/>
    <cellStyle name="Standard 12 4 2 2" xfId="1068" xr:uid="{00000000-0005-0000-0000-000047030000}"/>
    <cellStyle name="Standard 12 4 3" xfId="800" xr:uid="{00000000-0005-0000-0000-000048030000}"/>
    <cellStyle name="Standard 12 5" xfId="445" xr:uid="{00000000-0005-0000-0000-000049030000}"/>
    <cellStyle name="Standard 12 5 2" xfId="843" xr:uid="{00000000-0005-0000-0000-00004A030000}"/>
    <cellStyle name="Standard 12 6" xfId="761" xr:uid="{00000000-0005-0000-0000-00004B030000}"/>
    <cellStyle name="Standard 13" xfId="42" xr:uid="{00000000-0005-0000-0000-00004C030000}"/>
    <cellStyle name="Standard 13 2" xfId="248" xr:uid="{00000000-0005-0000-0000-00004D030000}"/>
    <cellStyle name="Standard 13 3" xfId="335" xr:uid="{00000000-0005-0000-0000-00004E030000}"/>
    <cellStyle name="Standard 13 3 2" xfId="418" xr:uid="{00000000-0005-0000-0000-00004F030000}"/>
    <cellStyle name="Standard 13 4" xfId="382" xr:uid="{00000000-0005-0000-0000-000050030000}"/>
    <cellStyle name="Standard 14" xfId="78" xr:uid="{00000000-0005-0000-0000-000051030000}"/>
    <cellStyle name="Standard 14 2" xfId="342" xr:uid="{00000000-0005-0000-0000-000052030000}"/>
    <cellStyle name="Standard 15" xfId="80" xr:uid="{00000000-0005-0000-0000-000053030000}"/>
    <cellStyle name="Standard 16" xfId="82" xr:uid="{00000000-0005-0000-0000-000054030000}"/>
    <cellStyle name="Standard 16 2" xfId="384" xr:uid="{00000000-0005-0000-0000-000055030000}"/>
    <cellStyle name="Standard 16 2 2" xfId="676" xr:uid="{00000000-0005-0000-0000-000056030000}"/>
    <cellStyle name="Standard 16 2 2 2" xfId="1074" xr:uid="{00000000-0005-0000-0000-000057030000}"/>
    <cellStyle name="Standard 16 2 3" xfId="807" xr:uid="{00000000-0005-0000-0000-000058030000}"/>
    <cellStyle name="Standard 16 3" xfId="465" xr:uid="{00000000-0005-0000-0000-000059030000}"/>
    <cellStyle name="Standard 16 3 2" xfId="863" xr:uid="{00000000-0005-0000-0000-00005A030000}"/>
    <cellStyle name="Standard 16 4" xfId="768" xr:uid="{00000000-0005-0000-0000-00005B030000}"/>
    <cellStyle name="Standard 17" xfId="354" xr:uid="{00000000-0005-0000-0000-00005C030000}"/>
    <cellStyle name="Standard 17 2" xfId="430" xr:uid="{00000000-0005-0000-0000-00005D030000}"/>
    <cellStyle name="Standard 17 2 2" xfId="701" xr:uid="{00000000-0005-0000-0000-00005E030000}"/>
    <cellStyle name="Standard 17 2 2 2" xfId="1099" xr:uid="{00000000-0005-0000-0000-00005F030000}"/>
    <cellStyle name="Standard 17 2 3" xfId="828" xr:uid="{00000000-0005-0000-0000-000060030000}"/>
    <cellStyle name="Standard 17 3" xfId="657" xr:uid="{00000000-0005-0000-0000-000061030000}"/>
    <cellStyle name="Standard 17 3 2" xfId="1055" xr:uid="{00000000-0005-0000-0000-000062030000}"/>
    <cellStyle name="Standard 17 4" xfId="789" xr:uid="{00000000-0005-0000-0000-000063030000}"/>
    <cellStyle name="Standard 18" xfId="355" xr:uid="{00000000-0005-0000-0000-000064030000}"/>
    <cellStyle name="Standard 18 2" xfId="431" xr:uid="{00000000-0005-0000-0000-000065030000}"/>
    <cellStyle name="Standard 18 2 2" xfId="702" xr:uid="{00000000-0005-0000-0000-000066030000}"/>
    <cellStyle name="Standard 18 2 2 2" xfId="1100" xr:uid="{00000000-0005-0000-0000-000067030000}"/>
    <cellStyle name="Standard 18 2 3" xfId="829" xr:uid="{00000000-0005-0000-0000-000068030000}"/>
    <cellStyle name="Standard 18 3" xfId="658" xr:uid="{00000000-0005-0000-0000-000069030000}"/>
    <cellStyle name="Standard 18 3 2" xfId="1056" xr:uid="{00000000-0005-0000-0000-00006A030000}"/>
    <cellStyle name="Standard 18 4" xfId="790" xr:uid="{00000000-0005-0000-0000-00006B030000}"/>
    <cellStyle name="Standard 19" xfId="356" xr:uid="{00000000-0005-0000-0000-00006C030000}"/>
    <cellStyle name="Standard 2" xfId="15" xr:uid="{00000000-0005-0000-0000-00006D030000}"/>
    <cellStyle name="Standard 2 10" xfId="249" xr:uid="{00000000-0005-0000-0000-00006E030000}"/>
    <cellStyle name="Standard 2 11" xfId="250" xr:uid="{00000000-0005-0000-0000-00006F030000}"/>
    <cellStyle name="Standard 2 2" xfId="16" xr:uid="{00000000-0005-0000-0000-000070030000}"/>
    <cellStyle name="Standard 2 2 2" xfId="17" xr:uid="{00000000-0005-0000-0000-000071030000}"/>
    <cellStyle name="Standard 2 2 2 2" xfId="253" xr:uid="{00000000-0005-0000-0000-000072030000}"/>
    <cellStyle name="Standard 2 2 2 3" xfId="252" xr:uid="{00000000-0005-0000-0000-000073030000}"/>
    <cellStyle name="Standard 2 2 3" xfId="254" xr:uid="{00000000-0005-0000-0000-000074030000}"/>
    <cellStyle name="Standard 2 2 4" xfId="251" xr:uid="{00000000-0005-0000-0000-000075030000}"/>
    <cellStyle name="Standard 2 2_EEG-Vergütungen und vNNE" xfId="255" xr:uid="{00000000-0005-0000-0000-000076030000}"/>
    <cellStyle name="Standard 2 3" xfId="18" xr:uid="{00000000-0005-0000-0000-000077030000}"/>
    <cellStyle name="Standard 2 3 2" xfId="257" xr:uid="{00000000-0005-0000-0000-000078030000}"/>
    <cellStyle name="Standard 2 3 2 3" xfId="1157" xr:uid="{39062366-CC58-4BF3-94D2-313DEC07854D}"/>
    <cellStyle name="Standard 2 3 3" xfId="256" xr:uid="{00000000-0005-0000-0000-000079030000}"/>
    <cellStyle name="Standard 2 4" xfId="43" xr:uid="{00000000-0005-0000-0000-00007A030000}"/>
    <cellStyle name="Standard 2 4 2" xfId="258" xr:uid="{00000000-0005-0000-0000-00007B030000}"/>
    <cellStyle name="Standard 2 4 3" xfId="336" xr:uid="{00000000-0005-0000-0000-00007C030000}"/>
    <cellStyle name="Standard 2 5" xfId="79" xr:uid="{00000000-0005-0000-0000-00007D030000}"/>
    <cellStyle name="Standard 2 5 2" xfId="259" xr:uid="{00000000-0005-0000-0000-00007E030000}"/>
    <cellStyle name="Standard 2 5 3" xfId="343" xr:uid="{00000000-0005-0000-0000-00007F030000}"/>
    <cellStyle name="Standard 2 5 3 2" xfId="419" xr:uid="{00000000-0005-0000-0000-000080030000}"/>
    <cellStyle name="Standard 2 5 3 2 2" xfId="698" xr:uid="{00000000-0005-0000-0000-000081030000}"/>
    <cellStyle name="Standard 2 5 3 2 2 2" xfId="1096" xr:uid="{00000000-0005-0000-0000-000082030000}"/>
    <cellStyle name="Standard 2 5 3 2 3" xfId="827" xr:uid="{00000000-0005-0000-0000-000083030000}"/>
    <cellStyle name="Standard 2 5 3 3" xfId="652" xr:uid="{00000000-0005-0000-0000-000084030000}"/>
    <cellStyle name="Standard 2 5 3 3 2" xfId="1050" xr:uid="{00000000-0005-0000-0000-000085030000}"/>
    <cellStyle name="Standard 2 5 3 4" xfId="788" xr:uid="{00000000-0005-0000-0000-000086030000}"/>
    <cellStyle name="Standard 2 5 4" xfId="383" xr:uid="{00000000-0005-0000-0000-000087030000}"/>
    <cellStyle name="Standard 2 5 4 2" xfId="675" xr:uid="{00000000-0005-0000-0000-000088030000}"/>
    <cellStyle name="Standard 2 5 4 2 2" xfId="1073" xr:uid="{00000000-0005-0000-0000-000089030000}"/>
    <cellStyle name="Standard 2 5 4 3" xfId="806" xr:uid="{00000000-0005-0000-0000-00008A030000}"/>
    <cellStyle name="Standard 2 5 5" xfId="463" xr:uid="{00000000-0005-0000-0000-00008B030000}"/>
    <cellStyle name="Standard 2 5 5 2" xfId="861" xr:uid="{00000000-0005-0000-0000-00008C030000}"/>
    <cellStyle name="Standard 2 5 6" xfId="767" xr:uid="{00000000-0005-0000-0000-00008D030000}"/>
    <cellStyle name="Standard 2 6" xfId="260" xr:uid="{00000000-0005-0000-0000-00008E030000}"/>
    <cellStyle name="Standard 2 7" xfId="261" xr:uid="{00000000-0005-0000-0000-00008F030000}"/>
    <cellStyle name="Standard 2 8" xfId="262" xr:uid="{00000000-0005-0000-0000-000090030000}"/>
    <cellStyle name="Standard 2 9" xfId="263" xr:uid="{00000000-0005-0000-0000-000091030000}"/>
    <cellStyle name="Standard 20" xfId="706" xr:uid="{00000000-0005-0000-0000-000092030000}"/>
    <cellStyle name="Standard 20 2" xfId="1104" xr:uid="{00000000-0005-0000-0000-000093030000}"/>
    <cellStyle name="Standard 21" xfId="707" xr:uid="{00000000-0005-0000-0000-000094030000}"/>
    <cellStyle name="Standard 22" xfId="709" xr:uid="{00000000-0005-0000-0000-000095030000}"/>
    <cellStyle name="Standard 23" xfId="708" xr:uid="{00000000-0005-0000-0000-000096030000}"/>
    <cellStyle name="Standard 24" xfId="710" xr:uid="{00000000-0005-0000-0000-000097030000}"/>
    <cellStyle name="Standard 24 2" xfId="1105" xr:uid="{00000000-0005-0000-0000-000098030000}"/>
    <cellStyle name="Standard 3" xfId="19" xr:uid="{00000000-0005-0000-0000-000099030000}"/>
    <cellStyle name="Standard 3 2" xfId="20" xr:uid="{00000000-0005-0000-0000-00009A030000}"/>
    <cellStyle name="Standard 3 2 2" xfId="266" xr:uid="{00000000-0005-0000-0000-00009B030000}"/>
    <cellStyle name="Standard 3 2 3" xfId="265" xr:uid="{00000000-0005-0000-0000-00009C030000}"/>
    <cellStyle name="Standard 3 3" xfId="267" xr:uid="{00000000-0005-0000-0000-00009D030000}"/>
    <cellStyle name="Standard 3 3 2" xfId="268" xr:uid="{00000000-0005-0000-0000-00009E030000}"/>
    <cellStyle name="Standard 3 4" xfId="269" xr:uid="{00000000-0005-0000-0000-00009F030000}"/>
    <cellStyle name="Standard 3 4 2" xfId="344" xr:uid="{00000000-0005-0000-0000-0000A0030000}"/>
    <cellStyle name="Standard 3 4 2 2" xfId="420" xr:uid="{00000000-0005-0000-0000-0000A1030000}"/>
    <cellStyle name="Standard 3 4 3" xfId="387" xr:uid="{00000000-0005-0000-0000-0000A2030000}"/>
    <cellStyle name="Standard 3 5" xfId="270" xr:uid="{00000000-0005-0000-0000-0000A3030000}"/>
    <cellStyle name="Standard 3 5 2" xfId="345" xr:uid="{00000000-0005-0000-0000-0000A4030000}"/>
    <cellStyle name="Standard 3 5 2 2" xfId="421" xr:uid="{00000000-0005-0000-0000-0000A5030000}"/>
    <cellStyle name="Standard 3 5 3" xfId="388" xr:uid="{00000000-0005-0000-0000-0000A6030000}"/>
    <cellStyle name="Standard 3 6" xfId="271" xr:uid="{00000000-0005-0000-0000-0000A7030000}"/>
    <cellStyle name="Standard 3 7" xfId="264" xr:uid="{00000000-0005-0000-0000-0000A8030000}"/>
    <cellStyle name="Standard 3 8" xfId="360" xr:uid="{00000000-0005-0000-0000-0000A9030000}"/>
    <cellStyle name="Standard 4" xfId="21" xr:uid="{00000000-0005-0000-0000-0000AA030000}"/>
    <cellStyle name="Standard 4 2" xfId="22" xr:uid="{00000000-0005-0000-0000-0000AB030000}"/>
    <cellStyle name="Standard 4 2 2" xfId="274" xr:uid="{00000000-0005-0000-0000-0000AC030000}"/>
    <cellStyle name="Standard 4 2 2 2" xfId="348" xr:uid="{00000000-0005-0000-0000-0000AD030000}"/>
    <cellStyle name="Standard 4 2 2 2 2" xfId="424" xr:uid="{00000000-0005-0000-0000-0000AE030000}"/>
    <cellStyle name="Standard 4 2 2 3" xfId="391" xr:uid="{00000000-0005-0000-0000-0000AF030000}"/>
    <cellStyle name="Standard 4 2 3" xfId="273" xr:uid="{00000000-0005-0000-0000-0000B0030000}"/>
    <cellStyle name="Standard 4 2 3 2" xfId="347" xr:uid="{00000000-0005-0000-0000-0000B1030000}"/>
    <cellStyle name="Standard 4 2 3 2 2" xfId="423" xr:uid="{00000000-0005-0000-0000-0000B2030000}"/>
    <cellStyle name="Standard 4 2 3 3" xfId="390" xr:uid="{00000000-0005-0000-0000-0000B3030000}"/>
    <cellStyle name="Standard 4 2 4" xfId="325" xr:uid="{00000000-0005-0000-0000-0000B4030000}"/>
    <cellStyle name="Standard 4 3" xfId="23" xr:uid="{00000000-0005-0000-0000-0000B5030000}"/>
    <cellStyle name="Standard 4 3 2" xfId="275" xr:uid="{00000000-0005-0000-0000-0000B6030000}"/>
    <cellStyle name="Standard 4 3 2 2" xfId="349" xr:uid="{00000000-0005-0000-0000-0000B7030000}"/>
    <cellStyle name="Standard 4 3 2 2 2" xfId="425" xr:uid="{00000000-0005-0000-0000-0000B8030000}"/>
    <cellStyle name="Standard 4 3 2 3" xfId="392" xr:uid="{00000000-0005-0000-0000-0000B9030000}"/>
    <cellStyle name="Standard 4 3 3" xfId="326" xr:uid="{00000000-0005-0000-0000-0000BA030000}"/>
    <cellStyle name="Standard 4 4" xfId="276" xr:uid="{00000000-0005-0000-0000-0000BB030000}"/>
    <cellStyle name="Standard 4 4 2" xfId="350" xr:uid="{00000000-0005-0000-0000-0000BC030000}"/>
    <cellStyle name="Standard 4 4 2 2" xfId="426" xr:uid="{00000000-0005-0000-0000-0000BD030000}"/>
    <cellStyle name="Standard 4 4 3" xfId="393" xr:uid="{00000000-0005-0000-0000-0000BE030000}"/>
    <cellStyle name="Standard 4 5" xfId="277" xr:uid="{00000000-0005-0000-0000-0000BF030000}"/>
    <cellStyle name="Standard 4 6" xfId="272" xr:uid="{00000000-0005-0000-0000-0000C0030000}"/>
    <cellStyle name="Standard 4 6 2" xfId="346" xr:uid="{00000000-0005-0000-0000-0000C1030000}"/>
    <cellStyle name="Standard 4 6 2 2" xfId="422" xr:uid="{00000000-0005-0000-0000-0000C2030000}"/>
    <cellStyle name="Standard 4 6 3" xfId="389" xr:uid="{00000000-0005-0000-0000-0000C3030000}"/>
    <cellStyle name="Standard 4 7" xfId="361" xr:uid="{00000000-0005-0000-0000-0000C4030000}"/>
    <cellStyle name="Standard 4 7 2" xfId="432" xr:uid="{00000000-0005-0000-0000-0000C5030000}"/>
    <cellStyle name="Standard 4 7 2 2" xfId="703" xr:uid="{00000000-0005-0000-0000-0000C6030000}"/>
    <cellStyle name="Standard 4 7 2 2 2" xfId="1101" xr:uid="{00000000-0005-0000-0000-0000C7030000}"/>
    <cellStyle name="Standard 4 7 2 3" xfId="830" xr:uid="{00000000-0005-0000-0000-0000C8030000}"/>
    <cellStyle name="Standard 4 7 3" xfId="663" xr:uid="{00000000-0005-0000-0000-0000C9030000}"/>
    <cellStyle name="Standard 4 7 3 2" xfId="1061" xr:uid="{00000000-0005-0000-0000-0000CA030000}"/>
    <cellStyle name="Standard 4 7 4" xfId="791" xr:uid="{00000000-0005-0000-0000-0000CB030000}"/>
    <cellStyle name="Standard 5" xfId="24" xr:uid="{00000000-0005-0000-0000-0000CC030000}"/>
    <cellStyle name="Standard 5 2" xfId="279" xr:uid="{00000000-0005-0000-0000-0000CD030000}"/>
    <cellStyle name="Standard 5 2 2" xfId="280" xr:uid="{00000000-0005-0000-0000-0000CE030000}"/>
    <cellStyle name="Standard 5 3" xfId="281" xr:uid="{00000000-0005-0000-0000-0000CF030000}"/>
    <cellStyle name="Standard 5 4" xfId="278" xr:uid="{00000000-0005-0000-0000-0000D0030000}"/>
    <cellStyle name="Standard 5 4 2" xfId="351" xr:uid="{00000000-0005-0000-0000-0000D1030000}"/>
    <cellStyle name="Standard 5 4 2 2" xfId="427" xr:uid="{00000000-0005-0000-0000-0000D2030000}"/>
    <cellStyle name="Standard 5 4 3" xfId="394" xr:uid="{00000000-0005-0000-0000-0000D3030000}"/>
    <cellStyle name="Standard 6" xfId="25" xr:uid="{00000000-0005-0000-0000-0000D4030000}"/>
    <cellStyle name="Standard 6 2" xfId="283" xr:uid="{00000000-0005-0000-0000-0000D5030000}"/>
    <cellStyle name="Standard 6 2 2" xfId="395" xr:uid="{00000000-0005-0000-0000-0000D6030000}"/>
    <cellStyle name="Standard 6 2 2 2" xfId="684" xr:uid="{00000000-0005-0000-0000-0000D7030000}"/>
    <cellStyle name="Standard 6 2 2 2 2" xfId="1082" xr:uid="{00000000-0005-0000-0000-0000D8030000}"/>
    <cellStyle name="Standard 6 2 2 3" xfId="810" xr:uid="{00000000-0005-0000-0000-0000D9030000}"/>
    <cellStyle name="Standard 6 2 3" xfId="622" xr:uid="{00000000-0005-0000-0000-0000DA030000}"/>
    <cellStyle name="Standard 6 2 3 2" xfId="1020" xr:uid="{00000000-0005-0000-0000-0000DB030000}"/>
    <cellStyle name="Standard 6 2 4" xfId="771" xr:uid="{00000000-0005-0000-0000-0000DC030000}"/>
    <cellStyle name="Standard 6 3" xfId="284" xr:uid="{00000000-0005-0000-0000-0000DD030000}"/>
    <cellStyle name="Standard 6 4" xfId="282" xr:uid="{00000000-0005-0000-0000-0000DE030000}"/>
    <cellStyle name="Standard 7" xfId="26" xr:uid="{00000000-0005-0000-0000-0000DF030000}"/>
    <cellStyle name="Standard 7 2" xfId="286" xr:uid="{00000000-0005-0000-0000-0000E0030000}"/>
    <cellStyle name="Standard 7 2 2" xfId="353" xr:uid="{00000000-0005-0000-0000-0000E1030000}"/>
    <cellStyle name="Standard 7 2 2 2" xfId="429" xr:uid="{00000000-0005-0000-0000-0000E2030000}"/>
    <cellStyle name="Standard 7 2 3" xfId="397" xr:uid="{00000000-0005-0000-0000-0000E3030000}"/>
    <cellStyle name="Standard 7 3" xfId="287" xr:uid="{00000000-0005-0000-0000-0000E4030000}"/>
    <cellStyle name="Standard 7 3 2" xfId="398" xr:uid="{00000000-0005-0000-0000-0000E5030000}"/>
    <cellStyle name="Standard 7 3 2 2" xfId="686" xr:uid="{00000000-0005-0000-0000-0000E6030000}"/>
    <cellStyle name="Standard 7 3 2 2 2" xfId="1084" xr:uid="{00000000-0005-0000-0000-0000E7030000}"/>
    <cellStyle name="Standard 7 3 2 3" xfId="811" xr:uid="{00000000-0005-0000-0000-0000E8030000}"/>
    <cellStyle name="Standard 7 3 3" xfId="625" xr:uid="{00000000-0005-0000-0000-0000E9030000}"/>
    <cellStyle name="Standard 7 3 3 2" xfId="1023" xr:uid="{00000000-0005-0000-0000-0000EA030000}"/>
    <cellStyle name="Standard 7 3 4" xfId="772" xr:uid="{00000000-0005-0000-0000-0000EB030000}"/>
    <cellStyle name="Standard 7 4" xfId="285" xr:uid="{00000000-0005-0000-0000-0000EC030000}"/>
    <cellStyle name="Standard 7 4 2" xfId="352" xr:uid="{00000000-0005-0000-0000-0000ED030000}"/>
    <cellStyle name="Standard 7 4 2 2" xfId="428" xr:uid="{00000000-0005-0000-0000-0000EE030000}"/>
    <cellStyle name="Standard 7 4 3" xfId="396" xr:uid="{00000000-0005-0000-0000-0000EF030000}"/>
    <cellStyle name="Standard 7 5" xfId="327" xr:uid="{00000000-0005-0000-0000-0000F0030000}"/>
    <cellStyle name="Standard 73" xfId="1158" xr:uid="{3CD207C4-1E61-48D9-B847-F3D431113D42}"/>
    <cellStyle name="Standard 8" xfId="27" xr:uid="{00000000-0005-0000-0000-0000F1030000}"/>
    <cellStyle name="Standard 8 2" xfId="289" xr:uid="{00000000-0005-0000-0000-0000F2030000}"/>
    <cellStyle name="Standard 8 2 2" xfId="399" xr:uid="{00000000-0005-0000-0000-0000F3030000}"/>
    <cellStyle name="Standard 8 2 2 2" xfId="687" xr:uid="{00000000-0005-0000-0000-0000F4030000}"/>
    <cellStyle name="Standard 8 2 2 2 2" xfId="1085" xr:uid="{00000000-0005-0000-0000-0000F5030000}"/>
    <cellStyle name="Standard 8 2 2 3" xfId="812" xr:uid="{00000000-0005-0000-0000-0000F6030000}"/>
    <cellStyle name="Standard 8 2 3" xfId="626" xr:uid="{00000000-0005-0000-0000-0000F7030000}"/>
    <cellStyle name="Standard 8 2 3 2" xfId="1024" xr:uid="{00000000-0005-0000-0000-0000F8030000}"/>
    <cellStyle name="Standard 8 2 4" xfId="773" xr:uid="{00000000-0005-0000-0000-0000F9030000}"/>
    <cellStyle name="Standard 8 3" xfId="290" xr:uid="{00000000-0005-0000-0000-0000FA030000}"/>
    <cellStyle name="Standard 8 4" xfId="288" xr:uid="{00000000-0005-0000-0000-0000FB030000}"/>
    <cellStyle name="Standard 9" xfId="28" xr:uid="{00000000-0005-0000-0000-0000FC030000}"/>
    <cellStyle name="Standard 9 2" xfId="292" xr:uid="{00000000-0005-0000-0000-0000FD030000}"/>
    <cellStyle name="Standard 9 2 2" xfId="293" xr:uid="{00000000-0005-0000-0000-0000FE030000}"/>
    <cellStyle name="Standard 9 3" xfId="294" xr:uid="{00000000-0005-0000-0000-0000FF030000}"/>
    <cellStyle name="Standard 9 3 2" xfId="401" xr:uid="{00000000-0005-0000-0000-000000040000}"/>
    <cellStyle name="Standard 9 3 2 2" xfId="689" xr:uid="{00000000-0005-0000-0000-000001040000}"/>
    <cellStyle name="Standard 9 3 2 2 2" xfId="1087" xr:uid="{00000000-0005-0000-0000-000002040000}"/>
    <cellStyle name="Standard 9 3 2 3" xfId="814" xr:uid="{00000000-0005-0000-0000-000003040000}"/>
    <cellStyle name="Standard 9 3 3" xfId="628" xr:uid="{00000000-0005-0000-0000-000004040000}"/>
    <cellStyle name="Standard 9 3 3 2" xfId="1026" xr:uid="{00000000-0005-0000-0000-000005040000}"/>
    <cellStyle name="Standard 9 3 4" xfId="775" xr:uid="{00000000-0005-0000-0000-000006040000}"/>
    <cellStyle name="Standard 9 4" xfId="295" xr:uid="{00000000-0005-0000-0000-000007040000}"/>
    <cellStyle name="Standard 9 4 2" xfId="402" xr:uid="{00000000-0005-0000-0000-000008040000}"/>
    <cellStyle name="Standard 9 4 2 2" xfId="690" xr:uid="{00000000-0005-0000-0000-000009040000}"/>
    <cellStyle name="Standard 9 4 2 2 2" xfId="1088" xr:uid="{00000000-0005-0000-0000-00000A040000}"/>
    <cellStyle name="Standard 9 4 2 3" xfId="815" xr:uid="{00000000-0005-0000-0000-00000B040000}"/>
    <cellStyle name="Standard 9 4 3" xfId="629" xr:uid="{00000000-0005-0000-0000-00000C040000}"/>
    <cellStyle name="Standard 9 4 3 2" xfId="1027" xr:uid="{00000000-0005-0000-0000-00000D040000}"/>
    <cellStyle name="Standard 9 4 4" xfId="776" xr:uid="{00000000-0005-0000-0000-00000E040000}"/>
    <cellStyle name="Standard 9 5" xfId="291" xr:uid="{00000000-0005-0000-0000-00000F040000}"/>
    <cellStyle name="Standard 9 5 2" xfId="400" xr:uid="{00000000-0005-0000-0000-000010040000}"/>
    <cellStyle name="Standard 9 5 2 2" xfId="688" xr:uid="{00000000-0005-0000-0000-000011040000}"/>
    <cellStyle name="Standard 9 5 2 2 2" xfId="1086" xr:uid="{00000000-0005-0000-0000-000012040000}"/>
    <cellStyle name="Standard 9 5 2 3" xfId="813" xr:uid="{00000000-0005-0000-0000-000013040000}"/>
    <cellStyle name="Standard 9 5 3" xfId="627" xr:uid="{00000000-0005-0000-0000-000014040000}"/>
    <cellStyle name="Standard 9 5 3 2" xfId="1025" xr:uid="{00000000-0005-0000-0000-000015040000}"/>
    <cellStyle name="Standard 9 5 4" xfId="774" xr:uid="{00000000-0005-0000-0000-000016040000}"/>
    <cellStyle name="Tabelle Text 10" xfId="49" xr:uid="{00000000-0005-0000-0000-000017040000}"/>
    <cellStyle name="Tabelle Text 10 2" xfId="337" xr:uid="{00000000-0005-0000-0000-000018040000}"/>
    <cellStyle name="Tabelle Text 10 Z" xfId="50" xr:uid="{00000000-0005-0000-0000-000019040000}"/>
    <cellStyle name="Tabelle Text 10 Z 2" xfId="338" xr:uid="{00000000-0005-0000-0000-00001A040000}"/>
    <cellStyle name="Tabelle Text 11" xfId="51" xr:uid="{00000000-0005-0000-0000-00001B040000}"/>
    <cellStyle name="Tabelle Text 11 Z" xfId="52" xr:uid="{00000000-0005-0000-0000-00001C040000}"/>
    <cellStyle name="Tabelle Text 12" xfId="53" xr:uid="{00000000-0005-0000-0000-00001D040000}"/>
    <cellStyle name="Tabelle Text 12 Z" xfId="54" xr:uid="{00000000-0005-0000-0000-00001E040000}"/>
    <cellStyle name="Tabelle Text 8" xfId="55" xr:uid="{00000000-0005-0000-0000-00001F040000}"/>
    <cellStyle name="Tabelle Text 8 Z" xfId="56" xr:uid="{00000000-0005-0000-0000-000020040000}"/>
    <cellStyle name="Tabelle Text 9" xfId="29" xr:uid="{00000000-0005-0000-0000-000021040000}"/>
    <cellStyle name="Tabelle Text 9 2" xfId="57" xr:uid="{00000000-0005-0000-0000-000022040000}"/>
    <cellStyle name="Tabelle Text 9 Z" xfId="58" xr:uid="{00000000-0005-0000-0000-000023040000}"/>
    <cellStyle name="Tabelle Überschrift 10" xfId="59" xr:uid="{00000000-0005-0000-0000-000024040000}"/>
    <cellStyle name="Tabelle Überschrift 11" xfId="60" xr:uid="{00000000-0005-0000-0000-000025040000}"/>
    <cellStyle name="Tabelle Überschrift 12" xfId="61" xr:uid="{00000000-0005-0000-0000-000026040000}"/>
    <cellStyle name="Tabelle Überschrift 8" xfId="62" xr:uid="{00000000-0005-0000-0000-000027040000}"/>
    <cellStyle name="Tabelle Überschrift 9" xfId="30" xr:uid="{00000000-0005-0000-0000-000028040000}"/>
    <cellStyle name="Tabelle Überschrift 9 2" xfId="63" xr:uid="{00000000-0005-0000-0000-000029040000}"/>
    <cellStyle name="Tabelle Zahl 0 10" xfId="64" xr:uid="{00000000-0005-0000-0000-00002A040000}"/>
    <cellStyle name="Tabelle Zahl 0 10 2" xfId="339" xr:uid="{00000000-0005-0000-0000-00002B040000}"/>
    <cellStyle name="Tabelle Zahl 0 11" xfId="65" xr:uid="{00000000-0005-0000-0000-00002C040000}"/>
    <cellStyle name="Tabelle Zahl 0 12" xfId="66" xr:uid="{00000000-0005-0000-0000-00002D040000}"/>
    <cellStyle name="Tabelle Zahl 0 8" xfId="67" xr:uid="{00000000-0005-0000-0000-00002E040000}"/>
    <cellStyle name="Tabelle Zahl 0 9" xfId="31" xr:uid="{00000000-0005-0000-0000-00002F040000}"/>
    <cellStyle name="Tabelle Zahl 0 9 2" xfId="32" xr:uid="{00000000-0005-0000-0000-000030040000}"/>
    <cellStyle name="Tabelle Zahl 1 10" xfId="68" xr:uid="{00000000-0005-0000-0000-000031040000}"/>
    <cellStyle name="Tabelle Zahl 1 10 2" xfId="340" xr:uid="{00000000-0005-0000-0000-000032040000}"/>
    <cellStyle name="Tabelle Zahl 1 11" xfId="69" xr:uid="{00000000-0005-0000-0000-000033040000}"/>
    <cellStyle name="Tabelle Zahl 1 12" xfId="70" xr:uid="{00000000-0005-0000-0000-000034040000}"/>
    <cellStyle name="Tabelle Zahl 1 8" xfId="71" xr:uid="{00000000-0005-0000-0000-000035040000}"/>
    <cellStyle name="Tabelle Zahl 1 9" xfId="72" xr:uid="{00000000-0005-0000-0000-000036040000}"/>
    <cellStyle name="Tabelle Zahl 2 10" xfId="73" xr:uid="{00000000-0005-0000-0000-000037040000}"/>
    <cellStyle name="Tabelle Zahl 2 10 2" xfId="341" xr:uid="{00000000-0005-0000-0000-000038040000}"/>
    <cellStyle name="Tabelle Zahl 2 11" xfId="74" xr:uid="{00000000-0005-0000-0000-000039040000}"/>
    <cellStyle name="Tabelle Zahl 2 12" xfId="75" xr:uid="{00000000-0005-0000-0000-00003A040000}"/>
    <cellStyle name="Tabelle Zahl 2 8" xfId="76" xr:uid="{00000000-0005-0000-0000-00003B040000}"/>
    <cellStyle name="Tabelle Zahl 2 9" xfId="77" xr:uid="{00000000-0005-0000-0000-00003C040000}"/>
    <cellStyle name="Überschrift 1 2" xfId="296" xr:uid="{00000000-0005-0000-0000-00003D040000}"/>
    <cellStyle name="Überschrift 1 3" xfId="297" xr:uid="{00000000-0005-0000-0000-00003E040000}"/>
    <cellStyle name="Überschrift 2 2" xfId="298" xr:uid="{00000000-0005-0000-0000-00003F040000}"/>
    <cellStyle name="Überschrift 2 3" xfId="299" xr:uid="{00000000-0005-0000-0000-000040040000}"/>
    <cellStyle name="Überschrift 3 2" xfId="300" xr:uid="{00000000-0005-0000-0000-000041040000}"/>
    <cellStyle name="Überschrift 3 3" xfId="301" xr:uid="{00000000-0005-0000-0000-000042040000}"/>
    <cellStyle name="Überschrift 4 2" xfId="302" xr:uid="{00000000-0005-0000-0000-000043040000}"/>
    <cellStyle name="Überschrift 4 3" xfId="303" xr:uid="{00000000-0005-0000-0000-000044040000}"/>
    <cellStyle name="Verknüpfte Zelle 2" xfId="304" xr:uid="{00000000-0005-0000-0000-000045040000}"/>
    <cellStyle name="Verknüpfte Zelle 3" xfId="305" xr:uid="{00000000-0005-0000-0000-000046040000}"/>
    <cellStyle name="Währung" xfId="1153" builtinId="4"/>
    <cellStyle name="Währung 2" xfId="33" xr:uid="{00000000-0005-0000-0000-000047040000}"/>
    <cellStyle name="Währung 2 2" xfId="307" xr:uid="{00000000-0005-0000-0000-000048040000}"/>
    <cellStyle name="Währung 2 2 2" xfId="404" xr:uid="{00000000-0005-0000-0000-000049040000}"/>
    <cellStyle name="Währung 2 2 2 2" xfId="817" xr:uid="{00000000-0005-0000-0000-00004A040000}"/>
    <cellStyle name="Währung 2 2 3" xfId="778" xr:uid="{00000000-0005-0000-0000-00004B040000}"/>
    <cellStyle name="Währung 2 3" xfId="306" xr:uid="{00000000-0005-0000-0000-00004C040000}"/>
    <cellStyle name="Währung 2 3 2" xfId="403" xr:uid="{00000000-0005-0000-0000-00004D040000}"/>
    <cellStyle name="Währung 2 3 2 2" xfId="816" xr:uid="{00000000-0005-0000-0000-00004E040000}"/>
    <cellStyle name="Währung 2 3 3" xfId="777" xr:uid="{00000000-0005-0000-0000-00004F040000}"/>
    <cellStyle name="Währung 2 4" xfId="375" xr:uid="{00000000-0005-0000-0000-000050040000}"/>
    <cellStyle name="Währung 2 4 2" xfId="801" xr:uid="{00000000-0005-0000-0000-000051040000}"/>
    <cellStyle name="Währung 2 5" xfId="762" xr:uid="{00000000-0005-0000-0000-000052040000}"/>
    <cellStyle name="Währung 3" xfId="34" xr:uid="{00000000-0005-0000-0000-000053040000}"/>
    <cellStyle name="Währung 3 2" xfId="309" xr:uid="{00000000-0005-0000-0000-000054040000}"/>
    <cellStyle name="Währung 3 2 2" xfId="406" xr:uid="{00000000-0005-0000-0000-000055040000}"/>
    <cellStyle name="Währung 3 2 2 2" xfId="819" xr:uid="{00000000-0005-0000-0000-000056040000}"/>
    <cellStyle name="Währung 3 2 3" xfId="780" xr:uid="{00000000-0005-0000-0000-000057040000}"/>
    <cellStyle name="Währung 3 3" xfId="308" xr:uid="{00000000-0005-0000-0000-000058040000}"/>
    <cellStyle name="Währung 3 3 2" xfId="405" xr:uid="{00000000-0005-0000-0000-000059040000}"/>
    <cellStyle name="Währung 3 3 2 2" xfId="818" xr:uid="{00000000-0005-0000-0000-00005A040000}"/>
    <cellStyle name="Währung 3 3 3" xfId="779" xr:uid="{00000000-0005-0000-0000-00005B040000}"/>
    <cellStyle name="Währung 3 4" xfId="376" xr:uid="{00000000-0005-0000-0000-00005C040000}"/>
    <cellStyle name="Währung 3 4 2" xfId="802" xr:uid="{00000000-0005-0000-0000-00005D040000}"/>
    <cellStyle name="Währung 3 5" xfId="763" xr:uid="{00000000-0005-0000-0000-00005E040000}"/>
    <cellStyle name="Währung 4" xfId="35" xr:uid="{00000000-0005-0000-0000-00005F040000}"/>
    <cellStyle name="Währung 4 2" xfId="328" xr:uid="{00000000-0005-0000-0000-000060040000}"/>
    <cellStyle name="Währung 4 2 2" xfId="413" xr:uid="{00000000-0005-0000-0000-000061040000}"/>
    <cellStyle name="Währung 4 2 2 2" xfId="824" xr:uid="{00000000-0005-0000-0000-000062040000}"/>
    <cellStyle name="Währung 4 2 3" xfId="785" xr:uid="{00000000-0005-0000-0000-000063040000}"/>
    <cellStyle name="Währung 4 3" xfId="377" xr:uid="{00000000-0005-0000-0000-000064040000}"/>
    <cellStyle name="Währung 4 3 2" xfId="803" xr:uid="{00000000-0005-0000-0000-000065040000}"/>
    <cellStyle name="Währung 4 4" xfId="764" xr:uid="{00000000-0005-0000-0000-000066040000}"/>
    <cellStyle name="Währung 5" xfId="36" xr:uid="{00000000-0005-0000-0000-000067040000}"/>
    <cellStyle name="Währung 5 2" xfId="41" xr:uid="{00000000-0005-0000-0000-000068040000}"/>
    <cellStyle name="Währung 5 2 2" xfId="334" xr:uid="{00000000-0005-0000-0000-000069040000}"/>
    <cellStyle name="Währung 5 2 2 2" xfId="417" xr:uid="{00000000-0005-0000-0000-00006A040000}"/>
    <cellStyle name="Währung 5 2 2 2 2" xfId="826" xr:uid="{00000000-0005-0000-0000-00006B040000}"/>
    <cellStyle name="Währung 5 2 2 3" xfId="787" xr:uid="{00000000-0005-0000-0000-00006C040000}"/>
    <cellStyle name="Währung 5 2 3" xfId="381" xr:uid="{00000000-0005-0000-0000-00006D040000}"/>
    <cellStyle name="Währung 5 2 3 2" xfId="805" xr:uid="{00000000-0005-0000-0000-00006E040000}"/>
    <cellStyle name="Währung 5 2 4" xfId="766" xr:uid="{00000000-0005-0000-0000-00006F040000}"/>
    <cellStyle name="Währung 5 3" xfId="329" xr:uid="{00000000-0005-0000-0000-000070040000}"/>
    <cellStyle name="Währung 5 3 2" xfId="414" xr:uid="{00000000-0005-0000-0000-000071040000}"/>
    <cellStyle name="Währung 5 3 2 2" xfId="825" xr:uid="{00000000-0005-0000-0000-000072040000}"/>
    <cellStyle name="Währung 5 3 3" xfId="786" xr:uid="{00000000-0005-0000-0000-000073040000}"/>
    <cellStyle name="Währung 5 4" xfId="378" xr:uid="{00000000-0005-0000-0000-000074040000}"/>
    <cellStyle name="Währung 5 4 2" xfId="804" xr:uid="{00000000-0005-0000-0000-000075040000}"/>
    <cellStyle name="Währung 5 5" xfId="765" xr:uid="{00000000-0005-0000-0000-000076040000}"/>
    <cellStyle name="Währung 6" xfId="363" xr:uid="{00000000-0005-0000-0000-000077040000}"/>
    <cellStyle name="Währung 6 2" xfId="434" xr:uid="{00000000-0005-0000-0000-000078040000}"/>
    <cellStyle name="Währung 6 2 2" xfId="832" xr:uid="{00000000-0005-0000-0000-000079040000}"/>
    <cellStyle name="Währung 6 3" xfId="793" xr:uid="{00000000-0005-0000-0000-00007A040000}"/>
    <cellStyle name="Währung 7" xfId="362" xr:uid="{00000000-0005-0000-0000-00007B040000}"/>
    <cellStyle name="Währung 7 2" xfId="433" xr:uid="{00000000-0005-0000-0000-00007C040000}"/>
    <cellStyle name="Währung 7 2 2" xfId="831" xr:uid="{00000000-0005-0000-0000-00007D040000}"/>
    <cellStyle name="Währung 7 3" xfId="792" xr:uid="{00000000-0005-0000-0000-00007E040000}"/>
    <cellStyle name="Warnender Text 2" xfId="310" xr:uid="{00000000-0005-0000-0000-00007F040000}"/>
    <cellStyle name="Warnender Text 3" xfId="311" xr:uid="{00000000-0005-0000-0000-000080040000}"/>
    <cellStyle name="Zelle überprüfen 2" xfId="312" xr:uid="{00000000-0005-0000-0000-000081040000}"/>
    <cellStyle name="Zelle überprüfen 3" xfId="313" xr:uid="{00000000-0005-0000-0000-000082040000}"/>
  </cellStyles>
  <dxfs count="419"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C8CB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FFF99"/>
      <color rgb="FFFFFF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285749</xdr:colOff>
      <xdr:row>1</xdr:row>
      <xdr:rowOff>57149</xdr:rowOff>
    </xdr:from>
    <xdr:to>
      <xdr:col>21</xdr:col>
      <xdr:colOff>0</xdr:colOff>
      <xdr:row>17</xdr:row>
      <xdr:rowOff>152399</xdr:rowOff>
    </xdr:to>
    <xdr:sp macro="" textlink="">
      <xdr:nvSpPr>
        <xdr:cNvPr id="68640" name="Text Box 32">
          <a:extLst>
            <a:ext uri="{FF2B5EF4-FFF2-40B4-BE49-F238E27FC236}">
              <a16:creationId xmlns:a16="http://schemas.microsoft.com/office/drawing/2014/main" id="{4925C1A3-760F-483A-03A6-AFA0295106E0}"/>
            </a:ext>
          </a:extLst>
        </xdr:cNvPr>
        <xdr:cNvSpPr txBox="1">
          <a:spLocks noChangeArrowheads="1"/>
        </xdr:cNvSpPr>
      </xdr:nvSpPr>
      <xdr:spPr bwMode="auto">
        <a:xfrm>
          <a:off x="11925299" y="200024"/>
          <a:ext cx="2990851" cy="1552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Hinweis zu Korrekturen: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Jahreszahlen sind dynamisch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keine jahresscharfe Anpassung der Kategorien, es werden immer </a:t>
          </a:r>
          <a:r>
            <a:rPr lang="de-DE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alle 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Kategorien dargestellt, die es seit 2019 gab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Korrekturen für 2018 (Bsp. Dopplungsregelung) und älter müssten dann bei Bedarf manuell unten für das entsprechende Jahr ergänzt werden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ristija, Tomislav" id="{5D1DA90B-F221-4EFB-8796-BC393CD6D494}" userId="Kristija, Tomislav" providerId="None"/>
  <person displayName="Georgi, Kristin" id="{760759E9-D0B7-45F1-9E50-562B7C562BE2}" userId="S::K.Georgi@transnetbw.de::8c87904b-0326-4120-b757-01d36da17c9d" providerId="AD"/>
  <person displayName="Noack Kati (50HzT EE-F)" id="{0DF58802-97AA-468D-A74E-53007AD34604}" userId="S::QN3937@corp.transmission-it.de::e2045fa6-f3cf-4455-a5e3-de2ec63ce206" providerId="AD"/>
  <person displayName="Bühler Holger-Peter" id="{9147670A-25BE-400F-B704-119E2F9914DB}" userId="S::h.buehler_transnetbw.de#ext#@tsonetworkde.onmicrosoft.com::6e50ed05-5061-4f72-a174-c5d2a06c45ec" providerId="AD"/>
</personList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62" dT="2026-08-18T09:35:20.74" personId="{760759E9-D0B7-45F1-9E50-562B7C562BE2}" id="{508AD6AB-D359-4FD5-B302-4CBF618EBF22}">
    <text xml:space="preserve">Ich habe die Plausiformel angepasst (WKNS wird jetzt abgezogen), da vorher die Summe inkl. WKNS mit der Summe der Zuschlagszahlungen verglichen wurde. </text>
  </threadedComment>
  <threadedComment ref="N163" dT="2026-08-18T09:34:58.72" personId="{760759E9-D0B7-45F1-9E50-562B7C562BE2}" id="{7803A040-E6C6-4406-82FD-92285D05BDEA}">
    <text xml:space="preserve">Ich habe die Plausiformel angepasst (WKNS wird jetzt abgezogen), da vorher die Summe inkl. WKNS mit der Summe der Zuschlagszahlungen verglichen wurde. </text>
  </threadedComment>
  <threadedComment ref="O163" dT="2026-08-18T09:35:04.71" personId="{760759E9-D0B7-45F1-9E50-562B7C562BE2}" id="{7DD65600-2DD3-40BA-B321-023382C867F0}">
    <text xml:space="preserve">Ich habe die Plausiformel angepasst (WKNS wird jetzt abgezogen), da vorher die Summe inkl. WKNS mit der Summe der Zuschlagszahlungen verglichen wurde. </text>
  </threadedComment>
  <threadedComment ref="P163" dT="2026-08-18T09:35:13.43" personId="{760759E9-D0B7-45F1-9E50-562B7C562BE2}" id="{F7609E90-70E7-48B2-8859-5BE7C3D202CB}">
    <text xml:space="preserve">Ich habe die Plausiformel angepasst (WKNS wird jetzt abgezogen), da vorher die Summe inkl. WKNS mit der Summe der Zuschlagszahlungen verglichen wurde.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47" dT="2026-08-14T10:59:17.22" personId="{5D1DA90B-F221-4EFB-8796-BC393CD6D494}" id="{023C37C6-32D5-459B-AF83-C1A9EB408AF1}">
    <text>783.624 kWh aus Kategorie „Grüner Wasserstoff“ in die Kategorie „Volle Umlage“ umgehängt, weil diese im Rahmen in der Abrechnung korrigiert werden</text>
  </threadedComment>
  <threadedComment ref="E447" dT="2026-08-14T10:59:51.08" personId="{5D1DA90B-F221-4EFB-8796-BC393CD6D494}" id="{A740350E-F8EF-4CB9-82A9-62E2E101B5DE}">
    <text>783.624 kWh aus Kategorie „Grüner Wasserstoff“ in die Kategorie „Volle Umlage“ umgehängt, weil diese im Rahmen in der Abrechnung korrigiert werden</text>
  </threadedComment>
  <threadedComment ref="B708" dT="2026-08-14T11:07:21.88" personId="{5D1DA90B-F221-4EFB-8796-BC393CD6D494}" id="{62C19DDF-6A85-4865-BBA4-412804C1E1C3}">
    <text>3.102.195 kWh aus der Kategorie „Grüner Wasserstoff“ umgehängt, weil diese im Rahmen in der Abrechnung korrigiert werden</text>
  </threadedComment>
  <threadedComment ref="E708" dT="2026-08-14T10:58:24.28" personId="{5D1DA90B-F221-4EFB-8796-BC393CD6D494}" id="{0E54F90A-C0E5-4C20-BB6A-2506847DAE03}">
    <text>3.102.195 kWh aus Kategorie „Grüner Wasserstoff“ in die Kategorie „Volle Umlage“ umgehängt, weil diese im Rahmen in der Abrechnung korrigiert werden</text>
  </threadedComment>
  <threadedComment ref="B1370" dT="2026-08-14T11:10:31.12" personId="{5D1DA90B-F221-4EFB-8796-BC393CD6D494}" id="{613DC2AA-4774-49B9-A86F-7F95580A25EF}">
    <text>783.624 kWh aus Kategorie „Grüner Wasserstoff“ umgehängt, da diese im Rahmen der Abrechnung korrigiert werden</text>
  </threadedComment>
  <threadedComment ref="E1370" dT="2026-08-14T11:10:42.72" personId="{5D1DA90B-F221-4EFB-8796-BC393CD6D494}" id="{2BE39F1A-97EA-4DFA-8BE7-2568FB4A3966}">
    <text>783.624 kWh aus Kategorie „Grüner Wasserstoff“ umgehängt, da diese im Rahmen der Abrechnung korrigiert werden</text>
  </threadedComment>
  <threadedComment ref="B1631" dT="2026-08-14T11:06:51.83" personId="{5D1DA90B-F221-4EFB-8796-BC393CD6D494}" id="{ADF33D88-21C4-4050-A1F8-BE2F1758EB0D}">
    <text>3.102.195 kWh aus Kategorie „Grüner Wasserstoff“ umgehängt, da diese im Rahmen der Abrechnung korrigiert werden</text>
  </threadedComment>
  <threadedComment ref="E1631" dT="2026-08-14T11:09:01.66" personId="{5D1DA90B-F221-4EFB-8796-BC393CD6D494}" id="{11A4B5ED-D890-4171-8ED3-65B5E43F4B46}">
    <text>3.102.195 kWh aus Kategorie „Grüner Wasserstoff“ umgehängt, da diese im Rahmen der Abrechnung korrigiert werden</text>
  </threadedComment>
  <threadedComment ref="B2291" dT="2026-08-14T11:12:13.05" personId="{5D1DA90B-F221-4EFB-8796-BC393CD6D494}" id="{222C5B1C-C686-4FAF-BD65-4C3B4D1E105B}">
    <text>783.624 kWh aus Kategorie „Grüner Wasserstoff“ in die Kategorie „Volle Umlage“ umgehängt, weil diese im Rahmen in der Abrechnung korrigiert werden</text>
  </threadedComment>
  <threadedComment ref="E2291" dT="2026-08-14T11:12:22.67" personId="{5D1DA90B-F221-4EFB-8796-BC393CD6D494}" id="{2A9CA2BF-2996-49DE-9932-AFFE44E28CE0}">
    <text>783.624 kWh aus Kategorie „Grüner Wasserstoff“ in die Kategorie „Volle Umlage“ umgehängt, weil diese im Rahmen in der Abrechnung korrigiert werden</text>
  </threadedComment>
  <threadedComment ref="B2552" dT="2026-08-14T11:13:22.88" personId="{5D1DA90B-F221-4EFB-8796-BC393CD6D494}" id="{1E89F58D-77DE-48A0-800B-7C07108AE8E1}">
    <text>3.102.195 kWh aus Kategorie „Grüner Wasserstoff“ in die Kategorie „Volle Umlage“ umgehängt, weil diese im Rahmen in der Abrechnung korrigiert werden</text>
  </threadedComment>
  <threadedComment ref="E2552" dT="2026-08-14T11:13:28.67" personId="{5D1DA90B-F221-4EFB-8796-BC393CD6D494}" id="{7993945C-2FDC-47A5-8DBF-5B804FD733FC}">
    <text>3.102.195 kWh aus Kategorie „Grüner Wasserstoff“ in die Kategorie „Volle Umlage“ umgehängt, weil diese im Rahmen in der Abrechnung korrigiert werden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834" dT="2025-09-03T05:41:45.12" personId="{9147670A-25BE-400F-B704-119E2F9914DB}" id="{6A53519C-8830-4C64-A0CC-49D217A1AE7B}">
    <text xml:space="preserve">Wert korrigiert. RZ-Testierter Wert nicht korrekt. In Absprache mit RZ Testierer und D-Testierer erfolgt die Erfassung des richtigen Wertes.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39" dT="2026-09-08T08:13:10.01" personId="{0DF58802-97AA-468D-A74E-53007AD34604}" id="{BF68F7EF-4266-49F0-A466-DFA6662A995E}">
    <text>Sicherheitsaufschlag ist in begrenzter Umlage im Testat bereits enthalten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:w:/r/sites/lk_sn/_layouts/15/Doc.aspx?sourcedoc=%7B795C1C2E-072D-4E82-9EB3-77A935165E8E%7D&amp;file=LK%20SN%20Beschlussliste%2013.03.2025.docx&amp;wdLOR=cA2051713-4E7E-491A-A7F4-265F23D59EA4&amp;action=default&amp;mobileredirect=true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DED4-E33A-4493-AABD-2089C6D85705}">
  <sheetPr codeName="Tabelle7">
    <tabColor rgb="FFFF0000"/>
    <pageSetUpPr fitToPage="1"/>
  </sheetPr>
  <dimension ref="A2:M126"/>
  <sheetViews>
    <sheetView topLeftCell="A90" workbookViewId="0">
      <selection activeCell="H93" sqref="H93"/>
    </sheetView>
  </sheetViews>
  <sheetFormatPr baseColWidth="10" defaultColWidth="11.42578125" defaultRowHeight="12.75"/>
  <cols>
    <col min="1" max="1" width="24.140625" bestFit="1" customWidth="1"/>
  </cols>
  <sheetData>
    <row r="2" spans="1:3">
      <c r="A2" t="s">
        <v>0</v>
      </c>
      <c r="B2" s="583">
        <v>46280</v>
      </c>
    </row>
    <row r="3" spans="1:3">
      <c r="A3" t="s">
        <v>1</v>
      </c>
      <c r="B3" s="584">
        <v>2025</v>
      </c>
    </row>
    <row r="6" spans="1:3">
      <c r="A6" s="8" t="s">
        <v>2</v>
      </c>
      <c r="B6" t="s">
        <v>3</v>
      </c>
    </row>
    <row r="7" spans="1:3">
      <c r="C7" s="8" t="s">
        <v>4</v>
      </c>
    </row>
    <row r="8" spans="1:3">
      <c r="C8" s="8" t="s">
        <v>5</v>
      </c>
    </row>
    <row r="9" spans="1:3">
      <c r="C9" s="8" t="s">
        <v>6</v>
      </c>
    </row>
    <row r="10" spans="1:3">
      <c r="C10" s="8" t="s">
        <v>7</v>
      </c>
    </row>
    <row r="11" spans="1:3">
      <c r="C11" s="8"/>
    </row>
    <row r="12" spans="1:3">
      <c r="B12" s="8" t="s">
        <v>8</v>
      </c>
    </row>
    <row r="13" spans="1:3">
      <c r="C13" t="s">
        <v>9</v>
      </c>
    </row>
    <row r="14" spans="1:3">
      <c r="C14" s="8" t="s">
        <v>10</v>
      </c>
    </row>
    <row r="15" spans="1:3">
      <c r="C15" s="8" t="s">
        <v>11</v>
      </c>
    </row>
    <row r="16" spans="1:3">
      <c r="C16" s="8" t="s">
        <v>12</v>
      </c>
    </row>
    <row r="17" spans="2:3">
      <c r="C17" s="8" t="s">
        <v>2560</v>
      </c>
    </row>
    <row r="18" spans="2:3">
      <c r="C18" s="44"/>
    </row>
    <row r="19" spans="2:3">
      <c r="B19" s="8" t="s">
        <v>13</v>
      </c>
    </row>
    <row r="20" spans="2:3">
      <c r="C20" s="8" t="s">
        <v>14</v>
      </c>
    </row>
    <row r="21" spans="2:3">
      <c r="C21" s="8" t="s">
        <v>15</v>
      </c>
    </row>
    <row r="22" spans="2:3">
      <c r="C22" s="8" t="s">
        <v>16</v>
      </c>
    </row>
    <row r="23" spans="2:3">
      <c r="C23" s="8" t="s">
        <v>17</v>
      </c>
    </row>
    <row r="24" spans="2:3">
      <c r="C24" s="8"/>
    </row>
    <row r="25" spans="2:3">
      <c r="B25" s="8" t="s">
        <v>18</v>
      </c>
    </row>
    <row r="26" spans="2:3">
      <c r="C26" s="8" t="s">
        <v>19</v>
      </c>
    </row>
    <row r="27" spans="2:3">
      <c r="C27" s="8" t="s">
        <v>16</v>
      </c>
    </row>
    <row r="29" spans="2:3">
      <c r="C29" s="8" t="s">
        <v>20</v>
      </c>
    </row>
    <row r="32" spans="2:3">
      <c r="B32" s="8" t="s">
        <v>21</v>
      </c>
    </row>
    <row r="33" spans="2:3">
      <c r="C33" s="8" t="s">
        <v>22</v>
      </c>
    </row>
    <row r="34" spans="2:3">
      <c r="C34" s="8" t="s">
        <v>16</v>
      </c>
    </row>
    <row r="35" spans="2:3">
      <c r="C35" s="8" t="s">
        <v>23</v>
      </c>
    </row>
    <row r="36" spans="2:3">
      <c r="C36" s="8" t="s">
        <v>24</v>
      </c>
    </row>
    <row r="37" spans="2:3">
      <c r="C37" s="8" t="s">
        <v>25</v>
      </c>
    </row>
    <row r="38" spans="2:3">
      <c r="C38" s="8"/>
    </row>
    <row r="40" spans="2:3">
      <c r="B40" s="8" t="s">
        <v>26</v>
      </c>
    </row>
    <row r="41" spans="2:3">
      <c r="C41" s="8" t="s">
        <v>27</v>
      </c>
    </row>
    <row r="43" spans="2:3">
      <c r="B43" s="8" t="s">
        <v>28</v>
      </c>
    </row>
    <row r="44" spans="2:3">
      <c r="C44" s="8" t="s">
        <v>29</v>
      </c>
    </row>
    <row r="45" spans="2:3">
      <c r="C45" s="8" t="s">
        <v>30</v>
      </c>
    </row>
    <row r="47" spans="2:3">
      <c r="B47" s="8" t="s">
        <v>31</v>
      </c>
    </row>
    <row r="48" spans="2:3">
      <c r="C48" s="8" t="s">
        <v>32</v>
      </c>
    </row>
    <row r="49" spans="2:3">
      <c r="C49" s="8" t="s">
        <v>2561</v>
      </c>
    </row>
    <row r="50" spans="2:3">
      <c r="C50" s="44"/>
    </row>
    <row r="51" spans="2:3">
      <c r="B51" s="8" t="s">
        <v>33</v>
      </c>
    </row>
    <row r="52" spans="2:3">
      <c r="C52" s="8" t="s">
        <v>34</v>
      </c>
    </row>
    <row r="53" spans="2:3">
      <c r="C53" s="8" t="s">
        <v>35</v>
      </c>
    </row>
    <row r="55" spans="2:3">
      <c r="B55" s="8" t="s">
        <v>36</v>
      </c>
    </row>
    <row r="56" spans="2:3">
      <c r="C56" s="8" t="s">
        <v>37</v>
      </c>
    </row>
    <row r="57" spans="2:3">
      <c r="C57" s="8" t="s">
        <v>38</v>
      </c>
    </row>
    <row r="58" spans="2:3">
      <c r="C58" s="8" t="s">
        <v>39</v>
      </c>
    </row>
    <row r="59" spans="2:3">
      <c r="C59" s="8" t="s">
        <v>38</v>
      </c>
    </row>
    <row r="60" spans="2:3">
      <c r="C60" s="8" t="s">
        <v>40</v>
      </c>
    </row>
    <row r="61" spans="2:3">
      <c r="C61" s="8" t="s">
        <v>38</v>
      </c>
    </row>
    <row r="62" spans="2:3">
      <c r="C62" s="8" t="s">
        <v>41</v>
      </c>
    </row>
    <row r="63" spans="2:3">
      <c r="C63" s="8" t="s">
        <v>42</v>
      </c>
    </row>
    <row r="64" spans="2:3">
      <c r="C64" s="8" t="s">
        <v>43</v>
      </c>
    </row>
    <row r="65" spans="2:3">
      <c r="C65" s="8" t="s">
        <v>44</v>
      </c>
    </row>
    <row r="66" spans="2:3">
      <c r="C66" s="8" t="s">
        <v>45</v>
      </c>
    </row>
    <row r="67" spans="2:3">
      <c r="C67" s="8" t="s">
        <v>46</v>
      </c>
    </row>
    <row r="68" spans="2:3">
      <c r="C68" s="8" t="s">
        <v>47</v>
      </c>
    </row>
    <row r="69" spans="2:3">
      <c r="C69" s="8"/>
    </row>
    <row r="70" spans="2:3">
      <c r="C70" s="8"/>
    </row>
    <row r="71" spans="2:3">
      <c r="C71" s="8"/>
    </row>
    <row r="72" spans="2:3">
      <c r="B72" s="8" t="s">
        <v>48</v>
      </c>
    </row>
    <row r="73" spans="2:3">
      <c r="C73" s="8" t="s">
        <v>49</v>
      </c>
    </row>
    <row r="74" spans="2:3">
      <c r="C74" s="8" t="s">
        <v>50</v>
      </c>
    </row>
    <row r="75" spans="2:3">
      <c r="C75" s="8" t="s">
        <v>51</v>
      </c>
    </row>
    <row r="76" spans="2:3">
      <c r="C76" s="8" t="s">
        <v>52</v>
      </c>
    </row>
    <row r="77" spans="2:3">
      <c r="C77" s="8" t="s">
        <v>53</v>
      </c>
    </row>
    <row r="78" spans="2:3">
      <c r="C78" s="8" t="s">
        <v>54</v>
      </c>
    </row>
    <row r="79" spans="2:3">
      <c r="C79" s="8" t="s">
        <v>55</v>
      </c>
    </row>
    <row r="80" spans="2:3">
      <c r="C80" s="8" t="s">
        <v>56</v>
      </c>
    </row>
    <row r="81" spans="2:3">
      <c r="C81" s="8" t="s">
        <v>57</v>
      </c>
    </row>
    <row r="82" spans="2:3">
      <c r="C82" s="8" t="s">
        <v>58</v>
      </c>
    </row>
    <row r="85" spans="2:3" ht="19.899999999999999" customHeight="1">
      <c r="B85" s="8" t="s">
        <v>59</v>
      </c>
    </row>
    <row r="86" spans="2:3">
      <c r="C86" s="8" t="s">
        <v>60</v>
      </c>
    </row>
    <row r="88" spans="2:3">
      <c r="B88" s="8" t="s">
        <v>61</v>
      </c>
    </row>
    <row r="89" spans="2:3">
      <c r="C89" s="8" t="s">
        <v>62</v>
      </c>
    </row>
    <row r="90" spans="2:3">
      <c r="C90" s="8" t="s">
        <v>63</v>
      </c>
    </row>
    <row r="91" spans="2:3">
      <c r="C91" s="8" t="s">
        <v>64</v>
      </c>
    </row>
    <row r="92" spans="2:3">
      <c r="C92" s="8" t="s">
        <v>65</v>
      </c>
    </row>
    <row r="93" spans="2:3">
      <c r="C93" s="8" t="s">
        <v>66</v>
      </c>
    </row>
    <row r="94" spans="2:3">
      <c r="C94" s="8" t="s">
        <v>67</v>
      </c>
    </row>
    <row r="95" spans="2:3">
      <c r="C95" s="8" t="s">
        <v>68</v>
      </c>
    </row>
    <row r="96" spans="2:3">
      <c r="C96" s="8" t="s">
        <v>69</v>
      </c>
    </row>
    <row r="97" spans="2:3">
      <c r="C97" s="8" t="s">
        <v>70</v>
      </c>
    </row>
    <row r="98" spans="2:3">
      <c r="C98" s="8" t="s">
        <v>71</v>
      </c>
    </row>
    <row r="99" spans="2:3">
      <c r="C99" s="8" t="s">
        <v>72</v>
      </c>
    </row>
    <row r="100" spans="2:3">
      <c r="C100" s="8" t="s">
        <v>73</v>
      </c>
    </row>
    <row r="101" spans="2:3">
      <c r="C101" s="8" t="s">
        <v>74</v>
      </c>
    </row>
    <row r="102" spans="2:3">
      <c r="C102" s="8" t="s">
        <v>75</v>
      </c>
    </row>
    <row r="103" spans="2:3">
      <c r="C103" s="8"/>
    </row>
    <row r="104" spans="2:3">
      <c r="C104" s="8"/>
    </row>
    <row r="105" spans="2:3">
      <c r="B105" s="8" t="s">
        <v>76</v>
      </c>
    </row>
    <row r="106" spans="2:3">
      <c r="C106" s="8" t="s">
        <v>77</v>
      </c>
    </row>
    <row r="107" spans="2:3">
      <c r="C107" s="8" t="s">
        <v>78</v>
      </c>
    </row>
    <row r="108" spans="2:3">
      <c r="C108" s="8" t="s">
        <v>79</v>
      </c>
    </row>
    <row r="109" spans="2:3">
      <c r="C109" s="8" t="s">
        <v>80</v>
      </c>
    </row>
    <row r="110" spans="2:3">
      <c r="C110" s="8" t="s">
        <v>81</v>
      </c>
    </row>
    <row r="111" spans="2:3">
      <c r="C111" s="8" t="s">
        <v>73</v>
      </c>
    </row>
    <row r="112" spans="2:3">
      <c r="C112" s="8" t="s">
        <v>82</v>
      </c>
    </row>
    <row r="113" spans="2:13">
      <c r="C113" s="8" t="s">
        <v>75</v>
      </c>
    </row>
    <row r="114" spans="2:13">
      <c r="B114" s="8"/>
    </row>
    <row r="115" spans="2:13">
      <c r="B115" s="8" t="s">
        <v>83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2:13">
      <c r="B116" s="8"/>
      <c r="C116" s="8" t="s">
        <v>84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2:13">
      <c r="B117" s="8"/>
      <c r="C117" s="8" t="s">
        <v>2563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2:13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2:13">
      <c r="B119" s="8" t="s">
        <v>85</v>
      </c>
    </row>
    <row r="120" spans="2:13" s="8" customFormat="1">
      <c r="C120" s="642" t="s">
        <v>86</v>
      </c>
    </row>
    <row r="121" spans="2:13" s="8" customFormat="1">
      <c r="C121" s="8" t="s">
        <v>2562</v>
      </c>
    </row>
    <row r="123" spans="2:13">
      <c r="B123" s="8" t="s">
        <v>2564</v>
      </c>
    </row>
    <row r="126" spans="2:13">
      <c r="C126" s="244"/>
    </row>
  </sheetData>
  <hyperlinks>
    <hyperlink ref="C120" r:id="rId1" display="Eintragung des testierten LV gem. VNB-Meldungen. Das sind lt. LK SN Beschluss in der 64. LK SN Sitzung zu TOP 2.2 die Summe der umlagepflichtigen Netzentnahmen der VNB Meldungen aus dem RZ-Testat je ÜNB. Also inkl. der BesAR-Strommengen, die der VNB uns mitteilt. " xr:uid="{B0F7BD46-9018-4B2C-BA22-6C273FD2DBAE}"/>
  </hyperlinks>
  <pageMargins left="0.70866141732283472" right="0.70866141732283472" top="0.78740157480314965" bottom="0.78740157480314965" header="0.31496062992125984" footer="0.31496062992125984"/>
  <pageSetup paperSize="9" scale="50" fitToHeight="2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4"/>
  <dimension ref="A1:K2927"/>
  <sheetViews>
    <sheetView view="pageLayout" zoomScaleNormal="80" workbookViewId="0">
      <selection activeCell="G2849" sqref="G2849"/>
    </sheetView>
  </sheetViews>
  <sheetFormatPr baseColWidth="10" defaultColWidth="33.140625" defaultRowHeight="12.75" outlineLevelRow="3"/>
  <cols>
    <col min="1" max="1" width="33.140625" style="8"/>
    <col min="2" max="4" width="33.140625" style="192"/>
    <col min="5" max="5" width="35.85546875" style="192" customWidth="1"/>
    <col min="6" max="7" width="33.140625" style="192"/>
    <col min="8" max="8" width="33.5703125" style="192" customWidth="1"/>
    <col min="9" max="9" width="30.5703125" style="192" customWidth="1"/>
    <col min="10" max="10" width="30.42578125" style="192" customWidth="1"/>
    <col min="11" max="16384" width="33.140625" style="8"/>
  </cols>
  <sheetData>
    <row r="1" spans="1:10" ht="15">
      <c r="A1" s="1745" t="str">
        <f>"Umlagepflichtige Netzentnahmen für das Kalenderjahr "&amp;Hinweise!B3&amp;" auf Basis der Prüfungsvermerke der ÜNB:"</f>
        <v>Umlagepflichtige Netzentnahmen für das Kalenderjahr 2025 auf Basis der Prüfungsvermerke der ÜNB:</v>
      </c>
      <c r="I1" s="237">
        <f>'Anlage 1a_Zuschlagszahlungen_NB'!E1</f>
        <v>46280</v>
      </c>
    </row>
    <row r="2" spans="1:10">
      <c r="A2" s="35"/>
      <c r="H2" s="174"/>
    </row>
    <row r="3" spans="1:10" ht="15">
      <c r="A3" s="1745" t="s">
        <v>2153</v>
      </c>
      <c r="H3" s="174"/>
    </row>
    <row r="4" spans="1:10" ht="13.5" thickBot="1">
      <c r="D4" s="25"/>
    </row>
    <row r="5" spans="1:10" ht="69" customHeight="1" thickBot="1">
      <c r="A5" s="490"/>
      <c r="B5" s="193" t="s">
        <v>2154</v>
      </c>
      <c r="C5" s="194" t="s">
        <v>2155</v>
      </c>
      <c r="D5" s="194" t="s">
        <v>2156</v>
      </c>
      <c r="E5" s="194" t="s">
        <v>2157</v>
      </c>
      <c r="F5" s="194" t="s">
        <v>2158</v>
      </c>
      <c r="G5" s="194" t="s">
        <v>2159</v>
      </c>
      <c r="H5" s="194" t="s">
        <v>2160</v>
      </c>
      <c r="I5" s="533" t="s">
        <v>2161</v>
      </c>
    </row>
    <row r="6" spans="1:10" s="542" customFormat="1" ht="22.5" customHeight="1" thickBot="1">
      <c r="A6" s="550"/>
      <c r="B6" s="551" t="s">
        <v>454</v>
      </c>
      <c r="C6" s="551" t="s">
        <v>454</v>
      </c>
      <c r="D6" s="551" t="s">
        <v>454</v>
      </c>
      <c r="E6" s="551" t="s">
        <v>454</v>
      </c>
      <c r="F6" s="551" t="s">
        <v>454</v>
      </c>
      <c r="G6" s="551" t="s">
        <v>454</v>
      </c>
      <c r="H6" s="551" t="s">
        <v>454</v>
      </c>
      <c r="I6" s="552" t="s">
        <v>454</v>
      </c>
      <c r="J6" s="541"/>
    </row>
    <row r="7" spans="1:10">
      <c r="A7" s="378" t="s">
        <v>455</v>
      </c>
      <c r="B7" s="195">
        <f t="shared" ref="B7:H7" si="0">+SUM(B8:B179)</f>
        <v>64432505169</v>
      </c>
      <c r="C7" s="196">
        <f t="shared" si="0"/>
        <v>111650383</v>
      </c>
      <c r="D7" s="196">
        <f t="shared" si="0"/>
        <v>0</v>
      </c>
      <c r="E7" s="196">
        <f t="shared" si="0"/>
        <v>0</v>
      </c>
      <c r="F7" s="196">
        <f t="shared" si="0"/>
        <v>3632631490</v>
      </c>
      <c r="G7" s="196">
        <f t="shared" si="0"/>
        <v>5600658</v>
      </c>
      <c r="H7" s="196">
        <f t="shared" si="0"/>
        <v>10211833</v>
      </c>
      <c r="I7" s="348">
        <f>SUM(B7:H7)</f>
        <v>68192599533</v>
      </c>
    </row>
    <row r="8" spans="1:10" hidden="1" outlineLevel="1">
      <c r="A8" s="379" t="s">
        <v>772</v>
      </c>
      <c r="B8" s="197">
        <v>4817489645</v>
      </c>
      <c r="C8" s="198">
        <v>0</v>
      </c>
      <c r="D8" s="198">
        <v>0</v>
      </c>
      <c r="E8" s="198">
        <v>0</v>
      </c>
      <c r="F8" s="197">
        <v>0</v>
      </c>
      <c r="G8" s="197">
        <v>0</v>
      </c>
      <c r="H8" s="197">
        <v>0</v>
      </c>
      <c r="I8" s="348">
        <f t="shared" ref="I8:I71" si="1">+SUM(B8:H8)</f>
        <v>4817489645</v>
      </c>
      <c r="J8" s="192" t="s">
        <v>773</v>
      </c>
    </row>
    <row r="9" spans="1:10" hidden="1" outlineLevel="1">
      <c r="A9" s="380" t="s">
        <v>758</v>
      </c>
      <c r="B9" s="197">
        <v>1828460552</v>
      </c>
      <c r="C9" s="198">
        <v>0</v>
      </c>
      <c r="D9" s="198">
        <v>0</v>
      </c>
      <c r="E9" s="198">
        <v>0</v>
      </c>
      <c r="F9" s="197">
        <v>0</v>
      </c>
      <c r="G9" s="197">
        <v>0</v>
      </c>
      <c r="H9" s="197">
        <v>0</v>
      </c>
      <c r="I9" s="348">
        <f t="shared" si="1"/>
        <v>1828460552</v>
      </c>
      <c r="J9" s="192" t="s">
        <v>759</v>
      </c>
    </row>
    <row r="10" spans="1:10" hidden="1" outlineLevel="1">
      <c r="A10" s="380" t="s">
        <v>460</v>
      </c>
      <c r="B10" s="197">
        <v>36918727</v>
      </c>
      <c r="C10" s="198">
        <v>0</v>
      </c>
      <c r="D10" s="198">
        <v>0</v>
      </c>
      <c r="E10" s="198">
        <v>0</v>
      </c>
      <c r="F10" s="197">
        <v>0</v>
      </c>
      <c r="G10" s="197">
        <v>0</v>
      </c>
      <c r="H10" s="197">
        <v>0</v>
      </c>
      <c r="I10" s="348">
        <f t="shared" si="1"/>
        <v>36918727</v>
      </c>
      <c r="J10" s="192" t="s">
        <v>2162</v>
      </c>
    </row>
    <row r="11" spans="1:10" hidden="1" outlineLevel="1">
      <c r="A11" s="379" t="s">
        <v>488</v>
      </c>
      <c r="B11" s="197">
        <v>89343004</v>
      </c>
      <c r="C11" s="198">
        <v>12009566</v>
      </c>
      <c r="D11" s="198">
        <v>0</v>
      </c>
      <c r="E11" s="198">
        <v>0</v>
      </c>
      <c r="F11" s="197">
        <v>0</v>
      </c>
      <c r="G11" s="197">
        <v>0</v>
      </c>
      <c r="H11" s="197">
        <v>0</v>
      </c>
      <c r="I11" s="348">
        <f t="shared" si="1"/>
        <v>101352570</v>
      </c>
      <c r="J11" s="192" t="s">
        <v>489</v>
      </c>
    </row>
    <row r="12" spans="1:10" hidden="1" outlineLevel="1">
      <c r="A12" s="380" t="s">
        <v>943</v>
      </c>
      <c r="B12" s="197">
        <v>113156479</v>
      </c>
      <c r="C12" s="198">
        <v>0</v>
      </c>
      <c r="D12" s="198">
        <v>0</v>
      </c>
      <c r="E12" s="198">
        <v>0</v>
      </c>
      <c r="F12" s="197">
        <v>2230117308</v>
      </c>
      <c r="G12" s="197">
        <v>0</v>
      </c>
      <c r="H12" s="197">
        <v>0</v>
      </c>
      <c r="I12" s="348">
        <f t="shared" si="1"/>
        <v>2343273787</v>
      </c>
      <c r="J12" s="192" t="s">
        <v>2163</v>
      </c>
    </row>
    <row r="13" spans="1:10" hidden="1" outlineLevel="1">
      <c r="A13" s="380" t="s">
        <v>943</v>
      </c>
      <c r="B13" s="197">
        <v>168870034</v>
      </c>
      <c r="C13" s="198">
        <v>0</v>
      </c>
      <c r="D13" s="198">
        <v>0</v>
      </c>
      <c r="E13" s="198">
        <v>0</v>
      </c>
      <c r="F13" s="197">
        <v>281985346</v>
      </c>
      <c r="G13" s="197">
        <v>0</v>
      </c>
      <c r="H13" s="197">
        <v>0</v>
      </c>
      <c r="I13" s="348">
        <f t="shared" si="1"/>
        <v>450855380</v>
      </c>
      <c r="J13" s="192" t="s">
        <v>2164</v>
      </c>
    </row>
    <row r="14" spans="1:10" hidden="1" outlineLevel="1">
      <c r="A14" s="379" t="s">
        <v>728</v>
      </c>
      <c r="B14" s="197">
        <v>1935488418</v>
      </c>
      <c r="C14" s="198">
        <v>13896354</v>
      </c>
      <c r="D14" s="198">
        <v>0</v>
      </c>
      <c r="E14" s="198">
        <v>0</v>
      </c>
      <c r="F14" s="197">
        <v>44045155</v>
      </c>
      <c r="G14" s="197">
        <v>2600428</v>
      </c>
      <c r="H14" s="197">
        <v>0</v>
      </c>
      <c r="I14" s="348">
        <f t="shared" si="1"/>
        <v>1996030355</v>
      </c>
      <c r="J14" s="192" t="s">
        <v>729</v>
      </c>
    </row>
    <row r="15" spans="1:10" hidden="1" outlineLevel="1">
      <c r="A15" s="380" t="s">
        <v>598</v>
      </c>
      <c r="B15" s="197">
        <v>6983400678</v>
      </c>
      <c r="C15" s="198">
        <v>0</v>
      </c>
      <c r="D15" s="198">
        <v>0</v>
      </c>
      <c r="E15" s="198">
        <v>0</v>
      </c>
      <c r="F15" s="197">
        <v>0</v>
      </c>
      <c r="G15" s="197">
        <v>2067563</v>
      </c>
      <c r="H15" s="197">
        <v>0</v>
      </c>
      <c r="I15" s="348">
        <f t="shared" si="1"/>
        <v>6985468241</v>
      </c>
      <c r="J15" s="192" t="s">
        <v>599</v>
      </c>
    </row>
    <row r="16" spans="1:10" hidden="1" outlineLevel="1">
      <c r="A16" s="380" t="s">
        <v>799</v>
      </c>
      <c r="B16" s="197">
        <v>6422739</v>
      </c>
      <c r="C16" s="198">
        <v>0</v>
      </c>
      <c r="D16" s="198">
        <v>0</v>
      </c>
      <c r="E16" s="198">
        <v>0</v>
      </c>
      <c r="F16" s="197">
        <v>0</v>
      </c>
      <c r="G16" s="197">
        <v>0</v>
      </c>
      <c r="H16" s="197">
        <v>0</v>
      </c>
      <c r="I16" s="348">
        <f t="shared" si="1"/>
        <v>6422739</v>
      </c>
      <c r="J16" s="192" t="s">
        <v>2165</v>
      </c>
    </row>
    <row r="17" spans="1:10" hidden="1" outlineLevel="1">
      <c r="A17" s="379" t="s">
        <v>542</v>
      </c>
      <c r="B17" s="197">
        <v>2208621</v>
      </c>
      <c r="C17" s="198">
        <v>0</v>
      </c>
      <c r="D17" s="198">
        <v>0</v>
      </c>
      <c r="E17" s="198">
        <v>0</v>
      </c>
      <c r="F17" s="197">
        <v>0</v>
      </c>
      <c r="G17" s="197">
        <v>0</v>
      </c>
      <c r="H17" s="197">
        <v>0</v>
      </c>
      <c r="I17" s="348">
        <f t="shared" si="1"/>
        <v>2208621</v>
      </c>
      <c r="J17" s="192" t="s">
        <v>543</v>
      </c>
    </row>
    <row r="18" spans="1:10" hidden="1" outlineLevel="1">
      <c r="A18" s="380" t="s">
        <v>2166</v>
      </c>
      <c r="B18" s="197">
        <v>32084128</v>
      </c>
      <c r="C18" s="198">
        <v>0</v>
      </c>
      <c r="D18" s="198">
        <v>0</v>
      </c>
      <c r="E18" s="198">
        <v>0</v>
      </c>
      <c r="F18" s="197">
        <v>0</v>
      </c>
      <c r="G18" s="197">
        <v>0</v>
      </c>
      <c r="H18" s="197">
        <v>0</v>
      </c>
      <c r="I18" s="348">
        <f t="shared" si="1"/>
        <v>32084128</v>
      </c>
      <c r="J18" s="192" t="s">
        <v>2167</v>
      </c>
    </row>
    <row r="19" spans="1:10" hidden="1" outlineLevel="1">
      <c r="A19" s="380" t="s">
        <v>508</v>
      </c>
      <c r="B19" s="197">
        <v>5838851</v>
      </c>
      <c r="C19" s="198">
        <v>0</v>
      </c>
      <c r="D19" s="198">
        <v>0</v>
      </c>
      <c r="E19" s="198">
        <v>0</v>
      </c>
      <c r="F19" s="197">
        <v>0</v>
      </c>
      <c r="G19" s="197">
        <v>0</v>
      </c>
      <c r="H19" s="197">
        <v>0</v>
      </c>
      <c r="I19" s="348">
        <f t="shared" si="1"/>
        <v>5838851</v>
      </c>
      <c r="J19" s="192" t="s">
        <v>509</v>
      </c>
    </row>
    <row r="20" spans="1:10" hidden="1" outlineLevel="1">
      <c r="A20" s="379" t="s">
        <v>676</v>
      </c>
      <c r="B20" s="197">
        <v>40892822</v>
      </c>
      <c r="C20" s="198">
        <v>0</v>
      </c>
      <c r="D20" s="198">
        <v>0</v>
      </c>
      <c r="E20" s="198">
        <v>0</v>
      </c>
      <c r="F20" s="197">
        <v>0</v>
      </c>
      <c r="G20" s="197">
        <v>0</v>
      </c>
      <c r="H20" s="197">
        <v>0</v>
      </c>
      <c r="I20" s="348">
        <f t="shared" si="1"/>
        <v>40892822</v>
      </c>
      <c r="J20" s="192" t="s">
        <v>677</v>
      </c>
    </row>
    <row r="21" spans="1:10" hidden="1" outlineLevel="1">
      <c r="A21" s="380" t="s">
        <v>2168</v>
      </c>
      <c r="B21" s="197">
        <v>183907622</v>
      </c>
      <c r="C21" s="198">
        <v>0</v>
      </c>
      <c r="D21" s="198">
        <v>0</v>
      </c>
      <c r="E21" s="198">
        <v>0</v>
      </c>
      <c r="F21" s="197">
        <v>0</v>
      </c>
      <c r="G21" s="197">
        <v>0</v>
      </c>
      <c r="H21" s="197">
        <v>0</v>
      </c>
      <c r="I21" s="348">
        <f t="shared" si="1"/>
        <v>183907622</v>
      </c>
      <c r="J21" s="192" t="s">
        <v>2169</v>
      </c>
    </row>
    <row r="22" spans="1:10" hidden="1" outlineLevel="1">
      <c r="A22" s="380" t="s">
        <v>2170</v>
      </c>
      <c r="B22" s="197">
        <v>99226648</v>
      </c>
      <c r="C22" s="198">
        <v>0</v>
      </c>
      <c r="D22" s="198">
        <v>0</v>
      </c>
      <c r="E22" s="198">
        <v>0</v>
      </c>
      <c r="F22" s="197">
        <v>0</v>
      </c>
      <c r="G22" s="197">
        <v>0</v>
      </c>
      <c r="H22" s="197">
        <v>0</v>
      </c>
      <c r="I22" s="348">
        <f t="shared" si="1"/>
        <v>99226648</v>
      </c>
      <c r="J22" s="192" t="s">
        <v>2171</v>
      </c>
    </row>
    <row r="23" spans="1:10" hidden="1" outlineLevel="1">
      <c r="A23" s="379" t="s">
        <v>2172</v>
      </c>
      <c r="B23" s="197">
        <v>61422406</v>
      </c>
      <c r="C23" s="198">
        <v>0</v>
      </c>
      <c r="D23" s="198">
        <v>0</v>
      </c>
      <c r="E23" s="198">
        <v>0</v>
      </c>
      <c r="F23" s="197">
        <v>0</v>
      </c>
      <c r="G23" s="197">
        <v>0</v>
      </c>
      <c r="H23" s="197">
        <v>0</v>
      </c>
      <c r="I23" s="348">
        <f t="shared" si="1"/>
        <v>61422406</v>
      </c>
      <c r="J23" s="192" t="s">
        <v>2173</v>
      </c>
    </row>
    <row r="24" spans="1:10" hidden="1" outlineLevel="1">
      <c r="A24" s="380" t="s">
        <v>456</v>
      </c>
      <c r="B24" s="197">
        <v>69747252</v>
      </c>
      <c r="C24" s="198">
        <v>0</v>
      </c>
      <c r="D24" s="198">
        <v>0</v>
      </c>
      <c r="E24" s="198">
        <v>0</v>
      </c>
      <c r="F24" s="197">
        <v>0</v>
      </c>
      <c r="G24" s="197">
        <v>0</v>
      </c>
      <c r="H24" s="197">
        <v>0</v>
      </c>
      <c r="I24" s="348">
        <f t="shared" si="1"/>
        <v>69747252</v>
      </c>
      <c r="J24" s="192" t="s">
        <v>457</v>
      </c>
    </row>
    <row r="25" spans="1:10" hidden="1" outlineLevel="1">
      <c r="A25" s="380" t="s">
        <v>768</v>
      </c>
      <c r="B25" s="197">
        <v>72380185</v>
      </c>
      <c r="C25" s="198">
        <v>0</v>
      </c>
      <c r="D25" s="198">
        <v>0</v>
      </c>
      <c r="E25" s="198">
        <v>0</v>
      </c>
      <c r="F25" s="197">
        <v>0</v>
      </c>
      <c r="G25" s="197">
        <v>0</v>
      </c>
      <c r="H25" s="197">
        <v>0</v>
      </c>
      <c r="I25" s="348">
        <f t="shared" si="1"/>
        <v>72380185</v>
      </c>
      <c r="J25" s="192" t="s">
        <v>769</v>
      </c>
    </row>
    <row r="26" spans="1:10" hidden="1" outlineLevel="1">
      <c r="A26" s="379" t="s">
        <v>2174</v>
      </c>
      <c r="B26" s="197">
        <v>16904066</v>
      </c>
      <c r="C26" s="198">
        <v>0</v>
      </c>
      <c r="D26" s="198">
        <v>0</v>
      </c>
      <c r="E26" s="198">
        <v>0</v>
      </c>
      <c r="F26" s="197">
        <v>0</v>
      </c>
      <c r="G26" s="197">
        <v>0</v>
      </c>
      <c r="H26" s="197">
        <v>0</v>
      </c>
      <c r="I26" s="348">
        <f t="shared" si="1"/>
        <v>16904066</v>
      </c>
      <c r="J26" s="192" t="s">
        <v>2175</v>
      </c>
    </row>
    <row r="27" spans="1:10" hidden="1" outlineLevel="1">
      <c r="A27" s="380" t="s">
        <v>738</v>
      </c>
      <c r="B27" s="197">
        <v>283741893</v>
      </c>
      <c r="C27" s="198">
        <v>0</v>
      </c>
      <c r="D27" s="198">
        <v>0</v>
      </c>
      <c r="E27" s="198">
        <v>0</v>
      </c>
      <c r="F27" s="197">
        <v>0</v>
      </c>
      <c r="G27" s="197">
        <v>0</v>
      </c>
      <c r="H27" s="197">
        <v>0</v>
      </c>
      <c r="I27" s="348">
        <f t="shared" si="1"/>
        <v>283741893</v>
      </c>
      <c r="J27" s="192" t="s">
        <v>739</v>
      </c>
    </row>
    <row r="28" spans="1:10" hidden="1" outlineLevel="1">
      <c r="A28" s="380" t="s">
        <v>484</v>
      </c>
      <c r="B28" s="197">
        <v>7765227267</v>
      </c>
      <c r="C28" s="198">
        <v>0</v>
      </c>
      <c r="D28" s="198">
        <v>0</v>
      </c>
      <c r="E28" s="198">
        <v>0</v>
      </c>
      <c r="F28" s="197">
        <v>781510</v>
      </c>
      <c r="G28" s="197">
        <v>0</v>
      </c>
      <c r="H28" s="197">
        <v>0</v>
      </c>
      <c r="I28" s="348">
        <f t="shared" si="1"/>
        <v>7766008777</v>
      </c>
      <c r="J28" s="192" t="s">
        <v>485</v>
      </c>
    </row>
    <row r="29" spans="1:10" hidden="1" outlineLevel="1">
      <c r="A29" s="379" t="s">
        <v>564</v>
      </c>
      <c r="B29" s="197">
        <v>17690460</v>
      </c>
      <c r="C29" s="198">
        <v>90683</v>
      </c>
      <c r="D29" s="198">
        <v>0</v>
      </c>
      <c r="E29" s="198">
        <v>0</v>
      </c>
      <c r="F29" s="197">
        <v>0</v>
      </c>
      <c r="G29" s="197">
        <v>0</v>
      </c>
      <c r="H29" s="197">
        <v>0</v>
      </c>
      <c r="I29" s="348">
        <f t="shared" si="1"/>
        <v>17781143</v>
      </c>
      <c r="J29" s="192" t="s">
        <v>565</v>
      </c>
    </row>
    <row r="30" spans="1:10" hidden="1" outlineLevel="1">
      <c r="A30" s="380" t="s">
        <v>682</v>
      </c>
      <c r="B30" s="197">
        <v>2044592778</v>
      </c>
      <c r="C30" s="198">
        <v>42770079</v>
      </c>
      <c r="D30" s="198">
        <v>0</v>
      </c>
      <c r="E30" s="198">
        <v>0</v>
      </c>
      <c r="F30" s="197">
        <v>0</v>
      </c>
      <c r="G30" s="197">
        <v>0</v>
      </c>
      <c r="H30" s="197">
        <v>0</v>
      </c>
      <c r="I30" s="348">
        <f t="shared" si="1"/>
        <v>2087362857</v>
      </c>
      <c r="J30" s="192" t="s">
        <v>683</v>
      </c>
    </row>
    <row r="31" spans="1:10" hidden="1" outlineLevel="1">
      <c r="A31" s="380" t="s">
        <v>722</v>
      </c>
      <c r="B31" s="197">
        <v>10532374435</v>
      </c>
      <c r="C31" s="198">
        <v>0</v>
      </c>
      <c r="D31" s="198">
        <v>0</v>
      </c>
      <c r="E31" s="198">
        <v>0</v>
      </c>
      <c r="F31" s="197">
        <v>785058627</v>
      </c>
      <c r="G31" s="197">
        <v>0</v>
      </c>
      <c r="H31" s="197">
        <v>0</v>
      </c>
      <c r="I31" s="348">
        <f t="shared" si="1"/>
        <v>11317433062</v>
      </c>
      <c r="J31" s="192" t="s">
        <v>723</v>
      </c>
    </row>
    <row r="32" spans="1:10" hidden="1" outlineLevel="1">
      <c r="A32" s="379" t="s">
        <v>680</v>
      </c>
      <c r="B32" s="197">
        <v>6723590299</v>
      </c>
      <c r="C32" s="198">
        <v>12626651</v>
      </c>
      <c r="D32" s="198">
        <v>0</v>
      </c>
      <c r="E32" s="198">
        <v>0</v>
      </c>
      <c r="F32" s="197">
        <v>122757615</v>
      </c>
      <c r="G32" s="197">
        <v>0</v>
      </c>
      <c r="H32" s="197">
        <v>10211833</v>
      </c>
      <c r="I32" s="348">
        <f t="shared" si="1"/>
        <v>6869186398</v>
      </c>
      <c r="J32" s="192" t="s">
        <v>2176</v>
      </c>
    </row>
    <row r="33" spans="1:10" hidden="1" outlineLevel="1">
      <c r="A33" s="380" t="s">
        <v>726</v>
      </c>
      <c r="B33" s="197">
        <v>8979835</v>
      </c>
      <c r="C33" s="198">
        <v>0</v>
      </c>
      <c r="D33" s="198">
        <v>0</v>
      </c>
      <c r="E33" s="198">
        <v>0</v>
      </c>
      <c r="F33" s="197">
        <v>0</v>
      </c>
      <c r="G33" s="197">
        <v>0</v>
      </c>
      <c r="H33" s="197">
        <v>0</v>
      </c>
      <c r="I33" s="348">
        <f t="shared" si="1"/>
        <v>8979835</v>
      </c>
      <c r="J33" s="192" t="s">
        <v>727</v>
      </c>
    </row>
    <row r="34" spans="1:10" hidden="1" outlineLevel="1">
      <c r="A34" s="380" t="s">
        <v>568</v>
      </c>
      <c r="B34" s="197">
        <v>83246262</v>
      </c>
      <c r="C34" s="198">
        <v>643522</v>
      </c>
      <c r="D34" s="198">
        <v>0</v>
      </c>
      <c r="E34" s="198">
        <v>0</v>
      </c>
      <c r="F34" s="197">
        <v>0</v>
      </c>
      <c r="G34" s="197">
        <v>0</v>
      </c>
      <c r="H34" s="197">
        <v>0</v>
      </c>
      <c r="I34" s="348">
        <f t="shared" si="1"/>
        <v>83889784</v>
      </c>
      <c r="J34" s="192" t="s">
        <v>569</v>
      </c>
    </row>
    <row r="35" spans="1:10" hidden="1" outlineLevel="1">
      <c r="A35" s="379" t="s">
        <v>732</v>
      </c>
      <c r="B35" s="197">
        <v>23476201</v>
      </c>
      <c r="C35" s="198">
        <v>0</v>
      </c>
      <c r="D35" s="198">
        <v>0</v>
      </c>
      <c r="E35" s="198">
        <v>0</v>
      </c>
      <c r="F35" s="197">
        <v>0</v>
      </c>
      <c r="G35" s="197">
        <v>0</v>
      </c>
      <c r="H35" s="197">
        <v>0</v>
      </c>
      <c r="I35" s="348">
        <f t="shared" si="1"/>
        <v>23476201</v>
      </c>
      <c r="J35" s="192" t="s">
        <v>733</v>
      </c>
    </row>
    <row r="36" spans="1:10" hidden="1" outlineLevel="1">
      <c r="A36" s="380" t="s">
        <v>578</v>
      </c>
      <c r="B36" s="197">
        <v>90311128</v>
      </c>
      <c r="C36" s="198">
        <v>1214826</v>
      </c>
      <c r="D36" s="198">
        <v>0</v>
      </c>
      <c r="E36" s="198">
        <v>0</v>
      </c>
      <c r="F36" s="197">
        <v>0</v>
      </c>
      <c r="G36" s="197">
        <v>0</v>
      </c>
      <c r="H36" s="197">
        <v>0</v>
      </c>
      <c r="I36" s="348">
        <f t="shared" si="1"/>
        <v>91525954</v>
      </c>
      <c r="J36" s="192" t="s">
        <v>579</v>
      </c>
    </row>
    <row r="37" spans="1:10" hidden="1" outlineLevel="1">
      <c r="A37" s="380" t="s">
        <v>470</v>
      </c>
      <c r="B37" s="197">
        <v>95724946</v>
      </c>
      <c r="C37" s="198">
        <v>0</v>
      </c>
      <c r="D37" s="198">
        <v>0</v>
      </c>
      <c r="E37" s="198">
        <v>0</v>
      </c>
      <c r="F37" s="197">
        <v>0</v>
      </c>
      <c r="G37" s="197">
        <v>0</v>
      </c>
      <c r="H37" s="197">
        <v>0</v>
      </c>
      <c r="I37" s="348">
        <f t="shared" si="1"/>
        <v>95724946</v>
      </c>
      <c r="J37" s="192" t="s">
        <v>471</v>
      </c>
    </row>
    <row r="38" spans="1:10" hidden="1" outlineLevel="1">
      <c r="A38" s="379" t="s">
        <v>694</v>
      </c>
      <c r="B38" s="197">
        <v>73695370</v>
      </c>
      <c r="C38" s="198">
        <v>0</v>
      </c>
      <c r="D38" s="198">
        <v>0</v>
      </c>
      <c r="E38" s="198">
        <v>0</v>
      </c>
      <c r="F38" s="197">
        <v>0</v>
      </c>
      <c r="G38" s="197">
        <v>0</v>
      </c>
      <c r="H38" s="197">
        <v>0</v>
      </c>
      <c r="I38" s="348">
        <f t="shared" si="1"/>
        <v>73695370</v>
      </c>
      <c r="J38" s="192" t="s">
        <v>2177</v>
      </c>
    </row>
    <row r="39" spans="1:10" hidden="1" outlineLevel="1">
      <c r="A39" s="380" t="s">
        <v>748</v>
      </c>
      <c r="B39" s="197">
        <v>109915354</v>
      </c>
      <c r="C39" s="198">
        <v>0</v>
      </c>
      <c r="D39" s="198">
        <v>0</v>
      </c>
      <c r="E39" s="198">
        <v>0</v>
      </c>
      <c r="F39" s="197">
        <v>0</v>
      </c>
      <c r="G39" s="197">
        <v>0</v>
      </c>
      <c r="H39" s="197">
        <v>0</v>
      </c>
      <c r="I39" s="348">
        <f t="shared" si="1"/>
        <v>109915354</v>
      </c>
      <c r="J39" s="192" t="s">
        <v>749</v>
      </c>
    </row>
    <row r="40" spans="1:10" hidden="1" outlineLevel="1">
      <c r="A40" s="380" t="s">
        <v>498</v>
      </c>
      <c r="B40" s="197">
        <v>60835031</v>
      </c>
      <c r="C40" s="198">
        <v>0</v>
      </c>
      <c r="D40" s="198">
        <v>0</v>
      </c>
      <c r="E40" s="198">
        <v>0</v>
      </c>
      <c r="F40" s="197">
        <v>0</v>
      </c>
      <c r="G40" s="197">
        <v>0</v>
      </c>
      <c r="H40" s="197">
        <v>0</v>
      </c>
      <c r="I40" s="348">
        <f t="shared" si="1"/>
        <v>60835031</v>
      </c>
      <c r="J40" s="192" t="s">
        <v>499</v>
      </c>
    </row>
    <row r="41" spans="1:10" hidden="1" outlineLevel="1">
      <c r="A41" s="379" t="s">
        <v>644</v>
      </c>
      <c r="B41" s="197">
        <v>49415183</v>
      </c>
      <c r="C41" s="198">
        <v>72646</v>
      </c>
      <c r="D41" s="198">
        <v>0</v>
      </c>
      <c r="E41" s="198">
        <v>0</v>
      </c>
      <c r="F41" s="197">
        <v>0</v>
      </c>
      <c r="G41" s="197">
        <v>0</v>
      </c>
      <c r="H41" s="197">
        <v>0</v>
      </c>
      <c r="I41" s="348">
        <f t="shared" si="1"/>
        <v>49487829</v>
      </c>
      <c r="J41" s="192" t="s">
        <v>645</v>
      </c>
    </row>
    <row r="42" spans="1:10" hidden="1" outlineLevel="1">
      <c r="A42" s="380" t="s">
        <v>586</v>
      </c>
      <c r="B42" s="197">
        <v>51744202</v>
      </c>
      <c r="C42" s="198">
        <v>0</v>
      </c>
      <c r="D42" s="198">
        <v>0</v>
      </c>
      <c r="E42" s="198">
        <v>0</v>
      </c>
      <c r="F42" s="197">
        <v>0</v>
      </c>
      <c r="G42" s="197">
        <v>0</v>
      </c>
      <c r="H42" s="197">
        <v>0</v>
      </c>
      <c r="I42" s="348">
        <f t="shared" si="1"/>
        <v>51744202</v>
      </c>
      <c r="J42" s="192" t="s">
        <v>587</v>
      </c>
    </row>
    <row r="43" spans="1:10" hidden="1" outlineLevel="1">
      <c r="A43" s="380" t="s">
        <v>604</v>
      </c>
      <c r="B43" s="197">
        <v>119651176</v>
      </c>
      <c r="C43" s="198">
        <v>0</v>
      </c>
      <c r="D43" s="198">
        <v>0</v>
      </c>
      <c r="E43" s="198">
        <v>0</v>
      </c>
      <c r="F43" s="197">
        <v>0</v>
      </c>
      <c r="G43" s="197">
        <v>0</v>
      </c>
      <c r="H43" s="197">
        <v>0</v>
      </c>
      <c r="I43" s="348">
        <f t="shared" si="1"/>
        <v>119651176</v>
      </c>
      <c r="J43" s="192" t="s">
        <v>2178</v>
      </c>
    </row>
    <row r="44" spans="1:10" hidden="1" outlineLevel="1">
      <c r="A44" s="379" t="s">
        <v>666</v>
      </c>
      <c r="B44" s="197">
        <v>94731576</v>
      </c>
      <c r="C44" s="198">
        <v>0</v>
      </c>
      <c r="D44" s="198">
        <v>0</v>
      </c>
      <c r="E44" s="198">
        <v>0</v>
      </c>
      <c r="F44" s="197">
        <v>0</v>
      </c>
      <c r="G44" s="197">
        <v>0</v>
      </c>
      <c r="H44" s="197">
        <v>0</v>
      </c>
      <c r="I44" s="348">
        <f t="shared" si="1"/>
        <v>94731576</v>
      </c>
      <c r="J44" s="192" t="s">
        <v>667</v>
      </c>
    </row>
    <row r="45" spans="1:10" hidden="1" outlineLevel="1">
      <c r="A45" s="380" t="s">
        <v>632</v>
      </c>
      <c r="B45" s="197">
        <v>95825245</v>
      </c>
      <c r="C45" s="198">
        <v>0</v>
      </c>
      <c r="D45" s="198">
        <v>0</v>
      </c>
      <c r="E45" s="198">
        <v>0</v>
      </c>
      <c r="F45" s="197">
        <v>0</v>
      </c>
      <c r="G45" s="197">
        <v>0</v>
      </c>
      <c r="H45" s="197">
        <v>0</v>
      </c>
      <c r="I45" s="348">
        <f t="shared" si="1"/>
        <v>95825245</v>
      </c>
      <c r="J45" s="192" t="s">
        <v>633</v>
      </c>
    </row>
    <row r="46" spans="1:10" hidden="1" outlineLevel="1">
      <c r="A46" s="380" t="s">
        <v>500</v>
      </c>
      <c r="B46" s="197">
        <v>30079622</v>
      </c>
      <c r="C46" s="198">
        <v>0</v>
      </c>
      <c r="D46" s="198">
        <v>0</v>
      </c>
      <c r="E46" s="198">
        <v>0</v>
      </c>
      <c r="F46" s="197">
        <v>0</v>
      </c>
      <c r="G46" s="197">
        <v>0</v>
      </c>
      <c r="H46" s="197">
        <v>0</v>
      </c>
      <c r="I46" s="348">
        <f t="shared" si="1"/>
        <v>30079622</v>
      </c>
      <c r="J46" s="192" t="s">
        <v>501</v>
      </c>
    </row>
    <row r="47" spans="1:10" hidden="1" outlineLevel="1">
      <c r="A47" s="379" t="s">
        <v>610</v>
      </c>
      <c r="B47" s="197">
        <v>40675220</v>
      </c>
      <c r="C47" s="198">
        <v>0</v>
      </c>
      <c r="D47" s="198">
        <v>0</v>
      </c>
      <c r="E47" s="198">
        <v>0</v>
      </c>
      <c r="F47" s="197">
        <v>0</v>
      </c>
      <c r="G47" s="197">
        <v>0</v>
      </c>
      <c r="H47" s="197">
        <v>0</v>
      </c>
      <c r="I47" s="348">
        <f t="shared" si="1"/>
        <v>40675220</v>
      </c>
      <c r="J47" s="192" t="s">
        <v>611</v>
      </c>
    </row>
    <row r="48" spans="1:10" hidden="1" outlineLevel="1">
      <c r="A48" s="380" t="s">
        <v>688</v>
      </c>
      <c r="B48" s="197">
        <v>215320566</v>
      </c>
      <c r="C48" s="198">
        <v>0</v>
      </c>
      <c r="D48" s="198">
        <v>0</v>
      </c>
      <c r="E48" s="198">
        <v>0</v>
      </c>
      <c r="F48" s="197">
        <v>1882281</v>
      </c>
      <c r="G48" s="197">
        <v>0</v>
      </c>
      <c r="H48" s="197">
        <v>0</v>
      </c>
      <c r="I48" s="348">
        <f t="shared" si="1"/>
        <v>217202847</v>
      </c>
      <c r="J48" s="192" t="s">
        <v>689</v>
      </c>
    </row>
    <row r="49" spans="1:10" hidden="1" outlineLevel="1">
      <c r="A49" s="380" t="s">
        <v>528</v>
      </c>
      <c r="B49" s="197">
        <v>73075847</v>
      </c>
      <c r="C49" s="198">
        <v>264474</v>
      </c>
      <c r="D49" s="198">
        <v>0</v>
      </c>
      <c r="E49" s="198">
        <v>0</v>
      </c>
      <c r="F49" s="197">
        <v>0</v>
      </c>
      <c r="G49" s="197">
        <v>0</v>
      </c>
      <c r="H49" s="197">
        <v>0</v>
      </c>
      <c r="I49" s="348">
        <f t="shared" si="1"/>
        <v>73340321</v>
      </c>
      <c r="J49" s="192" t="s">
        <v>529</v>
      </c>
    </row>
    <row r="50" spans="1:10" hidden="1" outlineLevel="1">
      <c r="A50" s="379" t="s">
        <v>486</v>
      </c>
      <c r="B50" s="197">
        <v>660252306</v>
      </c>
      <c r="C50" s="198">
        <v>4331415</v>
      </c>
      <c r="D50" s="198">
        <v>0</v>
      </c>
      <c r="E50" s="198">
        <v>0</v>
      </c>
      <c r="F50" s="197">
        <v>11267184</v>
      </c>
      <c r="G50" s="197">
        <v>0</v>
      </c>
      <c r="H50" s="197">
        <v>0</v>
      </c>
      <c r="I50" s="348">
        <f t="shared" si="1"/>
        <v>675850905</v>
      </c>
      <c r="J50" s="192" t="s">
        <v>487</v>
      </c>
    </row>
    <row r="51" spans="1:10" hidden="1" outlineLevel="1">
      <c r="A51" s="380" t="s">
        <v>546</v>
      </c>
      <c r="B51" s="197">
        <v>215204905</v>
      </c>
      <c r="C51" s="198">
        <v>0</v>
      </c>
      <c r="D51" s="198">
        <v>0</v>
      </c>
      <c r="E51" s="198">
        <v>0</v>
      </c>
      <c r="F51" s="197">
        <v>3353968</v>
      </c>
      <c r="G51" s="197">
        <v>0</v>
      </c>
      <c r="H51" s="197">
        <v>0</v>
      </c>
      <c r="I51" s="348">
        <f t="shared" si="1"/>
        <v>218558873</v>
      </c>
      <c r="J51" s="192" t="s">
        <v>547</v>
      </c>
    </row>
    <row r="52" spans="1:10" hidden="1" outlineLevel="1">
      <c r="A52" s="380" t="s">
        <v>582</v>
      </c>
      <c r="B52" s="197">
        <v>59248459</v>
      </c>
      <c r="C52" s="198">
        <v>0</v>
      </c>
      <c r="D52" s="198">
        <v>0</v>
      </c>
      <c r="E52" s="198">
        <v>0</v>
      </c>
      <c r="F52" s="197">
        <v>0</v>
      </c>
      <c r="G52" s="197">
        <v>0</v>
      </c>
      <c r="H52" s="197">
        <v>0</v>
      </c>
      <c r="I52" s="348">
        <f t="shared" si="1"/>
        <v>59248459</v>
      </c>
      <c r="J52" s="192" t="s">
        <v>583</v>
      </c>
    </row>
    <row r="53" spans="1:10" hidden="1" outlineLevel="1">
      <c r="A53" s="379" t="s">
        <v>634</v>
      </c>
      <c r="B53" s="197">
        <v>252554657</v>
      </c>
      <c r="C53" s="198">
        <v>0</v>
      </c>
      <c r="D53" s="198">
        <v>0</v>
      </c>
      <c r="E53" s="198">
        <v>0</v>
      </c>
      <c r="F53" s="197">
        <v>0</v>
      </c>
      <c r="G53" s="197">
        <v>0</v>
      </c>
      <c r="H53" s="197">
        <v>0</v>
      </c>
      <c r="I53" s="348">
        <f t="shared" si="1"/>
        <v>252554657</v>
      </c>
      <c r="J53" s="192" t="s">
        <v>635</v>
      </c>
    </row>
    <row r="54" spans="1:10" hidden="1" outlineLevel="1">
      <c r="A54" s="380" t="s">
        <v>710</v>
      </c>
      <c r="B54" s="197">
        <v>84265353</v>
      </c>
      <c r="C54" s="198">
        <v>24805</v>
      </c>
      <c r="D54" s="198">
        <v>0</v>
      </c>
      <c r="E54" s="198">
        <v>0</v>
      </c>
      <c r="F54" s="197">
        <v>0</v>
      </c>
      <c r="G54" s="197">
        <v>0</v>
      </c>
      <c r="H54" s="197">
        <v>0</v>
      </c>
      <c r="I54" s="348">
        <f t="shared" si="1"/>
        <v>84290158</v>
      </c>
      <c r="J54" s="192" t="s">
        <v>711</v>
      </c>
    </row>
    <row r="55" spans="1:10" hidden="1" outlineLevel="1">
      <c r="A55" s="380" t="s">
        <v>576</v>
      </c>
      <c r="B55" s="197">
        <v>747442</v>
      </c>
      <c r="C55" s="198">
        <v>25626</v>
      </c>
      <c r="D55" s="198">
        <v>0</v>
      </c>
      <c r="E55" s="198">
        <v>0</v>
      </c>
      <c r="F55" s="197">
        <v>0</v>
      </c>
      <c r="G55" s="197">
        <v>0</v>
      </c>
      <c r="H55" s="197">
        <v>0</v>
      </c>
      <c r="I55" s="348">
        <f t="shared" si="1"/>
        <v>773068</v>
      </c>
      <c r="J55" s="192" t="s">
        <v>2179</v>
      </c>
    </row>
    <row r="56" spans="1:10" hidden="1" outlineLevel="1">
      <c r="A56" s="379" t="s">
        <v>712</v>
      </c>
      <c r="B56" s="197">
        <v>37726346</v>
      </c>
      <c r="C56" s="198">
        <v>653063</v>
      </c>
      <c r="D56" s="198">
        <v>0</v>
      </c>
      <c r="E56" s="198">
        <v>0</v>
      </c>
      <c r="F56" s="197">
        <v>0</v>
      </c>
      <c r="G56" s="197">
        <v>0</v>
      </c>
      <c r="H56" s="197">
        <v>0</v>
      </c>
      <c r="I56" s="348">
        <f t="shared" si="1"/>
        <v>38379409</v>
      </c>
      <c r="J56" s="192" t="s">
        <v>713</v>
      </c>
    </row>
    <row r="57" spans="1:10" hidden="1" outlineLevel="1">
      <c r="A57" s="380" t="s">
        <v>756</v>
      </c>
      <c r="B57" s="197">
        <v>151483802</v>
      </c>
      <c r="C57" s="198">
        <v>760576</v>
      </c>
      <c r="D57" s="198">
        <v>0</v>
      </c>
      <c r="E57" s="198">
        <v>0</v>
      </c>
      <c r="F57" s="197">
        <v>0</v>
      </c>
      <c r="G57" s="197">
        <v>0</v>
      </c>
      <c r="H57" s="197">
        <v>0</v>
      </c>
      <c r="I57" s="348">
        <f t="shared" si="1"/>
        <v>152244378</v>
      </c>
      <c r="J57" s="192" t="s">
        <v>757</v>
      </c>
    </row>
    <row r="58" spans="1:10" hidden="1" outlineLevel="1">
      <c r="A58" s="380" t="s">
        <v>490</v>
      </c>
      <c r="B58" s="197">
        <v>32691959</v>
      </c>
      <c r="C58" s="198">
        <v>0</v>
      </c>
      <c r="D58" s="198">
        <v>0</v>
      </c>
      <c r="E58" s="198">
        <v>0</v>
      </c>
      <c r="F58" s="197">
        <v>0</v>
      </c>
      <c r="G58" s="197">
        <v>0</v>
      </c>
      <c r="H58" s="197">
        <v>0</v>
      </c>
      <c r="I58" s="348">
        <f t="shared" si="1"/>
        <v>32691959</v>
      </c>
      <c r="J58" s="192" t="s">
        <v>491</v>
      </c>
    </row>
    <row r="59" spans="1:10" hidden="1" outlineLevel="1">
      <c r="A59" s="379" t="s">
        <v>462</v>
      </c>
      <c r="B59" s="197">
        <v>57740054</v>
      </c>
      <c r="C59" s="198">
        <v>382516</v>
      </c>
      <c r="D59" s="198">
        <v>0</v>
      </c>
      <c r="E59" s="198">
        <v>0</v>
      </c>
      <c r="F59" s="197">
        <v>0</v>
      </c>
      <c r="G59" s="197">
        <v>0</v>
      </c>
      <c r="H59" s="197">
        <v>0</v>
      </c>
      <c r="I59" s="348">
        <f t="shared" si="1"/>
        <v>58122570</v>
      </c>
      <c r="J59" s="192" t="s">
        <v>463</v>
      </c>
    </row>
    <row r="60" spans="1:10" hidden="1" outlineLevel="1">
      <c r="A60" s="380" t="s">
        <v>692</v>
      </c>
      <c r="B60" s="197">
        <v>26348572</v>
      </c>
      <c r="C60" s="198">
        <v>17191</v>
      </c>
      <c r="D60" s="198">
        <v>0</v>
      </c>
      <c r="E60" s="198">
        <v>0</v>
      </c>
      <c r="F60" s="197">
        <v>0</v>
      </c>
      <c r="G60" s="197">
        <v>0</v>
      </c>
      <c r="H60" s="197">
        <v>0</v>
      </c>
      <c r="I60" s="348">
        <f t="shared" si="1"/>
        <v>26365763</v>
      </c>
      <c r="J60" s="192" t="s">
        <v>693</v>
      </c>
    </row>
    <row r="61" spans="1:10" hidden="1" outlineLevel="1">
      <c r="A61" s="380" t="s">
        <v>506</v>
      </c>
      <c r="B61" s="197">
        <v>157431484</v>
      </c>
      <c r="C61" s="198">
        <v>2006884</v>
      </c>
      <c r="D61" s="198">
        <v>0</v>
      </c>
      <c r="E61" s="198">
        <v>0</v>
      </c>
      <c r="F61" s="197">
        <v>0</v>
      </c>
      <c r="G61" s="197">
        <v>0</v>
      </c>
      <c r="H61" s="197">
        <v>0</v>
      </c>
      <c r="I61" s="348">
        <f t="shared" si="1"/>
        <v>159438368</v>
      </c>
      <c r="J61" s="192" t="s">
        <v>507</v>
      </c>
    </row>
    <row r="62" spans="1:10" hidden="1" outlineLevel="1">
      <c r="A62" s="379" t="s">
        <v>622</v>
      </c>
      <c r="B62" s="197">
        <v>612506718</v>
      </c>
      <c r="C62" s="198">
        <v>0</v>
      </c>
      <c r="D62" s="198">
        <v>0</v>
      </c>
      <c r="E62" s="198">
        <v>0</v>
      </c>
      <c r="F62" s="197">
        <v>16485651.000000002</v>
      </c>
      <c r="G62" s="197">
        <v>0</v>
      </c>
      <c r="H62" s="197">
        <v>0</v>
      </c>
      <c r="I62" s="348">
        <f t="shared" si="1"/>
        <v>628992369</v>
      </c>
      <c r="J62" s="192" t="s">
        <v>2030</v>
      </c>
    </row>
    <row r="63" spans="1:10" hidden="1" outlineLevel="1">
      <c r="A63" s="380" t="s">
        <v>642</v>
      </c>
      <c r="B63" s="197">
        <v>38372691</v>
      </c>
      <c r="C63" s="198">
        <v>0</v>
      </c>
      <c r="D63" s="198">
        <v>0</v>
      </c>
      <c r="E63" s="198">
        <v>0</v>
      </c>
      <c r="F63" s="197">
        <v>0</v>
      </c>
      <c r="G63" s="197">
        <v>0</v>
      </c>
      <c r="H63" s="197">
        <v>0</v>
      </c>
      <c r="I63" s="348">
        <f t="shared" si="1"/>
        <v>38372691</v>
      </c>
      <c r="J63" s="192" t="s">
        <v>643</v>
      </c>
    </row>
    <row r="64" spans="1:10" hidden="1" outlineLevel="1">
      <c r="A64" s="380" t="s">
        <v>510</v>
      </c>
      <c r="B64" s="197">
        <v>45627953</v>
      </c>
      <c r="C64" s="198">
        <v>0</v>
      </c>
      <c r="D64" s="198">
        <v>0</v>
      </c>
      <c r="E64" s="198">
        <v>0</v>
      </c>
      <c r="F64" s="197">
        <v>0</v>
      </c>
      <c r="G64" s="197">
        <v>0</v>
      </c>
      <c r="H64" s="197">
        <v>0</v>
      </c>
      <c r="I64" s="348">
        <f t="shared" si="1"/>
        <v>45627953</v>
      </c>
      <c r="J64" s="192" t="s">
        <v>511</v>
      </c>
    </row>
    <row r="65" spans="1:10" hidden="1" outlineLevel="1">
      <c r="A65" s="379" t="s">
        <v>636</v>
      </c>
      <c r="B65" s="197">
        <v>195123937</v>
      </c>
      <c r="C65" s="198">
        <v>0</v>
      </c>
      <c r="D65" s="198">
        <v>0</v>
      </c>
      <c r="E65" s="198">
        <v>0</v>
      </c>
      <c r="F65" s="197">
        <v>3421748</v>
      </c>
      <c r="G65" s="197">
        <v>0</v>
      </c>
      <c r="H65" s="197">
        <v>0</v>
      </c>
      <c r="I65" s="348">
        <f t="shared" si="1"/>
        <v>198545685</v>
      </c>
      <c r="J65" s="192" t="s">
        <v>637</v>
      </c>
    </row>
    <row r="66" spans="1:10" hidden="1" outlineLevel="1">
      <c r="A66" s="380" t="s">
        <v>760</v>
      </c>
      <c r="B66" s="197">
        <v>141706942</v>
      </c>
      <c r="C66" s="198">
        <v>0</v>
      </c>
      <c r="D66" s="198">
        <v>0</v>
      </c>
      <c r="E66" s="198">
        <v>0</v>
      </c>
      <c r="F66" s="197">
        <v>0</v>
      </c>
      <c r="G66" s="197">
        <v>0</v>
      </c>
      <c r="H66" s="197">
        <v>0</v>
      </c>
      <c r="I66" s="348">
        <f t="shared" si="1"/>
        <v>141706942</v>
      </c>
      <c r="J66" s="192" t="s">
        <v>761</v>
      </c>
    </row>
    <row r="67" spans="1:10" hidden="1" outlineLevel="1">
      <c r="A67" s="380" t="s">
        <v>736</v>
      </c>
      <c r="B67" s="197">
        <v>76135451</v>
      </c>
      <c r="C67" s="198">
        <v>0</v>
      </c>
      <c r="D67" s="198">
        <v>0</v>
      </c>
      <c r="E67" s="198">
        <v>0</v>
      </c>
      <c r="F67" s="197">
        <v>0</v>
      </c>
      <c r="G67" s="197">
        <v>0</v>
      </c>
      <c r="H67" s="197">
        <v>0</v>
      </c>
      <c r="I67" s="348">
        <f t="shared" si="1"/>
        <v>76135451</v>
      </c>
      <c r="J67" s="192" t="s">
        <v>737</v>
      </c>
    </row>
    <row r="68" spans="1:10" hidden="1" outlineLevel="1">
      <c r="A68" s="379" t="s">
        <v>618</v>
      </c>
      <c r="B68" s="197">
        <v>264125064</v>
      </c>
      <c r="C68" s="198">
        <v>2118649</v>
      </c>
      <c r="D68" s="198">
        <v>0</v>
      </c>
      <c r="E68" s="198">
        <v>0</v>
      </c>
      <c r="F68" s="197">
        <v>4662385</v>
      </c>
      <c r="G68" s="197">
        <v>127044</v>
      </c>
      <c r="H68" s="197">
        <v>0</v>
      </c>
      <c r="I68" s="348">
        <f t="shared" si="1"/>
        <v>271033142</v>
      </c>
      <c r="J68" s="192" t="s">
        <v>619</v>
      </c>
    </row>
    <row r="69" spans="1:10" hidden="1" outlineLevel="1">
      <c r="A69" s="380" t="s">
        <v>704</v>
      </c>
      <c r="B69" s="197">
        <v>1647228</v>
      </c>
      <c r="C69" s="198">
        <v>8659</v>
      </c>
      <c r="D69" s="198">
        <v>0</v>
      </c>
      <c r="E69" s="198">
        <v>0</v>
      </c>
      <c r="F69" s="197">
        <v>0</v>
      </c>
      <c r="G69" s="197">
        <v>0</v>
      </c>
      <c r="H69" s="197">
        <v>0</v>
      </c>
      <c r="I69" s="348">
        <f t="shared" si="1"/>
        <v>1655887</v>
      </c>
      <c r="J69" s="192" t="s">
        <v>705</v>
      </c>
    </row>
    <row r="70" spans="1:10" hidden="1" outlineLevel="1">
      <c r="A70" s="380" t="s">
        <v>668</v>
      </c>
      <c r="B70" s="197">
        <v>60617937</v>
      </c>
      <c r="C70" s="198">
        <v>247700</v>
      </c>
      <c r="D70" s="198">
        <v>0</v>
      </c>
      <c r="E70" s="198">
        <v>0</v>
      </c>
      <c r="F70" s="197">
        <v>0</v>
      </c>
      <c r="G70" s="197">
        <v>0</v>
      </c>
      <c r="H70" s="197">
        <v>0</v>
      </c>
      <c r="I70" s="348">
        <f t="shared" si="1"/>
        <v>60865637</v>
      </c>
      <c r="J70" s="192" t="s">
        <v>669</v>
      </c>
    </row>
    <row r="71" spans="1:10" hidden="1" outlineLevel="1">
      <c r="A71" s="379" t="s">
        <v>584</v>
      </c>
      <c r="B71" s="197">
        <v>115080178</v>
      </c>
      <c r="C71" s="198">
        <v>0</v>
      </c>
      <c r="D71" s="198">
        <v>0</v>
      </c>
      <c r="E71" s="198">
        <v>0</v>
      </c>
      <c r="F71" s="197">
        <v>0</v>
      </c>
      <c r="G71" s="197">
        <v>0</v>
      </c>
      <c r="H71" s="197">
        <v>0</v>
      </c>
      <c r="I71" s="348">
        <f t="shared" si="1"/>
        <v>115080178</v>
      </c>
      <c r="J71" s="192" t="s">
        <v>585</v>
      </c>
    </row>
    <row r="72" spans="1:10" hidden="1" outlineLevel="1">
      <c r="A72" s="380" t="s">
        <v>658</v>
      </c>
      <c r="B72" s="197">
        <v>144226178</v>
      </c>
      <c r="C72" s="198">
        <v>0</v>
      </c>
      <c r="D72" s="198">
        <v>0</v>
      </c>
      <c r="E72" s="198">
        <v>0</v>
      </c>
      <c r="F72" s="197">
        <v>0</v>
      </c>
      <c r="G72" s="197">
        <v>0</v>
      </c>
      <c r="H72" s="197">
        <v>0</v>
      </c>
      <c r="I72" s="348">
        <f t="shared" ref="I72:I135" si="2">+SUM(B72:H72)</f>
        <v>144226178</v>
      </c>
      <c r="J72" s="192" t="s">
        <v>2180</v>
      </c>
    </row>
    <row r="73" spans="1:10" hidden="1" outlineLevel="1">
      <c r="A73" s="380" t="s">
        <v>524</v>
      </c>
      <c r="B73" s="197">
        <v>184946090</v>
      </c>
      <c r="C73" s="198">
        <v>3774698</v>
      </c>
      <c r="D73" s="198">
        <v>0</v>
      </c>
      <c r="E73" s="198">
        <v>0</v>
      </c>
      <c r="F73" s="197">
        <v>0</v>
      </c>
      <c r="G73" s="197">
        <v>0</v>
      </c>
      <c r="H73" s="197">
        <v>0</v>
      </c>
      <c r="I73" s="348">
        <f t="shared" si="2"/>
        <v>188720788</v>
      </c>
      <c r="J73" s="192" t="s">
        <v>525</v>
      </c>
    </row>
    <row r="74" spans="1:10" hidden="1" outlineLevel="1">
      <c r="A74" s="379" t="s">
        <v>540</v>
      </c>
      <c r="B74" s="197">
        <v>50344950</v>
      </c>
      <c r="C74" s="198">
        <v>0</v>
      </c>
      <c r="D74" s="198">
        <v>0</v>
      </c>
      <c r="E74" s="198">
        <v>0</v>
      </c>
      <c r="F74" s="197">
        <v>0</v>
      </c>
      <c r="G74" s="197">
        <v>0</v>
      </c>
      <c r="H74" s="197">
        <v>0</v>
      </c>
      <c r="I74" s="348">
        <f t="shared" si="2"/>
        <v>50344950</v>
      </c>
      <c r="J74" s="192" t="s">
        <v>541</v>
      </c>
    </row>
    <row r="75" spans="1:10" hidden="1" outlineLevel="1">
      <c r="A75" s="380" t="s">
        <v>762</v>
      </c>
      <c r="B75" s="197">
        <v>26297759</v>
      </c>
      <c r="C75" s="198">
        <v>0</v>
      </c>
      <c r="D75" s="198">
        <v>0</v>
      </c>
      <c r="E75" s="198">
        <v>0</v>
      </c>
      <c r="F75" s="197">
        <v>0</v>
      </c>
      <c r="G75" s="197">
        <v>0</v>
      </c>
      <c r="H75" s="197">
        <v>0</v>
      </c>
      <c r="I75" s="348">
        <f t="shared" si="2"/>
        <v>26297759</v>
      </c>
      <c r="J75" s="192" t="s">
        <v>763</v>
      </c>
    </row>
    <row r="76" spans="1:10" hidden="1" outlineLevel="1">
      <c r="A76" s="380" t="s">
        <v>478</v>
      </c>
      <c r="B76" s="197">
        <v>41990970</v>
      </c>
      <c r="C76" s="198">
        <v>0</v>
      </c>
      <c r="D76" s="198">
        <v>0</v>
      </c>
      <c r="E76" s="198">
        <v>0</v>
      </c>
      <c r="F76" s="197">
        <v>0</v>
      </c>
      <c r="G76" s="197">
        <v>0</v>
      </c>
      <c r="H76" s="197">
        <v>0</v>
      </c>
      <c r="I76" s="348">
        <f t="shared" si="2"/>
        <v>41990970</v>
      </c>
      <c r="J76" s="192" t="s">
        <v>479</v>
      </c>
    </row>
    <row r="77" spans="1:10" hidden="1" outlineLevel="1">
      <c r="A77" s="379" t="s">
        <v>742</v>
      </c>
      <c r="B77" s="197">
        <v>76441088</v>
      </c>
      <c r="C77" s="198">
        <v>807839</v>
      </c>
      <c r="D77" s="198">
        <v>0</v>
      </c>
      <c r="E77" s="198">
        <v>0</v>
      </c>
      <c r="F77" s="197">
        <v>0</v>
      </c>
      <c r="G77" s="197">
        <v>0</v>
      </c>
      <c r="H77" s="197">
        <v>0</v>
      </c>
      <c r="I77" s="348">
        <f t="shared" si="2"/>
        <v>77248927</v>
      </c>
      <c r="J77" s="192" t="s">
        <v>743</v>
      </c>
    </row>
    <row r="78" spans="1:10" hidden="1" outlineLevel="1">
      <c r="A78" s="380" t="s">
        <v>534</v>
      </c>
      <c r="B78" s="197">
        <v>42085946</v>
      </c>
      <c r="C78" s="198">
        <v>0</v>
      </c>
      <c r="D78" s="198">
        <v>0</v>
      </c>
      <c r="E78" s="198">
        <v>0</v>
      </c>
      <c r="F78" s="197">
        <v>0</v>
      </c>
      <c r="G78" s="197">
        <v>0</v>
      </c>
      <c r="H78" s="197">
        <v>0</v>
      </c>
      <c r="I78" s="348">
        <f t="shared" si="2"/>
        <v>42085946</v>
      </c>
      <c r="J78" s="192" t="s">
        <v>535</v>
      </c>
    </row>
    <row r="79" spans="1:10" hidden="1" outlineLevel="1">
      <c r="A79" s="380" t="s">
        <v>714</v>
      </c>
      <c r="B79" s="197">
        <v>126407141</v>
      </c>
      <c r="C79" s="198">
        <v>0</v>
      </c>
      <c r="D79" s="198">
        <v>0</v>
      </c>
      <c r="E79" s="198">
        <v>0</v>
      </c>
      <c r="F79" s="197">
        <v>0</v>
      </c>
      <c r="G79" s="197">
        <v>0</v>
      </c>
      <c r="H79" s="197">
        <v>0</v>
      </c>
      <c r="I79" s="348">
        <f t="shared" si="2"/>
        <v>126407141</v>
      </c>
      <c r="J79" s="192" t="s">
        <v>2181</v>
      </c>
    </row>
    <row r="80" spans="1:10" hidden="1" outlineLevel="1">
      <c r="A80" s="379" t="s">
        <v>648</v>
      </c>
      <c r="B80" s="197">
        <v>112099076</v>
      </c>
      <c r="C80" s="198">
        <v>0</v>
      </c>
      <c r="D80" s="198">
        <v>0</v>
      </c>
      <c r="E80" s="198">
        <v>0</v>
      </c>
      <c r="F80" s="197">
        <v>0</v>
      </c>
      <c r="G80" s="197">
        <v>0</v>
      </c>
      <c r="H80" s="197">
        <v>0</v>
      </c>
      <c r="I80" s="348">
        <f t="shared" si="2"/>
        <v>112099076</v>
      </c>
      <c r="J80" s="192" t="s">
        <v>649</v>
      </c>
    </row>
    <row r="81" spans="1:10" hidden="1" outlineLevel="1">
      <c r="A81" s="380" t="s">
        <v>740</v>
      </c>
      <c r="B81" s="197">
        <v>636561378</v>
      </c>
      <c r="C81" s="198">
        <v>0</v>
      </c>
      <c r="D81" s="198">
        <v>0</v>
      </c>
      <c r="E81" s="198">
        <v>0</v>
      </c>
      <c r="F81" s="197">
        <v>18852696</v>
      </c>
      <c r="G81" s="197">
        <v>128600</v>
      </c>
      <c r="H81" s="197">
        <v>0</v>
      </c>
      <c r="I81" s="348">
        <f t="shared" si="2"/>
        <v>655542674</v>
      </c>
      <c r="J81" s="192" t="s">
        <v>741</v>
      </c>
    </row>
    <row r="82" spans="1:10" hidden="1" outlineLevel="1">
      <c r="A82" s="380" t="s">
        <v>656</v>
      </c>
      <c r="B82" s="197">
        <v>14333442</v>
      </c>
      <c r="C82" s="198">
        <v>0</v>
      </c>
      <c r="D82" s="198">
        <v>0</v>
      </c>
      <c r="E82" s="198">
        <v>0</v>
      </c>
      <c r="F82" s="197">
        <v>0</v>
      </c>
      <c r="G82" s="197">
        <v>0</v>
      </c>
      <c r="H82" s="197">
        <v>0</v>
      </c>
      <c r="I82" s="348">
        <f t="shared" si="2"/>
        <v>14333442</v>
      </c>
      <c r="J82" s="192" t="s">
        <v>657</v>
      </c>
    </row>
    <row r="83" spans="1:10" hidden="1" outlineLevel="1">
      <c r="A83" s="379" t="s">
        <v>628</v>
      </c>
      <c r="B83" s="197">
        <v>85486131</v>
      </c>
      <c r="C83" s="198">
        <v>560696</v>
      </c>
      <c r="D83" s="198">
        <v>0</v>
      </c>
      <c r="E83" s="198">
        <v>0</v>
      </c>
      <c r="F83" s="197">
        <v>0</v>
      </c>
      <c r="G83" s="197">
        <v>0</v>
      </c>
      <c r="H83" s="197">
        <v>0</v>
      </c>
      <c r="I83" s="348">
        <f t="shared" si="2"/>
        <v>86046827</v>
      </c>
      <c r="J83" s="192" t="s">
        <v>629</v>
      </c>
    </row>
    <row r="84" spans="1:10" hidden="1" outlineLevel="1">
      <c r="A84" s="380" t="s">
        <v>606</v>
      </c>
      <c r="B84" s="197">
        <v>28027359</v>
      </c>
      <c r="C84" s="198">
        <v>0</v>
      </c>
      <c r="D84" s="198">
        <v>0</v>
      </c>
      <c r="E84" s="198">
        <v>0</v>
      </c>
      <c r="F84" s="197">
        <v>0</v>
      </c>
      <c r="G84" s="197">
        <v>0</v>
      </c>
      <c r="H84" s="197">
        <v>0</v>
      </c>
      <c r="I84" s="348">
        <f t="shared" si="2"/>
        <v>28027359</v>
      </c>
      <c r="J84" s="192" t="s">
        <v>607</v>
      </c>
    </row>
    <row r="85" spans="1:10" hidden="1" outlineLevel="1">
      <c r="A85" s="380" t="s">
        <v>614</v>
      </c>
      <c r="B85" s="197">
        <v>75733200</v>
      </c>
      <c r="C85" s="198">
        <v>0</v>
      </c>
      <c r="D85" s="198">
        <v>0</v>
      </c>
      <c r="E85" s="198">
        <v>0</v>
      </c>
      <c r="F85" s="197">
        <v>0</v>
      </c>
      <c r="G85" s="197">
        <v>0</v>
      </c>
      <c r="H85" s="197">
        <v>0</v>
      </c>
      <c r="I85" s="348">
        <f t="shared" si="2"/>
        <v>75733200</v>
      </c>
      <c r="J85" s="192" t="s">
        <v>615</v>
      </c>
    </row>
    <row r="86" spans="1:10" hidden="1" outlineLevel="1">
      <c r="A86" s="379" t="s">
        <v>678</v>
      </c>
      <c r="B86" s="197">
        <v>80729128</v>
      </c>
      <c r="C86" s="198">
        <v>0</v>
      </c>
      <c r="D86" s="198">
        <v>0</v>
      </c>
      <c r="E86" s="198">
        <v>0</v>
      </c>
      <c r="F86" s="197">
        <v>0</v>
      </c>
      <c r="G86" s="197">
        <v>0</v>
      </c>
      <c r="H86" s="197">
        <v>0</v>
      </c>
      <c r="I86" s="348">
        <f t="shared" si="2"/>
        <v>80729128</v>
      </c>
      <c r="J86" s="192" t="s">
        <v>679</v>
      </c>
    </row>
    <row r="87" spans="1:10" hidden="1" outlineLevel="1">
      <c r="A87" s="380" t="s">
        <v>702</v>
      </c>
      <c r="B87" s="197">
        <v>34430773</v>
      </c>
      <c r="C87" s="198">
        <v>0</v>
      </c>
      <c r="D87" s="198">
        <v>0</v>
      </c>
      <c r="E87" s="198">
        <v>0</v>
      </c>
      <c r="F87" s="197">
        <v>0</v>
      </c>
      <c r="G87" s="197">
        <v>0</v>
      </c>
      <c r="H87" s="197">
        <v>0</v>
      </c>
      <c r="I87" s="348">
        <f t="shared" si="2"/>
        <v>34430773</v>
      </c>
      <c r="J87" s="192" t="s">
        <v>703</v>
      </c>
    </row>
    <row r="88" spans="1:10" hidden="1" outlineLevel="1">
      <c r="A88" s="380" t="s">
        <v>608</v>
      </c>
      <c r="B88" s="197">
        <v>599062097</v>
      </c>
      <c r="C88" s="198">
        <v>0</v>
      </c>
      <c r="D88" s="198">
        <v>0</v>
      </c>
      <c r="E88" s="198">
        <v>0</v>
      </c>
      <c r="F88" s="197">
        <v>8425018</v>
      </c>
      <c r="G88" s="197">
        <v>0</v>
      </c>
      <c r="H88" s="197">
        <v>0</v>
      </c>
      <c r="I88" s="348">
        <f t="shared" si="2"/>
        <v>607487115</v>
      </c>
      <c r="J88" s="192" t="s">
        <v>609</v>
      </c>
    </row>
    <row r="89" spans="1:10" hidden="1" outlineLevel="1">
      <c r="A89" s="379" t="s">
        <v>570</v>
      </c>
      <c r="B89" s="197">
        <v>39249703</v>
      </c>
      <c r="C89" s="198">
        <v>538248</v>
      </c>
      <c r="D89" s="198">
        <v>0</v>
      </c>
      <c r="E89" s="198">
        <v>0</v>
      </c>
      <c r="F89" s="197">
        <v>0</v>
      </c>
      <c r="G89" s="197">
        <v>0</v>
      </c>
      <c r="H89" s="197">
        <v>0</v>
      </c>
      <c r="I89" s="348">
        <f t="shared" si="2"/>
        <v>39787951</v>
      </c>
      <c r="J89" s="192" t="s">
        <v>571</v>
      </c>
    </row>
    <row r="90" spans="1:10" hidden="1" outlineLevel="1">
      <c r="A90" s="380" t="s">
        <v>620</v>
      </c>
      <c r="B90" s="197">
        <v>1598680023</v>
      </c>
      <c r="C90" s="198">
        <v>0</v>
      </c>
      <c r="D90" s="198">
        <v>0</v>
      </c>
      <c r="E90" s="198">
        <v>0</v>
      </c>
      <c r="F90" s="197">
        <v>55917367</v>
      </c>
      <c r="G90" s="197">
        <v>0</v>
      </c>
      <c r="H90" s="197">
        <v>0</v>
      </c>
      <c r="I90" s="348">
        <f t="shared" si="2"/>
        <v>1654597390</v>
      </c>
      <c r="J90" s="192" t="s">
        <v>621</v>
      </c>
    </row>
    <row r="91" spans="1:10" hidden="1" outlineLevel="1">
      <c r="A91" s="380" t="s">
        <v>526</v>
      </c>
      <c r="B91" s="197">
        <v>40347109</v>
      </c>
      <c r="C91" s="198">
        <v>0</v>
      </c>
      <c r="D91" s="198">
        <v>0</v>
      </c>
      <c r="E91" s="198">
        <v>0</v>
      </c>
      <c r="F91" s="197">
        <v>0</v>
      </c>
      <c r="G91" s="197">
        <v>0</v>
      </c>
      <c r="H91" s="197">
        <v>0</v>
      </c>
      <c r="I91" s="348">
        <f t="shared" si="2"/>
        <v>40347109</v>
      </c>
      <c r="J91" s="192" t="s">
        <v>527</v>
      </c>
    </row>
    <row r="92" spans="1:10" hidden="1" outlineLevel="1">
      <c r="A92" s="379" t="s">
        <v>480</v>
      </c>
      <c r="B92" s="197">
        <v>24145351</v>
      </c>
      <c r="C92" s="198">
        <v>0</v>
      </c>
      <c r="D92" s="198">
        <v>0</v>
      </c>
      <c r="E92" s="198">
        <v>0</v>
      </c>
      <c r="F92" s="197">
        <v>0</v>
      </c>
      <c r="G92" s="197">
        <v>0</v>
      </c>
      <c r="H92" s="197">
        <v>0</v>
      </c>
      <c r="I92" s="348">
        <f t="shared" si="2"/>
        <v>24145351</v>
      </c>
      <c r="J92" s="192" t="s">
        <v>481</v>
      </c>
    </row>
    <row r="93" spans="1:10" hidden="1" outlineLevel="1">
      <c r="A93" s="380" t="s">
        <v>514</v>
      </c>
      <c r="B93" s="197">
        <v>98488346</v>
      </c>
      <c r="C93" s="198">
        <v>0</v>
      </c>
      <c r="D93" s="198">
        <v>0</v>
      </c>
      <c r="E93" s="198">
        <v>0</v>
      </c>
      <c r="F93" s="197">
        <v>0</v>
      </c>
      <c r="G93" s="197">
        <v>0</v>
      </c>
      <c r="H93" s="197">
        <v>0</v>
      </c>
      <c r="I93" s="348">
        <f t="shared" si="2"/>
        <v>98488346</v>
      </c>
      <c r="J93" s="192" t="s">
        <v>2182</v>
      </c>
    </row>
    <row r="94" spans="1:10" hidden="1" outlineLevel="1">
      <c r="A94" s="380" t="s">
        <v>602</v>
      </c>
      <c r="B94" s="197">
        <v>61584327</v>
      </c>
      <c r="C94" s="198">
        <v>0</v>
      </c>
      <c r="D94" s="198">
        <v>0</v>
      </c>
      <c r="E94" s="198">
        <v>0</v>
      </c>
      <c r="F94" s="197">
        <v>0</v>
      </c>
      <c r="G94" s="197">
        <v>0</v>
      </c>
      <c r="H94" s="197">
        <v>0</v>
      </c>
      <c r="I94" s="348">
        <f t="shared" si="2"/>
        <v>61584327</v>
      </c>
      <c r="J94" s="192" t="s">
        <v>603</v>
      </c>
    </row>
    <row r="95" spans="1:10" hidden="1" outlineLevel="1">
      <c r="A95" s="379" t="s">
        <v>744</v>
      </c>
      <c r="B95" s="197">
        <v>52568727</v>
      </c>
      <c r="C95" s="198">
        <v>0</v>
      </c>
      <c r="D95" s="198">
        <v>0</v>
      </c>
      <c r="E95" s="198">
        <v>0</v>
      </c>
      <c r="F95" s="197">
        <v>0</v>
      </c>
      <c r="G95" s="197">
        <v>0</v>
      </c>
      <c r="H95" s="197">
        <v>0</v>
      </c>
      <c r="I95" s="348">
        <f t="shared" si="2"/>
        <v>52568727</v>
      </c>
      <c r="J95" s="192" t="s">
        <v>745</v>
      </c>
    </row>
    <row r="96" spans="1:10" hidden="1" outlineLevel="1">
      <c r="A96" s="380" t="s">
        <v>532</v>
      </c>
      <c r="B96" s="197">
        <v>36665277</v>
      </c>
      <c r="C96" s="198">
        <v>0</v>
      </c>
      <c r="D96" s="198">
        <v>0</v>
      </c>
      <c r="E96" s="198">
        <v>0</v>
      </c>
      <c r="F96" s="197">
        <v>0</v>
      </c>
      <c r="G96" s="197">
        <v>0</v>
      </c>
      <c r="H96" s="197">
        <v>0</v>
      </c>
      <c r="I96" s="348">
        <f t="shared" si="2"/>
        <v>36665277</v>
      </c>
      <c r="J96" s="192" t="s">
        <v>533</v>
      </c>
    </row>
    <row r="97" spans="1:10" hidden="1" outlineLevel="1">
      <c r="A97" s="380" t="s">
        <v>612</v>
      </c>
      <c r="B97" s="197">
        <v>125503099</v>
      </c>
      <c r="C97" s="198">
        <v>52919</v>
      </c>
      <c r="D97" s="198">
        <v>0</v>
      </c>
      <c r="E97" s="198">
        <v>0</v>
      </c>
      <c r="F97" s="197">
        <v>0</v>
      </c>
      <c r="G97" s="197">
        <v>0</v>
      </c>
      <c r="H97" s="197">
        <v>0</v>
      </c>
      <c r="I97" s="348">
        <f t="shared" si="2"/>
        <v>125556018</v>
      </c>
      <c r="J97" s="192" t="s">
        <v>613</v>
      </c>
    </row>
    <row r="98" spans="1:10" hidden="1" outlineLevel="1">
      <c r="A98" s="379" t="s">
        <v>552</v>
      </c>
      <c r="B98" s="197">
        <v>248164151</v>
      </c>
      <c r="C98" s="198">
        <v>0</v>
      </c>
      <c r="D98" s="198">
        <v>0</v>
      </c>
      <c r="E98" s="198">
        <v>0</v>
      </c>
      <c r="F98" s="197">
        <v>0</v>
      </c>
      <c r="G98" s="197">
        <v>0</v>
      </c>
      <c r="H98" s="197">
        <v>0</v>
      </c>
      <c r="I98" s="348">
        <f t="shared" si="2"/>
        <v>248164151</v>
      </c>
      <c r="J98" s="192" t="s">
        <v>553</v>
      </c>
    </row>
    <row r="99" spans="1:10" hidden="1" outlineLevel="1">
      <c r="A99" s="380" t="s">
        <v>560</v>
      </c>
      <c r="B99" s="197">
        <v>728986429</v>
      </c>
      <c r="C99" s="198">
        <v>0</v>
      </c>
      <c r="D99" s="198">
        <v>0</v>
      </c>
      <c r="E99" s="198">
        <v>0</v>
      </c>
      <c r="F99" s="197">
        <v>21597767</v>
      </c>
      <c r="G99" s="197">
        <v>0</v>
      </c>
      <c r="H99" s="197">
        <v>0</v>
      </c>
      <c r="I99" s="348">
        <f t="shared" si="2"/>
        <v>750584196</v>
      </c>
      <c r="J99" s="192" t="s">
        <v>561</v>
      </c>
    </row>
    <row r="100" spans="1:10" hidden="1" outlineLevel="1">
      <c r="A100" s="380" t="s">
        <v>616</v>
      </c>
      <c r="B100" s="197">
        <v>19359716</v>
      </c>
      <c r="C100" s="198">
        <v>0</v>
      </c>
      <c r="D100" s="198">
        <v>0</v>
      </c>
      <c r="E100" s="198">
        <v>0</v>
      </c>
      <c r="F100" s="197">
        <v>0</v>
      </c>
      <c r="G100" s="197">
        <v>0</v>
      </c>
      <c r="H100" s="197">
        <v>0</v>
      </c>
      <c r="I100" s="348">
        <f t="shared" si="2"/>
        <v>19359716</v>
      </c>
      <c r="J100" s="192" t="s">
        <v>617</v>
      </c>
    </row>
    <row r="101" spans="1:10" hidden="1" outlineLevel="1">
      <c r="A101" s="379" t="s">
        <v>492</v>
      </c>
      <c r="B101" s="197">
        <v>64460140</v>
      </c>
      <c r="C101" s="198">
        <v>0</v>
      </c>
      <c r="D101" s="198">
        <v>0</v>
      </c>
      <c r="E101" s="198">
        <v>0</v>
      </c>
      <c r="F101" s="197">
        <v>0</v>
      </c>
      <c r="G101" s="197">
        <v>0</v>
      </c>
      <c r="H101" s="197">
        <v>0</v>
      </c>
      <c r="I101" s="348">
        <f t="shared" si="2"/>
        <v>64460140</v>
      </c>
      <c r="J101" s="192" t="s">
        <v>493</v>
      </c>
    </row>
    <row r="102" spans="1:10" hidden="1" outlineLevel="1">
      <c r="A102" s="380" t="s">
        <v>520</v>
      </c>
      <c r="B102" s="197">
        <v>80908456</v>
      </c>
      <c r="C102" s="198">
        <v>0</v>
      </c>
      <c r="D102" s="198">
        <v>0</v>
      </c>
      <c r="E102" s="198">
        <v>0</v>
      </c>
      <c r="F102" s="197">
        <v>0</v>
      </c>
      <c r="G102" s="197">
        <v>0</v>
      </c>
      <c r="H102" s="197">
        <v>0</v>
      </c>
      <c r="I102" s="348">
        <f t="shared" si="2"/>
        <v>80908456</v>
      </c>
      <c r="J102" s="192" t="s">
        <v>521</v>
      </c>
    </row>
    <row r="103" spans="1:10" hidden="1" outlineLevel="1">
      <c r="A103" s="380" t="s">
        <v>472</v>
      </c>
      <c r="B103" s="197">
        <v>87652868</v>
      </c>
      <c r="C103" s="198">
        <v>0</v>
      </c>
      <c r="D103" s="198">
        <v>0</v>
      </c>
      <c r="E103" s="198">
        <v>0</v>
      </c>
      <c r="F103" s="197">
        <v>0</v>
      </c>
      <c r="G103" s="197">
        <v>0</v>
      </c>
      <c r="H103" s="197">
        <v>0</v>
      </c>
      <c r="I103" s="348">
        <f t="shared" si="2"/>
        <v>87652868</v>
      </c>
      <c r="J103" s="192" t="s">
        <v>473</v>
      </c>
    </row>
    <row r="104" spans="1:10" hidden="1" outlineLevel="1">
      <c r="A104" s="379" t="s">
        <v>464</v>
      </c>
      <c r="B104" s="197">
        <v>82530600</v>
      </c>
      <c r="C104" s="198">
        <v>7936</v>
      </c>
      <c r="D104" s="198">
        <v>0</v>
      </c>
      <c r="E104" s="198">
        <v>0</v>
      </c>
      <c r="F104" s="197">
        <v>305737</v>
      </c>
      <c r="G104" s="197">
        <v>0</v>
      </c>
      <c r="H104" s="197">
        <v>0</v>
      </c>
      <c r="I104" s="348">
        <f t="shared" si="2"/>
        <v>82844273</v>
      </c>
      <c r="J104" s="192" t="s">
        <v>465</v>
      </c>
    </row>
    <row r="105" spans="1:10" hidden="1" outlineLevel="1">
      <c r="A105" s="380" t="s">
        <v>548</v>
      </c>
      <c r="B105" s="197">
        <v>95502809</v>
      </c>
      <c r="C105" s="198">
        <v>0</v>
      </c>
      <c r="D105" s="198">
        <v>0</v>
      </c>
      <c r="E105" s="198">
        <v>0</v>
      </c>
      <c r="F105" s="197">
        <v>0</v>
      </c>
      <c r="G105" s="197">
        <v>0</v>
      </c>
      <c r="H105" s="197">
        <v>0</v>
      </c>
      <c r="I105" s="348">
        <f t="shared" si="2"/>
        <v>95502809</v>
      </c>
      <c r="J105" s="192" t="s">
        <v>549</v>
      </c>
    </row>
    <row r="106" spans="1:10" hidden="1" outlineLevel="1">
      <c r="A106" s="380" t="s">
        <v>720</v>
      </c>
      <c r="B106" s="197">
        <v>67094301.000000007</v>
      </c>
      <c r="C106" s="198">
        <v>309239</v>
      </c>
      <c r="D106" s="198">
        <v>0</v>
      </c>
      <c r="E106" s="198">
        <v>0</v>
      </c>
      <c r="F106" s="197">
        <v>0</v>
      </c>
      <c r="G106" s="197">
        <v>0</v>
      </c>
      <c r="H106" s="197">
        <v>0</v>
      </c>
      <c r="I106" s="348">
        <f t="shared" si="2"/>
        <v>67403540</v>
      </c>
      <c r="J106" s="192" t="s">
        <v>721</v>
      </c>
    </row>
    <row r="107" spans="1:10" hidden="1" outlineLevel="1">
      <c r="A107" s="379" t="s">
        <v>588</v>
      </c>
      <c r="B107" s="197">
        <v>176531176</v>
      </c>
      <c r="C107" s="198">
        <v>0</v>
      </c>
      <c r="D107" s="198">
        <v>0</v>
      </c>
      <c r="E107" s="198">
        <v>0</v>
      </c>
      <c r="F107" s="197">
        <v>0</v>
      </c>
      <c r="G107" s="197">
        <v>0</v>
      </c>
      <c r="H107" s="197">
        <v>0</v>
      </c>
      <c r="I107" s="348">
        <f t="shared" si="2"/>
        <v>176531176</v>
      </c>
      <c r="J107" s="192" t="s">
        <v>589</v>
      </c>
    </row>
    <row r="108" spans="1:10" hidden="1" outlineLevel="1">
      <c r="A108" s="380" t="s">
        <v>504</v>
      </c>
      <c r="B108" s="197">
        <v>113605189</v>
      </c>
      <c r="C108" s="198">
        <v>0</v>
      </c>
      <c r="D108" s="198">
        <v>0</v>
      </c>
      <c r="E108" s="198">
        <v>0</v>
      </c>
      <c r="F108" s="197">
        <v>0</v>
      </c>
      <c r="G108" s="197">
        <v>0</v>
      </c>
      <c r="H108" s="197">
        <v>0</v>
      </c>
      <c r="I108" s="348">
        <f t="shared" si="2"/>
        <v>113605189</v>
      </c>
      <c r="J108" s="192" t="s">
        <v>505</v>
      </c>
    </row>
    <row r="109" spans="1:10" hidden="1" outlineLevel="1">
      <c r="A109" s="380" t="s">
        <v>544</v>
      </c>
      <c r="B109" s="197">
        <v>27628523</v>
      </c>
      <c r="C109" s="198">
        <v>0</v>
      </c>
      <c r="D109" s="198">
        <v>0</v>
      </c>
      <c r="E109" s="198">
        <v>0</v>
      </c>
      <c r="F109" s="197">
        <v>0</v>
      </c>
      <c r="G109" s="197">
        <v>0</v>
      </c>
      <c r="H109" s="197">
        <v>0</v>
      </c>
      <c r="I109" s="348">
        <f t="shared" si="2"/>
        <v>27628523</v>
      </c>
      <c r="J109" s="192" t="s">
        <v>545</v>
      </c>
    </row>
    <row r="110" spans="1:10" hidden="1" outlineLevel="1">
      <c r="A110" s="379" t="s">
        <v>474</v>
      </c>
      <c r="B110" s="197">
        <v>52808223</v>
      </c>
      <c r="C110" s="198">
        <v>816844</v>
      </c>
      <c r="D110" s="198">
        <v>0</v>
      </c>
      <c r="E110" s="198">
        <v>0</v>
      </c>
      <c r="F110" s="197">
        <v>0</v>
      </c>
      <c r="G110" s="197">
        <v>0</v>
      </c>
      <c r="H110" s="197">
        <v>0</v>
      </c>
      <c r="I110" s="348">
        <f t="shared" si="2"/>
        <v>53625067</v>
      </c>
      <c r="J110" s="192" t="s">
        <v>475</v>
      </c>
    </row>
    <row r="111" spans="1:10" hidden="1" outlineLevel="1">
      <c r="A111" s="380" t="s">
        <v>662</v>
      </c>
      <c r="B111" s="197">
        <v>33944524</v>
      </c>
      <c r="C111" s="198">
        <v>273008</v>
      </c>
      <c r="D111" s="198">
        <v>0</v>
      </c>
      <c r="E111" s="198">
        <v>0</v>
      </c>
      <c r="F111" s="197">
        <v>0</v>
      </c>
      <c r="G111" s="197">
        <v>0</v>
      </c>
      <c r="H111" s="197">
        <v>0</v>
      </c>
      <c r="I111" s="348">
        <f t="shared" si="2"/>
        <v>34217532</v>
      </c>
      <c r="J111" s="192" t="s">
        <v>663</v>
      </c>
    </row>
    <row r="112" spans="1:10" hidden="1" outlineLevel="1">
      <c r="A112" s="380" t="s">
        <v>650</v>
      </c>
      <c r="B112" s="197">
        <v>143282027</v>
      </c>
      <c r="C112" s="198">
        <v>0</v>
      </c>
      <c r="D112" s="198">
        <v>0</v>
      </c>
      <c r="E112" s="198">
        <v>0</v>
      </c>
      <c r="F112" s="197">
        <v>0</v>
      </c>
      <c r="G112" s="197">
        <v>0</v>
      </c>
      <c r="H112" s="197">
        <v>0</v>
      </c>
      <c r="I112" s="348">
        <f t="shared" si="2"/>
        <v>143282027</v>
      </c>
      <c r="J112" s="192" t="s">
        <v>651</v>
      </c>
    </row>
    <row r="113" spans="1:10" hidden="1" outlineLevel="1">
      <c r="A113" s="379" t="s">
        <v>596</v>
      </c>
      <c r="B113" s="197">
        <v>32721816</v>
      </c>
      <c r="C113" s="198">
        <v>400414</v>
      </c>
      <c r="D113" s="198">
        <v>0</v>
      </c>
      <c r="E113" s="198">
        <v>0</v>
      </c>
      <c r="F113" s="197">
        <v>0</v>
      </c>
      <c r="G113" s="197">
        <v>0</v>
      </c>
      <c r="H113" s="197">
        <v>0</v>
      </c>
      <c r="I113" s="348">
        <f t="shared" si="2"/>
        <v>33122230</v>
      </c>
      <c r="J113" s="192" t="s">
        <v>597</v>
      </c>
    </row>
    <row r="114" spans="1:10" hidden="1" outlineLevel="1">
      <c r="A114" s="380" t="s">
        <v>764</v>
      </c>
      <c r="B114" s="197">
        <v>36383109</v>
      </c>
      <c r="C114" s="198">
        <v>157806</v>
      </c>
      <c r="D114" s="198">
        <v>0</v>
      </c>
      <c r="E114" s="198">
        <v>0</v>
      </c>
      <c r="F114" s="197">
        <v>0</v>
      </c>
      <c r="G114" s="197">
        <v>0</v>
      </c>
      <c r="H114" s="197">
        <v>0</v>
      </c>
      <c r="I114" s="348">
        <f t="shared" si="2"/>
        <v>36540915</v>
      </c>
      <c r="J114" s="192" t="s">
        <v>765</v>
      </c>
    </row>
    <row r="115" spans="1:10" hidden="1" outlineLevel="1">
      <c r="A115" s="380" t="s">
        <v>624</v>
      </c>
      <c r="B115" s="197">
        <v>196451747</v>
      </c>
      <c r="C115" s="198">
        <v>0</v>
      </c>
      <c r="D115" s="198">
        <v>0</v>
      </c>
      <c r="E115" s="198">
        <v>0</v>
      </c>
      <c r="F115" s="197">
        <v>0</v>
      </c>
      <c r="G115" s="197">
        <v>0</v>
      </c>
      <c r="H115" s="197">
        <v>0</v>
      </c>
      <c r="I115" s="348">
        <f t="shared" si="2"/>
        <v>196451747</v>
      </c>
      <c r="J115" s="192" t="s">
        <v>625</v>
      </c>
    </row>
    <row r="116" spans="1:10" hidden="1" outlineLevel="1">
      <c r="A116" s="379" t="s">
        <v>750</v>
      </c>
      <c r="B116" s="197">
        <v>40175114</v>
      </c>
      <c r="C116" s="198">
        <v>0</v>
      </c>
      <c r="D116" s="198">
        <v>0</v>
      </c>
      <c r="E116" s="198">
        <v>0</v>
      </c>
      <c r="F116" s="197">
        <v>0</v>
      </c>
      <c r="G116" s="197">
        <v>0</v>
      </c>
      <c r="H116" s="197">
        <v>0</v>
      </c>
      <c r="I116" s="348">
        <f t="shared" si="2"/>
        <v>40175114</v>
      </c>
      <c r="J116" s="192" t="s">
        <v>751</v>
      </c>
    </row>
    <row r="117" spans="1:10" hidden="1" outlineLevel="1">
      <c r="A117" s="380" t="s">
        <v>770</v>
      </c>
      <c r="B117" s="197">
        <v>52324611</v>
      </c>
      <c r="C117" s="198">
        <v>495741</v>
      </c>
      <c r="D117" s="198">
        <v>0</v>
      </c>
      <c r="E117" s="198">
        <v>0</v>
      </c>
      <c r="F117" s="197">
        <v>0</v>
      </c>
      <c r="G117" s="197">
        <v>0</v>
      </c>
      <c r="H117" s="197">
        <v>0</v>
      </c>
      <c r="I117" s="348">
        <f t="shared" si="2"/>
        <v>52820352</v>
      </c>
      <c r="J117" s="192" t="s">
        <v>771</v>
      </c>
    </row>
    <row r="118" spans="1:10" hidden="1" outlineLevel="1">
      <c r="A118" s="380" t="s">
        <v>660</v>
      </c>
      <c r="B118" s="197">
        <v>36381376</v>
      </c>
      <c r="C118" s="198">
        <v>2527</v>
      </c>
      <c r="D118" s="198">
        <v>0</v>
      </c>
      <c r="E118" s="198">
        <v>0</v>
      </c>
      <c r="F118" s="197">
        <v>0</v>
      </c>
      <c r="G118" s="197">
        <v>0</v>
      </c>
      <c r="H118" s="197">
        <v>0</v>
      </c>
      <c r="I118" s="348">
        <f t="shared" si="2"/>
        <v>36383903</v>
      </c>
      <c r="J118" s="192" t="s">
        <v>661</v>
      </c>
    </row>
    <row r="119" spans="1:10" hidden="1" outlineLevel="1">
      <c r="A119" s="379" t="s">
        <v>530</v>
      </c>
      <c r="B119" s="197">
        <v>113794298</v>
      </c>
      <c r="C119" s="198">
        <v>0</v>
      </c>
      <c r="D119" s="198">
        <v>0</v>
      </c>
      <c r="E119" s="198">
        <v>0</v>
      </c>
      <c r="F119" s="197">
        <v>0</v>
      </c>
      <c r="G119" s="197">
        <v>0</v>
      </c>
      <c r="H119" s="197">
        <v>0</v>
      </c>
      <c r="I119" s="348">
        <f t="shared" si="2"/>
        <v>113794298</v>
      </c>
      <c r="J119" s="192" t="s">
        <v>531</v>
      </c>
    </row>
    <row r="120" spans="1:10" hidden="1" outlineLevel="1">
      <c r="A120" s="380" t="s">
        <v>716</v>
      </c>
      <c r="B120" s="197">
        <v>187096773</v>
      </c>
      <c r="C120" s="198">
        <v>0</v>
      </c>
      <c r="D120" s="198">
        <v>0</v>
      </c>
      <c r="E120" s="198">
        <v>0</v>
      </c>
      <c r="F120" s="197">
        <v>1432942</v>
      </c>
      <c r="G120" s="197">
        <v>0</v>
      </c>
      <c r="H120" s="197">
        <v>0</v>
      </c>
      <c r="I120" s="348">
        <f t="shared" si="2"/>
        <v>188529715</v>
      </c>
      <c r="J120" s="192" t="s">
        <v>717</v>
      </c>
    </row>
    <row r="121" spans="1:10" hidden="1" outlineLevel="1">
      <c r="A121" s="380" t="s">
        <v>538</v>
      </c>
      <c r="B121" s="197">
        <v>518963899</v>
      </c>
      <c r="C121" s="198">
        <v>0</v>
      </c>
      <c r="D121" s="198">
        <v>0</v>
      </c>
      <c r="E121" s="198">
        <v>0</v>
      </c>
      <c r="F121" s="197">
        <v>12243633</v>
      </c>
      <c r="G121" s="197">
        <v>0</v>
      </c>
      <c r="H121" s="197">
        <v>0</v>
      </c>
      <c r="I121" s="348">
        <f t="shared" si="2"/>
        <v>531207532</v>
      </c>
      <c r="J121" s="192" t="s">
        <v>539</v>
      </c>
    </row>
    <row r="122" spans="1:10" hidden="1" outlineLevel="1">
      <c r="A122" s="379" t="s">
        <v>594</v>
      </c>
      <c r="B122" s="197">
        <v>60013088</v>
      </c>
      <c r="C122" s="198">
        <v>0</v>
      </c>
      <c r="D122" s="198">
        <v>0</v>
      </c>
      <c r="E122" s="198">
        <v>0</v>
      </c>
      <c r="F122" s="197">
        <v>0</v>
      </c>
      <c r="G122" s="197">
        <v>0</v>
      </c>
      <c r="H122" s="197">
        <v>0</v>
      </c>
      <c r="I122" s="348">
        <f t="shared" si="2"/>
        <v>60013088</v>
      </c>
      <c r="J122" s="192" t="s">
        <v>595</v>
      </c>
    </row>
    <row r="123" spans="1:10" hidden="1" outlineLevel="1">
      <c r="A123" s="380" t="s">
        <v>754</v>
      </c>
      <c r="B123" s="197">
        <v>29526968</v>
      </c>
      <c r="C123" s="198">
        <v>0</v>
      </c>
      <c r="D123" s="198">
        <v>0</v>
      </c>
      <c r="E123" s="198">
        <v>0</v>
      </c>
      <c r="F123" s="197">
        <v>0</v>
      </c>
      <c r="G123" s="197">
        <v>0</v>
      </c>
      <c r="H123" s="197">
        <v>0</v>
      </c>
      <c r="I123" s="348">
        <f t="shared" si="2"/>
        <v>29526968</v>
      </c>
      <c r="J123" s="192" t="s">
        <v>755</v>
      </c>
    </row>
    <row r="124" spans="1:10" hidden="1" outlineLevel="1">
      <c r="A124" s="380" t="s">
        <v>512</v>
      </c>
      <c r="B124" s="197">
        <v>27740280</v>
      </c>
      <c r="C124" s="198">
        <v>0</v>
      </c>
      <c r="D124" s="198">
        <v>0</v>
      </c>
      <c r="E124" s="198">
        <v>0</v>
      </c>
      <c r="F124" s="197">
        <v>0</v>
      </c>
      <c r="G124" s="197">
        <v>0</v>
      </c>
      <c r="H124" s="197">
        <v>0</v>
      </c>
      <c r="I124" s="348">
        <f t="shared" si="2"/>
        <v>27740280</v>
      </c>
      <c r="J124" s="192" t="s">
        <v>513</v>
      </c>
    </row>
    <row r="125" spans="1:10" hidden="1" outlineLevel="1">
      <c r="A125" s="379" t="s">
        <v>684</v>
      </c>
      <c r="B125" s="197">
        <v>83857348</v>
      </c>
      <c r="C125" s="198">
        <v>0</v>
      </c>
      <c r="D125" s="198">
        <v>0</v>
      </c>
      <c r="E125" s="198">
        <v>0</v>
      </c>
      <c r="F125" s="197">
        <v>0</v>
      </c>
      <c r="G125" s="197">
        <v>0</v>
      </c>
      <c r="H125" s="197">
        <v>0</v>
      </c>
      <c r="I125" s="348">
        <f t="shared" si="2"/>
        <v>83857348</v>
      </c>
      <c r="J125" s="192" t="s">
        <v>685</v>
      </c>
    </row>
    <row r="126" spans="1:10" hidden="1" outlineLevel="1">
      <c r="A126" s="380" t="s">
        <v>652</v>
      </c>
      <c r="B126" s="197">
        <v>52473153</v>
      </c>
      <c r="C126" s="198">
        <v>411383</v>
      </c>
      <c r="D126" s="198">
        <v>0</v>
      </c>
      <c r="E126" s="198">
        <v>0</v>
      </c>
      <c r="F126" s="197">
        <v>0</v>
      </c>
      <c r="G126" s="197">
        <v>0</v>
      </c>
      <c r="H126" s="197">
        <v>0</v>
      </c>
      <c r="I126" s="348">
        <f t="shared" si="2"/>
        <v>52884536</v>
      </c>
      <c r="J126" s="192" t="s">
        <v>2183</v>
      </c>
    </row>
    <row r="127" spans="1:10" hidden="1" outlineLevel="1">
      <c r="A127" s="380" t="s">
        <v>580</v>
      </c>
      <c r="B127" s="197">
        <v>55091364</v>
      </c>
      <c r="C127" s="198">
        <v>2091114</v>
      </c>
      <c r="D127" s="198">
        <v>0</v>
      </c>
      <c r="E127" s="198">
        <v>0</v>
      </c>
      <c r="F127" s="197">
        <v>0</v>
      </c>
      <c r="G127" s="197">
        <v>0</v>
      </c>
      <c r="H127" s="197">
        <v>0</v>
      </c>
      <c r="I127" s="348">
        <f t="shared" si="2"/>
        <v>57182478</v>
      </c>
      <c r="J127" s="192" t="s">
        <v>581</v>
      </c>
    </row>
    <row r="128" spans="1:10" hidden="1" outlineLevel="1">
      <c r="A128" s="379" t="s">
        <v>626</v>
      </c>
      <c r="B128" s="197">
        <v>81641762</v>
      </c>
      <c r="C128" s="198">
        <v>0</v>
      </c>
      <c r="D128" s="198">
        <v>0</v>
      </c>
      <c r="E128" s="198">
        <v>0</v>
      </c>
      <c r="F128" s="197">
        <v>0</v>
      </c>
      <c r="G128" s="197">
        <v>0</v>
      </c>
      <c r="H128" s="197">
        <v>0</v>
      </c>
      <c r="I128" s="348">
        <f t="shared" si="2"/>
        <v>81641762</v>
      </c>
      <c r="J128" s="192" t="s">
        <v>627</v>
      </c>
    </row>
    <row r="129" spans="1:10" hidden="1" outlineLevel="1">
      <c r="A129" s="380" t="s">
        <v>590</v>
      </c>
      <c r="B129" s="197">
        <v>658283552</v>
      </c>
      <c r="C129" s="198">
        <v>0</v>
      </c>
      <c r="D129" s="198">
        <v>0</v>
      </c>
      <c r="E129" s="198">
        <v>0</v>
      </c>
      <c r="F129" s="197">
        <v>0</v>
      </c>
      <c r="G129" s="197">
        <v>0</v>
      </c>
      <c r="H129" s="197">
        <v>0</v>
      </c>
      <c r="I129" s="348">
        <f t="shared" si="2"/>
        <v>658283552</v>
      </c>
      <c r="J129" s="192" t="s">
        <v>591</v>
      </c>
    </row>
    <row r="130" spans="1:10" hidden="1" outlineLevel="1">
      <c r="A130" s="380" t="s">
        <v>630</v>
      </c>
      <c r="B130" s="197">
        <v>75167050</v>
      </c>
      <c r="C130" s="198">
        <v>35809</v>
      </c>
      <c r="D130" s="198">
        <v>0</v>
      </c>
      <c r="E130" s="198">
        <v>0</v>
      </c>
      <c r="F130" s="197">
        <v>0</v>
      </c>
      <c r="G130" s="197">
        <v>0</v>
      </c>
      <c r="H130" s="197">
        <v>0</v>
      </c>
      <c r="I130" s="348">
        <f t="shared" si="2"/>
        <v>75202859</v>
      </c>
      <c r="J130" s="192" t="s">
        <v>631</v>
      </c>
    </row>
    <row r="131" spans="1:10" hidden="1" outlineLevel="1">
      <c r="A131" s="379" t="s">
        <v>646</v>
      </c>
      <c r="B131" s="197">
        <v>73420134</v>
      </c>
      <c r="C131" s="198">
        <v>19835</v>
      </c>
      <c r="D131" s="198">
        <v>0</v>
      </c>
      <c r="E131" s="198">
        <v>0</v>
      </c>
      <c r="F131" s="197">
        <v>0</v>
      </c>
      <c r="G131" s="197">
        <v>0</v>
      </c>
      <c r="H131" s="197">
        <v>0</v>
      </c>
      <c r="I131" s="348">
        <f t="shared" si="2"/>
        <v>73439969</v>
      </c>
      <c r="J131" s="192" t="s">
        <v>647</v>
      </c>
    </row>
    <row r="132" spans="1:10" hidden="1" outlineLevel="1">
      <c r="A132" s="380" t="s">
        <v>516</v>
      </c>
      <c r="B132" s="197">
        <v>78677451</v>
      </c>
      <c r="C132" s="198">
        <v>0</v>
      </c>
      <c r="D132" s="198">
        <v>0</v>
      </c>
      <c r="E132" s="198">
        <v>0</v>
      </c>
      <c r="F132" s="197">
        <v>0</v>
      </c>
      <c r="G132" s="197">
        <v>0</v>
      </c>
      <c r="H132" s="197">
        <v>0</v>
      </c>
      <c r="I132" s="348">
        <f t="shared" si="2"/>
        <v>78677451</v>
      </c>
      <c r="J132" s="192" t="s">
        <v>517</v>
      </c>
    </row>
    <row r="133" spans="1:10" hidden="1" outlineLevel="1">
      <c r="A133" s="380" t="s">
        <v>734</v>
      </c>
      <c r="B133" s="197">
        <v>4456331</v>
      </c>
      <c r="C133" s="198">
        <v>0</v>
      </c>
      <c r="D133" s="198">
        <v>0</v>
      </c>
      <c r="E133" s="198">
        <v>0</v>
      </c>
      <c r="F133" s="197">
        <v>0</v>
      </c>
      <c r="G133" s="197">
        <v>0</v>
      </c>
      <c r="H133" s="197">
        <v>0</v>
      </c>
      <c r="I133" s="348">
        <f t="shared" si="2"/>
        <v>4456331</v>
      </c>
      <c r="J133" s="192" t="s">
        <v>735</v>
      </c>
    </row>
    <row r="134" spans="1:10" hidden="1" outlineLevel="1">
      <c r="A134" s="379" t="s">
        <v>600</v>
      </c>
      <c r="B134" s="197">
        <v>86422412</v>
      </c>
      <c r="C134" s="198">
        <v>0</v>
      </c>
      <c r="D134" s="198">
        <v>0</v>
      </c>
      <c r="E134" s="198">
        <v>0</v>
      </c>
      <c r="F134" s="197">
        <v>0</v>
      </c>
      <c r="G134" s="197">
        <v>0</v>
      </c>
      <c r="H134" s="197">
        <v>0</v>
      </c>
      <c r="I134" s="348">
        <f t="shared" si="2"/>
        <v>86422412</v>
      </c>
      <c r="J134" s="192" t="s">
        <v>601</v>
      </c>
    </row>
    <row r="135" spans="1:10" hidden="1" outlineLevel="1">
      <c r="A135" s="380" t="s">
        <v>2184</v>
      </c>
      <c r="B135" s="197">
        <v>22926723</v>
      </c>
      <c r="C135" s="198">
        <v>0</v>
      </c>
      <c r="D135" s="198">
        <v>0</v>
      </c>
      <c r="E135" s="198">
        <v>0</v>
      </c>
      <c r="F135" s="197">
        <v>0</v>
      </c>
      <c r="G135" s="197">
        <v>0</v>
      </c>
      <c r="H135" s="197">
        <v>0</v>
      </c>
      <c r="I135" s="348">
        <f t="shared" si="2"/>
        <v>22926723</v>
      </c>
      <c r="J135" s="192" t="s">
        <v>2185</v>
      </c>
    </row>
    <row r="136" spans="1:10" hidden="1" outlineLevel="1">
      <c r="A136" s="380" t="s">
        <v>724</v>
      </c>
      <c r="B136" s="197">
        <v>58934147</v>
      </c>
      <c r="C136" s="198">
        <v>761768</v>
      </c>
      <c r="D136" s="198">
        <v>0</v>
      </c>
      <c r="E136" s="198">
        <v>0</v>
      </c>
      <c r="F136" s="197">
        <v>0</v>
      </c>
      <c r="G136" s="197">
        <v>0</v>
      </c>
      <c r="H136" s="197">
        <v>0</v>
      </c>
      <c r="I136" s="348">
        <f t="shared" ref="I136:I178" si="3">+SUM(B136:H136)</f>
        <v>59695915</v>
      </c>
      <c r="J136" s="192" t="s">
        <v>725</v>
      </c>
    </row>
    <row r="137" spans="1:10" hidden="1" outlineLevel="1">
      <c r="A137" s="379" t="s">
        <v>574</v>
      </c>
      <c r="B137" s="197">
        <v>119422640</v>
      </c>
      <c r="C137" s="198">
        <v>0</v>
      </c>
      <c r="D137" s="198">
        <v>0</v>
      </c>
      <c r="E137" s="198">
        <v>0</v>
      </c>
      <c r="F137" s="197">
        <v>0</v>
      </c>
      <c r="G137" s="197">
        <v>0</v>
      </c>
      <c r="H137" s="197">
        <v>0</v>
      </c>
      <c r="I137" s="348">
        <f t="shared" si="3"/>
        <v>119422640</v>
      </c>
      <c r="J137" s="192" t="s">
        <v>2186</v>
      </c>
    </row>
    <row r="138" spans="1:10" hidden="1" outlineLevel="1">
      <c r="A138" s="380" t="s">
        <v>746</v>
      </c>
      <c r="B138" s="197">
        <v>41230192</v>
      </c>
      <c r="C138" s="198">
        <v>0</v>
      </c>
      <c r="D138" s="198">
        <v>0</v>
      </c>
      <c r="E138" s="198">
        <v>0</v>
      </c>
      <c r="F138" s="197">
        <v>0</v>
      </c>
      <c r="G138" s="197">
        <v>0</v>
      </c>
      <c r="H138" s="197">
        <v>0</v>
      </c>
      <c r="I138" s="348">
        <f t="shared" si="3"/>
        <v>41230192</v>
      </c>
      <c r="J138" s="192" t="s">
        <v>747</v>
      </c>
    </row>
    <row r="139" spans="1:10" hidden="1" outlineLevel="1">
      <c r="A139" s="380" t="s">
        <v>468</v>
      </c>
      <c r="B139" s="197">
        <v>85398962</v>
      </c>
      <c r="C139" s="198">
        <v>0</v>
      </c>
      <c r="D139" s="198">
        <v>0</v>
      </c>
      <c r="E139" s="198">
        <v>0</v>
      </c>
      <c r="F139" s="197">
        <v>0</v>
      </c>
      <c r="G139" s="197">
        <v>0</v>
      </c>
      <c r="H139" s="197">
        <v>0</v>
      </c>
      <c r="I139" s="348">
        <f t="shared" si="3"/>
        <v>85398962</v>
      </c>
      <c r="J139" s="192" t="s">
        <v>469</v>
      </c>
    </row>
    <row r="140" spans="1:10" hidden="1" outlineLevel="1">
      <c r="A140" s="379" t="s">
        <v>466</v>
      </c>
      <c r="B140" s="197">
        <v>304226384</v>
      </c>
      <c r="C140" s="198">
        <v>0</v>
      </c>
      <c r="D140" s="198">
        <v>0</v>
      </c>
      <c r="E140" s="198">
        <v>0</v>
      </c>
      <c r="F140" s="197">
        <v>5367373</v>
      </c>
      <c r="G140" s="197">
        <v>677023</v>
      </c>
      <c r="H140" s="197">
        <v>0</v>
      </c>
      <c r="I140" s="348">
        <f t="shared" si="3"/>
        <v>310270780</v>
      </c>
      <c r="J140" s="192" t="s">
        <v>467</v>
      </c>
    </row>
    <row r="141" spans="1:10" hidden="1" outlineLevel="1">
      <c r="A141" s="380" t="s">
        <v>766</v>
      </c>
      <c r="B141" s="197">
        <v>69151265</v>
      </c>
      <c r="C141" s="198">
        <v>0</v>
      </c>
      <c r="D141" s="198">
        <v>0</v>
      </c>
      <c r="E141" s="198">
        <v>0</v>
      </c>
      <c r="F141" s="197">
        <v>0</v>
      </c>
      <c r="G141" s="197">
        <v>0</v>
      </c>
      <c r="H141" s="197">
        <v>0</v>
      </c>
      <c r="I141" s="348">
        <f t="shared" si="3"/>
        <v>69151265</v>
      </c>
      <c r="J141" s="192" t="s">
        <v>767</v>
      </c>
    </row>
    <row r="142" spans="1:10" hidden="1" outlineLevel="1">
      <c r="A142" s="380" t="s">
        <v>550</v>
      </c>
      <c r="B142" s="197">
        <v>45375283</v>
      </c>
      <c r="C142" s="198">
        <v>0</v>
      </c>
      <c r="D142" s="198">
        <v>0</v>
      </c>
      <c r="E142" s="198">
        <v>0</v>
      </c>
      <c r="F142" s="197">
        <v>0</v>
      </c>
      <c r="G142" s="197">
        <v>0</v>
      </c>
      <c r="H142" s="197">
        <v>0</v>
      </c>
      <c r="I142" s="348">
        <f t="shared" si="3"/>
        <v>45375283</v>
      </c>
      <c r="J142" s="192" t="s">
        <v>551</v>
      </c>
    </row>
    <row r="143" spans="1:10" hidden="1" outlineLevel="1">
      <c r="A143" s="379" t="s">
        <v>752</v>
      </c>
      <c r="B143" s="197">
        <v>71180783</v>
      </c>
      <c r="C143" s="198">
        <v>0</v>
      </c>
      <c r="D143" s="198">
        <v>0</v>
      </c>
      <c r="E143" s="198">
        <v>0</v>
      </c>
      <c r="F143" s="197">
        <v>0</v>
      </c>
      <c r="G143" s="197">
        <v>0</v>
      </c>
      <c r="H143" s="197">
        <v>0</v>
      </c>
      <c r="I143" s="348">
        <f t="shared" si="3"/>
        <v>71180783</v>
      </c>
      <c r="J143" s="192" t="s">
        <v>753</v>
      </c>
    </row>
    <row r="144" spans="1:10" hidden="1" outlineLevel="1">
      <c r="A144" s="380" t="s">
        <v>502</v>
      </c>
      <c r="B144" s="197">
        <v>85930181</v>
      </c>
      <c r="C144" s="198">
        <v>0</v>
      </c>
      <c r="D144" s="198">
        <v>0</v>
      </c>
      <c r="E144" s="198">
        <v>0</v>
      </c>
      <c r="F144" s="197">
        <v>0</v>
      </c>
      <c r="G144" s="197">
        <v>0</v>
      </c>
      <c r="H144" s="197">
        <v>0</v>
      </c>
      <c r="I144" s="348">
        <f t="shared" si="3"/>
        <v>85930181</v>
      </c>
      <c r="J144" s="192" t="s">
        <v>503</v>
      </c>
    </row>
    <row r="145" spans="1:10" hidden="1" outlineLevel="1">
      <c r="A145" s="380" t="s">
        <v>522</v>
      </c>
      <c r="B145" s="197">
        <v>59323776</v>
      </c>
      <c r="C145" s="198">
        <v>0</v>
      </c>
      <c r="D145" s="198">
        <v>0</v>
      </c>
      <c r="E145" s="198">
        <v>0</v>
      </c>
      <c r="F145" s="197">
        <v>0</v>
      </c>
      <c r="G145" s="197">
        <v>0</v>
      </c>
      <c r="H145" s="197">
        <v>0</v>
      </c>
      <c r="I145" s="348">
        <f t="shared" si="3"/>
        <v>59323776</v>
      </c>
      <c r="J145" s="192" t="s">
        <v>523</v>
      </c>
    </row>
    <row r="146" spans="1:10" hidden="1" outlineLevel="1">
      <c r="A146" s="379" t="s">
        <v>708</v>
      </c>
      <c r="B146" s="197">
        <v>18494921</v>
      </c>
      <c r="C146" s="198">
        <v>293012</v>
      </c>
      <c r="D146" s="198">
        <v>0</v>
      </c>
      <c r="E146" s="198">
        <v>0</v>
      </c>
      <c r="F146" s="197">
        <v>0</v>
      </c>
      <c r="G146" s="197">
        <v>0</v>
      </c>
      <c r="H146" s="197">
        <v>0</v>
      </c>
      <c r="I146" s="348">
        <f t="shared" si="3"/>
        <v>18787933</v>
      </c>
      <c r="J146" s="192" t="s">
        <v>709</v>
      </c>
    </row>
    <row r="147" spans="1:10" hidden="1" outlineLevel="1">
      <c r="A147" s="380" t="s">
        <v>458</v>
      </c>
      <c r="B147" s="197">
        <v>79687625</v>
      </c>
      <c r="C147" s="198">
        <v>331377</v>
      </c>
      <c r="D147" s="198">
        <v>0</v>
      </c>
      <c r="E147" s="198">
        <v>0</v>
      </c>
      <c r="F147" s="197">
        <v>0</v>
      </c>
      <c r="G147" s="197">
        <v>0</v>
      </c>
      <c r="H147" s="197">
        <v>0</v>
      </c>
      <c r="I147" s="348">
        <f t="shared" si="3"/>
        <v>80019002</v>
      </c>
      <c r="J147" s="192" t="s">
        <v>459</v>
      </c>
    </row>
    <row r="148" spans="1:10" hidden="1" outlineLevel="1">
      <c r="A148" s="380" t="s">
        <v>638</v>
      </c>
      <c r="B148" s="197">
        <v>88344016</v>
      </c>
      <c r="C148" s="198">
        <v>0</v>
      </c>
      <c r="D148" s="198">
        <v>0</v>
      </c>
      <c r="E148" s="198">
        <v>0</v>
      </c>
      <c r="F148" s="197">
        <v>0</v>
      </c>
      <c r="G148" s="197">
        <v>0</v>
      </c>
      <c r="H148" s="197">
        <v>0</v>
      </c>
      <c r="I148" s="348">
        <f t="shared" si="3"/>
        <v>88344016</v>
      </c>
      <c r="J148" s="192" t="s">
        <v>2187</v>
      </c>
    </row>
    <row r="149" spans="1:10" hidden="1" outlineLevel="1">
      <c r="A149" s="379" t="s">
        <v>482</v>
      </c>
      <c r="B149" s="197">
        <v>20748175</v>
      </c>
      <c r="C149" s="198">
        <v>312192</v>
      </c>
      <c r="D149" s="198">
        <v>0</v>
      </c>
      <c r="E149" s="198">
        <v>0</v>
      </c>
      <c r="F149" s="197">
        <v>0</v>
      </c>
      <c r="G149" s="197">
        <v>0</v>
      </c>
      <c r="H149" s="197">
        <v>0</v>
      </c>
      <c r="I149" s="348">
        <f t="shared" si="3"/>
        <v>21060367</v>
      </c>
      <c r="J149" s="192" t="s">
        <v>2188</v>
      </c>
    </row>
    <row r="150" spans="1:10" hidden="1" outlineLevel="1">
      <c r="A150" s="380" t="s">
        <v>482</v>
      </c>
      <c r="B150" s="197">
        <v>153649516</v>
      </c>
      <c r="C150" s="198">
        <v>1279383</v>
      </c>
      <c r="D150" s="198">
        <v>0</v>
      </c>
      <c r="E150" s="198">
        <v>0</v>
      </c>
      <c r="F150" s="197">
        <v>0</v>
      </c>
      <c r="G150" s="197">
        <v>0</v>
      </c>
      <c r="H150" s="197">
        <v>0</v>
      </c>
      <c r="I150" s="348">
        <f t="shared" si="3"/>
        <v>154928899</v>
      </c>
      <c r="J150" s="192" t="s">
        <v>2189</v>
      </c>
    </row>
    <row r="151" spans="1:10" hidden="1" outlineLevel="1">
      <c r="A151" s="380" t="s">
        <v>706</v>
      </c>
      <c r="B151" s="197">
        <v>68391427</v>
      </c>
      <c r="C151" s="198">
        <v>0</v>
      </c>
      <c r="D151" s="198">
        <v>0</v>
      </c>
      <c r="E151" s="198">
        <v>0</v>
      </c>
      <c r="F151" s="197">
        <v>0</v>
      </c>
      <c r="G151" s="197">
        <v>0</v>
      </c>
      <c r="H151" s="197">
        <v>0</v>
      </c>
      <c r="I151" s="348">
        <f t="shared" si="3"/>
        <v>68391427</v>
      </c>
      <c r="J151" s="192" t="s">
        <v>707</v>
      </c>
    </row>
    <row r="152" spans="1:10" hidden="1" outlineLevel="1">
      <c r="A152" s="379" t="s">
        <v>730</v>
      </c>
      <c r="B152" s="197">
        <v>884273</v>
      </c>
      <c r="C152" s="198">
        <v>0</v>
      </c>
      <c r="D152" s="198">
        <v>0</v>
      </c>
      <c r="E152" s="198">
        <v>0</v>
      </c>
      <c r="F152" s="197">
        <v>0</v>
      </c>
      <c r="G152" s="197">
        <v>0</v>
      </c>
      <c r="H152" s="197">
        <v>0</v>
      </c>
      <c r="I152" s="348">
        <f t="shared" si="3"/>
        <v>884273</v>
      </c>
      <c r="J152" s="192" t="s">
        <v>731</v>
      </c>
    </row>
    <row r="153" spans="1:10" hidden="1" outlineLevel="1">
      <c r="A153" s="380" t="s">
        <v>562</v>
      </c>
      <c r="B153" s="197">
        <v>53142934</v>
      </c>
      <c r="C153" s="198">
        <v>0</v>
      </c>
      <c r="D153" s="198">
        <v>0</v>
      </c>
      <c r="E153" s="198">
        <v>0</v>
      </c>
      <c r="F153" s="197">
        <v>0</v>
      </c>
      <c r="G153" s="197">
        <v>0</v>
      </c>
      <c r="H153" s="197">
        <v>0</v>
      </c>
      <c r="I153" s="348">
        <f t="shared" si="3"/>
        <v>53142934</v>
      </c>
      <c r="J153" s="192" t="s">
        <v>563</v>
      </c>
    </row>
    <row r="154" spans="1:10" hidden="1" outlineLevel="1">
      <c r="A154" s="380" t="s">
        <v>572</v>
      </c>
      <c r="B154" s="197">
        <v>153809479</v>
      </c>
      <c r="C154" s="198">
        <v>59627</v>
      </c>
      <c r="D154" s="198">
        <v>0</v>
      </c>
      <c r="E154" s="198">
        <v>0</v>
      </c>
      <c r="F154" s="197">
        <v>0</v>
      </c>
      <c r="G154" s="197">
        <v>0</v>
      </c>
      <c r="H154" s="197">
        <v>0</v>
      </c>
      <c r="I154" s="348">
        <f t="shared" si="3"/>
        <v>153869106</v>
      </c>
      <c r="J154" s="192" t="s">
        <v>573</v>
      </c>
    </row>
    <row r="155" spans="1:10" hidden="1" outlineLevel="1">
      <c r="A155" s="379" t="s">
        <v>554</v>
      </c>
      <c r="B155" s="197">
        <v>37548590</v>
      </c>
      <c r="C155" s="198">
        <v>0</v>
      </c>
      <c r="D155" s="198">
        <v>0</v>
      </c>
      <c r="E155" s="198">
        <v>0</v>
      </c>
      <c r="F155" s="197">
        <v>0</v>
      </c>
      <c r="G155" s="197">
        <v>0</v>
      </c>
      <c r="H155" s="197">
        <v>0</v>
      </c>
      <c r="I155" s="348">
        <f t="shared" si="3"/>
        <v>37548590</v>
      </c>
      <c r="J155" s="192" t="s">
        <v>555</v>
      </c>
    </row>
    <row r="156" spans="1:10" hidden="1" outlineLevel="1">
      <c r="A156" s="380" t="s">
        <v>556</v>
      </c>
      <c r="B156" s="197">
        <v>130805349</v>
      </c>
      <c r="C156" s="198">
        <v>438002</v>
      </c>
      <c r="D156" s="198">
        <v>0</v>
      </c>
      <c r="E156" s="198">
        <v>0</v>
      </c>
      <c r="F156" s="197">
        <v>0</v>
      </c>
      <c r="G156" s="197">
        <v>0</v>
      </c>
      <c r="H156" s="197">
        <v>0</v>
      </c>
      <c r="I156" s="348">
        <f t="shared" si="3"/>
        <v>131243351</v>
      </c>
      <c r="J156" s="192" t="s">
        <v>557</v>
      </c>
    </row>
    <row r="157" spans="1:10" hidden="1" outlineLevel="1">
      <c r="A157" s="380" t="s">
        <v>640</v>
      </c>
      <c r="B157" s="197">
        <v>45468994</v>
      </c>
      <c r="C157" s="198">
        <v>0</v>
      </c>
      <c r="D157" s="198">
        <v>0</v>
      </c>
      <c r="E157" s="198">
        <v>0</v>
      </c>
      <c r="F157" s="197">
        <v>0</v>
      </c>
      <c r="G157" s="197">
        <v>0</v>
      </c>
      <c r="H157" s="197">
        <v>0</v>
      </c>
      <c r="I157" s="348">
        <f t="shared" si="3"/>
        <v>45468994</v>
      </c>
      <c r="J157" s="192" t="s">
        <v>641</v>
      </c>
    </row>
    <row r="158" spans="1:10" hidden="1" outlineLevel="1">
      <c r="A158" s="379" t="s">
        <v>698</v>
      </c>
      <c r="B158" s="197">
        <v>68677909</v>
      </c>
      <c r="C158" s="198">
        <v>0</v>
      </c>
      <c r="D158" s="198">
        <v>0</v>
      </c>
      <c r="E158" s="198">
        <v>0</v>
      </c>
      <c r="F158" s="197">
        <v>0</v>
      </c>
      <c r="G158" s="197">
        <v>0</v>
      </c>
      <c r="H158" s="197">
        <v>0</v>
      </c>
      <c r="I158" s="348">
        <f t="shared" si="3"/>
        <v>68677909</v>
      </c>
      <c r="J158" s="192" t="s">
        <v>699</v>
      </c>
    </row>
    <row r="159" spans="1:10" hidden="1" outlineLevel="1">
      <c r="A159" s="380" t="s">
        <v>670</v>
      </c>
      <c r="B159" s="197">
        <v>173839476</v>
      </c>
      <c r="C159" s="198">
        <v>0</v>
      </c>
      <c r="D159" s="198">
        <v>0</v>
      </c>
      <c r="E159" s="198">
        <v>0</v>
      </c>
      <c r="F159" s="197">
        <v>0</v>
      </c>
      <c r="G159" s="197">
        <v>0</v>
      </c>
      <c r="H159" s="197">
        <v>0</v>
      </c>
      <c r="I159" s="348">
        <f t="shared" si="3"/>
        <v>173839476</v>
      </c>
      <c r="J159" s="192" t="s">
        <v>671</v>
      </c>
    </row>
    <row r="160" spans="1:10" hidden="1" outlineLevel="1">
      <c r="A160" s="380" t="s">
        <v>558</v>
      </c>
      <c r="B160" s="197">
        <v>92504890</v>
      </c>
      <c r="C160" s="198">
        <v>60490</v>
      </c>
      <c r="D160" s="198">
        <v>0</v>
      </c>
      <c r="E160" s="198">
        <v>0</v>
      </c>
      <c r="F160" s="197">
        <v>0</v>
      </c>
      <c r="G160" s="197">
        <v>0</v>
      </c>
      <c r="H160" s="197">
        <v>0</v>
      </c>
      <c r="I160" s="348">
        <f t="shared" si="3"/>
        <v>92565380</v>
      </c>
      <c r="J160" s="192" t="s">
        <v>559</v>
      </c>
    </row>
    <row r="161" spans="1:10" hidden="1" outlineLevel="1">
      <c r="A161" s="379" t="s">
        <v>494</v>
      </c>
      <c r="B161" s="197">
        <v>34475808</v>
      </c>
      <c r="C161" s="198">
        <v>0</v>
      </c>
      <c r="D161" s="198">
        <v>0</v>
      </c>
      <c r="E161" s="198">
        <v>0</v>
      </c>
      <c r="F161" s="197">
        <v>0</v>
      </c>
      <c r="G161" s="197">
        <v>0</v>
      </c>
      <c r="H161" s="197">
        <v>0</v>
      </c>
      <c r="I161" s="348">
        <f t="shared" si="3"/>
        <v>34475808</v>
      </c>
      <c r="J161" s="192" t="s">
        <v>495</v>
      </c>
    </row>
    <row r="162" spans="1:10" hidden="1" outlineLevel="1">
      <c r="A162" s="380" t="s">
        <v>664</v>
      </c>
      <c r="B162" s="197">
        <v>51359189</v>
      </c>
      <c r="C162" s="198">
        <v>435166</v>
      </c>
      <c r="D162" s="198">
        <v>0</v>
      </c>
      <c r="E162" s="198">
        <v>0</v>
      </c>
      <c r="F162" s="197">
        <v>0</v>
      </c>
      <c r="G162" s="197">
        <v>0</v>
      </c>
      <c r="H162" s="197">
        <v>0</v>
      </c>
      <c r="I162" s="348">
        <f t="shared" si="3"/>
        <v>51794355</v>
      </c>
      <c r="J162" s="192" t="s">
        <v>665</v>
      </c>
    </row>
    <row r="163" spans="1:10" hidden="1" outlineLevel="1">
      <c r="A163" s="380" t="s">
        <v>476</v>
      </c>
      <c r="B163" s="197">
        <v>134658143</v>
      </c>
      <c r="C163" s="198">
        <v>1016848</v>
      </c>
      <c r="D163" s="198">
        <v>0</v>
      </c>
      <c r="E163" s="198">
        <v>0</v>
      </c>
      <c r="F163" s="197">
        <v>0</v>
      </c>
      <c r="G163" s="197">
        <v>0</v>
      </c>
      <c r="H163" s="197">
        <v>0</v>
      </c>
      <c r="I163" s="348">
        <f t="shared" si="3"/>
        <v>135674991</v>
      </c>
      <c r="J163" s="192" t="s">
        <v>477</v>
      </c>
    </row>
    <row r="164" spans="1:10" hidden="1" outlineLevel="1">
      <c r="A164" s="379" t="s">
        <v>696</v>
      </c>
      <c r="B164" s="197">
        <v>91945242</v>
      </c>
      <c r="C164" s="198">
        <v>567868</v>
      </c>
      <c r="D164" s="198">
        <v>0</v>
      </c>
      <c r="E164" s="198">
        <v>0</v>
      </c>
      <c r="F164" s="197">
        <v>0</v>
      </c>
      <c r="G164" s="197">
        <v>0</v>
      </c>
      <c r="H164" s="197">
        <v>0</v>
      </c>
      <c r="I164" s="348">
        <f t="shared" si="3"/>
        <v>92513110</v>
      </c>
      <c r="J164" s="192" t="s">
        <v>697</v>
      </c>
    </row>
    <row r="165" spans="1:10" hidden="1" outlineLevel="1">
      <c r="A165" s="380" t="s">
        <v>674</v>
      </c>
      <c r="B165" s="197">
        <v>137264347</v>
      </c>
      <c r="C165" s="198">
        <v>0</v>
      </c>
      <c r="D165" s="198">
        <v>0</v>
      </c>
      <c r="E165" s="198">
        <v>0</v>
      </c>
      <c r="F165" s="197">
        <v>0</v>
      </c>
      <c r="G165" s="197">
        <v>0</v>
      </c>
      <c r="H165" s="197">
        <v>0</v>
      </c>
      <c r="I165" s="348">
        <f t="shared" si="3"/>
        <v>137264347</v>
      </c>
      <c r="J165" s="192" t="s">
        <v>2190</v>
      </c>
    </row>
    <row r="166" spans="1:10" hidden="1" outlineLevel="1">
      <c r="A166" s="380" t="s">
        <v>592</v>
      </c>
      <c r="B166" s="197">
        <v>54176253</v>
      </c>
      <c r="C166" s="198">
        <v>192740</v>
      </c>
      <c r="D166" s="198">
        <v>0</v>
      </c>
      <c r="E166" s="198">
        <v>0</v>
      </c>
      <c r="F166" s="197">
        <v>0</v>
      </c>
      <c r="G166" s="197">
        <v>0</v>
      </c>
      <c r="H166" s="197">
        <v>0</v>
      </c>
      <c r="I166" s="348">
        <f t="shared" si="3"/>
        <v>54368993</v>
      </c>
      <c r="J166" s="192" t="s">
        <v>593</v>
      </c>
    </row>
    <row r="167" spans="1:10" hidden="1" outlineLevel="1">
      <c r="A167" s="379" t="s">
        <v>718</v>
      </c>
      <c r="B167" s="197">
        <v>27014063</v>
      </c>
      <c r="C167" s="198">
        <v>0</v>
      </c>
      <c r="D167" s="198">
        <v>0</v>
      </c>
      <c r="E167" s="198">
        <v>0</v>
      </c>
      <c r="F167" s="197">
        <v>0</v>
      </c>
      <c r="G167" s="197">
        <v>0</v>
      </c>
      <c r="H167" s="197">
        <v>0</v>
      </c>
      <c r="I167" s="348">
        <f t="shared" si="3"/>
        <v>27014063</v>
      </c>
      <c r="J167" s="192" t="s">
        <v>719</v>
      </c>
    </row>
    <row r="168" spans="1:10" hidden="1" outlineLevel="1">
      <c r="A168" s="380" t="s">
        <v>690</v>
      </c>
      <c r="B168" s="197">
        <v>35304019</v>
      </c>
      <c r="C168" s="198">
        <v>0</v>
      </c>
      <c r="D168" s="198">
        <v>0</v>
      </c>
      <c r="E168" s="198">
        <v>0</v>
      </c>
      <c r="F168" s="197">
        <v>0</v>
      </c>
      <c r="G168" s="197">
        <v>0</v>
      </c>
      <c r="H168" s="197">
        <v>0</v>
      </c>
      <c r="I168" s="348">
        <f t="shared" si="3"/>
        <v>35304019</v>
      </c>
      <c r="J168" s="192" t="s">
        <v>691</v>
      </c>
    </row>
    <row r="169" spans="1:10" hidden="1" outlineLevel="1">
      <c r="A169" s="380" t="s">
        <v>566</v>
      </c>
      <c r="B169" s="197">
        <v>24535492</v>
      </c>
      <c r="C169" s="198">
        <v>0</v>
      </c>
      <c r="D169" s="198">
        <v>0</v>
      </c>
      <c r="E169" s="198">
        <v>0</v>
      </c>
      <c r="F169" s="197">
        <v>0</v>
      </c>
      <c r="G169" s="197">
        <v>0</v>
      </c>
      <c r="H169" s="197">
        <v>0</v>
      </c>
      <c r="I169" s="348">
        <f t="shared" si="3"/>
        <v>24535492</v>
      </c>
      <c r="J169" s="192" t="s">
        <v>567</v>
      </c>
    </row>
    <row r="170" spans="1:10" hidden="1" outlineLevel="1">
      <c r="A170" s="379" t="s">
        <v>672</v>
      </c>
      <c r="B170" s="197">
        <v>57443264</v>
      </c>
      <c r="C170" s="198">
        <v>0</v>
      </c>
      <c r="D170" s="198">
        <v>0</v>
      </c>
      <c r="E170" s="198">
        <v>0</v>
      </c>
      <c r="F170" s="197">
        <v>0</v>
      </c>
      <c r="G170" s="197">
        <v>0</v>
      </c>
      <c r="H170" s="197">
        <v>0</v>
      </c>
      <c r="I170" s="348">
        <f t="shared" si="3"/>
        <v>57443264</v>
      </c>
      <c r="J170" s="192" t="s">
        <v>673</v>
      </c>
    </row>
    <row r="171" spans="1:10" hidden="1" outlineLevel="1">
      <c r="A171" s="380" t="s">
        <v>496</v>
      </c>
      <c r="B171" s="197">
        <v>63684536</v>
      </c>
      <c r="C171" s="198">
        <v>0</v>
      </c>
      <c r="D171" s="198">
        <v>0</v>
      </c>
      <c r="E171" s="198">
        <v>0</v>
      </c>
      <c r="F171" s="197">
        <v>0</v>
      </c>
      <c r="G171" s="197">
        <v>0</v>
      </c>
      <c r="H171" s="197">
        <v>0</v>
      </c>
      <c r="I171" s="348">
        <f t="shared" si="3"/>
        <v>63684536</v>
      </c>
      <c r="J171" s="192" t="s">
        <v>497</v>
      </c>
    </row>
    <row r="172" spans="1:10" hidden="1" outlineLevel="1">
      <c r="A172" s="380" t="s">
        <v>700</v>
      </c>
      <c r="B172" s="197">
        <v>44497779</v>
      </c>
      <c r="C172" s="198">
        <v>0</v>
      </c>
      <c r="D172" s="198">
        <v>0</v>
      </c>
      <c r="E172" s="198">
        <v>0</v>
      </c>
      <c r="F172" s="197">
        <v>0</v>
      </c>
      <c r="G172" s="197">
        <v>0</v>
      </c>
      <c r="H172" s="197">
        <v>0</v>
      </c>
      <c r="I172" s="348">
        <f t="shared" si="3"/>
        <v>44497779</v>
      </c>
      <c r="J172" s="192" t="s">
        <v>701</v>
      </c>
    </row>
    <row r="173" spans="1:10" hidden="1" outlineLevel="1">
      <c r="A173" s="379" t="s">
        <v>654</v>
      </c>
      <c r="B173" s="197">
        <v>62911791</v>
      </c>
      <c r="C173" s="198">
        <v>448367</v>
      </c>
      <c r="D173" s="198">
        <v>0</v>
      </c>
      <c r="E173" s="198">
        <v>0</v>
      </c>
      <c r="F173" s="197">
        <v>0</v>
      </c>
      <c r="G173" s="197">
        <v>0</v>
      </c>
      <c r="H173" s="197">
        <v>0</v>
      </c>
      <c r="I173" s="348">
        <f t="shared" si="3"/>
        <v>63360158</v>
      </c>
      <c r="J173" s="192" t="s">
        <v>655</v>
      </c>
    </row>
    <row r="174" spans="1:10" hidden="1" outlineLevel="1">
      <c r="A174" s="379" t="s">
        <v>518</v>
      </c>
      <c r="B174" s="197">
        <v>244181815</v>
      </c>
      <c r="C174" s="198">
        <v>531602</v>
      </c>
      <c r="D174" s="198">
        <v>0</v>
      </c>
      <c r="E174" s="198">
        <v>0</v>
      </c>
      <c r="F174" s="197">
        <v>2670179</v>
      </c>
      <c r="G174" s="197">
        <v>0</v>
      </c>
      <c r="H174" s="197">
        <v>0</v>
      </c>
      <c r="I174" s="348">
        <f t="shared" si="3"/>
        <v>247383596</v>
      </c>
      <c r="J174" s="192" t="s">
        <v>519</v>
      </c>
    </row>
    <row r="175" spans="1:10" hidden="1" outlineLevel="1">
      <c r="A175" s="379" t="s">
        <v>686</v>
      </c>
      <c r="B175" s="197">
        <v>2798124917</v>
      </c>
      <c r="C175" s="198">
        <v>0</v>
      </c>
      <c r="D175" s="198">
        <v>0</v>
      </c>
      <c r="E175" s="198">
        <v>0</v>
      </c>
      <c r="F175" s="197">
        <v>0</v>
      </c>
      <c r="G175" s="197">
        <v>0</v>
      </c>
      <c r="H175" s="197">
        <v>0</v>
      </c>
      <c r="I175" s="348">
        <f t="shared" si="3"/>
        <v>2798124917</v>
      </c>
      <c r="J175" s="192" t="s">
        <v>687</v>
      </c>
    </row>
    <row r="176" spans="1:10" hidden="1" outlineLevel="1">
      <c r="A176" s="379" t="s">
        <v>2191</v>
      </c>
      <c r="B176" s="197">
        <v>7893140</v>
      </c>
      <c r="C176" s="198">
        <v>0</v>
      </c>
      <c r="D176" s="198">
        <v>0</v>
      </c>
      <c r="E176" s="198">
        <v>0</v>
      </c>
      <c r="F176" s="197">
        <v>0</v>
      </c>
      <c r="G176" s="197">
        <v>0</v>
      </c>
      <c r="H176" s="197">
        <v>0</v>
      </c>
      <c r="I176" s="348">
        <f t="shared" si="3"/>
        <v>7893140</v>
      </c>
      <c r="J176" s="192" t="s">
        <v>2192</v>
      </c>
    </row>
    <row r="177" spans="1:10" hidden="1" outlineLevel="1">
      <c r="A177" s="379" t="s">
        <v>536</v>
      </c>
      <c r="B177" s="197">
        <v>803671276</v>
      </c>
      <c r="C177" s="198">
        <v>0</v>
      </c>
      <c r="D177" s="198">
        <v>0</v>
      </c>
      <c r="E177" s="198">
        <v>0</v>
      </c>
      <c r="F177" s="197">
        <v>0</v>
      </c>
      <c r="G177" s="197">
        <v>0</v>
      </c>
      <c r="H177" s="197">
        <v>0</v>
      </c>
      <c r="I177" s="348">
        <f t="shared" si="3"/>
        <v>803671276</v>
      </c>
      <c r="J177" s="192" t="s">
        <v>537</v>
      </c>
    </row>
    <row r="178" spans="1:10" hidden="1" outlineLevel="1">
      <c r="A178" s="379" t="s">
        <v>1196</v>
      </c>
      <c r="B178" s="197">
        <v>35586538</v>
      </c>
      <c r="C178" s="198">
        <v>0</v>
      </c>
      <c r="D178" s="198">
        <v>0</v>
      </c>
      <c r="E178" s="198">
        <v>0</v>
      </c>
      <c r="F178" s="197">
        <v>0</v>
      </c>
      <c r="G178" s="197">
        <v>0</v>
      </c>
      <c r="H178" s="197">
        <v>0</v>
      </c>
      <c r="I178" s="348">
        <f t="shared" si="3"/>
        <v>35586538</v>
      </c>
      <c r="J178" s="192" t="s">
        <v>1197</v>
      </c>
    </row>
    <row r="179" spans="1:10" hidden="1" outlineLevel="1">
      <c r="A179" s="380"/>
      <c r="B179" s="197"/>
      <c r="C179" s="198"/>
      <c r="D179" s="198"/>
      <c r="E179" s="198"/>
      <c r="F179" s="197"/>
      <c r="G179" s="197"/>
      <c r="H179" s="197"/>
      <c r="I179" s="348">
        <f>+SUM(B179:H179)</f>
        <v>0</v>
      </c>
    </row>
    <row r="180" spans="1:10" collapsed="1">
      <c r="A180" s="378" t="s">
        <v>774</v>
      </c>
      <c r="B180" s="195">
        <f t="shared" ref="B180:H180" si="4">SUM(B181:B413)</f>
        <v>103993578545</v>
      </c>
      <c r="C180" s="195">
        <f t="shared" si="4"/>
        <v>112089745</v>
      </c>
      <c r="D180" s="195">
        <f t="shared" si="4"/>
        <v>835458636</v>
      </c>
      <c r="E180" s="195">
        <f t="shared" si="4"/>
        <v>0</v>
      </c>
      <c r="F180" s="195">
        <f t="shared" si="4"/>
        <v>4011300471</v>
      </c>
      <c r="G180" s="195">
        <f t="shared" si="4"/>
        <v>16506982</v>
      </c>
      <c r="H180" s="195">
        <f t="shared" si="4"/>
        <v>0</v>
      </c>
      <c r="I180" s="348">
        <f>SUM(B180:H180)</f>
        <v>108968934379</v>
      </c>
    </row>
    <row r="181" spans="1:10" hidden="1" outlineLevel="1">
      <c r="A181" s="379" t="s">
        <v>775</v>
      </c>
      <c r="B181" s="199">
        <v>91100022</v>
      </c>
      <c r="C181" s="200">
        <v>0</v>
      </c>
      <c r="D181" s="200">
        <v>0</v>
      </c>
      <c r="E181" s="200">
        <v>0</v>
      </c>
      <c r="F181" s="200">
        <v>0</v>
      </c>
      <c r="G181" s="200">
        <v>0</v>
      </c>
      <c r="H181" s="200">
        <v>0</v>
      </c>
      <c r="I181" s="348">
        <f t="shared" ref="I181:I250" si="5">SUM(B181:H181)</f>
        <v>91100022</v>
      </c>
      <c r="J181" s="192" t="s">
        <v>776</v>
      </c>
    </row>
    <row r="182" spans="1:10" hidden="1" outlineLevel="1">
      <c r="A182" s="379" t="s">
        <v>456</v>
      </c>
      <c r="B182" s="199">
        <v>103801309</v>
      </c>
      <c r="C182" s="200">
        <v>0</v>
      </c>
      <c r="D182" s="200">
        <v>0</v>
      </c>
      <c r="E182" s="200">
        <v>0</v>
      </c>
      <c r="F182" s="200">
        <v>0</v>
      </c>
      <c r="G182" s="200">
        <v>0</v>
      </c>
      <c r="H182" s="200">
        <v>0</v>
      </c>
      <c r="I182" s="348">
        <f t="shared" si="5"/>
        <v>103801309</v>
      </c>
      <c r="J182" s="192" t="s">
        <v>457</v>
      </c>
    </row>
    <row r="183" spans="1:10" hidden="1" outlineLevel="1">
      <c r="A183" s="379" t="s">
        <v>777</v>
      </c>
      <c r="B183" s="199">
        <v>120272069</v>
      </c>
      <c r="C183" s="200">
        <v>0</v>
      </c>
      <c r="D183" s="200">
        <v>0</v>
      </c>
      <c r="E183" s="200">
        <v>0</v>
      </c>
      <c r="F183" s="200">
        <v>0</v>
      </c>
      <c r="G183" s="200">
        <v>0</v>
      </c>
      <c r="H183" s="200">
        <v>0</v>
      </c>
      <c r="I183" s="348">
        <f t="shared" si="5"/>
        <v>120272069</v>
      </c>
      <c r="J183" s="192" t="s">
        <v>778</v>
      </c>
    </row>
    <row r="184" spans="1:10" hidden="1" outlineLevel="1">
      <c r="A184" s="379" t="s">
        <v>779</v>
      </c>
      <c r="B184" s="199">
        <v>297961965</v>
      </c>
      <c r="C184" s="200">
        <v>2908744</v>
      </c>
      <c r="D184" s="200">
        <v>0</v>
      </c>
      <c r="E184" s="200">
        <v>0</v>
      </c>
      <c r="F184" s="200">
        <v>0</v>
      </c>
      <c r="G184" s="200">
        <v>0</v>
      </c>
      <c r="H184" s="200">
        <v>0</v>
      </c>
      <c r="I184" s="348">
        <f t="shared" si="5"/>
        <v>300870709</v>
      </c>
      <c r="J184" s="192" t="s">
        <v>780</v>
      </c>
    </row>
    <row r="185" spans="1:10" hidden="1" outlineLevel="1">
      <c r="A185" s="379" t="s">
        <v>781</v>
      </c>
      <c r="B185" s="199">
        <v>923026313</v>
      </c>
      <c r="C185" s="200">
        <v>0</v>
      </c>
      <c r="D185" s="200">
        <v>0</v>
      </c>
      <c r="E185" s="200">
        <v>0</v>
      </c>
      <c r="F185" s="200">
        <v>7997599</v>
      </c>
      <c r="G185" s="200">
        <v>0</v>
      </c>
      <c r="H185" s="200">
        <v>0</v>
      </c>
      <c r="I185" s="348">
        <f t="shared" si="5"/>
        <v>931023912</v>
      </c>
      <c r="J185" s="192" t="s">
        <v>782</v>
      </c>
    </row>
    <row r="186" spans="1:10" hidden="1" outlineLevel="1">
      <c r="A186" s="379" t="s">
        <v>783</v>
      </c>
      <c r="B186" s="199">
        <v>167777320</v>
      </c>
      <c r="C186" s="200">
        <v>0</v>
      </c>
      <c r="D186" s="200">
        <v>0</v>
      </c>
      <c r="E186" s="200">
        <v>0</v>
      </c>
      <c r="F186" s="200">
        <v>0</v>
      </c>
      <c r="G186" s="200">
        <v>0</v>
      </c>
      <c r="H186" s="200">
        <v>0</v>
      </c>
      <c r="I186" s="348">
        <f t="shared" si="5"/>
        <v>167777320</v>
      </c>
      <c r="J186" s="192" t="s">
        <v>784</v>
      </c>
    </row>
    <row r="187" spans="1:10" hidden="1" outlineLevel="1">
      <c r="A187" s="379" t="s">
        <v>785</v>
      </c>
      <c r="B187" s="199">
        <v>123932105</v>
      </c>
      <c r="C187" s="200">
        <v>0</v>
      </c>
      <c r="D187" s="200">
        <v>0</v>
      </c>
      <c r="E187" s="200">
        <v>0</v>
      </c>
      <c r="F187" s="200">
        <v>0</v>
      </c>
      <c r="G187" s="200">
        <v>0</v>
      </c>
      <c r="H187" s="200">
        <v>0</v>
      </c>
      <c r="I187" s="348">
        <f t="shared" si="5"/>
        <v>123932105</v>
      </c>
      <c r="J187" s="192" t="s">
        <v>786</v>
      </c>
    </row>
    <row r="188" spans="1:10" hidden="1" outlineLevel="1">
      <c r="A188" s="379" t="s">
        <v>787</v>
      </c>
      <c r="B188" s="199">
        <v>2384333318</v>
      </c>
      <c r="C188" s="200">
        <v>0</v>
      </c>
      <c r="D188" s="200">
        <v>0</v>
      </c>
      <c r="E188" s="200">
        <v>0</v>
      </c>
      <c r="F188" s="200">
        <v>0</v>
      </c>
      <c r="G188" s="200">
        <v>3570626</v>
      </c>
      <c r="H188" s="200">
        <v>0</v>
      </c>
      <c r="I188" s="348">
        <f t="shared" si="5"/>
        <v>2387903944</v>
      </c>
      <c r="J188" s="192" t="s">
        <v>788</v>
      </c>
    </row>
    <row r="189" spans="1:10" hidden="1" outlineLevel="1">
      <c r="A189" s="379" t="s">
        <v>789</v>
      </c>
      <c r="B189" s="199">
        <v>3567032101</v>
      </c>
      <c r="C189" s="200">
        <v>0</v>
      </c>
      <c r="D189" s="200">
        <v>0</v>
      </c>
      <c r="E189" s="200">
        <v>0</v>
      </c>
      <c r="F189" s="200">
        <v>1311168</v>
      </c>
      <c r="G189" s="200">
        <v>0</v>
      </c>
      <c r="H189" s="200">
        <v>0</v>
      </c>
      <c r="I189" s="348">
        <f t="shared" si="5"/>
        <v>3568343269</v>
      </c>
      <c r="J189" s="192" t="s">
        <v>790</v>
      </c>
    </row>
    <row r="190" spans="1:10" hidden="1" outlineLevel="1">
      <c r="A190" s="379" t="s">
        <v>791</v>
      </c>
      <c r="B190" s="199">
        <v>122351347</v>
      </c>
      <c r="C190" s="200">
        <v>592318</v>
      </c>
      <c r="D190" s="200">
        <v>0</v>
      </c>
      <c r="E190" s="200">
        <v>0</v>
      </c>
      <c r="F190" s="200">
        <v>0</v>
      </c>
      <c r="G190" s="200">
        <v>0</v>
      </c>
      <c r="H190" s="200">
        <v>0</v>
      </c>
      <c r="I190" s="348">
        <f t="shared" si="5"/>
        <v>122943665</v>
      </c>
      <c r="J190" s="192" t="s">
        <v>792</v>
      </c>
    </row>
    <row r="191" spans="1:10" hidden="1" outlineLevel="1">
      <c r="A191" s="379" t="s">
        <v>793</v>
      </c>
      <c r="B191" s="199">
        <v>148475583</v>
      </c>
      <c r="C191" s="200">
        <v>0</v>
      </c>
      <c r="D191" s="200">
        <v>0</v>
      </c>
      <c r="E191" s="200">
        <v>0</v>
      </c>
      <c r="F191" s="200">
        <v>0</v>
      </c>
      <c r="G191" s="200">
        <v>0</v>
      </c>
      <c r="H191" s="200">
        <v>0</v>
      </c>
      <c r="I191" s="348">
        <f t="shared" si="5"/>
        <v>148475583</v>
      </c>
      <c r="J191" s="192" t="s">
        <v>794</v>
      </c>
    </row>
    <row r="192" spans="1:10" hidden="1" outlineLevel="1">
      <c r="A192" s="379" t="s">
        <v>795</v>
      </c>
      <c r="B192" s="199">
        <v>573930226</v>
      </c>
      <c r="C192" s="200">
        <v>57920</v>
      </c>
      <c r="D192" s="200">
        <v>0</v>
      </c>
      <c r="E192" s="200">
        <v>0</v>
      </c>
      <c r="F192" s="200">
        <v>0</v>
      </c>
      <c r="G192" s="200">
        <v>0</v>
      </c>
      <c r="H192" s="200">
        <v>0</v>
      </c>
      <c r="I192" s="348">
        <f t="shared" si="5"/>
        <v>573988146</v>
      </c>
      <c r="J192" s="192" t="s">
        <v>796</v>
      </c>
    </row>
    <row r="193" spans="1:10" hidden="1" outlineLevel="1">
      <c r="A193" s="379" t="s">
        <v>797</v>
      </c>
      <c r="B193" s="199">
        <v>352546810</v>
      </c>
      <c r="C193" s="200">
        <v>0</v>
      </c>
      <c r="D193" s="200">
        <v>0</v>
      </c>
      <c r="E193" s="200">
        <v>0</v>
      </c>
      <c r="F193" s="200">
        <v>0</v>
      </c>
      <c r="G193" s="200">
        <v>0</v>
      </c>
      <c r="H193" s="200">
        <v>0</v>
      </c>
      <c r="I193" s="348">
        <f t="shared" si="5"/>
        <v>352546810</v>
      </c>
      <c r="J193" s="192" t="s">
        <v>798</v>
      </c>
    </row>
    <row r="194" spans="1:10" hidden="1" outlineLevel="1">
      <c r="A194" s="379" t="s">
        <v>799</v>
      </c>
      <c r="B194" s="199">
        <v>50803789</v>
      </c>
      <c r="C194" s="200">
        <v>0</v>
      </c>
      <c r="D194" s="200">
        <v>0</v>
      </c>
      <c r="E194" s="200">
        <v>0</v>
      </c>
      <c r="F194" s="200">
        <v>0</v>
      </c>
      <c r="G194" s="200">
        <v>0</v>
      </c>
      <c r="H194" s="200">
        <v>0</v>
      </c>
      <c r="I194" s="348">
        <f t="shared" si="5"/>
        <v>50803789</v>
      </c>
      <c r="J194" s="192" t="s">
        <v>800</v>
      </c>
    </row>
    <row r="195" spans="1:10" hidden="1" outlineLevel="1">
      <c r="A195" s="379" t="s">
        <v>801</v>
      </c>
      <c r="B195" s="199">
        <v>32727327</v>
      </c>
      <c r="C195" s="200">
        <v>0</v>
      </c>
      <c r="D195" s="200">
        <v>0</v>
      </c>
      <c r="E195" s="200">
        <v>0</v>
      </c>
      <c r="F195" s="200">
        <v>0</v>
      </c>
      <c r="G195" s="200">
        <v>0</v>
      </c>
      <c r="H195" s="200">
        <v>0</v>
      </c>
      <c r="I195" s="348">
        <f t="shared" si="5"/>
        <v>32727327</v>
      </c>
      <c r="J195" s="192" t="s">
        <v>802</v>
      </c>
    </row>
    <row r="196" spans="1:10" hidden="1" outlineLevel="1">
      <c r="A196" s="379" t="s">
        <v>803</v>
      </c>
      <c r="B196" s="199">
        <v>1223184700</v>
      </c>
      <c r="C196" s="200">
        <v>2532040</v>
      </c>
      <c r="D196" s="200">
        <v>0</v>
      </c>
      <c r="E196" s="200">
        <v>0</v>
      </c>
      <c r="F196" s="200">
        <v>2808438</v>
      </c>
      <c r="G196" s="200">
        <v>0</v>
      </c>
      <c r="H196" s="200">
        <v>0</v>
      </c>
      <c r="I196" s="348">
        <f t="shared" si="5"/>
        <v>1228525178</v>
      </c>
      <c r="J196" s="192" t="s">
        <v>804</v>
      </c>
    </row>
    <row r="197" spans="1:10" hidden="1" outlineLevel="1">
      <c r="A197" s="379" t="s">
        <v>805</v>
      </c>
      <c r="B197" s="199">
        <v>122640960</v>
      </c>
      <c r="C197" s="200">
        <v>177771</v>
      </c>
      <c r="D197" s="200">
        <v>0</v>
      </c>
      <c r="E197" s="200">
        <v>0</v>
      </c>
      <c r="F197" s="200">
        <v>0</v>
      </c>
      <c r="G197" s="200">
        <v>0</v>
      </c>
      <c r="H197" s="200">
        <v>0</v>
      </c>
      <c r="I197" s="348">
        <f t="shared" si="5"/>
        <v>122818731</v>
      </c>
      <c r="J197" s="192" t="s">
        <v>806</v>
      </c>
    </row>
    <row r="198" spans="1:10" hidden="1" outlineLevel="1">
      <c r="A198" s="379" t="s">
        <v>807</v>
      </c>
      <c r="B198" s="199">
        <v>958304774</v>
      </c>
      <c r="C198" s="200">
        <v>0</v>
      </c>
      <c r="D198" s="200">
        <v>0</v>
      </c>
      <c r="E198" s="200">
        <v>0</v>
      </c>
      <c r="F198" s="200">
        <v>0</v>
      </c>
      <c r="G198" s="200">
        <v>0</v>
      </c>
      <c r="H198" s="200">
        <v>0</v>
      </c>
      <c r="I198" s="348">
        <f t="shared" si="5"/>
        <v>958304774</v>
      </c>
      <c r="J198" s="192" t="s">
        <v>808</v>
      </c>
    </row>
    <row r="199" spans="1:10" hidden="1" outlineLevel="1">
      <c r="A199" s="379" t="s">
        <v>809</v>
      </c>
      <c r="B199" s="199">
        <v>181447356</v>
      </c>
      <c r="C199" s="200">
        <v>0</v>
      </c>
      <c r="D199" s="200">
        <v>0</v>
      </c>
      <c r="E199" s="200">
        <v>0</v>
      </c>
      <c r="F199" s="200">
        <v>0</v>
      </c>
      <c r="G199" s="200">
        <v>0</v>
      </c>
      <c r="H199" s="200">
        <v>0</v>
      </c>
      <c r="I199" s="348">
        <f t="shared" si="5"/>
        <v>181447356</v>
      </c>
      <c r="J199" s="192" t="s">
        <v>810</v>
      </c>
    </row>
    <row r="200" spans="1:10" hidden="1" outlineLevel="1">
      <c r="A200" s="379" t="s">
        <v>811</v>
      </c>
      <c r="B200" s="199">
        <v>1394110887</v>
      </c>
      <c r="C200" s="200">
        <v>0</v>
      </c>
      <c r="D200" s="200">
        <v>0</v>
      </c>
      <c r="E200" s="200">
        <v>0</v>
      </c>
      <c r="F200" s="200">
        <v>4308905</v>
      </c>
      <c r="G200" s="200">
        <v>0</v>
      </c>
      <c r="H200" s="200">
        <v>0</v>
      </c>
      <c r="I200" s="348">
        <f t="shared" si="5"/>
        <v>1398419792</v>
      </c>
      <c r="J200" s="192" t="s">
        <v>812</v>
      </c>
    </row>
    <row r="201" spans="1:10" hidden="1" outlineLevel="1">
      <c r="A201" s="379" t="s">
        <v>813</v>
      </c>
      <c r="B201" s="199">
        <v>9893545</v>
      </c>
      <c r="C201" s="200">
        <v>153606</v>
      </c>
      <c r="D201" s="200">
        <v>0</v>
      </c>
      <c r="E201" s="200">
        <v>0</v>
      </c>
      <c r="F201" s="200">
        <v>0</v>
      </c>
      <c r="G201" s="200">
        <v>0</v>
      </c>
      <c r="H201" s="200">
        <v>0</v>
      </c>
      <c r="I201" s="348">
        <f t="shared" si="5"/>
        <v>10047151</v>
      </c>
      <c r="J201" s="192" t="s">
        <v>814</v>
      </c>
    </row>
    <row r="202" spans="1:10" hidden="1" outlineLevel="1">
      <c r="A202" s="379" t="s">
        <v>815</v>
      </c>
      <c r="B202" s="199">
        <v>224061887</v>
      </c>
      <c r="C202" s="200">
        <v>0</v>
      </c>
      <c r="D202" s="200">
        <v>0</v>
      </c>
      <c r="E202" s="200">
        <v>0</v>
      </c>
      <c r="F202" s="200">
        <v>0</v>
      </c>
      <c r="G202" s="200">
        <v>0</v>
      </c>
      <c r="H202" s="200">
        <v>0</v>
      </c>
      <c r="I202" s="348">
        <f t="shared" si="5"/>
        <v>224061887</v>
      </c>
      <c r="J202" s="192" t="s">
        <v>816</v>
      </c>
    </row>
    <row r="203" spans="1:10" hidden="1" outlineLevel="1">
      <c r="A203" s="379" t="s">
        <v>817</v>
      </c>
      <c r="B203" s="199">
        <v>107370965</v>
      </c>
      <c r="C203" s="200">
        <v>0</v>
      </c>
      <c r="D203" s="200">
        <v>0</v>
      </c>
      <c r="E203" s="200">
        <v>0</v>
      </c>
      <c r="F203" s="200">
        <v>0</v>
      </c>
      <c r="G203" s="200">
        <v>0</v>
      </c>
      <c r="H203" s="200">
        <v>0</v>
      </c>
      <c r="I203" s="348">
        <f t="shared" si="5"/>
        <v>107370965</v>
      </c>
      <c r="J203" s="192" t="s">
        <v>818</v>
      </c>
    </row>
    <row r="204" spans="1:10" hidden="1" outlineLevel="1">
      <c r="A204" s="379" t="s">
        <v>819</v>
      </c>
      <c r="B204" s="199">
        <v>5439005702</v>
      </c>
      <c r="C204" s="200">
        <v>0</v>
      </c>
      <c r="D204" s="200">
        <v>0</v>
      </c>
      <c r="E204" s="200">
        <v>0</v>
      </c>
      <c r="F204" s="200">
        <v>6226536</v>
      </c>
      <c r="G204" s="200">
        <v>0</v>
      </c>
      <c r="H204" s="200">
        <v>0</v>
      </c>
      <c r="I204" s="348">
        <f t="shared" si="5"/>
        <v>5445232238</v>
      </c>
      <c r="J204" s="192" t="s">
        <v>820</v>
      </c>
    </row>
    <row r="205" spans="1:10" hidden="1" outlineLevel="1">
      <c r="A205" s="379" t="s">
        <v>821</v>
      </c>
      <c r="B205" s="199">
        <v>70723440</v>
      </c>
      <c r="C205" s="200">
        <v>38460</v>
      </c>
      <c r="D205" s="200">
        <v>0</v>
      </c>
      <c r="E205" s="200">
        <v>0</v>
      </c>
      <c r="F205" s="200">
        <v>0</v>
      </c>
      <c r="G205" s="200">
        <v>0</v>
      </c>
      <c r="H205" s="200">
        <v>0</v>
      </c>
      <c r="I205" s="348">
        <f t="shared" si="5"/>
        <v>70761900</v>
      </c>
      <c r="J205" s="192" t="s">
        <v>822</v>
      </c>
    </row>
    <row r="206" spans="1:10" hidden="1" outlineLevel="1">
      <c r="A206" s="379" t="s">
        <v>823</v>
      </c>
      <c r="B206" s="199">
        <v>256033564</v>
      </c>
      <c r="C206" s="200">
        <v>0</v>
      </c>
      <c r="D206" s="200">
        <v>0</v>
      </c>
      <c r="E206" s="200">
        <v>0</v>
      </c>
      <c r="F206" s="200">
        <v>0</v>
      </c>
      <c r="G206" s="200">
        <v>0</v>
      </c>
      <c r="H206" s="200">
        <v>0</v>
      </c>
      <c r="I206" s="348">
        <f t="shared" si="5"/>
        <v>256033564</v>
      </c>
      <c r="J206" s="192" t="s">
        <v>824</v>
      </c>
    </row>
    <row r="207" spans="1:10" hidden="1" outlineLevel="1">
      <c r="A207" s="379" t="s">
        <v>825</v>
      </c>
      <c r="B207" s="199">
        <v>28268582</v>
      </c>
      <c r="C207" s="200">
        <v>208898</v>
      </c>
      <c r="D207" s="200">
        <v>0</v>
      </c>
      <c r="E207" s="200">
        <v>0</v>
      </c>
      <c r="F207" s="200">
        <v>0</v>
      </c>
      <c r="G207" s="200">
        <v>0</v>
      </c>
      <c r="H207" s="200">
        <v>0</v>
      </c>
      <c r="I207" s="348">
        <f t="shared" si="5"/>
        <v>28477480</v>
      </c>
      <c r="J207" s="192" t="s">
        <v>826</v>
      </c>
    </row>
    <row r="208" spans="1:10" hidden="1" outlineLevel="1">
      <c r="A208" s="379" t="s">
        <v>827</v>
      </c>
      <c r="B208" s="199">
        <v>4768230</v>
      </c>
      <c r="C208" s="200">
        <v>0</v>
      </c>
      <c r="D208" s="200">
        <v>0</v>
      </c>
      <c r="E208" s="200">
        <v>0</v>
      </c>
      <c r="F208" s="200">
        <v>0</v>
      </c>
      <c r="G208" s="200">
        <v>0</v>
      </c>
      <c r="H208" s="200">
        <v>0</v>
      </c>
      <c r="I208" s="348">
        <f t="shared" si="5"/>
        <v>4768230</v>
      </c>
      <c r="J208" s="192" t="s">
        <v>828</v>
      </c>
    </row>
    <row r="209" spans="1:10" hidden="1" outlineLevel="1">
      <c r="A209" s="379" t="s">
        <v>829</v>
      </c>
      <c r="B209" s="199">
        <v>290355570</v>
      </c>
      <c r="C209" s="200">
        <v>3609759</v>
      </c>
      <c r="D209" s="200">
        <v>0</v>
      </c>
      <c r="E209" s="200">
        <v>0</v>
      </c>
      <c r="F209" s="200">
        <v>0</v>
      </c>
      <c r="G209" s="200">
        <v>0</v>
      </c>
      <c r="H209" s="200">
        <v>0</v>
      </c>
      <c r="I209" s="348">
        <f t="shared" si="5"/>
        <v>293965329</v>
      </c>
      <c r="J209" s="192" t="s">
        <v>830</v>
      </c>
    </row>
    <row r="210" spans="1:10" hidden="1" outlineLevel="1">
      <c r="A210" s="379" t="s">
        <v>831</v>
      </c>
      <c r="B210" s="199">
        <v>29897176</v>
      </c>
      <c r="C210" s="200">
        <v>206920</v>
      </c>
      <c r="D210" s="200">
        <v>0</v>
      </c>
      <c r="E210" s="200">
        <v>0</v>
      </c>
      <c r="F210" s="200">
        <v>0</v>
      </c>
      <c r="G210" s="200">
        <v>0</v>
      </c>
      <c r="H210" s="200">
        <v>0</v>
      </c>
      <c r="I210" s="348">
        <f t="shared" si="5"/>
        <v>30104096</v>
      </c>
      <c r="J210" s="192" t="s">
        <v>832</v>
      </c>
    </row>
    <row r="211" spans="1:10" hidden="1" outlineLevel="1">
      <c r="A211" s="379" t="s">
        <v>833</v>
      </c>
      <c r="B211" s="199">
        <v>2081204201</v>
      </c>
      <c r="C211" s="200">
        <v>0</v>
      </c>
      <c r="D211" s="200">
        <v>0</v>
      </c>
      <c r="E211" s="200">
        <v>0</v>
      </c>
      <c r="F211" s="200">
        <v>0</v>
      </c>
      <c r="G211" s="200">
        <v>0</v>
      </c>
      <c r="H211" s="200">
        <v>0</v>
      </c>
      <c r="I211" s="348">
        <f t="shared" si="5"/>
        <v>2081204201</v>
      </c>
      <c r="J211" s="192" t="s">
        <v>834</v>
      </c>
    </row>
    <row r="212" spans="1:10" hidden="1" outlineLevel="1">
      <c r="A212" s="379" t="s">
        <v>835</v>
      </c>
      <c r="B212" s="199">
        <v>5908079</v>
      </c>
      <c r="C212" s="200">
        <v>0</v>
      </c>
      <c r="D212" s="200">
        <v>0</v>
      </c>
      <c r="E212" s="200">
        <v>0</v>
      </c>
      <c r="F212" s="200">
        <v>0</v>
      </c>
      <c r="G212" s="200">
        <v>0</v>
      </c>
      <c r="H212" s="200">
        <v>0</v>
      </c>
      <c r="I212" s="348">
        <f t="shared" si="5"/>
        <v>5908079</v>
      </c>
      <c r="J212" s="192" t="s">
        <v>836</v>
      </c>
    </row>
    <row r="213" spans="1:10" hidden="1" outlineLevel="1">
      <c r="A213" s="379" t="s">
        <v>837</v>
      </c>
      <c r="B213" s="199">
        <v>107375610</v>
      </c>
      <c r="C213" s="200">
        <v>0</v>
      </c>
      <c r="D213" s="200">
        <v>0</v>
      </c>
      <c r="E213" s="200">
        <v>0</v>
      </c>
      <c r="F213" s="200">
        <v>0</v>
      </c>
      <c r="G213" s="200">
        <v>0</v>
      </c>
      <c r="H213" s="200">
        <v>0</v>
      </c>
      <c r="I213" s="348">
        <f t="shared" si="5"/>
        <v>107375610</v>
      </c>
      <c r="J213" s="192" t="s">
        <v>838</v>
      </c>
    </row>
    <row r="214" spans="1:10" hidden="1" outlineLevel="1">
      <c r="A214" s="379" t="s">
        <v>839</v>
      </c>
      <c r="B214" s="199">
        <v>22193587774</v>
      </c>
      <c r="C214" s="200">
        <v>0</v>
      </c>
      <c r="D214" s="200">
        <v>75376035</v>
      </c>
      <c r="E214" s="200">
        <v>0</v>
      </c>
      <c r="F214" s="200">
        <v>46596836</v>
      </c>
      <c r="G214" s="200">
        <v>0</v>
      </c>
      <c r="H214" s="200">
        <v>0</v>
      </c>
      <c r="I214" s="348">
        <f t="shared" si="5"/>
        <v>22315560645</v>
      </c>
      <c r="J214" s="192" t="s">
        <v>840</v>
      </c>
    </row>
    <row r="215" spans="1:10" hidden="1" outlineLevel="1">
      <c r="A215" s="379" t="s">
        <v>841</v>
      </c>
      <c r="B215" s="199">
        <v>136821001</v>
      </c>
      <c r="C215" s="200">
        <v>0</v>
      </c>
      <c r="D215" s="200">
        <v>0</v>
      </c>
      <c r="E215" s="200">
        <v>0</v>
      </c>
      <c r="F215" s="200">
        <v>0</v>
      </c>
      <c r="G215" s="200">
        <v>0</v>
      </c>
      <c r="H215" s="200">
        <v>0</v>
      </c>
      <c r="I215" s="348">
        <f t="shared" si="5"/>
        <v>136821001</v>
      </c>
      <c r="J215" s="192" t="s">
        <v>842</v>
      </c>
    </row>
    <row r="216" spans="1:10" hidden="1" outlineLevel="1">
      <c r="A216" s="379" t="s">
        <v>843</v>
      </c>
      <c r="B216" s="199">
        <v>16566245</v>
      </c>
      <c r="C216" s="200">
        <v>0</v>
      </c>
      <c r="D216" s="200">
        <v>0</v>
      </c>
      <c r="E216" s="200">
        <v>0</v>
      </c>
      <c r="F216" s="200">
        <v>0</v>
      </c>
      <c r="G216" s="200">
        <v>0</v>
      </c>
      <c r="H216" s="200">
        <v>0</v>
      </c>
      <c r="I216" s="348">
        <f t="shared" si="5"/>
        <v>16566245</v>
      </c>
      <c r="J216" s="192" t="s">
        <v>844</v>
      </c>
    </row>
    <row r="217" spans="1:10" hidden="1" outlineLevel="1">
      <c r="A217" s="379" t="s">
        <v>845</v>
      </c>
      <c r="B217" s="199">
        <v>58656047</v>
      </c>
      <c r="C217" s="200">
        <v>567627</v>
      </c>
      <c r="D217" s="200">
        <v>0</v>
      </c>
      <c r="E217" s="200">
        <v>0</v>
      </c>
      <c r="F217" s="200">
        <v>0</v>
      </c>
      <c r="G217" s="200">
        <v>0</v>
      </c>
      <c r="H217" s="200">
        <v>0</v>
      </c>
      <c r="I217" s="348">
        <f t="shared" si="5"/>
        <v>59223674</v>
      </c>
      <c r="J217" s="192" t="s">
        <v>846</v>
      </c>
    </row>
    <row r="218" spans="1:10" hidden="1" outlineLevel="1">
      <c r="A218" s="379" t="s">
        <v>847</v>
      </c>
      <c r="B218" s="199">
        <v>1200465146</v>
      </c>
      <c r="C218" s="200">
        <v>0</v>
      </c>
      <c r="D218" s="200">
        <v>25240335</v>
      </c>
      <c r="E218" s="200">
        <v>0</v>
      </c>
      <c r="F218" s="200">
        <v>26133166</v>
      </c>
      <c r="G218" s="200">
        <v>0</v>
      </c>
      <c r="H218" s="200">
        <v>0</v>
      </c>
      <c r="I218" s="348">
        <f t="shared" si="5"/>
        <v>1251838647</v>
      </c>
      <c r="J218" s="192" t="s">
        <v>848</v>
      </c>
    </row>
    <row r="219" spans="1:10" hidden="1" outlineLevel="1">
      <c r="A219" s="379" t="s">
        <v>849</v>
      </c>
      <c r="B219" s="199">
        <v>180772100</v>
      </c>
      <c r="C219" s="200">
        <v>0</v>
      </c>
      <c r="D219" s="200">
        <v>0</v>
      </c>
      <c r="E219" s="200">
        <v>0</v>
      </c>
      <c r="F219" s="200">
        <v>0</v>
      </c>
      <c r="G219" s="200">
        <v>0</v>
      </c>
      <c r="H219" s="200">
        <v>0</v>
      </c>
      <c r="I219" s="348">
        <f t="shared" si="5"/>
        <v>180772100</v>
      </c>
      <c r="J219" s="192" t="s">
        <v>850</v>
      </c>
    </row>
    <row r="220" spans="1:10" hidden="1" outlineLevel="1">
      <c r="A220" s="379" t="s">
        <v>851</v>
      </c>
      <c r="B220" s="199">
        <v>117521440</v>
      </c>
      <c r="C220" s="200">
        <v>70843</v>
      </c>
      <c r="D220" s="200">
        <v>0</v>
      </c>
      <c r="E220" s="200">
        <v>0</v>
      </c>
      <c r="F220" s="200">
        <v>0</v>
      </c>
      <c r="G220" s="200">
        <v>0</v>
      </c>
      <c r="H220" s="200">
        <v>0</v>
      </c>
      <c r="I220" s="348">
        <f t="shared" si="5"/>
        <v>117592283</v>
      </c>
      <c r="J220" s="192" t="s">
        <v>852</v>
      </c>
    </row>
    <row r="221" spans="1:10" hidden="1" outlineLevel="1">
      <c r="A221" s="379" t="s">
        <v>853</v>
      </c>
      <c r="B221" s="199">
        <v>6489294677</v>
      </c>
      <c r="C221" s="200">
        <v>0</v>
      </c>
      <c r="D221" s="200">
        <v>0</v>
      </c>
      <c r="E221" s="200">
        <v>0</v>
      </c>
      <c r="F221" s="200">
        <v>108823711</v>
      </c>
      <c r="G221" s="200">
        <v>1420589</v>
      </c>
      <c r="H221" s="200">
        <v>0</v>
      </c>
      <c r="I221" s="348">
        <f t="shared" si="5"/>
        <v>6599538977</v>
      </c>
      <c r="J221" s="192" t="s">
        <v>854</v>
      </c>
    </row>
    <row r="222" spans="1:10" hidden="1" outlineLevel="1">
      <c r="A222" s="379" t="s">
        <v>855</v>
      </c>
      <c r="B222" s="199">
        <v>339535898</v>
      </c>
      <c r="C222" s="200">
        <v>0</v>
      </c>
      <c r="D222" s="200">
        <v>0</v>
      </c>
      <c r="E222" s="200">
        <v>0</v>
      </c>
      <c r="F222" s="200">
        <v>0</v>
      </c>
      <c r="G222" s="200">
        <v>0</v>
      </c>
      <c r="H222" s="200">
        <v>0</v>
      </c>
      <c r="I222" s="348">
        <f t="shared" si="5"/>
        <v>339535898</v>
      </c>
      <c r="J222" s="192" t="s">
        <v>856</v>
      </c>
    </row>
    <row r="223" spans="1:10" hidden="1" outlineLevel="1">
      <c r="A223" s="379" t="s">
        <v>857</v>
      </c>
      <c r="B223" s="199">
        <v>68624135</v>
      </c>
      <c r="C223" s="200">
        <v>0</v>
      </c>
      <c r="D223" s="200">
        <v>0</v>
      </c>
      <c r="E223" s="200">
        <v>0</v>
      </c>
      <c r="F223" s="200">
        <v>0</v>
      </c>
      <c r="G223" s="200">
        <v>0</v>
      </c>
      <c r="H223" s="200">
        <v>0</v>
      </c>
      <c r="I223" s="348">
        <f t="shared" si="5"/>
        <v>68624135</v>
      </c>
      <c r="J223" s="192" t="s">
        <v>858</v>
      </c>
    </row>
    <row r="224" spans="1:10" hidden="1" outlineLevel="1">
      <c r="A224" s="379" t="s">
        <v>859</v>
      </c>
      <c r="B224" s="199">
        <v>438956779</v>
      </c>
      <c r="C224" s="200">
        <v>0</v>
      </c>
      <c r="D224" s="200">
        <v>0</v>
      </c>
      <c r="E224" s="200">
        <v>0</v>
      </c>
      <c r="F224" s="200">
        <v>0</v>
      </c>
      <c r="G224" s="200">
        <v>0</v>
      </c>
      <c r="H224" s="200">
        <v>0</v>
      </c>
      <c r="I224" s="348">
        <f t="shared" si="5"/>
        <v>438956779</v>
      </c>
      <c r="J224" s="192" t="s">
        <v>860</v>
      </c>
    </row>
    <row r="225" spans="1:10" hidden="1" outlineLevel="1">
      <c r="A225" s="379" t="s">
        <v>861</v>
      </c>
      <c r="B225" s="199">
        <v>18921600</v>
      </c>
      <c r="C225" s="200">
        <v>9954</v>
      </c>
      <c r="D225" s="200">
        <v>0</v>
      </c>
      <c r="E225" s="200">
        <v>0</v>
      </c>
      <c r="F225" s="200">
        <v>0</v>
      </c>
      <c r="G225" s="200">
        <v>0</v>
      </c>
      <c r="H225" s="200">
        <v>0</v>
      </c>
      <c r="I225" s="348">
        <f t="shared" si="5"/>
        <v>18931554</v>
      </c>
      <c r="J225" s="192" t="s">
        <v>862</v>
      </c>
    </row>
    <row r="226" spans="1:10" hidden="1" outlineLevel="1">
      <c r="A226" s="379" t="s">
        <v>863</v>
      </c>
      <c r="B226" s="199">
        <v>211346278</v>
      </c>
      <c r="C226" s="200">
        <v>0</v>
      </c>
      <c r="D226" s="200">
        <v>0</v>
      </c>
      <c r="E226" s="200">
        <v>0</v>
      </c>
      <c r="F226" s="200">
        <v>0</v>
      </c>
      <c r="G226" s="200">
        <v>0</v>
      </c>
      <c r="H226" s="200">
        <v>0</v>
      </c>
      <c r="I226" s="348">
        <f t="shared" si="5"/>
        <v>211346278</v>
      </c>
      <c r="J226" s="192" t="s">
        <v>864</v>
      </c>
    </row>
    <row r="227" spans="1:10" hidden="1" outlineLevel="1">
      <c r="A227" s="379" t="s">
        <v>865</v>
      </c>
      <c r="B227" s="199">
        <v>750996591</v>
      </c>
      <c r="C227" s="200">
        <v>7015715</v>
      </c>
      <c r="D227" s="200">
        <v>0</v>
      </c>
      <c r="E227" s="200">
        <v>0</v>
      </c>
      <c r="F227" s="200">
        <v>0</v>
      </c>
      <c r="G227" s="200">
        <v>0</v>
      </c>
      <c r="H227" s="200">
        <v>0</v>
      </c>
      <c r="I227" s="348">
        <f t="shared" si="5"/>
        <v>758012306</v>
      </c>
      <c r="J227" s="192" t="s">
        <v>866</v>
      </c>
    </row>
    <row r="228" spans="1:10" hidden="1" outlineLevel="1">
      <c r="A228" s="379" t="s">
        <v>867</v>
      </c>
      <c r="B228" s="199">
        <v>168488905</v>
      </c>
      <c r="C228" s="200">
        <v>1270724</v>
      </c>
      <c r="D228" s="200">
        <v>0</v>
      </c>
      <c r="E228" s="200">
        <v>0</v>
      </c>
      <c r="F228" s="200">
        <v>0</v>
      </c>
      <c r="G228" s="200">
        <v>0</v>
      </c>
      <c r="H228" s="200">
        <v>0</v>
      </c>
      <c r="I228" s="348">
        <f t="shared" si="5"/>
        <v>169759629</v>
      </c>
      <c r="J228" s="192" t="s">
        <v>868</v>
      </c>
    </row>
    <row r="229" spans="1:10" hidden="1" outlineLevel="1">
      <c r="A229" s="379" t="s">
        <v>869</v>
      </c>
      <c r="B229" s="199">
        <v>14637249</v>
      </c>
      <c r="C229" s="200">
        <v>0</v>
      </c>
      <c r="D229" s="200">
        <v>0</v>
      </c>
      <c r="E229" s="200">
        <v>0</v>
      </c>
      <c r="F229" s="200">
        <v>0</v>
      </c>
      <c r="G229" s="200">
        <v>0</v>
      </c>
      <c r="H229" s="200">
        <v>0</v>
      </c>
      <c r="I229" s="348">
        <f t="shared" si="5"/>
        <v>14637249</v>
      </c>
      <c r="J229" s="192" t="s">
        <v>870</v>
      </c>
    </row>
    <row r="230" spans="1:10" hidden="1" outlineLevel="1">
      <c r="A230" s="379" t="s">
        <v>871</v>
      </c>
      <c r="B230" s="199">
        <v>141357783</v>
      </c>
      <c r="C230" s="200">
        <v>0</v>
      </c>
      <c r="D230" s="200">
        <v>0</v>
      </c>
      <c r="E230" s="200">
        <v>0</v>
      </c>
      <c r="F230" s="200">
        <v>0</v>
      </c>
      <c r="G230" s="200">
        <v>0</v>
      </c>
      <c r="H230" s="200">
        <v>0</v>
      </c>
      <c r="I230" s="348">
        <f t="shared" si="5"/>
        <v>141357783</v>
      </c>
      <c r="J230" s="192" t="s">
        <v>872</v>
      </c>
    </row>
    <row r="231" spans="1:10" hidden="1" outlineLevel="1">
      <c r="A231" s="379" t="s">
        <v>873</v>
      </c>
      <c r="B231" s="199">
        <v>1217788771</v>
      </c>
      <c r="C231" s="200">
        <v>0</v>
      </c>
      <c r="D231" s="200">
        <v>0</v>
      </c>
      <c r="E231" s="200">
        <v>0</v>
      </c>
      <c r="F231" s="200">
        <v>27512722</v>
      </c>
      <c r="G231" s="200">
        <v>513637</v>
      </c>
      <c r="H231" s="200">
        <v>0</v>
      </c>
      <c r="I231" s="348">
        <f t="shared" si="5"/>
        <v>1245815130</v>
      </c>
      <c r="J231" s="192" t="s">
        <v>874</v>
      </c>
    </row>
    <row r="232" spans="1:10" hidden="1" outlineLevel="1">
      <c r="A232" s="379" t="s">
        <v>875</v>
      </c>
      <c r="B232" s="199">
        <v>107138317</v>
      </c>
      <c r="C232" s="200">
        <v>0</v>
      </c>
      <c r="D232" s="200">
        <v>0</v>
      </c>
      <c r="E232" s="200">
        <v>0</v>
      </c>
      <c r="F232" s="200">
        <v>0</v>
      </c>
      <c r="G232" s="200">
        <v>0</v>
      </c>
      <c r="H232" s="200">
        <v>0</v>
      </c>
      <c r="I232" s="348">
        <f t="shared" si="5"/>
        <v>107138317</v>
      </c>
      <c r="J232" s="192" t="s">
        <v>876</v>
      </c>
    </row>
    <row r="233" spans="1:10" hidden="1" outlineLevel="1">
      <c r="A233" s="379" t="s">
        <v>877</v>
      </c>
      <c r="B233" s="199">
        <v>122889507</v>
      </c>
      <c r="C233" s="200">
        <v>0</v>
      </c>
      <c r="D233" s="200">
        <v>0</v>
      </c>
      <c r="E233" s="200">
        <v>0</v>
      </c>
      <c r="F233" s="200">
        <v>0</v>
      </c>
      <c r="G233" s="200">
        <v>0</v>
      </c>
      <c r="H233" s="200">
        <v>0</v>
      </c>
      <c r="I233" s="348">
        <f t="shared" si="5"/>
        <v>122889507</v>
      </c>
      <c r="J233" s="192" t="s">
        <v>878</v>
      </c>
    </row>
    <row r="234" spans="1:10" hidden="1" outlineLevel="1">
      <c r="A234" s="379" t="s">
        <v>879</v>
      </c>
      <c r="B234" s="199">
        <v>119293769</v>
      </c>
      <c r="C234" s="200">
        <v>0</v>
      </c>
      <c r="D234" s="200">
        <v>0</v>
      </c>
      <c r="E234" s="200">
        <v>0</v>
      </c>
      <c r="F234" s="200">
        <v>0</v>
      </c>
      <c r="G234" s="200">
        <v>0</v>
      </c>
      <c r="H234" s="200">
        <v>0</v>
      </c>
      <c r="I234" s="348">
        <f t="shared" si="5"/>
        <v>119293769</v>
      </c>
      <c r="J234" s="192" t="s">
        <v>880</v>
      </c>
    </row>
    <row r="235" spans="1:10" hidden="1" outlineLevel="1">
      <c r="A235" s="379" t="s">
        <v>881</v>
      </c>
      <c r="B235" s="199">
        <v>69082</v>
      </c>
      <c r="C235" s="200">
        <v>0</v>
      </c>
      <c r="D235" s="200">
        <v>0</v>
      </c>
      <c r="E235" s="200">
        <v>0</v>
      </c>
      <c r="F235" s="200">
        <v>0</v>
      </c>
      <c r="G235" s="200">
        <v>0</v>
      </c>
      <c r="H235" s="200">
        <v>0</v>
      </c>
      <c r="I235" s="348">
        <f t="shared" si="5"/>
        <v>69082</v>
      </c>
      <c r="J235" s="192" t="s">
        <v>882</v>
      </c>
    </row>
    <row r="236" spans="1:10" hidden="1" outlineLevel="1">
      <c r="A236" s="379" t="s">
        <v>542</v>
      </c>
      <c r="B236" s="199">
        <v>10818390</v>
      </c>
      <c r="C236" s="200">
        <v>0</v>
      </c>
      <c r="D236" s="200">
        <v>0</v>
      </c>
      <c r="E236" s="200">
        <v>0</v>
      </c>
      <c r="F236" s="200">
        <v>0</v>
      </c>
      <c r="G236" s="200">
        <v>0</v>
      </c>
      <c r="H236" s="200">
        <v>0</v>
      </c>
      <c r="I236" s="348">
        <f t="shared" si="5"/>
        <v>10818390</v>
      </c>
      <c r="J236" s="192" t="s">
        <v>543</v>
      </c>
    </row>
    <row r="237" spans="1:10" hidden="1" outlineLevel="1">
      <c r="A237" s="379" t="s">
        <v>883</v>
      </c>
      <c r="B237" s="199">
        <v>81126185</v>
      </c>
      <c r="C237" s="200">
        <v>0</v>
      </c>
      <c r="D237" s="200">
        <v>0</v>
      </c>
      <c r="E237" s="200">
        <v>0</v>
      </c>
      <c r="F237" s="200">
        <v>0</v>
      </c>
      <c r="G237" s="200">
        <v>0</v>
      </c>
      <c r="H237" s="200">
        <v>0</v>
      </c>
      <c r="I237" s="348">
        <f t="shared" si="5"/>
        <v>81126185</v>
      </c>
      <c r="J237" s="192" t="s">
        <v>884</v>
      </c>
    </row>
    <row r="238" spans="1:10" hidden="1" outlineLevel="1">
      <c r="A238" s="379" t="s">
        <v>885</v>
      </c>
      <c r="B238" s="199">
        <v>3545393</v>
      </c>
      <c r="C238" s="200">
        <v>47207</v>
      </c>
      <c r="D238" s="200">
        <v>0</v>
      </c>
      <c r="E238" s="200">
        <v>0</v>
      </c>
      <c r="F238" s="200">
        <v>0</v>
      </c>
      <c r="G238" s="200">
        <v>0</v>
      </c>
      <c r="H238" s="200">
        <v>0</v>
      </c>
      <c r="I238" s="348">
        <f t="shared" si="5"/>
        <v>3592600</v>
      </c>
      <c r="J238" s="192" t="s">
        <v>886</v>
      </c>
    </row>
    <row r="239" spans="1:10" hidden="1" outlineLevel="1">
      <c r="A239" s="379" t="s">
        <v>887</v>
      </c>
      <c r="B239" s="199">
        <v>138392239</v>
      </c>
      <c r="C239" s="200">
        <v>0</v>
      </c>
      <c r="D239" s="200">
        <v>0</v>
      </c>
      <c r="E239" s="200">
        <v>0</v>
      </c>
      <c r="F239" s="200">
        <v>0</v>
      </c>
      <c r="G239" s="200">
        <v>0</v>
      </c>
      <c r="H239" s="200">
        <v>0</v>
      </c>
      <c r="I239" s="348">
        <f t="shared" si="5"/>
        <v>138392239</v>
      </c>
      <c r="J239" s="192" t="s">
        <v>888</v>
      </c>
    </row>
    <row r="240" spans="1:10" hidden="1" outlineLevel="1">
      <c r="A240" s="379" t="s">
        <v>889</v>
      </c>
      <c r="B240" s="199">
        <v>92967568</v>
      </c>
      <c r="C240" s="200">
        <v>0</v>
      </c>
      <c r="D240" s="200">
        <v>0</v>
      </c>
      <c r="E240" s="200">
        <v>0</v>
      </c>
      <c r="F240" s="200">
        <v>0</v>
      </c>
      <c r="G240" s="200">
        <v>0</v>
      </c>
      <c r="H240" s="200">
        <v>0</v>
      </c>
      <c r="I240" s="348">
        <f t="shared" si="5"/>
        <v>92967568</v>
      </c>
      <c r="J240" s="192" t="s">
        <v>890</v>
      </c>
    </row>
    <row r="241" spans="1:10" hidden="1" outlineLevel="1">
      <c r="A241" s="379" t="s">
        <v>891</v>
      </c>
      <c r="B241" s="199">
        <v>304195675</v>
      </c>
      <c r="C241" s="200">
        <v>0</v>
      </c>
      <c r="D241" s="200">
        <v>0</v>
      </c>
      <c r="E241" s="200">
        <v>0</v>
      </c>
      <c r="F241" s="200">
        <v>0</v>
      </c>
      <c r="G241" s="200">
        <v>0</v>
      </c>
      <c r="H241" s="200">
        <v>0</v>
      </c>
      <c r="I241" s="348">
        <f t="shared" si="5"/>
        <v>304195675</v>
      </c>
      <c r="J241" s="192" t="s">
        <v>892</v>
      </c>
    </row>
    <row r="242" spans="1:10" hidden="1" outlineLevel="1">
      <c r="A242" s="379" t="s">
        <v>893</v>
      </c>
      <c r="B242" s="199">
        <v>19253498</v>
      </c>
      <c r="C242" s="200">
        <v>0</v>
      </c>
      <c r="D242" s="200">
        <v>0</v>
      </c>
      <c r="E242" s="200">
        <v>0</v>
      </c>
      <c r="F242" s="200">
        <v>0</v>
      </c>
      <c r="G242" s="200">
        <v>0</v>
      </c>
      <c r="H242" s="200">
        <v>0</v>
      </c>
      <c r="I242" s="348">
        <f t="shared" si="5"/>
        <v>19253498</v>
      </c>
      <c r="J242" s="192" t="s">
        <v>894</v>
      </c>
    </row>
    <row r="243" spans="1:10" hidden="1" outlineLevel="1">
      <c r="A243" s="379" t="s">
        <v>895</v>
      </c>
      <c r="B243" s="199">
        <v>178803943</v>
      </c>
      <c r="C243" s="200">
        <v>0</v>
      </c>
      <c r="D243" s="200">
        <v>0</v>
      </c>
      <c r="E243" s="200">
        <v>0</v>
      </c>
      <c r="F243" s="200">
        <v>0</v>
      </c>
      <c r="G243" s="200">
        <v>0</v>
      </c>
      <c r="H243" s="200">
        <v>0</v>
      </c>
      <c r="I243" s="348">
        <f t="shared" si="5"/>
        <v>178803943</v>
      </c>
      <c r="J243" s="192" t="s">
        <v>896</v>
      </c>
    </row>
    <row r="244" spans="1:10" hidden="1" outlineLevel="1">
      <c r="A244" s="379" t="s">
        <v>897</v>
      </c>
      <c r="B244" s="199">
        <v>11082353</v>
      </c>
      <c r="C244" s="200">
        <v>0</v>
      </c>
      <c r="D244" s="200">
        <v>0</v>
      </c>
      <c r="E244" s="200">
        <v>0</v>
      </c>
      <c r="F244" s="200">
        <v>0</v>
      </c>
      <c r="G244" s="200">
        <v>0</v>
      </c>
      <c r="H244" s="200">
        <v>0</v>
      </c>
      <c r="I244" s="348">
        <f t="shared" si="5"/>
        <v>11082353</v>
      </c>
      <c r="J244" s="192" t="s">
        <v>898</v>
      </c>
    </row>
    <row r="245" spans="1:10" hidden="1" outlineLevel="1">
      <c r="A245" s="379" t="s">
        <v>899</v>
      </c>
      <c r="B245" s="199">
        <v>335573197</v>
      </c>
      <c r="C245" s="200">
        <v>0</v>
      </c>
      <c r="D245" s="200">
        <v>0</v>
      </c>
      <c r="E245" s="200">
        <v>0</v>
      </c>
      <c r="F245" s="200">
        <v>0</v>
      </c>
      <c r="G245" s="200">
        <v>0</v>
      </c>
      <c r="H245" s="200">
        <v>0</v>
      </c>
      <c r="I245" s="348">
        <f t="shared" si="5"/>
        <v>335573197</v>
      </c>
      <c r="J245" s="192" t="s">
        <v>900</v>
      </c>
    </row>
    <row r="246" spans="1:10" hidden="1" outlineLevel="1">
      <c r="A246" s="379" t="s">
        <v>901</v>
      </c>
      <c r="B246" s="199">
        <v>246294688</v>
      </c>
      <c r="C246" s="200">
        <v>0</v>
      </c>
      <c r="D246" s="200">
        <v>0</v>
      </c>
      <c r="E246" s="200">
        <v>0</v>
      </c>
      <c r="F246" s="200">
        <v>0</v>
      </c>
      <c r="G246" s="200">
        <v>0</v>
      </c>
      <c r="H246" s="200">
        <v>0</v>
      </c>
      <c r="I246" s="348">
        <f t="shared" si="5"/>
        <v>246294688</v>
      </c>
      <c r="J246" s="192" t="s">
        <v>902</v>
      </c>
    </row>
    <row r="247" spans="1:10" hidden="1" outlineLevel="1">
      <c r="A247" s="379" t="s">
        <v>903</v>
      </c>
      <c r="B247" s="199">
        <v>135401359</v>
      </c>
      <c r="C247" s="200">
        <v>0</v>
      </c>
      <c r="D247" s="200">
        <v>0</v>
      </c>
      <c r="E247" s="200">
        <v>0</v>
      </c>
      <c r="F247" s="200">
        <v>0</v>
      </c>
      <c r="G247" s="200">
        <v>0</v>
      </c>
      <c r="H247" s="200">
        <v>0</v>
      </c>
      <c r="I247" s="348">
        <f t="shared" si="5"/>
        <v>135401359</v>
      </c>
      <c r="J247" s="192" t="s">
        <v>904</v>
      </c>
    </row>
    <row r="248" spans="1:10" hidden="1" outlineLevel="1">
      <c r="A248" s="379" t="s">
        <v>905</v>
      </c>
      <c r="B248" s="199">
        <v>30526791</v>
      </c>
      <c r="C248" s="200">
        <v>0</v>
      </c>
      <c r="D248" s="200">
        <v>0</v>
      </c>
      <c r="E248" s="200">
        <v>0</v>
      </c>
      <c r="F248" s="200">
        <v>0</v>
      </c>
      <c r="G248" s="200">
        <v>0</v>
      </c>
      <c r="H248" s="200">
        <v>0</v>
      </c>
      <c r="I248" s="348">
        <f t="shared" si="5"/>
        <v>30526791</v>
      </c>
      <c r="J248" s="192" t="s">
        <v>906</v>
      </c>
    </row>
    <row r="249" spans="1:10" hidden="1" outlineLevel="1">
      <c r="A249" s="379" t="s">
        <v>907</v>
      </c>
      <c r="B249" s="199">
        <v>130742350</v>
      </c>
      <c r="C249" s="200">
        <v>1674227</v>
      </c>
      <c r="D249" s="200">
        <v>0</v>
      </c>
      <c r="E249" s="200">
        <v>0</v>
      </c>
      <c r="F249" s="200">
        <v>0</v>
      </c>
      <c r="G249" s="200">
        <v>0</v>
      </c>
      <c r="H249" s="200">
        <v>0</v>
      </c>
      <c r="I249" s="348">
        <f t="shared" si="5"/>
        <v>132416577</v>
      </c>
      <c r="J249" s="192" t="s">
        <v>908</v>
      </c>
    </row>
    <row r="250" spans="1:10" hidden="1" outlineLevel="1">
      <c r="A250" s="379" t="s">
        <v>909</v>
      </c>
      <c r="B250" s="199">
        <v>2542681402</v>
      </c>
      <c r="C250" s="200">
        <v>0</v>
      </c>
      <c r="D250" s="200">
        <v>0</v>
      </c>
      <c r="E250" s="200">
        <v>0</v>
      </c>
      <c r="F250" s="200">
        <v>49293870</v>
      </c>
      <c r="G250" s="200">
        <v>0</v>
      </c>
      <c r="H250" s="200">
        <v>0</v>
      </c>
      <c r="I250" s="348">
        <f t="shared" si="5"/>
        <v>2591975272</v>
      </c>
      <c r="J250" s="192" t="s">
        <v>910</v>
      </c>
    </row>
    <row r="251" spans="1:10" hidden="1" outlineLevel="1">
      <c r="A251" s="379" t="s">
        <v>911</v>
      </c>
      <c r="B251" s="199">
        <v>283477350</v>
      </c>
      <c r="C251" s="200">
        <v>1554761</v>
      </c>
      <c r="D251" s="200">
        <v>0</v>
      </c>
      <c r="E251" s="200">
        <v>0</v>
      </c>
      <c r="F251" s="200">
        <v>0</v>
      </c>
      <c r="G251" s="200">
        <v>0</v>
      </c>
      <c r="H251" s="200">
        <v>0</v>
      </c>
      <c r="I251" s="348">
        <f t="shared" ref="I251:I314" si="6">SUM(B251:H251)</f>
        <v>285032111</v>
      </c>
      <c r="J251" s="192" t="s">
        <v>912</v>
      </c>
    </row>
    <row r="252" spans="1:10" hidden="1" outlineLevel="1">
      <c r="A252" s="379" t="s">
        <v>913</v>
      </c>
      <c r="B252" s="199">
        <v>83776931</v>
      </c>
      <c r="C252" s="200">
        <v>0</v>
      </c>
      <c r="D252" s="200">
        <v>0</v>
      </c>
      <c r="E252" s="200">
        <v>0</v>
      </c>
      <c r="F252" s="200">
        <v>0</v>
      </c>
      <c r="G252" s="200">
        <v>0</v>
      </c>
      <c r="H252" s="200">
        <v>0</v>
      </c>
      <c r="I252" s="348">
        <f t="shared" si="6"/>
        <v>83776931</v>
      </c>
      <c r="J252" s="192" t="s">
        <v>914</v>
      </c>
    </row>
    <row r="253" spans="1:10" hidden="1" outlineLevel="1">
      <c r="A253" s="379" t="s">
        <v>915</v>
      </c>
      <c r="B253" s="199">
        <v>156502824</v>
      </c>
      <c r="C253" s="200">
        <v>0</v>
      </c>
      <c r="D253" s="200">
        <v>0</v>
      </c>
      <c r="E253" s="200">
        <v>0</v>
      </c>
      <c r="F253" s="200">
        <v>0</v>
      </c>
      <c r="G253" s="200">
        <v>0</v>
      </c>
      <c r="H253" s="200">
        <v>0</v>
      </c>
      <c r="I253" s="348">
        <f t="shared" si="6"/>
        <v>156502824</v>
      </c>
      <c r="J253" s="192" t="s">
        <v>916</v>
      </c>
    </row>
    <row r="254" spans="1:10" hidden="1" outlineLevel="1">
      <c r="A254" s="379" t="s">
        <v>917</v>
      </c>
      <c r="B254" s="199">
        <v>75095216</v>
      </c>
      <c r="C254" s="200">
        <v>1061842</v>
      </c>
      <c r="D254" s="200">
        <v>0</v>
      </c>
      <c r="E254" s="200">
        <v>0</v>
      </c>
      <c r="F254" s="200">
        <v>0</v>
      </c>
      <c r="G254" s="200">
        <v>0</v>
      </c>
      <c r="H254" s="200">
        <v>0</v>
      </c>
      <c r="I254" s="348">
        <f t="shared" si="6"/>
        <v>76157058</v>
      </c>
      <c r="J254" s="192" t="s">
        <v>918</v>
      </c>
    </row>
    <row r="255" spans="1:10" hidden="1" outlineLevel="1">
      <c r="A255" s="379" t="s">
        <v>919</v>
      </c>
      <c r="B255" s="199">
        <v>451859060</v>
      </c>
      <c r="C255" s="200">
        <v>212986</v>
      </c>
      <c r="D255" s="200">
        <v>0</v>
      </c>
      <c r="E255" s="200">
        <v>0</v>
      </c>
      <c r="F255" s="200">
        <v>8368700</v>
      </c>
      <c r="G255" s="200">
        <v>0</v>
      </c>
      <c r="H255" s="200">
        <v>0</v>
      </c>
      <c r="I255" s="348">
        <f t="shared" si="6"/>
        <v>460440746</v>
      </c>
      <c r="J255" s="192" t="s">
        <v>920</v>
      </c>
    </row>
    <row r="256" spans="1:10" hidden="1" outlineLevel="1">
      <c r="A256" s="379" t="s">
        <v>921</v>
      </c>
      <c r="B256" s="199">
        <v>338424560</v>
      </c>
      <c r="C256" s="200">
        <v>0</v>
      </c>
      <c r="D256" s="200">
        <v>0</v>
      </c>
      <c r="E256" s="200">
        <v>0</v>
      </c>
      <c r="F256" s="200">
        <v>0</v>
      </c>
      <c r="G256" s="200">
        <v>0</v>
      </c>
      <c r="H256" s="200">
        <v>0</v>
      </c>
      <c r="I256" s="348">
        <f t="shared" si="6"/>
        <v>338424560</v>
      </c>
      <c r="J256" s="192" t="s">
        <v>922</v>
      </c>
    </row>
    <row r="257" spans="1:10" hidden="1" outlineLevel="1">
      <c r="A257" s="379" t="s">
        <v>923</v>
      </c>
      <c r="B257" s="199">
        <v>167723922</v>
      </c>
      <c r="C257" s="200">
        <v>4825764</v>
      </c>
      <c r="D257" s="200">
        <v>0</v>
      </c>
      <c r="E257" s="200">
        <v>0</v>
      </c>
      <c r="F257" s="200">
        <v>0</v>
      </c>
      <c r="G257" s="200">
        <v>0</v>
      </c>
      <c r="H257" s="200">
        <v>0</v>
      </c>
      <c r="I257" s="348">
        <f t="shared" si="6"/>
        <v>172549686</v>
      </c>
      <c r="J257" s="192" t="s">
        <v>924</v>
      </c>
    </row>
    <row r="258" spans="1:10" hidden="1" outlineLevel="1">
      <c r="A258" s="379" t="s">
        <v>925</v>
      </c>
      <c r="B258" s="199">
        <v>14295751</v>
      </c>
      <c r="C258" s="200">
        <v>0</v>
      </c>
      <c r="D258" s="200">
        <v>0</v>
      </c>
      <c r="E258" s="200">
        <v>0</v>
      </c>
      <c r="F258" s="200">
        <v>0</v>
      </c>
      <c r="G258" s="200">
        <v>0</v>
      </c>
      <c r="H258" s="200">
        <v>0</v>
      </c>
      <c r="I258" s="348">
        <f t="shared" si="6"/>
        <v>14295751</v>
      </c>
      <c r="J258" s="192" t="s">
        <v>926</v>
      </c>
    </row>
    <row r="259" spans="1:10" hidden="1" outlineLevel="1">
      <c r="A259" s="379" t="s">
        <v>927</v>
      </c>
      <c r="B259" s="199">
        <v>10557323</v>
      </c>
      <c r="C259" s="200">
        <v>0</v>
      </c>
      <c r="D259" s="200">
        <v>0</v>
      </c>
      <c r="E259" s="200">
        <v>0</v>
      </c>
      <c r="F259" s="200">
        <v>0</v>
      </c>
      <c r="G259" s="200">
        <v>0</v>
      </c>
      <c r="H259" s="200">
        <v>0</v>
      </c>
      <c r="I259" s="348">
        <f t="shared" si="6"/>
        <v>10557323</v>
      </c>
      <c r="J259" s="192" t="s">
        <v>928</v>
      </c>
    </row>
    <row r="260" spans="1:10" hidden="1" outlineLevel="1">
      <c r="A260" s="379" t="s">
        <v>929</v>
      </c>
      <c r="B260" s="199">
        <v>74723488</v>
      </c>
      <c r="C260" s="200">
        <v>0</v>
      </c>
      <c r="D260" s="200">
        <v>0</v>
      </c>
      <c r="E260" s="200">
        <v>0</v>
      </c>
      <c r="F260" s="200">
        <v>0</v>
      </c>
      <c r="G260" s="200">
        <v>0</v>
      </c>
      <c r="H260" s="200">
        <v>0</v>
      </c>
      <c r="I260" s="348">
        <f t="shared" si="6"/>
        <v>74723488</v>
      </c>
      <c r="J260" s="192" t="s">
        <v>930</v>
      </c>
    </row>
    <row r="261" spans="1:10" hidden="1" outlineLevel="1">
      <c r="A261" s="379" t="s">
        <v>931</v>
      </c>
      <c r="B261" s="199">
        <v>101288285</v>
      </c>
      <c r="C261" s="200">
        <v>0</v>
      </c>
      <c r="D261" s="200">
        <v>0</v>
      </c>
      <c r="E261" s="200">
        <v>0</v>
      </c>
      <c r="F261" s="200">
        <v>0</v>
      </c>
      <c r="G261" s="200">
        <v>0</v>
      </c>
      <c r="H261" s="200">
        <v>0</v>
      </c>
      <c r="I261" s="348">
        <f t="shared" si="6"/>
        <v>101288285</v>
      </c>
      <c r="J261" s="192" t="s">
        <v>932</v>
      </c>
    </row>
    <row r="262" spans="1:10" hidden="1" outlineLevel="1">
      <c r="A262" s="379" t="s">
        <v>933</v>
      </c>
      <c r="B262" s="199">
        <v>2323935673</v>
      </c>
      <c r="C262" s="200">
        <v>0</v>
      </c>
      <c r="D262" s="200">
        <v>0</v>
      </c>
      <c r="E262" s="200">
        <v>0</v>
      </c>
      <c r="F262" s="200">
        <v>466776</v>
      </c>
      <c r="G262" s="200">
        <v>498276</v>
      </c>
      <c r="H262" s="200">
        <v>0</v>
      </c>
      <c r="I262" s="348">
        <f t="shared" si="6"/>
        <v>2324900725</v>
      </c>
      <c r="J262" s="192" t="s">
        <v>934</v>
      </c>
    </row>
    <row r="263" spans="1:10" hidden="1" outlineLevel="1">
      <c r="A263" s="379" t="s">
        <v>935</v>
      </c>
      <c r="B263" s="199">
        <v>46459398</v>
      </c>
      <c r="C263" s="200">
        <v>0</v>
      </c>
      <c r="D263" s="200">
        <v>0</v>
      </c>
      <c r="E263" s="200">
        <v>0</v>
      </c>
      <c r="F263" s="200">
        <v>0</v>
      </c>
      <c r="G263" s="200">
        <v>0</v>
      </c>
      <c r="H263" s="200">
        <v>0</v>
      </c>
      <c r="I263" s="348">
        <f t="shared" si="6"/>
        <v>46459398</v>
      </c>
      <c r="J263" s="192" t="s">
        <v>936</v>
      </c>
    </row>
    <row r="264" spans="1:10" hidden="1" outlineLevel="1">
      <c r="A264" s="379" t="s">
        <v>937</v>
      </c>
      <c r="B264" s="199">
        <v>40101433</v>
      </c>
      <c r="C264" s="200">
        <v>0</v>
      </c>
      <c r="D264" s="200">
        <v>0</v>
      </c>
      <c r="E264" s="200">
        <v>0</v>
      </c>
      <c r="F264" s="200">
        <v>0</v>
      </c>
      <c r="G264" s="200">
        <v>0</v>
      </c>
      <c r="H264" s="200">
        <v>0</v>
      </c>
      <c r="I264" s="348">
        <f t="shared" si="6"/>
        <v>40101433</v>
      </c>
      <c r="J264" s="192" t="s">
        <v>938</v>
      </c>
    </row>
    <row r="265" spans="1:10" hidden="1" outlineLevel="1">
      <c r="A265" s="379" t="s">
        <v>939</v>
      </c>
      <c r="B265" s="199">
        <v>253876618</v>
      </c>
      <c r="C265" s="200">
        <v>34392</v>
      </c>
      <c r="D265" s="200">
        <v>0</v>
      </c>
      <c r="E265" s="200">
        <v>0</v>
      </c>
      <c r="F265" s="200">
        <v>0</v>
      </c>
      <c r="G265" s="200">
        <v>0</v>
      </c>
      <c r="H265" s="200">
        <v>0</v>
      </c>
      <c r="I265" s="348">
        <f t="shared" si="6"/>
        <v>253911010</v>
      </c>
      <c r="J265" s="192" t="s">
        <v>940</v>
      </c>
    </row>
    <row r="266" spans="1:10" hidden="1" outlineLevel="1">
      <c r="A266" s="379" t="s">
        <v>941</v>
      </c>
      <c r="B266" s="199">
        <v>103334201</v>
      </c>
      <c r="C266" s="200">
        <v>0</v>
      </c>
      <c r="D266" s="200">
        <v>0</v>
      </c>
      <c r="E266" s="200">
        <v>0</v>
      </c>
      <c r="F266" s="200">
        <v>0</v>
      </c>
      <c r="G266" s="200">
        <v>0</v>
      </c>
      <c r="H266" s="200">
        <v>0</v>
      </c>
      <c r="I266" s="348">
        <f t="shared" si="6"/>
        <v>103334201</v>
      </c>
      <c r="J266" s="192" t="s">
        <v>942</v>
      </c>
    </row>
    <row r="267" spans="1:10" hidden="1" outlineLevel="1">
      <c r="A267" s="379" t="s">
        <v>943</v>
      </c>
      <c r="B267" s="199">
        <v>178860069</v>
      </c>
      <c r="C267" s="200">
        <v>0</v>
      </c>
      <c r="D267" s="200">
        <v>0</v>
      </c>
      <c r="E267" s="200">
        <v>0</v>
      </c>
      <c r="F267" s="200">
        <v>3534955147</v>
      </c>
      <c r="G267" s="200">
        <v>0</v>
      </c>
      <c r="H267" s="200">
        <v>0</v>
      </c>
      <c r="I267" s="348">
        <f t="shared" si="6"/>
        <v>3713815216</v>
      </c>
      <c r="J267" s="192" t="s">
        <v>944</v>
      </c>
    </row>
    <row r="268" spans="1:10" hidden="1" outlineLevel="1">
      <c r="A268" s="379" t="s">
        <v>945</v>
      </c>
      <c r="B268" s="199">
        <v>138394395</v>
      </c>
      <c r="C268" s="200">
        <v>0</v>
      </c>
      <c r="D268" s="200">
        <v>0</v>
      </c>
      <c r="E268" s="200">
        <v>0</v>
      </c>
      <c r="F268" s="200">
        <v>0</v>
      </c>
      <c r="G268" s="200">
        <v>0</v>
      </c>
      <c r="H268" s="200">
        <v>0</v>
      </c>
      <c r="I268" s="348">
        <f t="shared" si="6"/>
        <v>138394395</v>
      </c>
      <c r="J268" s="192" t="s">
        <v>946</v>
      </c>
    </row>
    <row r="269" spans="1:10" hidden="1" outlineLevel="1">
      <c r="A269" s="379" t="s">
        <v>947</v>
      </c>
      <c r="B269" s="199">
        <v>30544472</v>
      </c>
      <c r="C269" s="200">
        <v>0</v>
      </c>
      <c r="D269" s="200">
        <v>0</v>
      </c>
      <c r="E269" s="200">
        <v>0</v>
      </c>
      <c r="F269" s="200">
        <v>0</v>
      </c>
      <c r="G269" s="200">
        <v>0</v>
      </c>
      <c r="H269" s="200">
        <v>0</v>
      </c>
      <c r="I269" s="348">
        <f t="shared" si="6"/>
        <v>30544472</v>
      </c>
      <c r="J269" s="192" t="s">
        <v>948</v>
      </c>
    </row>
    <row r="270" spans="1:10" hidden="1" outlineLevel="1">
      <c r="A270" s="379" t="s">
        <v>949</v>
      </c>
      <c r="B270" s="199">
        <v>115478152</v>
      </c>
      <c r="C270" s="200">
        <v>0</v>
      </c>
      <c r="D270" s="200">
        <v>0</v>
      </c>
      <c r="E270" s="200">
        <v>0</v>
      </c>
      <c r="F270" s="200">
        <v>0</v>
      </c>
      <c r="G270" s="200">
        <v>0</v>
      </c>
      <c r="H270" s="200">
        <v>0</v>
      </c>
      <c r="I270" s="348">
        <f t="shared" si="6"/>
        <v>115478152</v>
      </c>
      <c r="J270" s="192" t="s">
        <v>950</v>
      </c>
    </row>
    <row r="271" spans="1:10" hidden="1" outlineLevel="1">
      <c r="A271" s="379" t="s">
        <v>951</v>
      </c>
      <c r="B271" s="199">
        <v>2075239</v>
      </c>
      <c r="C271" s="200">
        <v>0</v>
      </c>
      <c r="D271" s="200">
        <v>0</v>
      </c>
      <c r="E271" s="200">
        <v>0</v>
      </c>
      <c r="F271" s="200">
        <v>0</v>
      </c>
      <c r="G271" s="200">
        <v>0</v>
      </c>
      <c r="H271" s="200">
        <v>0</v>
      </c>
      <c r="I271" s="348">
        <f t="shared" si="6"/>
        <v>2075239</v>
      </c>
      <c r="J271" s="192" t="s">
        <v>952</v>
      </c>
    </row>
    <row r="272" spans="1:10" hidden="1" outlineLevel="1">
      <c r="A272" s="379" t="s">
        <v>951</v>
      </c>
      <c r="B272" s="199">
        <v>37961239</v>
      </c>
      <c r="C272" s="200">
        <v>0</v>
      </c>
      <c r="D272" s="200">
        <v>0</v>
      </c>
      <c r="E272" s="200">
        <v>0</v>
      </c>
      <c r="F272" s="200">
        <v>0</v>
      </c>
      <c r="G272" s="200">
        <v>0</v>
      </c>
      <c r="H272" s="200">
        <v>0</v>
      </c>
      <c r="I272" s="348">
        <f t="shared" si="6"/>
        <v>37961239</v>
      </c>
      <c r="J272" s="192" t="s">
        <v>952</v>
      </c>
    </row>
    <row r="273" spans="1:10" hidden="1" outlineLevel="1">
      <c r="A273" s="379" t="s">
        <v>953</v>
      </c>
      <c r="B273" s="199">
        <v>68654271</v>
      </c>
      <c r="C273" s="200">
        <v>0</v>
      </c>
      <c r="D273" s="200">
        <v>0</v>
      </c>
      <c r="E273" s="200">
        <v>0</v>
      </c>
      <c r="F273" s="200">
        <v>0</v>
      </c>
      <c r="G273" s="200">
        <v>0</v>
      </c>
      <c r="H273" s="200">
        <v>0</v>
      </c>
      <c r="I273" s="348">
        <f t="shared" si="6"/>
        <v>68654271</v>
      </c>
      <c r="J273" s="192" t="s">
        <v>954</v>
      </c>
    </row>
    <row r="274" spans="1:10" hidden="1" outlineLevel="1">
      <c r="A274" s="379" t="s">
        <v>955</v>
      </c>
      <c r="B274" s="199">
        <v>142837881</v>
      </c>
      <c r="C274" s="200">
        <v>0</v>
      </c>
      <c r="D274" s="200">
        <v>0</v>
      </c>
      <c r="E274" s="200">
        <v>0</v>
      </c>
      <c r="F274" s="200">
        <v>0</v>
      </c>
      <c r="G274" s="200">
        <v>0</v>
      </c>
      <c r="H274" s="200">
        <v>0</v>
      </c>
      <c r="I274" s="348">
        <f t="shared" si="6"/>
        <v>142837881</v>
      </c>
      <c r="J274" s="192" t="s">
        <v>956</v>
      </c>
    </row>
    <row r="275" spans="1:10" hidden="1" outlineLevel="1">
      <c r="A275" s="379" t="s">
        <v>957</v>
      </c>
      <c r="B275" s="199">
        <v>606750785</v>
      </c>
      <c r="C275" s="200">
        <v>0</v>
      </c>
      <c r="D275" s="200">
        <v>0</v>
      </c>
      <c r="E275" s="200">
        <v>0</v>
      </c>
      <c r="F275" s="200">
        <v>0</v>
      </c>
      <c r="G275" s="200">
        <v>0</v>
      </c>
      <c r="H275" s="200">
        <v>0</v>
      </c>
      <c r="I275" s="348">
        <f t="shared" si="6"/>
        <v>606750785</v>
      </c>
      <c r="J275" s="192" t="s">
        <v>958</v>
      </c>
    </row>
    <row r="276" spans="1:10" hidden="1" outlineLevel="1">
      <c r="A276" s="379" t="s">
        <v>959</v>
      </c>
      <c r="B276" s="199">
        <v>266047509</v>
      </c>
      <c r="C276" s="200">
        <v>1850200</v>
      </c>
      <c r="D276" s="200">
        <v>0</v>
      </c>
      <c r="E276" s="200">
        <v>0</v>
      </c>
      <c r="F276" s="200">
        <v>0</v>
      </c>
      <c r="G276" s="200">
        <v>0</v>
      </c>
      <c r="H276" s="200">
        <v>0</v>
      </c>
      <c r="I276" s="348">
        <f t="shared" si="6"/>
        <v>267897709</v>
      </c>
      <c r="J276" s="192" t="s">
        <v>960</v>
      </c>
    </row>
    <row r="277" spans="1:10" hidden="1" outlineLevel="1">
      <c r="A277" s="379" t="s">
        <v>961</v>
      </c>
      <c r="B277" s="199">
        <v>275268211</v>
      </c>
      <c r="C277" s="200">
        <v>0</v>
      </c>
      <c r="D277" s="200">
        <v>0</v>
      </c>
      <c r="E277" s="200">
        <v>0</v>
      </c>
      <c r="F277" s="200">
        <v>0</v>
      </c>
      <c r="G277" s="200">
        <v>0</v>
      </c>
      <c r="H277" s="200">
        <v>0</v>
      </c>
      <c r="I277" s="348">
        <f t="shared" si="6"/>
        <v>275268211</v>
      </c>
      <c r="J277" s="192" t="s">
        <v>962</v>
      </c>
    </row>
    <row r="278" spans="1:10" hidden="1" outlineLevel="1">
      <c r="A278" s="379" t="s">
        <v>963</v>
      </c>
      <c r="B278" s="199">
        <v>163992006</v>
      </c>
      <c r="C278" s="200">
        <v>0</v>
      </c>
      <c r="D278" s="200">
        <v>0</v>
      </c>
      <c r="E278" s="200">
        <v>0</v>
      </c>
      <c r="F278" s="200">
        <v>0</v>
      </c>
      <c r="G278" s="200">
        <v>0</v>
      </c>
      <c r="H278" s="200">
        <v>0</v>
      </c>
      <c r="I278" s="348">
        <f t="shared" si="6"/>
        <v>163992006</v>
      </c>
      <c r="J278" s="192" t="s">
        <v>964</v>
      </c>
    </row>
    <row r="279" spans="1:10" hidden="1" outlineLevel="1">
      <c r="A279" s="379" t="s">
        <v>965</v>
      </c>
      <c r="B279" s="199">
        <v>96808530</v>
      </c>
      <c r="C279" s="200">
        <v>1117890</v>
      </c>
      <c r="D279" s="200">
        <v>0</v>
      </c>
      <c r="E279" s="200">
        <v>0</v>
      </c>
      <c r="F279" s="200">
        <v>0</v>
      </c>
      <c r="G279" s="200">
        <v>0</v>
      </c>
      <c r="H279" s="200">
        <v>0</v>
      </c>
      <c r="I279" s="348">
        <f t="shared" si="6"/>
        <v>97926420</v>
      </c>
      <c r="J279" s="192" t="s">
        <v>966</v>
      </c>
    </row>
    <row r="280" spans="1:10" hidden="1" outlineLevel="1">
      <c r="A280" s="379" t="s">
        <v>967</v>
      </c>
      <c r="B280" s="199">
        <v>15253180</v>
      </c>
      <c r="C280" s="200">
        <v>2947</v>
      </c>
      <c r="D280" s="200">
        <v>0</v>
      </c>
      <c r="E280" s="200">
        <v>0</v>
      </c>
      <c r="F280" s="200">
        <v>0</v>
      </c>
      <c r="G280" s="200">
        <v>0</v>
      </c>
      <c r="H280" s="200">
        <v>0</v>
      </c>
      <c r="I280" s="348">
        <f t="shared" si="6"/>
        <v>15256127</v>
      </c>
      <c r="J280" s="192" t="s">
        <v>968</v>
      </c>
    </row>
    <row r="281" spans="1:10" hidden="1" outlineLevel="1">
      <c r="A281" s="379" t="s">
        <v>969</v>
      </c>
      <c r="B281" s="199">
        <v>118942175</v>
      </c>
      <c r="C281" s="200">
        <v>0</v>
      </c>
      <c r="D281" s="200">
        <v>0</v>
      </c>
      <c r="E281" s="200">
        <v>0</v>
      </c>
      <c r="F281" s="200">
        <v>0</v>
      </c>
      <c r="G281" s="200">
        <v>0</v>
      </c>
      <c r="H281" s="200">
        <v>0</v>
      </c>
      <c r="I281" s="348">
        <f t="shared" si="6"/>
        <v>118942175</v>
      </c>
      <c r="J281" s="192" t="s">
        <v>970</v>
      </c>
    </row>
    <row r="282" spans="1:10" hidden="1" outlineLevel="1">
      <c r="A282" s="379" t="s">
        <v>971</v>
      </c>
      <c r="B282" s="199">
        <v>269828343</v>
      </c>
      <c r="C282" s="200">
        <v>0</v>
      </c>
      <c r="D282" s="200">
        <v>0</v>
      </c>
      <c r="E282" s="200">
        <v>0</v>
      </c>
      <c r="F282" s="200">
        <v>0</v>
      </c>
      <c r="G282" s="200">
        <v>0</v>
      </c>
      <c r="H282" s="200">
        <v>0</v>
      </c>
      <c r="I282" s="348">
        <f t="shared" si="6"/>
        <v>269828343</v>
      </c>
      <c r="J282" s="192" t="s">
        <v>972</v>
      </c>
    </row>
    <row r="283" spans="1:10" hidden="1" outlineLevel="1">
      <c r="A283" s="379" t="s">
        <v>973</v>
      </c>
      <c r="B283" s="199">
        <v>17034811</v>
      </c>
      <c r="C283" s="200">
        <v>0</v>
      </c>
      <c r="D283" s="200">
        <v>0</v>
      </c>
      <c r="E283" s="200">
        <v>0</v>
      </c>
      <c r="F283" s="200">
        <v>0</v>
      </c>
      <c r="G283" s="200">
        <v>0</v>
      </c>
      <c r="H283" s="200">
        <v>0</v>
      </c>
      <c r="I283" s="348">
        <f t="shared" si="6"/>
        <v>17034811</v>
      </c>
      <c r="J283" s="192" t="s">
        <v>974</v>
      </c>
    </row>
    <row r="284" spans="1:10" hidden="1" outlineLevel="1">
      <c r="A284" s="379" t="s">
        <v>975</v>
      </c>
      <c r="B284" s="199">
        <v>169248099</v>
      </c>
      <c r="C284" s="200">
        <v>0</v>
      </c>
      <c r="D284" s="200">
        <v>0</v>
      </c>
      <c r="E284" s="200">
        <v>0</v>
      </c>
      <c r="F284" s="200">
        <v>0</v>
      </c>
      <c r="G284" s="200">
        <v>0</v>
      </c>
      <c r="H284" s="200">
        <v>0</v>
      </c>
      <c r="I284" s="348">
        <f t="shared" si="6"/>
        <v>169248099</v>
      </c>
      <c r="J284" s="192" t="s">
        <v>976</v>
      </c>
    </row>
    <row r="285" spans="1:10" hidden="1" outlineLevel="1">
      <c r="A285" s="379" t="s">
        <v>977</v>
      </c>
      <c r="B285" s="199">
        <v>5910304</v>
      </c>
      <c r="C285" s="200">
        <v>0</v>
      </c>
      <c r="D285" s="200">
        <v>0</v>
      </c>
      <c r="E285" s="200">
        <v>0</v>
      </c>
      <c r="F285" s="200">
        <v>0</v>
      </c>
      <c r="G285" s="200">
        <v>0</v>
      </c>
      <c r="H285" s="200">
        <v>0</v>
      </c>
      <c r="I285" s="348">
        <f t="shared" si="6"/>
        <v>5910304</v>
      </c>
      <c r="J285" s="192" t="s">
        <v>978</v>
      </c>
    </row>
    <row r="286" spans="1:10" hidden="1" outlineLevel="1">
      <c r="A286" s="379" t="s">
        <v>979</v>
      </c>
      <c r="B286" s="199">
        <v>92039737</v>
      </c>
      <c r="C286" s="200">
        <v>0</v>
      </c>
      <c r="D286" s="200">
        <v>0</v>
      </c>
      <c r="E286" s="200">
        <v>0</v>
      </c>
      <c r="F286" s="200">
        <v>0</v>
      </c>
      <c r="G286" s="200">
        <v>0</v>
      </c>
      <c r="H286" s="200">
        <v>0</v>
      </c>
      <c r="I286" s="348">
        <f t="shared" si="6"/>
        <v>92039737</v>
      </c>
      <c r="J286" s="192" t="s">
        <v>980</v>
      </c>
    </row>
    <row r="287" spans="1:10" hidden="1" outlineLevel="1">
      <c r="A287" s="379" t="s">
        <v>981</v>
      </c>
      <c r="B287" s="199">
        <v>59559627</v>
      </c>
      <c r="C287" s="200">
        <v>118312</v>
      </c>
      <c r="D287" s="200">
        <v>0</v>
      </c>
      <c r="E287" s="200">
        <v>0</v>
      </c>
      <c r="F287" s="200">
        <v>0</v>
      </c>
      <c r="G287" s="200">
        <v>0</v>
      </c>
      <c r="H287" s="200">
        <v>0</v>
      </c>
      <c r="I287" s="348">
        <f t="shared" si="6"/>
        <v>59677939</v>
      </c>
      <c r="J287" s="192" t="s">
        <v>982</v>
      </c>
    </row>
    <row r="288" spans="1:10" hidden="1" outlineLevel="1">
      <c r="A288" s="379" t="s">
        <v>983</v>
      </c>
      <c r="B288" s="199">
        <v>397072547</v>
      </c>
      <c r="C288" s="200">
        <v>0</v>
      </c>
      <c r="D288" s="200">
        <v>0</v>
      </c>
      <c r="E288" s="200">
        <v>0</v>
      </c>
      <c r="F288" s="200">
        <v>0</v>
      </c>
      <c r="G288" s="200">
        <v>0</v>
      </c>
      <c r="H288" s="200">
        <v>0</v>
      </c>
      <c r="I288" s="348">
        <f t="shared" si="6"/>
        <v>397072547</v>
      </c>
      <c r="J288" s="192" t="s">
        <v>984</v>
      </c>
    </row>
    <row r="289" spans="1:10" hidden="1" outlineLevel="1">
      <c r="A289" s="379" t="s">
        <v>985</v>
      </c>
      <c r="B289" s="199">
        <v>976127122</v>
      </c>
      <c r="C289" s="200">
        <v>0</v>
      </c>
      <c r="D289" s="200">
        <v>0</v>
      </c>
      <c r="E289" s="200">
        <v>0</v>
      </c>
      <c r="F289" s="200">
        <v>0</v>
      </c>
      <c r="G289" s="200">
        <v>0</v>
      </c>
      <c r="H289" s="200">
        <v>0</v>
      </c>
      <c r="I289" s="348">
        <f t="shared" si="6"/>
        <v>976127122</v>
      </c>
      <c r="J289" s="192" t="s">
        <v>986</v>
      </c>
    </row>
    <row r="290" spans="1:10" hidden="1" outlineLevel="1">
      <c r="A290" s="379" t="s">
        <v>987</v>
      </c>
      <c r="B290" s="199">
        <v>10257029</v>
      </c>
      <c r="C290" s="200">
        <v>0</v>
      </c>
      <c r="D290" s="200">
        <v>0</v>
      </c>
      <c r="E290" s="200">
        <v>0</v>
      </c>
      <c r="F290" s="200">
        <v>0</v>
      </c>
      <c r="G290" s="200">
        <v>0</v>
      </c>
      <c r="H290" s="200">
        <v>0</v>
      </c>
      <c r="I290" s="348">
        <f t="shared" si="6"/>
        <v>10257029</v>
      </c>
      <c r="J290" s="192" t="s">
        <v>988</v>
      </c>
    </row>
    <row r="291" spans="1:10" hidden="1" outlineLevel="1">
      <c r="A291" s="379" t="s">
        <v>989</v>
      </c>
      <c r="B291" s="199">
        <v>7234661</v>
      </c>
      <c r="C291" s="200">
        <v>0</v>
      </c>
      <c r="D291" s="200">
        <v>0</v>
      </c>
      <c r="E291" s="200">
        <v>0</v>
      </c>
      <c r="F291" s="200">
        <v>0</v>
      </c>
      <c r="G291" s="200">
        <v>0</v>
      </c>
      <c r="H291" s="200">
        <v>0</v>
      </c>
      <c r="I291" s="348">
        <f t="shared" si="6"/>
        <v>7234661</v>
      </c>
      <c r="J291" s="192" t="s">
        <v>990</v>
      </c>
    </row>
    <row r="292" spans="1:10" hidden="1" outlineLevel="1">
      <c r="A292" s="379" t="s">
        <v>991</v>
      </c>
      <c r="B292" s="199">
        <v>46761624</v>
      </c>
      <c r="C292" s="200">
        <v>577603</v>
      </c>
      <c r="D292" s="200">
        <v>0</v>
      </c>
      <c r="E292" s="200">
        <v>0</v>
      </c>
      <c r="F292" s="200">
        <v>0</v>
      </c>
      <c r="G292" s="200">
        <v>0</v>
      </c>
      <c r="H292" s="200">
        <v>0</v>
      </c>
      <c r="I292" s="348">
        <f t="shared" si="6"/>
        <v>47339227</v>
      </c>
      <c r="J292" s="192" t="s">
        <v>992</v>
      </c>
    </row>
    <row r="293" spans="1:10" hidden="1" outlineLevel="1">
      <c r="A293" s="379" t="s">
        <v>993</v>
      </c>
      <c r="B293" s="199">
        <v>354483087</v>
      </c>
      <c r="C293" s="200">
        <v>0</v>
      </c>
      <c r="D293" s="200">
        <v>0</v>
      </c>
      <c r="E293" s="200">
        <v>0</v>
      </c>
      <c r="F293" s="200">
        <v>1470815</v>
      </c>
      <c r="G293" s="200">
        <v>0</v>
      </c>
      <c r="H293" s="200">
        <v>0</v>
      </c>
      <c r="I293" s="348">
        <f t="shared" si="6"/>
        <v>355953902</v>
      </c>
      <c r="J293" s="192" t="s">
        <v>994</v>
      </c>
    </row>
    <row r="294" spans="1:10" hidden="1" outlineLevel="1">
      <c r="A294" s="379" t="s">
        <v>995</v>
      </c>
      <c r="B294" s="199">
        <v>108056385</v>
      </c>
      <c r="C294" s="200">
        <v>1972141</v>
      </c>
      <c r="D294" s="200">
        <v>0</v>
      </c>
      <c r="E294" s="200">
        <v>0</v>
      </c>
      <c r="F294" s="200">
        <v>0</v>
      </c>
      <c r="G294" s="200">
        <v>0</v>
      </c>
      <c r="H294" s="200">
        <v>0</v>
      </c>
      <c r="I294" s="348">
        <f t="shared" si="6"/>
        <v>110028526</v>
      </c>
      <c r="J294" s="192" t="s">
        <v>996</v>
      </c>
    </row>
    <row r="295" spans="1:10" hidden="1" outlineLevel="1">
      <c r="A295" s="379" t="s">
        <v>997</v>
      </c>
      <c r="B295" s="199">
        <v>142931025</v>
      </c>
      <c r="C295" s="200">
        <v>57816</v>
      </c>
      <c r="D295" s="200">
        <v>0</v>
      </c>
      <c r="E295" s="200">
        <v>0</v>
      </c>
      <c r="F295" s="200">
        <v>0</v>
      </c>
      <c r="G295" s="200">
        <v>0</v>
      </c>
      <c r="H295" s="200">
        <v>0</v>
      </c>
      <c r="I295" s="348">
        <f t="shared" si="6"/>
        <v>142988841</v>
      </c>
      <c r="J295" s="192" t="s">
        <v>998</v>
      </c>
    </row>
    <row r="296" spans="1:10" hidden="1" outlineLevel="1">
      <c r="A296" s="379" t="s">
        <v>999</v>
      </c>
      <c r="B296" s="199">
        <v>29370500</v>
      </c>
      <c r="C296" s="200">
        <v>781823</v>
      </c>
      <c r="D296" s="200">
        <v>0</v>
      </c>
      <c r="E296" s="200">
        <v>0</v>
      </c>
      <c r="F296" s="200">
        <v>0</v>
      </c>
      <c r="G296" s="200">
        <v>0</v>
      </c>
      <c r="H296" s="200">
        <v>0</v>
      </c>
      <c r="I296" s="348">
        <f t="shared" si="6"/>
        <v>30152323</v>
      </c>
      <c r="J296" s="192" t="s">
        <v>1000</v>
      </c>
    </row>
    <row r="297" spans="1:10" hidden="1" outlineLevel="1">
      <c r="A297" s="379" t="s">
        <v>1001</v>
      </c>
      <c r="B297" s="199">
        <v>51959928</v>
      </c>
      <c r="C297" s="200">
        <v>1254390</v>
      </c>
      <c r="D297" s="200">
        <v>0</v>
      </c>
      <c r="E297" s="200">
        <v>0</v>
      </c>
      <c r="F297" s="200">
        <v>0</v>
      </c>
      <c r="G297" s="200">
        <v>0</v>
      </c>
      <c r="H297" s="200">
        <v>0</v>
      </c>
      <c r="I297" s="348">
        <f t="shared" si="6"/>
        <v>53214318</v>
      </c>
      <c r="J297" s="192" t="s">
        <v>1002</v>
      </c>
    </row>
    <row r="298" spans="1:10" hidden="1" outlineLevel="1">
      <c r="A298" s="379" t="s">
        <v>1003</v>
      </c>
      <c r="B298" s="199">
        <v>55226272</v>
      </c>
      <c r="C298" s="200">
        <v>0</v>
      </c>
      <c r="D298" s="200">
        <v>0</v>
      </c>
      <c r="E298" s="200">
        <v>0</v>
      </c>
      <c r="F298" s="200">
        <v>0</v>
      </c>
      <c r="G298" s="200">
        <v>0</v>
      </c>
      <c r="H298" s="200">
        <v>0</v>
      </c>
      <c r="I298" s="348">
        <f t="shared" si="6"/>
        <v>55226272</v>
      </c>
      <c r="J298" s="192" t="s">
        <v>1004</v>
      </c>
    </row>
    <row r="299" spans="1:10" hidden="1" outlineLevel="1">
      <c r="A299" s="379" t="s">
        <v>1005</v>
      </c>
      <c r="B299" s="199">
        <v>2362109819</v>
      </c>
      <c r="C299" s="200">
        <v>11420949</v>
      </c>
      <c r="D299" s="200">
        <v>0</v>
      </c>
      <c r="E299" s="200">
        <v>0</v>
      </c>
      <c r="F299" s="200">
        <v>1146625</v>
      </c>
      <c r="G299" s="200">
        <v>4816413</v>
      </c>
      <c r="H299" s="200">
        <v>0</v>
      </c>
      <c r="I299" s="348">
        <f t="shared" si="6"/>
        <v>2379493806</v>
      </c>
      <c r="J299" s="192" t="s">
        <v>1006</v>
      </c>
    </row>
    <row r="300" spans="1:10" hidden="1" outlineLevel="1">
      <c r="A300" s="379" t="s">
        <v>1007</v>
      </c>
      <c r="B300" s="199">
        <v>26073385</v>
      </c>
      <c r="C300" s="200">
        <v>0</v>
      </c>
      <c r="D300" s="200">
        <v>0</v>
      </c>
      <c r="E300" s="200">
        <v>0</v>
      </c>
      <c r="F300" s="200">
        <v>0</v>
      </c>
      <c r="G300" s="200">
        <v>0</v>
      </c>
      <c r="H300" s="200">
        <v>0</v>
      </c>
      <c r="I300" s="348">
        <f t="shared" si="6"/>
        <v>26073385</v>
      </c>
      <c r="J300" s="192" t="s">
        <v>1008</v>
      </c>
    </row>
    <row r="301" spans="1:10" hidden="1" outlineLevel="1">
      <c r="A301" s="379" t="s">
        <v>1009</v>
      </c>
      <c r="B301" s="199">
        <v>90813903</v>
      </c>
      <c r="C301" s="200">
        <v>346073</v>
      </c>
      <c r="D301" s="200">
        <v>0</v>
      </c>
      <c r="E301" s="200">
        <v>0</v>
      </c>
      <c r="F301" s="200">
        <v>0</v>
      </c>
      <c r="G301" s="200">
        <v>0</v>
      </c>
      <c r="H301" s="200">
        <v>0</v>
      </c>
      <c r="I301" s="348">
        <f t="shared" si="6"/>
        <v>91159976</v>
      </c>
      <c r="J301" s="192" t="s">
        <v>1010</v>
      </c>
    </row>
    <row r="302" spans="1:10" hidden="1" outlineLevel="1">
      <c r="A302" s="379" t="s">
        <v>1011</v>
      </c>
      <c r="B302" s="199">
        <v>1009015999</v>
      </c>
      <c r="C302" s="200">
        <v>0</v>
      </c>
      <c r="D302" s="200">
        <v>0</v>
      </c>
      <c r="E302" s="200">
        <v>0</v>
      </c>
      <c r="F302" s="200">
        <v>0</v>
      </c>
      <c r="G302" s="200">
        <v>0</v>
      </c>
      <c r="H302" s="200">
        <v>0</v>
      </c>
      <c r="I302" s="348">
        <f t="shared" si="6"/>
        <v>1009015999</v>
      </c>
      <c r="J302" s="192" t="s">
        <v>1012</v>
      </c>
    </row>
    <row r="303" spans="1:10" hidden="1" outlineLevel="1">
      <c r="A303" s="379" t="s">
        <v>1013</v>
      </c>
      <c r="B303" s="199">
        <v>89052886</v>
      </c>
      <c r="C303" s="200">
        <v>0</v>
      </c>
      <c r="D303" s="200">
        <v>0</v>
      </c>
      <c r="E303" s="200">
        <v>0</v>
      </c>
      <c r="F303" s="200">
        <v>0</v>
      </c>
      <c r="G303" s="200">
        <v>0</v>
      </c>
      <c r="H303" s="200">
        <v>0</v>
      </c>
      <c r="I303" s="348">
        <f t="shared" si="6"/>
        <v>89052886</v>
      </c>
      <c r="J303" s="192" t="s">
        <v>1014</v>
      </c>
    </row>
    <row r="304" spans="1:10" hidden="1" outlineLevel="1">
      <c r="A304" s="379" t="s">
        <v>1015</v>
      </c>
      <c r="B304" s="199">
        <v>116022297</v>
      </c>
      <c r="C304" s="200">
        <v>0</v>
      </c>
      <c r="D304" s="200">
        <v>0</v>
      </c>
      <c r="E304" s="200">
        <v>0</v>
      </c>
      <c r="F304" s="200">
        <v>0</v>
      </c>
      <c r="G304" s="200">
        <v>0</v>
      </c>
      <c r="H304" s="200">
        <v>0</v>
      </c>
      <c r="I304" s="348">
        <f t="shared" si="6"/>
        <v>116022297</v>
      </c>
      <c r="J304" s="192" t="s">
        <v>1016</v>
      </c>
    </row>
    <row r="305" spans="1:10" hidden="1" outlineLevel="1">
      <c r="A305" s="379" t="s">
        <v>1017</v>
      </c>
      <c r="B305" s="199">
        <v>1301354230</v>
      </c>
      <c r="C305" s="200">
        <v>1187476</v>
      </c>
      <c r="D305" s="200">
        <v>0</v>
      </c>
      <c r="E305" s="200">
        <v>0</v>
      </c>
      <c r="F305" s="200">
        <v>7208728</v>
      </c>
      <c r="G305" s="200">
        <v>2267156</v>
      </c>
      <c r="H305" s="200">
        <v>0</v>
      </c>
      <c r="I305" s="348">
        <f t="shared" si="6"/>
        <v>1312017590</v>
      </c>
      <c r="J305" s="192" t="s">
        <v>1018</v>
      </c>
    </row>
    <row r="306" spans="1:10" hidden="1" outlineLevel="1">
      <c r="A306" s="379" t="s">
        <v>1019</v>
      </c>
      <c r="B306" s="199">
        <v>11606467</v>
      </c>
      <c r="C306" s="200">
        <v>0</v>
      </c>
      <c r="D306" s="200">
        <v>0</v>
      </c>
      <c r="E306" s="200">
        <v>0</v>
      </c>
      <c r="F306" s="200">
        <v>0</v>
      </c>
      <c r="G306" s="200">
        <v>0</v>
      </c>
      <c r="H306" s="200">
        <v>0</v>
      </c>
      <c r="I306" s="348">
        <f t="shared" si="6"/>
        <v>11606467</v>
      </c>
      <c r="J306" s="192" t="s">
        <v>1020</v>
      </c>
    </row>
    <row r="307" spans="1:10" hidden="1" outlineLevel="1">
      <c r="A307" s="379" t="s">
        <v>1021</v>
      </c>
      <c r="B307" s="199">
        <v>64283089</v>
      </c>
      <c r="C307" s="200">
        <v>0</v>
      </c>
      <c r="D307" s="200">
        <v>0</v>
      </c>
      <c r="E307" s="200">
        <v>0</v>
      </c>
      <c r="F307" s="200">
        <v>107306075</v>
      </c>
      <c r="G307" s="200">
        <v>0</v>
      </c>
      <c r="H307" s="200">
        <v>0</v>
      </c>
      <c r="I307" s="348">
        <f t="shared" si="6"/>
        <v>171589164</v>
      </c>
      <c r="J307" s="192" t="s">
        <v>944</v>
      </c>
    </row>
    <row r="308" spans="1:10" hidden="1" outlineLevel="1">
      <c r="A308" s="379" t="s">
        <v>1022</v>
      </c>
      <c r="B308" s="199">
        <v>129824478</v>
      </c>
      <c r="C308" s="200">
        <v>0</v>
      </c>
      <c r="D308" s="200">
        <v>0</v>
      </c>
      <c r="E308" s="200">
        <v>0</v>
      </c>
      <c r="F308" s="200">
        <v>0</v>
      </c>
      <c r="G308" s="200">
        <v>0</v>
      </c>
      <c r="H308" s="200">
        <v>0</v>
      </c>
      <c r="I308" s="348">
        <f t="shared" si="6"/>
        <v>129824478</v>
      </c>
      <c r="J308" s="192" t="s">
        <v>1023</v>
      </c>
    </row>
    <row r="309" spans="1:10" hidden="1" outlineLevel="1">
      <c r="A309" s="379" t="s">
        <v>1024</v>
      </c>
      <c r="B309" s="199">
        <v>86540861</v>
      </c>
      <c r="C309" s="200">
        <v>0</v>
      </c>
      <c r="D309" s="200">
        <v>0</v>
      </c>
      <c r="E309" s="200">
        <v>0</v>
      </c>
      <c r="F309" s="200">
        <v>0</v>
      </c>
      <c r="G309" s="200">
        <v>0</v>
      </c>
      <c r="H309" s="200">
        <v>0</v>
      </c>
      <c r="I309" s="348">
        <f t="shared" si="6"/>
        <v>86540861</v>
      </c>
      <c r="J309" s="192" t="s">
        <v>1025</v>
      </c>
    </row>
    <row r="310" spans="1:10" hidden="1" outlineLevel="1">
      <c r="A310" s="379" t="s">
        <v>1026</v>
      </c>
      <c r="B310" s="199">
        <v>29110939</v>
      </c>
      <c r="C310" s="200">
        <v>510142</v>
      </c>
      <c r="D310" s="200">
        <v>0</v>
      </c>
      <c r="E310" s="200">
        <v>0</v>
      </c>
      <c r="F310" s="200">
        <v>0</v>
      </c>
      <c r="G310" s="200">
        <v>0</v>
      </c>
      <c r="H310" s="200">
        <v>0</v>
      </c>
      <c r="I310" s="348">
        <f t="shared" si="6"/>
        <v>29621081</v>
      </c>
      <c r="J310" s="192" t="s">
        <v>1027</v>
      </c>
    </row>
    <row r="311" spans="1:10" hidden="1" outlineLevel="1">
      <c r="A311" s="379" t="s">
        <v>1028</v>
      </c>
      <c r="B311" s="199">
        <v>1811334489</v>
      </c>
      <c r="C311" s="200">
        <v>0</v>
      </c>
      <c r="D311" s="200">
        <v>0</v>
      </c>
      <c r="E311" s="200">
        <v>0</v>
      </c>
      <c r="F311" s="200">
        <v>1450293</v>
      </c>
      <c r="G311" s="200">
        <v>0</v>
      </c>
      <c r="H311" s="200">
        <v>0</v>
      </c>
      <c r="I311" s="348">
        <f t="shared" si="6"/>
        <v>1812784782</v>
      </c>
      <c r="J311" s="192" t="s">
        <v>1029</v>
      </c>
    </row>
    <row r="312" spans="1:10" hidden="1" outlineLevel="1">
      <c r="A312" s="379" t="s">
        <v>1030</v>
      </c>
      <c r="B312" s="199">
        <v>394969917</v>
      </c>
      <c r="C312" s="200">
        <v>0</v>
      </c>
      <c r="D312" s="200">
        <v>0</v>
      </c>
      <c r="E312" s="200">
        <v>0</v>
      </c>
      <c r="F312" s="200">
        <v>0</v>
      </c>
      <c r="G312" s="200">
        <v>0</v>
      </c>
      <c r="H312" s="200">
        <v>0</v>
      </c>
      <c r="I312" s="348">
        <f t="shared" si="6"/>
        <v>394969917</v>
      </c>
      <c r="J312" s="192" t="s">
        <v>1031</v>
      </c>
    </row>
    <row r="313" spans="1:10" hidden="1" outlineLevel="1">
      <c r="A313" s="379" t="s">
        <v>1032</v>
      </c>
      <c r="B313" s="199">
        <v>216787126</v>
      </c>
      <c r="C313" s="200">
        <v>874504</v>
      </c>
      <c r="D313" s="200">
        <v>0</v>
      </c>
      <c r="E313" s="200">
        <v>0</v>
      </c>
      <c r="F313" s="200">
        <v>0</v>
      </c>
      <c r="G313" s="200">
        <v>0</v>
      </c>
      <c r="H313" s="200">
        <v>0</v>
      </c>
      <c r="I313" s="348">
        <f t="shared" si="6"/>
        <v>217661630</v>
      </c>
      <c r="J313" s="192" t="s">
        <v>1033</v>
      </c>
    </row>
    <row r="314" spans="1:10" hidden="1" outlineLevel="1">
      <c r="A314" s="379" t="s">
        <v>1034</v>
      </c>
      <c r="B314" s="199">
        <v>15205087</v>
      </c>
      <c r="C314" s="200">
        <v>0</v>
      </c>
      <c r="D314" s="200">
        <v>0</v>
      </c>
      <c r="E314" s="200">
        <v>0</v>
      </c>
      <c r="F314" s="200">
        <v>0</v>
      </c>
      <c r="G314" s="200">
        <v>0</v>
      </c>
      <c r="H314" s="200">
        <v>0</v>
      </c>
      <c r="I314" s="348">
        <f t="shared" si="6"/>
        <v>15205087</v>
      </c>
      <c r="J314" s="192" t="s">
        <v>1035</v>
      </c>
    </row>
    <row r="315" spans="1:10" hidden="1" outlineLevel="1">
      <c r="A315" s="379" t="s">
        <v>1036</v>
      </c>
      <c r="B315" s="199">
        <v>423104740</v>
      </c>
      <c r="C315" s="200">
        <v>0</v>
      </c>
      <c r="D315" s="200">
        <v>0</v>
      </c>
      <c r="E315" s="200">
        <v>0</v>
      </c>
      <c r="F315" s="200">
        <v>4405830</v>
      </c>
      <c r="G315" s="200">
        <v>0</v>
      </c>
      <c r="H315" s="200">
        <v>0</v>
      </c>
      <c r="I315" s="348">
        <f t="shared" ref="I315:I378" si="7">SUM(B315:H315)</f>
        <v>427510570</v>
      </c>
      <c r="J315" s="192" t="s">
        <v>1037</v>
      </c>
    </row>
    <row r="316" spans="1:10" hidden="1" outlineLevel="1">
      <c r="A316" s="379" t="s">
        <v>1038</v>
      </c>
      <c r="B316" s="199">
        <v>89345297</v>
      </c>
      <c r="C316" s="200">
        <v>0</v>
      </c>
      <c r="D316" s="200">
        <v>0</v>
      </c>
      <c r="E316" s="200">
        <v>0</v>
      </c>
      <c r="F316" s="200">
        <v>0</v>
      </c>
      <c r="G316" s="200">
        <v>0</v>
      </c>
      <c r="H316" s="200">
        <v>0</v>
      </c>
      <c r="I316" s="348">
        <f t="shared" si="7"/>
        <v>89345297</v>
      </c>
      <c r="J316" s="192" t="s">
        <v>1039</v>
      </c>
    </row>
    <row r="317" spans="1:10" hidden="1" outlineLevel="1">
      <c r="A317" s="379" t="s">
        <v>1040</v>
      </c>
      <c r="B317" s="199">
        <v>173355701</v>
      </c>
      <c r="C317" s="200">
        <v>0</v>
      </c>
      <c r="D317" s="200">
        <v>0</v>
      </c>
      <c r="E317" s="200">
        <v>0</v>
      </c>
      <c r="F317" s="200">
        <v>0</v>
      </c>
      <c r="G317" s="200">
        <v>0</v>
      </c>
      <c r="H317" s="200">
        <v>0</v>
      </c>
      <c r="I317" s="348">
        <f t="shared" si="7"/>
        <v>173355701</v>
      </c>
      <c r="J317" s="192" t="s">
        <v>1041</v>
      </c>
    </row>
    <row r="318" spans="1:10" hidden="1" outlineLevel="1">
      <c r="A318" s="379" t="s">
        <v>1042</v>
      </c>
      <c r="B318" s="199">
        <v>119445183</v>
      </c>
      <c r="C318" s="200">
        <v>0</v>
      </c>
      <c r="D318" s="200">
        <v>0</v>
      </c>
      <c r="E318" s="200">
        <v>0</v>
      </c>
      <c r="F318" s="200">
        <v>0</v>
      </c>
      <c r="G318" s="200">
        <v>0</v>
      </c>
      <c r="H318" s="200">
        <v>0</v>
      </c>
      <c r="I318" s="348">
        <f t="shared" si="7"/>
        <v>119445183</v>
      </c>
      <c r="J318" s="192" t="s">
        <v>1043</v>
      </c>
    </row>
    <row r="319" spans="1:10" hidden="1" outlineLevel="1">
      <c r="A319" s="379" t="s">
        <v>1044</v>
      </c>
      <c r="B319" s="199">
        <v>162126286</v>
      </c>
      <c r="C319" s="200">
        <v>0</v>
      </c>
      <c r="D319" s="200">
        <v>0</v>
      </c>
      <c r="E319" s="200">
        <v>0</v>
      </c>
      <c r="F319" s="200">
        <v>0</v>
      </c>
      <c r="G319" s="200">
        <v>0</v>
      </c>
      <c r="H319" s="200">
        <v>0</v>
      </c>
      <c r="I319" s="348">
        <f t="shared" si="7"/>
        <v>162126286</v>
      </c>
      <c r="J319" s="192" t="s">
        <v>1045</v>
      </c>
    </row>
    <row r="320" spans="1:10" hidden="1" outlineLevel="1">
      <c r="A320" s="379" t="s">
        <v>1046</v>
      </c>
      <c r="B320" s="199">
        <v>264015871</v>
      </c>
      <c r="C320" s="200">
        <v>0</v>
      </c>
      <c r="D320" s="200">
        <v>0</v>
      </c>
      <c r="E320" s="200">
        <v>0</v>
      </c>
      <c r="F320" s="200">
        <v>0</v>
      </c>
      <c r="G320" s="200">
        <v>0</v>
      </c>
      <c r="H320" s="200">
        <v>0</v>
      </c>
      <c r="I320" s="348">
        <f t="shared" si="7"/>
        <v>264015871</v>
      </c>
      <c r="J320" s="192" t="s">
        <v>1047</v>
      </c>
    </row>
    <row r="321" spans="1:10" hidden="1" outlineLevel="1">
      <c r="A321" s="379" t="s">
        <v>1048</v>
      </c>
      <c r="B321" s="199">
        <v>232774554</v>
      </c>
      <c r="C321" s="200">
        <v>0</v>
      </c>
      <c r="D321" s="200">
        <v>0</v>
      </c>
      <c r="E321" s="200">
        <v>0</v>
      </c>
      <c r="F321" s="200">
        <v>0</v>
      </c>
      <c r="G321" s="200">
        <v>0</v>
      </c>
      <c r="H321" s="200">
        <v>0</v>
      </c>
      <c r="I321" s="348">
        <f t="shared" si="7"/>
        <v>232774554</v>
      </c>
      <c r="J321" s="192" t="s">
        <v>1049</v>
      </c>
    </row>
    <row r="322" spans="1:10" hidden="1" outlineLevel="1">
      <c r="A322" s="379" t="s">
        <v>1050</v>
      </c>
      <c r="B322" s="199">
        <v>138190600</v>
      </c>
      <c r="C322" s="200">
        <v>852607</v>
      </c>
      <c r="D322" s="200">
        <v>0</v>
      </c>
      <c r="E322" s="200">
        <v>0</v>
      </c>
      <c r="F322" s="200">
        <v>0</v>
      </c>
      <c r="G322" s="200">
        <v>0</v>
      </c>
      <c r="H322" s="200">
        <v>0</v>
      </c>
      <c r="I322" s="348">
        <f t="shared" si="7"/>
        <v>139043207</v>
      </c>
      <c r="J322" s="192" t="s">
        <v>1051</v>
      </c>
    </row>
    <row r="323" spans="1:10" hidden="1" outlineLevel="1">
      <c r="A323" s="379" t="s">
        <v>1054</v>
      </c>
      <c r="B323" s="199">
        <v>347740306</v>
      </c>
      <c r="C323" s="200">
        <v>0</v>
      </c>
      <c r="D323" s="200">
        <v>0</v>
      </c>
      <c r="E323" s="200">
        <v>0</v>
      </c>
      <c r="F323" s="200">
        <v>0</v>
      </c>
      <c r="G323" s="200">
        <v>0</v>
      </c>
      <c r="H323" s="200">
        <v>0</v>
      </c>
      <c r="I323" s="348">
        <f t="shared" si="7"/>
        <v>347740306</v>
      </c>
      <c r="J323" s="192" t="s">
        <v>1055</v>
      </c>
    </row>
    <row r="324" spans="1:10" hidden="1" outlineLevel="1">
      <c r="A324" s="379" t="s">
        <v>1056</v>
      </c>
      <c r="B324" s="199">
        <v>105340562</v>
      </c>
      <c r="C324" s="200">
        <v>647669</v>
      </c>
      <c r="D324" s="200">
        <v>0</v>
      </c>
      <c r="E324" s="200">
        <v>0</v>
      </c>
      <c r="F324" s="200">
        <v>0</v>
      </c>
      <c r="G324" s="200">
        <v>0</v>
      </c>
      <c r="H324" s="200">
        <v>0</v>
      </c>
      <c r="I324" s="348">
        <f t="shared" si="7"/>
        <v>105988231</v>
      </c>
      <c r="J324" s="192" t="s">
        <v>1057</v>
      </c>
    </row>
    <row r="325" spans="1:10" hidden="1" outlineLevel="1">
      <c r="A325" s="379" t="s">
        <v>1058</v>
      </c>
      <c r="B325" s="199">
        <v>440454968</v>
      </c>
      <c r="C325" s="200">
        <v>5815706</v>
      </c>
      <c r="D325" s="200">
        <v>0</v>
      </c>
      <c r="E325" s="200">
        <v>0</v>
      </c>
      <c r="F325" s="200">
        <v>0</v>
      </c>
      <c r="G325" s="200">
        <v>0</v>
      </c>
      <c r="H325" s="200">
        <v>0</v>
      </c>
      <c r="I325" s="348">
        <f t="shared" si="7"/>
        <v>446270674</v>
      </c>
      <c r="J325" s="192" t="s">
        <v>1059</v>
      </c>
    </row>
    <row r="326" spans="1:10" hidden="1" outlineLevel="1">
      <c r="A326" s="379" t="s">
        <v>1060</v>
      </c>
      <c r="B326" s="199">
        <v>3025603</v>
      </c>
      <c r="C326" s="200">
        <v>0</v>
      </c>
      <c r="D326" s="200">
        <v>0</v>
      </c>
      <c r="E326" s="200">
        <v>0</v>
      </c>
      <c r="F326" s="200">
        <v>0</v>
      </c>
      <c r="G326" s="200">
        <v>0</v>
      </c>
      <c r="H326" s="200">
        <v>0</v>
      </c>
      <c r="I326" s="348">
        <f t="shared" si="7"/>
        <v>3025603</v>
      </c>
      <c r="J326" s="192" t="s">
        <v>1061</v>
      </c>
    </row>
    <row r="327" spans="1:10" hidden="1" outlineLevel="1">
      <c r="A327" s="379" t="s">
        <v>1062</v>
      </c>
      <c r="B327" s="199">
        <v>117102884</v>
      </c>
      <c r="C327" s="200">
        <v>0</v>
      </c>
      <c r="D327" s="200">
        <v>0</v>
      </c>
      <c r="E327" s="200">
        <v>0</v>
      </c>
      <c r="F327" s="200">
        <v>0</v>
      </c>
      <c r="G327" s="200">
        <v>0</v>
      </c>
      <c r="H327" s="200">
        <v>0</v>
      </c>
      <c r="I327" s="348">
        <f t="shared" si="7"/>
        <v>117102884</v>
      </c>
      <c r="J327" s="192" t="s">
        <v>1063</v>
      </c>
    </row>
    <row r="328" spans="1:10" hidden="1" outlineLevel="1">
      <c r="A328" s="379" t="s">
        <v>1064</v>
      </c>
      <c r="B328" s="199">
        <v>684928080</v>
      </c>
      <c r="C328" s="200">
        <v>8683863</v>
      </c>
      <c r="D328" s="200">
        <v>0</v>
      </c>
      <c r="E328" s="200">
        <v>0</v>
      </c>
      <c r="F328" s="200">
        <v>0</v>
      </c>
      <c r="G328" s="200">
        <v>0</v>
      </c>
      <c r="H328" s="200">
        <v>0</v>
      </c>
      <c r="I328" s="348">
        <f t="shared" si="7"/>
        <v>693611943</v>
      </c>
      <c r="J328" s="192" t="s">
        <v>1065</v>
      </c>
    </row>
    <row r="329" spans="1:10" hidden="1" outlineLevel="1">
      <c r="A329" s="379" t="s">
        <v>1066</v>
      </c>
      <c r="B329" s="199">
        <v>10742421</v>
      </c>
      <c r="C329" s="200">
        <v>0</v>
      </c>
      <c r="D329" s="200">
        <v>0</v>
      </c>
      <c r="E329" s="200">
        <v>0</v>
      </c>
      <c r="F329" s="200">
        <v>0</v>
      </c>
      <c r="G329" s="200">
        <v>0</v>
      </c>
      <c r="H329" s="200">
        <v>0</v>
      </c>
      <c r="I329" s="348">
        <f t="shared" si="7"/>
        <v>10742421</v>
      </c>
      <c r="J329" s="192" t="s">
        <v>1067</v>
      </c>
    </row>
    <row r="330" spans="1:10" hidden="1" outlineLevel="1">
      <c r="A330" s="379" t="s">
        <v>1068</v>
      </c>
      <c r="B330" s="199">
        <v>489979982</v>
      </c>
      <c r="C330" s="200">
        <v>0</v>
      </c>
      <c r="D330" s="200">
        <v>0</v>
      </c>
      <c r="E330" s="200">
        <v>0</v>
      </c>
      <c r="F330" s="200">
        <v>0</v>
      </c>
      <c r="G330" s="200">
        <v>0</v>
      </c>
      <c r="H330" s="200">
        <v>0</v>
      </c>
      <c r="I330" s="348">
        <f t="shared" si="7"/>
        <v>489979982</v>
      </c>
      <c r="J330" s="192" t="s">
        <v>1069</v>
      </c>
    </row>
    <row r="331" spans="1:10" hidden="1" outlineLevel="1">
      <c r="A331" s="379" t="s">
        <v>1070</v>
      </c>
      <c r="B331" s="199">
        <v>91100480</v>
      </c>
      <c r="C331" s="200">
        <v>0</v>
      </c>
      <c r="D331" s="200">
        <v>0</v>
      </c>
      <c r="E331" s="200">
        <v>0</v>
      </c>
      <c r="F331" s="200">
        <v>0</v>
      </c>
      <c r="G331" s="200">
        <v>0</v>
      </c>
      <c r="H331" s="200">
        <v>0</v>
      </c>
      <c r="I331" s="348">
        <f t="shared" si="7"/>
        <v>91100480</v>
      </c>
      <c r="J331" s="192" t="s">
        <v>1071</v>
      </c>
    </row>
    <row r="332" spans="1:10" hidden="1" outlineLevel="1">
      <c r="A332" s="379" t="s">
        <v>1072</v>
      </c>
      <c r="B332" s="199">
        <v>248457752</v>
      </c>
      <c r="C332" s="200">
        <v>0</v>
      </c>
      <c r="D332" s="200">
        <v>0</v>
      </c>
      <c r="E332" s="200">
        <v>0</v>
      </c>
      <c r="F332" s="200">
        <v>0</v>
      </c>
      <c r="G332" s="200">
        <v>0</v>
      </c>
      <c r="H332" s="200">
        <v>0</v>
      </c>
      <c r="I332" s="348">
        <f t="shared" si="7"/>
        <v>248457752</v>
      </c>
      <c r="J332" s="192" t="s">
        <v>1073</v>
      </c>
    </row>
    <row r="333" spans="1:10" hidden="1" outlineLevel="1">
      <c r="A333" s="379" t="s">
        <v>1074</v>
      </c>
      <c r="B333" s="199">
        <v>1240078623</v>
      </c>
      <c r="C333" s="200">
        <v>0</v>
      </c>
      <c r="D333" s="200">
        <v>0</v>
      </c>
      <c r="E333" s="200">
        <v>0</v>
      </c>
      <c r="F333" s="200">
        <v>0</v>
      </c>
      <c r="G333" s="200">
        <v>0</v>
      </c>
      <c r="H333" s="200">
        <v>0</v>
      </c>
      <c r="I333" s="348">
        <f t="shared" si="7"/>
        <v>1240078623</v>
      </c>
      <c r="J333" s="192" t="s">
        <v>1075</v>
      </c>
    </row>
    <row r="334" spans="1:10" hidden="1" outlineLevel="1">
      <c r="A334" s="379" t="s">
        <v>1076</v>
      </c>
      <c r="B334" s="199">
        <v>117888175</v>
      </c>
      <c r="C334" s="200">
        <v>0</v>
      </c>
      <c r="D334" s="200">
        <v>0</v>
      </c>
      <c r="E334" s="200">
        <v>0</v>
      </c>
      <c r="F334" s="200">
        <v>0</v>
      </c>
      <c r="G334" s="200">
        <v>0</v>
      </c>
      <c r="H334" s="200">
        <v>0</v>
      </c>
      <c r="I334" s="348">
        <f t="shared" si="7"/>
        <v>117888175</v>
      </c>
      <c r="J334" s="192" t="s">
        <v>1077</v>
      </c>
    </row>
    <row r="335" spans="1:10" hidden="1" outlineLevel="1">
      <c r="A335" s="379" t="s">
        <v>1078</v>
      </c>
      <c r="B335" s="199">
        <v>502289805</v>
      </c>
      <c r="C335" s="200">
        <v>7805945</v>
      </c>
      <c r="D335" s="200">
        <v>0</v>
      </c>
      <c r="E335" s="200">
        <v>0</v>
      </c>
      <c r="F335" s="200">
        <v>0</v>
      </c>
      <c r="G335" s="200">
        <v>0</v>
      </c>
      <c r="H335" s="200">
        <v>0</v>
      </c>
      <c r="I335" s="348">
        <f t="shared" si="7"/>
        <v>510095750</v>
      </c>
      <c r="J335" s="192" t="s">
        <v>1079</v>
      </c>
    </row>
    <row r="336" spans="1:10" hidden="1" outlineLevel="1">
      <c r="A336" s="379" t="s">
        <v>1080</v>
      </c>
      <c r="B336" s="199">
        <v>30607015</v>
      </c>
      <c r="C336" s="200">
        <v>363690</v>
      </c>
      <c r="D336" s="200">
        <v>0</v>
      </c>
      <c r="E336" s="200">
        <v>0</v>
      </c>
      <c r="F336" s="200">
        <v>0</v>
      </c>
      <c r="G336" s="200">
        <v>0</v>
      </c>
      <c r="H336" s="200">
        <v>0</v>
      </c>
      <c r="I336" s="348">
        <f t="shared" si="7"/>
        <v>30970705</v>
      </c>
      <c r="J336" s="192" t="s">
        <v>1081</v>
      </c>
    </row>
    <row r="337" spans="1:10" hidden="1" outlineLevel="1">
      <c r="A337" s="379" t="s">
        <v>1082</v>
      </c>
      <c r="B337" s="199">
        <v>213204511</v>
      </c>
      <c r="C337" s="200">
        <v>0</v>
      </c>
      <c r="D337" s="200">
        <v>0</v>
      </c>
      <c r="E337" s="200">
        <v>0</v>
      </c>
      <c r="F337" s="200">
        <v>0</v>
      </c>
      <c r="G337" s="200">
        <v>0</v>
      </c>
      <c r="H337" s="200">
        <v>0</v>
      </c>
      <c r="I337" s="348">
        <f t="shared" si="7"/>
        <v>213204511</v>
      </c>
      <c r="J337" s="192" t="s">
        <v>1083</v>
      </c>
    </row>
    <row r="338" spans="1:10" hidden="1" outlineLevel="1">
      <c r="A338" s="379" t="s">
        <v>1084</v>
      </c>
      <c r="B338" s="199">
        <v>170690422</v>
      </c>
      <c r="C338" s="200">
        <v>0</v>
      </c>
      <c r="D338" s="200">
        <v>0</v>
      </c>
      <c r="E338" s="200">
        <v>0</v>
      </c>
      <c r="F338" s="200">
        <v>0</v>
      </c>
      <c r="G338" s="200">
        <v>0</v>
      </c>
      <c r="H338" s="200">
        <v>0</v>
      </c>
      <c r="I338" s="348">
        <f t="shared" si="7"/>
        <v>170690422</v>
      </c>
      <c r="J338" s="192" t="s">
        <v>1085</v>
      </c>
    </row>
    <row r="339" spans="1:10" hidden="1" outlineLevel="1">
      <c r="A339" s="379" t="s">
        <v>1086</v>
      </c>
      <c r="B339" s="199">
        <v>82040711</v>
      </c>
      <c r="C339" s="200">
        <v>0</v>
      </c>
      <c r="D339" s="200">
        <v>0</v>
      </c>
      <c r="E339" s="200">
        <v>0</v>
      </c>
      <c r="F339" s="200">
        <v>0</v>
      </c>
      <c r="G339" s="200">
        <v>0</v>
      </c>
      <c r="H339" s="200">
        <v>0</v>
      </c>
      <c r="I339" s="348">
        <f t="shared" si="7"/>
        <v>82040711</v>
      </c>
      <c r="J339" s="192" t="s">
        <v>1087</v>
      </c>
    </row>
    <row r="340" spans="1:10" hidden="1" outlineLevel="1">
      <c r="A340" s="379" t="s">
        <v>1088</v>
      </c>
      <c r="B340" s="199">
        <v>44214373</v>
      </c>
      <c r="C340" s="200">
        <v>938458</v>
      </c>
      <c r="D340" s="200">
        <v>0</v>
      </c>
      <c r="E340" s="200">
        <v>0</v>
      </c>
      <c r="F340" s="200">
        <v>0</v>
      </c>
      <c r="G340" s="200">
        <v>0</v>
      </c>
      <c r="H340" s="200">
        <v>0</v>
      </c>
      <c r="I340" s="348">
        <f t="shared" si="7"/>
        <v>45152831</v>
      </c>
      <c r="J340" s="192" t="s">
        <v>1089</v>
      </c>
    </row>
    <row r="341" spans="1:10" hidden="1" outlineLevel="1">
      <c r="A341" s="379" t="s">
        <v>1090</v>
      </c>
      <c r="B341" s="199">
        <v>289570799</v>
      </c>
      <c r="C341" s="200">
        <v>0</v>
      </c>
      <c r="D341" s="200">
        <v>0</v>
      </c>
      <c r="E341" s="200">
        <v>0</v>
      </c>
      <c r="F341" s="200">
        <v>0</v>
      </c>
      <c r="G341" s="200">
        <v>0</v>
      </c>
      <c r="H341" s="200">
        <v>0</v>
      </c>
      <c r="I341" s="348">
        <f t="shared" si="7"/>
        <v>289570799</v>
      </c>
      <c r="J341" s="192" t="s">
        <v>1091</v>
      </c>
    </row>
    <row r="342" spans="1:10" hidden="1" outlineLevel="1">
      <c r="A342" s="379" t="s">
        <v>1092</v>
      </c>
      <c r="B342" s="199">
        <v>374852458</v>
      </c>
      <c r="C342" s="200">
        <v>0</v>
      </c>
      <c r="D342" s="200">
        <v>0</v>
      </c>
      <c r="E342" s="200">
        <v>0</v>
      </c>
      <c r="F342" s="200">
        <v>2982807</v>
      </c>
      <c r="G342" s="200">
        <v>0</v>
      </c>
      <c r="H342" s="200">
        <v>0</v>
      </c>
      <c r="I342" s="348">
        <f t="shared" si="7"/>
        <v>377835265</v>
      </c>
      <c r="J342" s="192" t="s">
        <v>1093</v>
      </c>
    </row>
    <row r="343" spans="1:10" hidden="1" outlineLevel="1">
      <c r="A343" s="379" t="s">
        <v>1094</v>
      </c>
      <c r="B343" s="199">
        <v>28638620</v>
      </c>
      <c r="C343" s="200">
        <v>287873</v>
      </c>
      <c r="D343" s="200">
        <v>0</v>
      </c>
      <c r="E343" s="200">
        <v>0</v>
      </c>
      <c r="F343" s="200">
        <v>0</v>
      </c>
      <c r="G343" s="200">
        <v>0</v>
      </c>
      <c r="H343" s="200">
        <v>0</v>
      </c>
      <c r="I343" s="348">
        <f t="shared" si="7"/>
        <v>28926493</v>
      </c>
      <c r="J343" s="192" t="s">
        <v>1095</v>
      </c>
    </row>
    <row r="344" spans="1:10" hidden="1" outlineLevel="1">
      <c r="A344" s="379" t="s">
        <v>1096</v>
      </c>
      <c r="B344" s="199">
        <v>114003563</v>
      </c>
      <c r="C344" s="200">
        <v>0</v>
      </c>
      <c r="D344" s="200">
        <v>0</v>
      </c>
      <c r="E344" s="200">
        <v>0</v>
      </c>
      <c r="F344" s="200">
        <v>0</v>
      </c>
      <c r="G344" s="200">
        <v>0</v>
      </c>
      <c r="H344" s="200">
        <v>0</v>
      </c>
      <c r="I344" s="348">
        <f t="shared" si="7"/>
        <v>114003563</v>
      </c>
      <c r="J344" s="192" t="s">
        <v>1097</v>
      </c>
    </row>
    <row r="345" spans="1:10" hidden="1" outlineLevel="1">
      <c r="A345" s="379" t="s">
        <v>1098</v>
      </c>
      <c r="B345" s="199">
        <v>9323413</v>
      </c>
      <c r="C345" s="200">
        <v>318224</v>
      </c>
      <c r="D345" s="200">
        <v>0</v>
      </c>
      <c r="E345" s="200">
        <v>0</v>
      </c>
      <c r="F345" s="200">
        <v>0</v>
      </c>
      <c r="G345" s="200">
        <v>0</v>
      </c>
      <c r="H345" s="200">
        <v>0</v>
      </c>
      <c r="I345" s="348">
        <f t="shared" si="7"/>
        <v>9641637</v>
      </c>
      <c r="J345" s="192" t="s">
        <v>1099</v>
      </c>
    </row>
    <row r="346" spans="1:10" hidden="1" outlineLevel="1">
      <c r="A346" s="379" t="s">
        <v>1100</v>
      </c>
      <c r="B346" s="199">
        <v>1194256928</v>
      </c>
      <c r="C346" s="200">
        <v>0</v>
      </c>
      <c r="D346" s="200">
        <v>0</v>
      </c>
      <c r="E346" s="200">
        <v>0</v>
      </c>
      <c r="F346" s="200">
        <v>13347736</v>
      </c>
      <c r="G346" s="200">
        <v>0</v>
      </c>
      <c r="H346" s="200">
        <v>0</v>
      </c>
      <c r="I346" s="348">
        <f t="shared" si="7"/>
        <v>1207604664</v>
      </c>
      <c r="J346" s="192" t="s">
        <v>1101</v>
      </c>
    </row>
    <row r="347" spans="1:10" hidden="1" outlineLevel="1">
      <c r="A347" s="379" t="s">
        <v>1102</v>
      </c>
      <c r="B347" s="199">
        <v>68958177</v>
      </c>
      <c r="C347" s="200">
        <v>27738</v>
      </c>
      <c r="D347" s="200">
        <v>0</v>
      </c>
      <c r="E347" s="200">
        <v>0</v>
      </c>
      <c r="F347" s="200">
        <v>0</v>
      </c>
      <c r="G347" s="200">
        <v>0</v>
      </c>
      <c r="H347" s="200">
        <v>0</v>
      </c>
      <c r="I347" s="348">
        <f t="shared" si="7"/>
        <v>68985915</v>
      </c>
      <c r="J347" s="192" t="s">
        <v>1103</v>
      </c>
    </row>
    <row r="348" spans="1:10" hidden="1" outlineLevel="1">
      <c r="A348" s="379" t="s">
        <v>1104</v>
      </c>
      <c r="B348" s="199">
        <v>79845275</v>
      </c>
      <c r="C348" s="200">
        <v>0</v>
      </c>
      <c r="D348" s="200">
        <v>0</v>
      </c>
      <c r="E348" s="200">
        <v>0</v>
      </c>
      <c r="F348" s="200">
        <v>0</v>
      </c>
      <c r="G348" s="200">
        <v>0</v>
      </c>
      <c r="H348" s="200">
        <v>0</v>
      </c>
      <c r="I348" s="348">
        <f t="shared" si="7"/>
        <v>79845275</v>
      </c>
      <c r="J348" s="192" t="s">
        <v>1105</v>
      </c>
    </row>
    <row r="349" spans="1:10" hidden="1" outlineLevel="1">
      <c r="A349" s="379" t="s">
        <v>1106</v>
      </c>
      <c r="B349" s="199">
        <v>24017071</v>
      </c>
      <c r="C349" s="200">
        <v>0</v>
      </c>
      <c r="D349" s="200">
        <v>0</v>
      </c>
      <c r="E349" s="200">
        <v>0</v>
      </c>
      <c r="F349" s="200">
        <v>0</v>
      </c>
      <c r="G349" s="200">
        <v>0</v>
      </c>
      <c r="H349" s="200">
        <v>0</v>
      </c>
      <c r="I349" s="348">
        <f t="shared" si="7"/>
        <v>24017071</v>
      </c>
      <c r="J349" s="192" t="s">
        <v>1107</v>
      </c>
    </row>
    <row r="350" spans="1:10" hidden="1" outlineLevel="1">
      <c r="A350" s="379" t="s">
        <v>1108</v>
      </c>
      <c r="B350" s="199">
        <v>340046631</v>
      </c>
      <c r="C350" s="200">
        <v>0</v>
      </c>
      <c r="D350" s="200">
        <v>0</v>
      </c>
      <c r="E350" s="200">
        <v>0</v>
      </c>
      <c r="F350" s="200">
        <v>0</v>
      </c>
      <c r="G350" s="200">
        <v>0</v>
      </c>
      <c r="H350" s="200">
        <v>0</v>
      </c>
      <c r="I350" s="348">
        <f t="shared" si="7"/>
        <v>340046631</v>
      </c>
      <c r="J350" s="192" t="s">
        <v>1109</v>
      </c>
    </row>
    <row r="351" spans="1:10" hidden="1" outlineLevel="1">
      <c r="A351" s="379" t="s">
        <v>1110</v>
      </c>
      <c r="B351" s="199">
        <v>91972517</v>
      </c>
      <c r="C351" s="200">
        <v>0</v>
      </c>
      <c r="D351" s="200">
        <v>0</v>
      </c>
      <c r="E351" s="200">
        <v>0</v>
      </c>
      <c r="F351" s="200">
        <v>0</v>
      </c>
      <c r="G351" s="200">
        <v>0</v>
      </c>
      <c r="H351" s="200">
        <v>0</v>
      </c>
      <c r="I351" s="348">
        <f t="shared" si="7"/>
        <v>91972517</v>
      </c>
      <c r="J351" s="192" t="s">
        <v>1111</v>
      </c>
    </row>
    <row r="352" spans="1:10" hidden="1" outlineLevel="1">
      <c r="A352" s="379" t="s">
        <v>1112</v>
      </c>
      <c r="B352" s="199">
        <v>951585513</v>
      </c>
      <c r="C352" s="200">
        <v>92689</v>
      </c>
      <c r="D352" s="200">
        <v>0</v>
      </c>
      <c r="E352" s="200">
        <v>0</v>
      </c>
      <c r="F352" s="200">
        <v>0</v>
      </c>
      <c r="G352" s="200">
        <v>0</v>
      </c>
      <c r="H352" s="200">
        <v>0</v>
      </c>
      <c r="I352" s="348">
        <f t="shared" si="7"/>
        <v>951678202</v>
      </c>
      <c r="J352" s="192" t="s">
        <v>1113</v>
      </c>
    </row>
    <row r="353" spans="1:10" hidden="1" outlineLevel="1">
      <c r="A353" s="379" t="s">
        <v>1114</v>
      </c>
      <c r="B353" s="199">
        <v>44902021</v>
      </c>
      <c r="C353" s="200">
        <v>1712377</v>
      </c>
      <c r="D353" s="200">
        <v>0</v>
      </c>
      <c r="E353" s="200">
        <v>0</v>
      </c>
      <c r="F353" s="200">
        <v>0</v>
      </c>
      <c r="G353" s="200">
        <v>0</v>
      </c>
      <c r="H353" s="200">
        <v>0</v>
      </c>
      <c r="I353" s="348">
        <f t="shared" si="7"/>
        <v>46614398</v>
      </c>
      <c r="J353" s="192" t="s">
        <v>1115</v>
      </c>
    </row>
    <row r="354" spans="1:10" hidden="1" outlineLevel="1">
      <c r="A354" s="379" t="s">
        <v>1116</v>
      </c>
      <c r="B354" s="199">
        <v>124323396</v>
      </c>
      <c r="C354" s="200">
        <v>0</v>
      </c>
      <c r="D354" s="200">
        <v>0</v>
      </c>
      <c r="E354" s="200">
        <v>0</v>
      </c>
      <c r="F354" s="200">
        <v>1030777</v>
      </c>
      <c r="G354" s="200">
        <v>0</v>
      </c>
      <c r="H354" s="200">
        <v>0</v>
      </c>
      <c r="I354" s="348">
        <f t="shared" si="7"/>
        <v>125354173</v>
      </c>
      <c r="J354" s="192" t="s">
        <v>1117</v>
      </c>
    </row>
    <row r="355" spans="1:10" hidden="1" outlineLevel="1">
      <c r="A355" s="379" t="s">
        <v>1118</v>
      </c>
      <c r="B355" s="199">
        <v>1172376853</v>
      </c>
      <c r="C355" s="200">
        <v>0</v>
      </c>
      <c r="D355" s="200">
        <v>0</v>
      </c>
      <c r="E355" s="200">
        <v>0</v>
      </c>
      <c r="F355" s="200">
        <v>0</v>
      </c>
      <c r="G355" s="200">
        <v>0</v>
      </c>
      <c r="H355" s="200">
        <v>0</v>
      </c>
      <c r="I355" s="348">
        <f t="shared" si="7"/>
        <v>1172376853</v>
      </c>
      <c r="J355" s="192" t="s">
        <v>1119</v>
      </c>
    </row>
    <row r="356" spans="1:10" hidden="1" outlineLevel="1">
      <c r="A356" s="379" t="s">
        <v>1120</v>
      </c>
      <c r="B356" s="199">
        <v>2919540943</v>
      </c>
      <c r="C356" s="200">
        <v>0</v>
      </c>
      <c r="D356" s="200">
        <v>0</v>
      </c>
      <c r="E356" s="200">
        <v>0</v>
      </c>
      <c r="F356" s="200">
        <v>0</v>
      </c>
      <c r="G356" s="200">
        <v>0</v>
      </c>
      <c r="H356" s="200">
        <v>0</v>
      </c>
      <c r="I356" s="348">
        <f t="shared" si="7"/>
        <v>2919540943</v>
      </c>
      <c r="J356" s="192" t="s">
        <v>1121</v>
      </c>
    </row>
    <row r="357" spans="1:10" hidden="1" outlineLevel="1">
      <c r="A357" s="379" t="s">
        <v>1122</v>
      </c>
      <c r="B357" s="199">
        <v>198491176</v>
      </c>
      <c r="C357" s="200">
        <v>3502065</v>
      </c>
      <c r="D357" s="200">
        <v>0</v>
      </c>
      <c r="E357" s="200">
        <v>0</v>
      </c>
      <c r="F357" s="200">
        <v>0</v>
      </c>
      <c r="G357" s="200">
        <v>0</v>
      </c>
      <c r="H357" s="200">
        <v>0</v>
      </c>
      <c r="I357" s="348">
        <f t="shared" si="7"/>
        <v>201993241</v>
      </c>
      <c r="J357" s="192" t="s">
        <v>1123</v>
      </c>
    </row>
    <row r="358" spans="1:10" hidden="1" outlineLevel="1">
      <c r="A358" s="379" t="s">
        <v>1122</v>
      </c>
      <c r="B358" s="199">
        <v>159308887</v>
      </c>
      <c r="C358" s="200">
        <v>3835266</v>
      </c>
      <c r="D358" s="200">
        <v>0</v>
      </c>
      <c r="E358" s="200">
        <v>0</v>
      </c>
      <c r="F358" s="200">
        <v>0</v>
      </c>
      <c r="G358" s="200">
        <v>0</v>
      </c>
      <c r="H358" s="200">
        <v>0</v>
      </c>
      <c r="I358" s="348">
        <f t="shared" si="7"/>
        <v>163144153</v>
      </c>
      <c r="J358" s="192" t="s">
        <v>1123</v>
      </c>
    </row>
    <row r="359" spans="1:10" hidden="1" outlineLevel="1">
      <c r="A359" s="379" t="s">
        <v>1124</v>
      </c>
      <c r="B359" s="199">
        <v>4959848</v>
      </c>
      <c r="C359" s="200">
        <v>0</v>
      </c>
      <c r="D359" s="200">
        <v>0</v>
      </c>
      <c r="E359" s="200">
        <v>0</v>
      </c>
      <c r="F359" s="200">
        <v>0</v>
      </c>
      <c r="G359" s="200">
        <v>0</v>
      </c>
      <c r="H359" s="200">
        <v>0</v>
      </c>
      <c r="I359" s="348">
        <f t="shared" si="7"/>
        <v>4959848</v>
      </c>
      <c r="J359" s="192" t="s">
        <v>1125</v>
      </c>
    </row>
    <row r="360" spans="1:10" hidden="1" outlineLevel="1">
      <c r="A360" s="379" t="s">
        <v>1126</v>
      </c>
      <c r="B360" s="199">
        <v>97189734</v>
      </c>
      <c r="C360" s="200">
        <v>0</v>
      </c>
      <c r="D360" s="200">
        <v>0</v>
      </c>
      <c r="E360" s="200">
        <v>0</v>
      </c>
      <c r="F360" s="200">
        <v>0</v>
      </c>
      <c r="G360" s="200">
        <v>0</v>
      </c>
      <c r="H360" s="200">
        <v>0</v>
      </c>
      <c r="I360" s="348">
        <f t="shared" si="7"/>
        <v>97189734</v>
      </c>
      <c r="J360" s="192" t="s">
        <v>1127</v>
      </c>
    </row>
    <row r="361" spans="1:10" hidden="1" outlineLevel="1">
      <c r="A361" s="379" t="s">
        <v>1128</v>
      </c>
      <c r="B361" s="199">
        <v>916355952</v>
      </c>
      <c r="C361" s="200">
        <v>0</v>
      </c>
      <c r="D361" s="200">
        <v>0</v>
      </c>
      <c r="E361" s="200">
        <v>0</v>
      </c>
      <c r="F361" s="200">
        <v>0</v>
      </c>
      <c r="G361" s="200">
        <v>0</v>
      </c>
      <c r="H361" s="200">
        <v>0</v>
      </c>
      <c r="I361" s="348">
        <f t="shared" si="7"/>
        <v>916355952</v>
      </c>
      <c r="J361" s="192" t="s">
        <v>1129</v>
      </c>
    </row>
    <row r="362" spans="1:10" hidden="1" outlineLevel="1">
      <c r="A362" s="379" t="s">
        <v>1130</v>
      </c>
      <c r="B362" s="199">
        <v>93609585</v>
      </c>
      <c r="C362" s="200">
        <v>0</v>
      </c>
      <c r="D362" s="200">
        <v>0</v>
      </c>
      <c r="E362" s="200">
        <v>0</v>
      </c>
      <c r="F362" s="200">
        <v>0</v>
      </c>
      <c r="G362" s="200">
        <v>0</v>
      </c>
      <c r="H362" s="200">
        <v>0</v>
      </c>
      <c r="I362" s="348">
        <f t="shared" si="7"/>
        <v>93609585</v>
      </c>
      <c r="J362" s="192" t="s">
        <v>1131</v>
      </c>
    </row>
    <row r="363" spans="1:10" hidden="1" outlineLevel="1">
      <c r="A363" s="379" t="s">
        <v>1132</v>
      </c>
      <c r="B363" s="199">
        <v>48911180</v>
      </c>
      <c r="C363" s="200">
        <v>0</v>
      </c>
      <c r="D363" s="200">
        <v>0</v>
      </c>
      <c r="E363" s="200">
        <v>0</v>
      </c>
      <c r="F363" s="200">
        <v>0</v>
      </c>
      <c r="G363" s="200">
        <v>0</v>
      </c>
      <c r="H363" s="200">
        <v>0</v>
      </c>
      <c r="I363" s="348">
        <f t="shared" si="7"/>
        <v>48911180</v>
      </c>
      <c r="J363" s="192" t="s">
        <v>1133</v>
      </c>
    </row>
    <row r="364" spans="1:10" hidden="1" outlineLevel="1">
      <c r="A364" s="379" t="s">
        <v>1134</v>
      </c>
      <c r="B364" s="199">
        <v>57073093</v>
      </c>
      <c r="C364" s="200">
        <v>0</v>
      </c>
      <c r="D364" s="200">
        <v>0</v>
      </c>
      <c r="E364" s="200">
        <v>0</v>
      </c>
      <c r="F364" s="200">
        <v>0</v>
      </c>
      <c r="G364" s="200">
        <v>0</v>
      </c>
      <c r="H364" s="200">
        <v>0</v>
      </c>
      <c r="I364" s="348">
        <f t="shared" si="7"/>
        <v>57073093</v>
      </c>
      <c r="J364" s="192" t="s">
        <v>1135</v>
      </c>
    </row>
    <row r="365" spans="1:10" hidden="1" outlineLevel="1">
      <c r="A365" s="379" t="s">
        <v>1136</v>
      </c>
      <c r="B365" s="199">
        <v>107326044</v>
      </c>
      <c r="C365" s="200">
        <v>0</v>
      </c>
      <c r="D365" s="200">
        <v>0</v>
      </c>
      <c r="E365" s="200">
        <v>0</v>
      </c>
      <c r="F365" s="200">
        <v>0</v>
      </c>
      <c r="G365" s="200">
        <v>0</v>
      </c>
      <c r="H365" s="200">
        <v>0</v>
      </c>
      <c r="I365" s="348">
        <f t="shared" si="7"/>
        <v>107326044</v>
      </c>
      <c r="J365" s="192" t="s">
        <v>1137</v>
      </c>
    </row>
    <row r="366" spans="1:10" hidden="1" outlineLevel="1">
      <c r="A366" s="379" t="s">
        <v>1138</v>
      </c>
      <c r="B366" s="199">
        <v>1459651502</v>
      </c>
      <c r="C366" s="200">
        <v>7643940</v>
      </c>
      <c r="D366" s="200">
        <v>0</v>
      </c>
      <c r="E366" s="200">
        <v>0</v>
      </c>
      <c r="F366" s="200">
        <v>0</v>
      </c>
      <c r="G366" s="200">
        <v>0</v>
      </c>
      <c r="H366" s="200">
        <v>0</v>
      </c>
      <c r="I366" s="348">
        <f t="shared" si="7"/>
        <v>1467295442</v>
      </c>
      <c r="J366" s="192" t="s">
        <v>1139</v>
      </c>
    </row>
    <row r="367" spans="1:10" hidden="1" outlineLevel="1">
      <c r="A367" s="379" t="s">
        <v>726</v>
      </c>
      <c r="B367" s="199">
        <v>784499</v>
      </c>
      <c r="C367" s="200">
        <v>0</v>
      </c>
      <c r="D367" s="200">
        <v>0</v>
      </c>
      <c r="E367" s="200">
        <v>0</v>
      </c>
      <c r="F367" s="200">
        <v>0</v>
      </c>
      <c r="G367" s="200">
        <v>0</v>
      </c>
      <c r="H367" s="200">
        <v>0</v>
      </c>
      <c r="I367" s="348">
        <f t="shared" si="7"/>
        <v>784499</v>
      </c>
      <c r="J367" s="192" t="s">
        <v>727</v>
      </c>
    </row>
    <row r="368" spans="1:10" hidden="1" outlineLevel="1">
      <c r="A368" s="379" t="s">
        <v>1140</v>
      </c>
      <c r="B368" s="199">
        <v>1114758435</v>
      </c>
      <c r="C368" s="200">
        <v>0</v>
      </c>
      <c r="D368" s="200">
        <v>0</v>
      </c>
      <c r="E368" s="200">
        <v>0</v>
      </c>
      <c r="F368" s="200">
        <v>0</v>
      </c>
      <c r="G368" s="200">
        <v>0</v>
      </c>
      <c r="H368" s="200">
        <v>0</v>
      </c>
      <c r="I368" s="348">
        <f t="shared" si="7"/>
        <v>1114758435</v>
      </c>
      <c r="J368" s="192" t="s">
        <v>1141</v>
      </c>
    </row>
    <row r="369" spans="1:10" ht="17.25" hidden="1" customHeight="1" outlineLevel="1">
      <c r="A369" s="379" t="s">
        <v>1142</v>
      </c>
      <c r="B369" s="199">
        <v>1817392701</v>
      </c>
      <c r="C369" s="200">
        <v>0</v>
      </c>
      <c r="D369" s="200">
        <v>0</v>
      </c>
      <c r="E369" s="200">
        <v>0</v>
      </c>
      <c r="F369" s="200">
        <v>41285365</v>
      </c>
      <c r="G369" s="200">
        <v>3420285</v>
      </c>
      <c r="H369" s="200">
        <v>0</v>
      </c>
      <c r="I369" s="348">
        <f t="shared" si="7"/>
        <v>1862098351</v>
      </c>
      <c r="J369" s="192" t="s">
        <v>1143</v>
      </c>
    </row>
    <row r="370" spans="1:10" hidden="1" outlineLevel="1">
      <c r="A370" s="379" t="s">
        <v>730</v>
      </c>
      <c r="B370" s="199">
        <v>8969786</v>
      </c>
      <c r="C370" s="200">
        <v>0</v>
      </c>
      <c r="D370" s="200">
        <v>0</v>
      </c>
      <c r="E370" s="200">
        <v>0</v>
      </c>
      <c r="F370" s="200">
        <v>0</v>
      </c>
      <c r="G370" s="200">
        <v>0</v>
      </c>
      <c r="H370" s="200">
        <v>0</v>
      </c>
      <c r="I370" s="348">
        <f t="shared" si="7"/>
        <v>8969786</v>
      </c>
      <c r="J370" s="192" t="s">
        <v>731</v>
      </c>
    </row>
    <row r="371" spans="1:10" hidden="1" outlineLevel="1">
      <c r="A371" s="379" t="s">
        <v>1144</v>
      </c>
      <c r="B371" s="199">
        <v>118799687</v>
      </c>
      <c r="C371" s="200">
        <v>290304</v>
      </c>
      <c r="D371" s="200">
        <v>0</v>
      </c>
      <c r="E371" s="200">
        <v>0</v>
      </c>
      <c r="F371" s="200">
        <v>0</v>
      </c>
      <c r="G371" s="200">
        <v>0</v>
      </c>
      <c r="H371" s="200">
        <v>0</v>
      </c>
      <c r="I371" s="348">
        <f t="shared" si="7"/>
        <v>119089991</v>
      </c>
      <c r="J371" s="192" t="s">
        <v>1145</v>
      </c>
    </row>
    <row r="372" spans="1:10" hidden="1" outlineLevel="1">
      <c r="A372" s="379" t="s">
        <v>1146</v>
      </c>
      <c r="B372" s="199">
        <v>210573005</v>
      </c>
      <c r="C372" s="200">
        <v>0</v>
      </c>
      <c r="D372" s="200">
        <v>0</v>
      </c>
      <c r="E372" s="200">
        <v>0</v>
      </c>
      <c r="F372" s="200">
        <v>0</v>
      </c>
      <c r="G372" s="200">
        <v>0</v>
      </c>
      <c r="H372" s="200">
        <v>0</v>
      </c>
      <c r="I372" s="348">
        <f t="shared" si="7"/>
        <v>210573005</v>
      </c>
      <c r="J372" s="192" t="s">
        <v>1147</v>
      </c>
    </row>
    <row r="373" spans="1:10" hidden="1" outlineLevel="1">
      <c r="A373" s="379" t="s">
        <v>1148</v>
      </c>
      <c r="B373" s="199">
        <v>63638499</v>
      </c>
      <c r="C373" s="200">
        <v>0</v>
      </c>
      <c r="D373" s="200">
        <v>0</v>
      </c>
      <c r="E373" s="200">
        <v>0</v>
      </c>
      <c r="F373" s="200">
        <v>0</v>
      </c>
      <c r="G373" s="200">
        <v>0</v>
      </c>
      <c r="H373" s="200">
        <v>0</v>
      </c>
      <c r="I373" s="348">
        <f t="shared" si="7"/>
        <v>63638499</v>
      </c>
      <c r="J373" s="192" t="s">
        <v>1149</v>
      </c>
    </row>
    <row r="374" spans="1:10" hidden="1" outlineLevel="1">
      <c r="A374" s="379" t="s">
        <v>1150</v>
      </c>
      <c r="B374" s="199">
        <v>431555739</v>
      </c>
      <c r="C374" s="200">
        <v>21264</v>
      </c>
      <c r="D374" s="200">
        <v>0</v>
      </c>
      <c r="E374" s="200">
        <v>0</v>
      </c>
      <c r="F374" s="200">
        <v>0</v>
      </c>
      <c r="G374" s="200">
        <v>0</v>
      </c>
      <c r="H374" s="200">
        <v>0</v>
      </c>
      <c r="I374" s="348">
        <f t="shared" si="7"/>
        <v>431577003</v>
      </c>
      <c r="J374" s="192" t="s">
        <v>1151</v>
      </c>
    </row>
    <row r="375" spans="1:10" hidden="1" outlineLevel="1">
      <c r="A375" s="379" t="s">
        <v>1152</v>
      </c>
      <c r="B375" s="199">
        <v>135592817</v>
      </c>
      <c r="C375" s="200">
        <v>0</v>
      </c>
      <c r="D375" s="200">
        <v>0</v>
      </c>
      <c r="E375" s="200">
        <v>0</v>
      </c>
      <c r="F375" s="200">
        <v>0</v>
      </c>
      <c r="G375" s="200">
        <v>0</v>
      </c>
      <c r="H375" s="200">
        <v>0</v>
      </c>
      <c r="I375" s="348">
        <f t="shared" si="7"/>
        <v>135592817</v>
      </c>
      <c r="J375" s="192" t="s">
        <v>1153</v>
      </c>
    </row>
    <row r="376" spans="1:10" hidden="1" outlineLevel="1">
      <c r="A376" s="379" t="s">
        <v>1154</v>
      </c>
      <c r="B376" s="199">
        <v>1805168</v>
      </c>
      <c r="C376" s="200">
        <v>0</v>
      </c>
      <c r="D376" s="200">
        <v>0</v>
      </c>
      <c r="E376" s="200">
        <v>0</v>
      </c>
      <c r="F376" s="200">
        <v>0</v>
      </c>
      <c r="G376" s="200">
        <v>0</v>
      </c>
      <c r="H376" s="200">
        <v>0</v>
      </c>
      <c r="I376" s="348">
        <f t="shared" si="7"/>
        <v>1805168</v>
      </c>
      <c r="J376" s="192" t="s">
        <v>1155</v>
      </c>
    </row>
    <row r="377" spans="1:10" hidden="1" outlineLevel="1">
      <c r="A377" s="379" t="s">
        <v>1156</v>
      </c>
      <c r="B377" s="199">
        <v>96580968</v>
      </c>
      <c r="C377" s="200">
        <v>0</v>
      </c>
      <c r="D377" s="200">
        <v>0</v>
      </c>
      <c r="E377" s="200">
        <v>0</v>
      </c>
      <c r="F377" s="200">
        <v>0</v>
      </c>
      <c r="G377" s="200">
        <v>0</v>
      </c>
      <c r="H377" s="200">
        <v>0</v>
      </c>
      <c r="I377" s="348">
        <f t="shared" si="7"/>
        <v>96580968</v>
      </c>
      <c r="J377" s="192" t="s">
        <v>1157</v>
      </c>
    </row>
    <row r="378" spans="1:10" hidden="1" outlineLevel="1">
      <c r="A378" s="379" t="s">
        <v>1158</v>
      </c>
      <c r="B378" s="199">
        <v>141193456</v>
      </c>
      <c r="C378" s="200">
        <v>0</v>
      </c>
      <c r="D378" s="200">
        <v>0</v>
      </c>
      <c r="E378" s="200">
        <v>0</v>
      </c>
      <c r="F378" s="200">
        <v>0</v>
      </c>
      <c r="G378" s="200">
        <v>0</v>
      </c>
      <c r="H378" s="200">
        <v>0</v>
      </c>
      <c r="I378" s="348">
        <f t="shared" si="7"/>
        <v>141193456</v>
      </c>
      <c r="J378" s="192" t="s">
        <v>1159</v>
      </c>
    </row>
    <row r="379" spans="1:10" hidden="1" outlineLevel="1">
      <c r="A379" s="379" t="s">
        <v>1160</v>
      </c>
      <c r="B379" s="199">
        <v>149245948</v>
      </c>
      <c r="C379" s="200">
        <v>0</v>
      </c>
      <c r="D379" s="200">
        <v>0</v>
      </c>
      <c r="E379" s="200">
        <v>0</v>
      </c>
      <c r="F379" s="200">
        <v>0</v>
      </c>
      <c r="G379" s="200">
        <v>0</v>
      </c>
      <c r="H379" s="200">
        <v>0</v>
      </c>
      <c r="I379" s="348">
        <f t="shared" ref="I379:I413" si="8">SUM(B379:H379)</f>
        <v>149245948</v>
      </c>
      <c r="J379" s="192" t="s">
        <v>1161</v>
      </c>
    </row>
    <row r="380" spans="1:10" hidden="1" outlineLevel="1">
      <c r="A380" s="379" t="s">
        <v>1162</v>
      </c>
      <c r="B380" s="199">
        <v>36148169</v>
      </c>
      <c r="C380" s="200">
        <v>494376</v>
      </c>
      <c r="D380" s="200">
        <v>0</v>
      </c>
      <c r="E380" s="200">
        <v>0</v>
      </c>
      <c r="F380" s="200">
        <v>0</v>
      </c>
      <c r="G380" s="200">
        <v>0</v>
      </c>
      <c r="H380" s="200">
        <v>0</v>
      </c>
      <c r="I380" s="348">
        <f t="shared" si="8"/>
        <v>36642545</v>
      </c>
      <c r="J380" s="192" t="s">
        <v>1163</v>
      </c>
    </row>
    <row r="381" spans="1:10" hidden="1" outlineLevel="1">
      <c r="A381" s="379" t="s">
        <v>1164</v>
      </c>
      <c r="B381" s="199">
        <v>17046766</v>
      </c>
      <c r="C381" s="200">
        <v>0</v>
      </c>
      <c r="D381" s="200">
        <v>0</v>
      </c>
      <c r="E381" s="200">
        <v>0</v>
      </c>
      <c r="F381" s="200">
        <v>0</v>
      </c>
      <c r="G381" s="200">
        <v>0</v>
      </c>
      <c r="H381" s="200">
        <v>0</v>
      </c>
      <c r="I381" s="348">
        <f t="shared" si="8"/>
        <v>17046766</v>
      </c>
      <c r="J381" s="192" t="s">
        <v>1165</v>
      </c>
    </row>
    <row r="382" spans="1:10" hidden="1" outlineLevel="1">
      <c r="A382" s="379" t="s">
        <v>1166</v>
      </c>
      <c r="B382" s="199">
        <v>22702298</v>
      </c>
      <c r="C382" s="200">
        <v>0</v>
      </c>
      <c r="D382" s="200">
        <v>0</v>
      </c>
      <c r="E382" s="200">
        <v>0</v>
      </c>
      <c r="F382" s="200">
        <v>0</v>
      </c>
      <c r="G382" s="200">
        <v>0</v>
      </c>
      <c r="H382" s="200">
        <v>0</v>
      </c>
      <c r="I382" s="348">
        <f t="shared" si="8"/>
        <v>22702298</v>
      </c>
      <c r="J382" s="192" t="s">
        <v>1167</v>
      </c>
    </row>
    <row r="383" spans="1:10" hidden="1" outlineLevel="1">
      <c r="A383" s="379" t="s">
        <v>1168</v>
      </c>
      <c r="B383" s="199">
        <v>54434761</v>
      </c>
      <c r="C383" s="200">
        <v>0</v>
      </c>
      <c r="D383" s="200">
        <v>0</v>
      </c>
      <c r="E383" s="200">
        <v>0</v>
      </c>
      <c r="F383" s="200">
        <v>0</v>
      </c>
      <c r="G383" s="200">
        <v>0</v>
      </c>
      <c r="H383" s="200">
        <v>0</v>
      </c>
      <c r="I383" s="348">
        <f t="shared" si="8"/>
        <v>54434761</v>
      </c>
      <c r="J383" s="192" t="s">
        <v>1169</v>
      </c>
    </row>
    <row r="384" spans="1:10" hidden="1" outlineLevel="1">
      <c r="A384" s="379" t="s">
        <v>1170</v>
      </c>
      <c r="B384" s="199">
        <v>245766451</v>
      </c>
      <c r="C384" s="200">
        <v>0</v>
      </c>
      <c r="D384" s="200">
        <v>0</v>
      </c>
      <c r="E384" s="200">
        <v>0</v>
      </c>
      <c r="F384" s="200">
        <v>0</v>
      </c>
      <c r="G384" s="200">
        <v>0</v>
      </c>
      <c r="H384" s="200">
        <v>0</v>
      </c>
      <c r="I384" s="348">
        <f t="shared" si="8"/>
        <v>245766451</v>
      </c>
      <c r="J384" s="192" t="s">
        <v>1171</v>
      </c>
    </row>
    <row r="385" spans="1:10" hidden="1" outlineLevel="1">
      <c r="A385" s="379" t="s">
        <v>1172</v>
      </c>
      <c r="B385" s="199">
        <v>140634526</v>
      </c>
      <c r="C385" s="200">
        <v>111764</v>
      </c>
      <c r="D385" s="200">
        <v>0</v>
      </c>
      <c r="E385" s="200">
        <v>0</v>
      </c>
      <c r="F385" s="200">
        <v>0</v>
      </c>
      <c r="G385" s="200">
        <v>0</v>
      </c>
      <c r="H385" s="200">
        <v>0</v>
      </c>
      <c r="I385" s="348">
        <f t="shared" si="8"/>
        <v>140746290</v>
      </c>
      <c r="J385" s="192" t="s">
        <v>1173</v>
      </c>
    </row>
    <row r="386" spans="1:10" hidden="1" outlineLevel="1">
      <c r="A386" s="379" t="s">
        <v>1174</v>
      </c>
      <c r="B386" s="199">
        <v>820288107</v>
      </c>
      <c r="C386" s="200">
        <v>0</v>
      </c>
      <c r="D386" s="200">
        <v>0</v>
      </c>
      <c r="E386" s="200">
        <v>0</v>
      </c>
      <c r="F386" s="200">
        <v>4861846</v>
      </c>
      <c r="G386" s="200">
        <v>0</v>
      </c>
      <c r="H386" s="200">
        <v>0</v>
      </c>
      <c r="I386" s="348">
        <f t="shared" si="8"/>
        <v>825149953</v>
      </c>
      <c r="J386" s="192" t="s">
        <v>1175</v>
      </c>
    </row>
    <row r="387" spans="1:10" hidden="1" outlineLevel="1">
      <c r="A387" s="379" t="s">
        <v>1176</v>
      </c>
      <c r="B387" s="199">
        <v>195076668</v>
      </c>
      <c r="C387" s="200">
        <v>0</v>
      </c>
      <c r="D387" s="200">
        <v>0</v>
      </c>
      <c r="E387" s="200">
        <v>0</v>
      </c>
      <c r="F387" s="200">
        <v>0</v>
      </c>
      <c r="G387" s="200">
        <v>0</v>
      </c>
      <c r="H387" s="200">
        <v>0</v>
      </c>
      <c r="I387" s="348">
        <f t="shared" si="8"/>
        <v>195076668</v>
      </c>
      <c r="J387" s="192" t="s">
        <v>1177</v>
      </c>
    </row>
    <row r="388" spans="1:10" hidden="1" outlineLevel="1">
      <c r="A388" s="379" t="s">
        <v>1178</v>
      </c>
      <c r="B388" s="199">
        <v>32143539</v>
      </c>
      <c r="C388" s="200">
        <v>913541</v>
      </c>
      <c r="D388" s="200">
        <v>0</v>
      </c>
      <c r="E388" s="200">
        <v>0</v>
      </c>
      <c r="F388" s="200">
        <v>0</v>
      </c>
      <c r="G388" s="200">
        <v>0</v>
      </c>
      <c r="H388" s="200">
        <v>0</v>
      </c>
      <c r="I388" s="348">
        <f t="shared" si="8"/>
        <v>33057080</v>
      </c>
      <c r="J388" s="192" t="s">
        <v>1179</v>
      </c>
    </row>
    <row r="389" spans="1:10" hidden="1" outlineLevel="1">
      <c r="A389" s="379" t="s">
        <v>1180</v>
      </c>
      <c r="B389" s="199">
        <v>81905877</v>
      </c>
      <c r="C389" s="200">
        <v>0</v>
      </c>
      <c r="D389" s="200">
        <v>0</v>
      </c>
      <c r="E389" s="200">
        <v>0</v>
      </c>
      <c r="F389" s="200">
        <v>0</v>
      </c>
      <c r="G389" s="200">
        <v>0</v>
      </c>
      <c r="H389" s="200">
        <v>0</v>
      </c>
      <c r="I389" s="348">
        <f t="shared" si="8"/>
        <v>81905877</v>
      </c>
      <c r="J389" s="192" t="s">
        <v>1181</v>
      </c>
    </row>
    <row r="390" spans="1:10" hidden="1" outlineLevel="1">
      <c r="A390" s="379" t="s">
        <v>1182</v>
      </c>
      <c r="B390" s="199">
        <v>157062071</v>
      </c>
      <c r="C390" s="200">
        <v>39647</v>
      </c>
      <c r="D390" s="200">
        <v>0</v>
      </c>
      <c r="E390" s="200">
        <v>0</v>
      </c>
      <c r="F390" s="200">
        <v>0</v>
      </c>
      <c r="G390" s="200">
        <v>0</v>
      </c>
      <c r="H390" s="200">
        <v>0</v>
      </c>
      <c r="I390" s="348">
        <f t="shared" si="8"/>
        <v>157101718</v>
      </c>
      <c r="J390" s="192" t="s">
        <v>1183</v>
      </c>
    </row>
    <row r="391" spans="1:10" hidden="1" outlineLevel="1">
      <c r="A391" s="379" t="s">
        <v>1184</v>
      </c>
      <c r="B391" s="199">
        <v>9839597</v>
      </c>
      <c r="C391" s="200">
        <v>327479</v>
      </c>
      <c r="D391" s="200">
        <v>0</v>
      </c>
      <c r="E391" s="200">
        <v>0</v>
      </c>
      <c r="F391" s="200">
        <v>0</v>
      </c>
      <c r="G391" s="200">
        <v>0</v>
      </c>
      <c r="H391" s="200">
        <v>0</v>
      </c>
      <c r="I391" s="348">
        <f t="shared" si="8"/>
        <v>10167076</v>
      </c>
      <c r="J391" s="192" t="s">
        <v>1185</v>
      </c>
    </row>
    <row r="392" spans="1:10" hidden="1" outlineLevel="1">
      <c r="A392" s="379" t="s">
        <v>1186</v>
      </c>
      <c r="B392" s="199">
        <v>3513593</v>
      </c>
      <c r="C392" s="200">
        <v>0</v>
      </c>
      <c r="D392" s="200">
        <v>411969915</v>
      </c>
      <c r="E392" s="200">
        <v>0</v>
      </c>
      <c r="F392" s="200">
        <v>0</v>
      </c>
      <c r="G392" s="200">
        <v>0</v>
      </c>
      <c r="H392" s="200">
        <v>0</v>
      </c>
      <c r="I392" s="348">
        <f t="shared" si="8"/>
        <v>415483508</v>
      </c>
      <c r="J392" s="192" t="s">
        <v>1187</v>
      </c>
    </row>
    <row r="393" spans="1:10" hidden="1" outlineLevel="1">
      <c r="A393" s="379" t="s">
        <v>1186</v>
      </c>
      <c r="B393" s="199">
        <v>8517634</v>
      </c>
      <c r="C393" s="200">
        <v>0</v>
      </c>
      <c r="D393" s="200">
        <v>17376915</v>
      </c>
      <c r="E393" s="200">
        <v>0</v>
      </c>
      <c r="F393" s="200">
        <v>0</v>
      </c>
      <c r="G393" s="200">
        <v>0</v>
      </c>
      <c r="H393" s="200">
        <v>0</v>
      </c>
      <c r="I393" s="348">
        <f t="shared" si="8"/>
        <v>25894549</v>
      </c>
      <c r="J393" s="192" t="s">
        <v>1187</v>
      </c>
    </row>
    <row r="394" spans="1:10" hidden="1" outlineLevel="1">
      <c r="A394" s="379" t="s">
        <v>1186</v>
      </c>
      <c r="B394" s="199">
        <v>6316858</v>
      </c>
      <c r="C394" s="200">
        <v>0</v>
      </c>
      <c r="D394" s="200">
        <v>305495436</v>
      </c>
      <c r="E394" s="200">
        <v>0</v>
      </c>
      <c r="F394" s="200">
        <v>0</v>
      </c>
      <c r="G394" s="200">
        <v>0</v>
      </c>
      <c r="H394" s="200">
        <v>0</v>
      </c>
      <c r="I394" s="348">
        <f t="shared" si="8"/>
        <v>311812294</v>
      </c>
      <c r="J394" s="192" t="s">
        <v>1187</v>
      </c>
    </row>
    <row r="395" spans="1:10" hidden="1" outlineLevel="1">
      <c r="A395" s="379" t="s">
        <v>1188</v>
      </c>
      <c r="B395" s="199">
        <v>19491065</v>
      </c>
      <c r="C395" s="200">
        <v>0</v>
      </c>
      <c r="D395" s="200">
        <v>0</v>
      </c>
      <c r="E395" s="200">
        <v>0</v>
      </c>
      <c r="F395" s="200">
        <v>0</v>
      </c>
      <c r="G395" s="200">
        <v>0</v>
      </c>
      <c r="H395" s="200">
        <v>0</v>
      </c>
      <c r="I395" s="348">
        <f t="shared" si="8"/>
        <v>19491065</v>
      </c>
      <c r="J395" s="192" t="s">
        <v>1189</v>
      </c>
    </row>
    <row r="396" spans="1:10" hidden="1" outlineLevel="1">
      <c r="A396" s="379" t="s">
        <v>1190</v>
      </c>
      <c r="B396" s="199">
        <v>67923717</v>
      </c>
      <c r="C396" s="200">
        <v>2183</v>
      </c>
      <c r="D396" s="200">
        <v>0</v>
      </c>
      <c r="E396" s="200">
        <v>0</v>
      </c>
      <c r="F396" s="200">
        <v>0</v>
      </c>
      <c r="G396" s="200">
        <v>0</v>
      </c>
      <c r="H396" s="200">
        <v>0</v>
      </c>
      <c r="I396" s="348">
        <f t="shared" si="8"/>
        <v>67925900</v>
      </c>
      <c r="J396" s="192" t="s">
        <v>1191</v>
      </c>
    </row>
    <row r="397" spans="1:10" hidden="1" outlineLevel="1">
      <c r="A397" s="379" t="s">
        <v>1192</v>
      </c>
      <c r="B397" s="199">
        <v>32835943</v>
      </c>
      <c r="C397" s="200">
        <v>0</v>
      </c>
      <c r="D397" s="200">
        <v>0</v>
      </c>
      <c r="E397" s="200">
        <v>0</v>
      </c>
      <c r="F397" s="200">
        <v>0</v>
      </c>
      <c r="G397" s="200">
        <v>0</v>
      </c>
      <c r="H397" s="200">
        <v>0</v>
      </c>
      <c r="I397" s="348">
        <f t="shared" si="8"/>
        <v>32835943</v>
      </c>
      <c r="J397" s="192" t="s">
        <v>1193</v>
      </c>
    </row>
    <row r="398" spans="1:10" hidden="1" outlineLevel="1">
      <c r="A398" s="379" t="s">
        <v>1194</v>
      </c>
      <c r="B398" s="199">
        <v>37519179</v>
      </c>
      <c r="C398" s="200">
        <v>0</v>
      </c>
      <c r="D398" s="200">
        <v>0</v>
      </c>
      <c r="E398" s="200">
        <v>0</v>
      </c>
      <c r="F398" s="200">
        <v>0</v>
      </c>
      <c r="G398" s="200">
        <v>0</v>
      </c>
      <c r="H398" s="200">
        <v>0</v>
      </c>
      <c r="I398" s="348">
        <f t="shared" si="8"/>
        <v>37519179</v>
      </c>
      <c r="J398" s="192" t="s">
        <v>1195</v>
      </c>
    </row>
    <row r="399" spans="1:10" hidden="1" outlineLevel="1">
      <c r="A399" s="379" t="s">
        <v>1196</v>
      </c>
      <c r="B399" s="199">
        <v>1213716210</v>
      </c>
      <c r="C399" s="200">
        <v>68507</v>
      </c>
      <c r="D399" s="200">
        <v>0</v>
      </c>
      <c r="E399" s="200">
        <v>0</v>
      </c>
      <c r="F399" s="200">
        <v>0</v>
      </c>
      <c r="G399" s="200">
        <v>0</v>
      </c>
      <c r="H399" s="200">
        <v>0</v>
      </c>
      <c r="I399" s="348">
        <f t="shared" si="8"/>
        <v>1213784717</v>
      </c>
      <c r="J399" s="192" t="s">
        <v>1197</v>
      </c>
    </row>
    <row r="400" spans="1:10" hidden="1" outlineLevel="1">
      <c r="A400" s="379" t="s">
        <v>1198</v>
      </c>
      <c r="B400" s="199">
        <v>92881066</v>
      </c>
      <c r="C400" s="200">
        <v>2366532</v>
      </c>
      <c r="D400" s="200">
        <v>0</v>
      </c>
      <c r="E400" s="200">
        <v>0</v>
      </c>
      <c r="F400" s="200">
        <v>0</v>
      </c>
      <c r="G400" s="200">
        <v>0</v>
      </c>
      <c r="H400" s="200">
        <v>0</v>
      </c>
      <c r="I400" s="348">
        <f t="shared" si="8"/>
        <v>95247598</v>
      </c>
      <c r="J400" s="192" t="s">
        <v>1199</v>
      </c>
    </row>
    <row r="401" spans="1:10" hidden="1" outlineLevel="1">
      <c r="A401" s="379" t="s">
        <v>1200</v>
      </c>
      <c r="B401" s="199">
        <v>420024205</v>
      </c>
      <c r="C401" s="200">
        <v>12794555</v>
      </c>
      <c r="D401" s="200">
        <v>0</v>
      </c>
      <c r="E401" s="200">
        <v>0</v>
      </c>
      <c r="F401" s="200">
        <v>0</v>
      </c>
      <c r="G401" s="200">
        <v>0</v>
      </c>
      <c r="H401" s="200">
        <v>0</v>
      </c>
      <c r="I401" s="348">
        <f t="shared" si="8"/>
        <v>432818760</v>
      </c>
      <c r="J401" s="192" t="s">
        <v>1201</v>
      </c>
    </row>
    <row r="402" spans="1:10" hidden="1" outlineLevel="1">
      <c r="A402" s="379" t="s">
        <v>1202</v>
      </c>
      <c r="B402" s="199">
        <v>40080498</v>
      </c>
      <c r="C402" s="200">
        <v>0</v>
      </c>
      <c r="D402" s="200">
        <v>0</v>
      </c>
      <c r="E402" s="200">
        <v>0</v>
      </c>
      <c r="F402" s="200">
        <v>0</v>
      </c>
      <c r="G402" s="200">
        <v>0</v>
      </c>
      <c r="H402" s="200">
        <v>0</v>
      </c>
      <c r="I402" s="348">
        <f t="shared" si="8"/>
        <v>40080498</v>
      </c>
      <c r="J402" s="192" t="s">
        <v>1203</v>
      </c>
    </row>
    <row r="403" spans="1:10" hidden="1" outlineLevel="1">
      <c r="A403" s="379" t="s">
        <v>1202</v>
      </c>
      <c r="B403" s="199">
        <v>5002767</v>
      </c>
      <c r="C403" s="200">
        <v>0</v>
      </c>
      <c r="D403" s="200">
        <v>0</v>
      </c>
      <c r="E403" s="200">
        <v>0</v>
      </c>
      <c r="F403" s="200">
        <v>0</v>
      </c>
      <c r="G403" s="200">
        <v>0</v>
      </c>
      <c r="H403" s="200">
        <v>0</v>
      </c>
      <c r="I403" s="348">
        <f t="shared" si="8"/>
        <v>5002767</v>
      </c>
      <c r="J403" s="192" t="s">
        <v>1203</v>
      </c>
    </row>
    <row r="404" spans="1:10" hidden="1" outlineLevel="1">
      <c r="A404" s="379" t="s">
        <v>1202</v>
      </c>
      <c r="B404" s="199">
        <v>24900242</v>
      </c>
      <c r="C404" s="200">
        <v>0</v>
      </c>
      <c r="D404" s="200">
        <v>0</v>
      </c>
      <c r="E404" s="200">
        <v>0</v>
      </c>
      <c r="F404" s="200">
        <v>0</v>
      </c>
      <c r="G404" s="200">
        <v>0</v>
      </c>
      <c r="H404" s="200">
        <v>0</v>
      </c>
      <c r="I404" s="348">
        <f t="shared" si="8"/>
        <v>24900242</v>
      </c>
      <c r="J404" s="192" t="s">
        <v>1203</v>
      </c>
    </row>
    <row r="405" spans="1:10" hidden="1" outlineLevel="1">
      <c r="A405" s="379" t="s">
        <v>1204</v>
      </c>
      <c r="B405" s="199">
        <v>3972235</v>
      </c>
      <c r="C405" s="200">
        <v>0</v>
      </c>
      <c r="D405" s="200">
        <v>0</v>
      </c>
      <c r="E405" s="200">
        <v>0</v>
      </c>
      <c r="F405" s="200">
        <v>0</v>
      </c>
      <c r="G405" s="200">
        <v>0</v>
      </c>
      <c r="H405" s="200">
        <v>0</v>
      </c>
      <c r="I405" s="348">
        <f t="shared" si="8"/>
        <v>3972235</v>
      </c>
      <c r="J405" s="192" t="s">
        <v>1205</v>
      </c>
    </row>
    <row r="406" spans="1:10" hidden="1" outlineLevel="1">
      <c r="A406" s="379" t="s">
        <v>1206</v>
      </c>
      <c r="B406" s="199">
        <v>51409865</v>
      </c>
      <c r="C406" s="200">
        <v>0</v>
      </c>
      <c r="D406" s="200">
        <v>0</v>
      </c>
      <c r="E406" s="200">
        <v>0</v>
      </c>
      <c r="F406" s="200">
        <v>0</v>
      </c>
      <c r="G406" s="200">
        <v>0</v>
      </c>
      <c r="H406" s="200">
        <v>0</v>
      </c>
      <c r="I406" s="348">
        <f t="shared" si="8"/>
        <v>51409865</v>
      </c>
      <c r="J406" s="192" t="s">
        <v>1207</v>
      </c>
    </row>
    <row r="407" spans="1:10" hidden="1" outlineLevel="1">
      <c r="A407" s="379" t="s">
        <v>1208</v>
      </c>
      <c r="B407" s="199">
        <v>60856284</v>
      </c>
      <c r="C407" s="200">
        <v>0</v>
      </c>
      <c r="D407" s="200">
        <v>0</v>
      </c>
      <c r="E407" s="200">
        <v>0</v>
      </c>
      <c r="F407" s="200">
        <v>0</v>
      </c>
      <c r="G407" s="200">
        <v>0</v>
      </c>
      <c r="H407" s="200">
        <v>0</v>
      </c>
      <c r="I407" s="348">
        <f t="shared" si="8"/>
        <v>60856284</v>
      </c>
      <c r="J407" s="192" t="s">
        <v>1209</v>
      </c>
    </row>
    <row r="408" spans="1:10" hidden="1" outlineLevel="1">
      <c r="A408" s="379" t="s">
        <v>1210</v>
      </c>
      <c r="B408" s="199">
        <v>638526683</v>
      </c>
      <c r="C408" s="200">
        <v>487744</v>
      </c>
      <c r="D408" s="200">
        <v>0</v>
      </c>
      <c r="E408" s="200">
        <v>0</v>
      </c>
      <c r="F408" s="200">
        <v>0</v>
      </c>
      <c r="G408" s="200">
        <v>0</v>
      </c>
      <c r="H408" s="200">
        <v>0</v>
      </c>
      <c r="I408" s="348">
        <f t="shared" si="8"/>
        <v>639014427</v>
      </c>
      <c r="J408" s="192" t="s">
        <v>1211</v>
      </c>
    </row>
    <row r="409" spans="1:10" hidden="1" outlineLevel="1">
      <c r="A409" s="379" t="s">
        <v>1212</v>
      </c>
      <c r="B409" s="199">
        <v>46496833</v>
      </c>
      <c r="C409" s="200">
        <v>738995</v>
      </c>
      <c r="D409" s="200">
        <v>0</v>
      </c>
      <c r="E409" s="200">
        <v>0</v>
      </c>
      <c r="F409" s="200">
        <v>0</v>
      </c>
      <c r="G409" s="200">
        <v>0</v>
      </c>
      <c r="H409" s="200">
        <v>0</v>
      </c>
      <c r="I409" s="348">
        <f t="shared" si="8"/>
        <v>47235828</v>
      </c>
      <c r="J409" s="192" t="s">
        <v>1213</v>
      </c>
    </row>
    <row r="410" spans="1:10" hidden="1" outlineLevel="1">
      <c r="A410" s="379" t="s">
        <v>1214</v>
      </c>
      <c r="B410" s="199">
        <v>116360048</v>
      </c>
      <c r="C410" s="200">
        <v>0</v>
      </c>
      <c r="D410" s="200">
        <v>0</v>
      </c>
      <c r="E410" s="200">
        <v>0</v>
      </c>
      <c r="F410" s="200">
        <v>0</v>
      </c>
      <c r="G410" s="200">
        <v>0</v>
      </c>
      <c r="H410" s="200">
        <v>0</v>
      </c>
      <c r="I410" s="348">
        <f t="shared" si="8"/>
        <v>116360048</v>
      </c>
      <c r="J410" s="192" t="s">
        <v>1215</v>
      </c>
    </row>
    <row r="411" spans="1:10" hidden="1" outlineLevel="1">
      <c r="A411" s="379" t="s">
        <v>768</v>
      </c>
      <c r="B411" s="199">
        <v>27564485</v>
      </c>
      <c r="C411" s="200">
        <v>0</v>
      </c>
      <c r="D411" s="200">
        <v>0</v>
      </c>
      <c r="E411" s="200">
        <v>0</v>
      </c>
      <c r="F411" s="200">
        <v>0</v>
      </c>
      <c r="G411" s="200">
        <v>0</v>
      </c>
      <c r="H411" s="200">
        <v>0</v>
      </c>
      <c r="I411" s="348">
        <f t="shared" si="8"/>
        <v>27564485</v>
      </c>
      <c r="J411" s="192" t="s">
        <v>769</v>
      </c>
    </row>
    <row r="412" spans="1:10" hidden="1" outlineLevel="1">
      <c r="A412" s="379" t="s">
        <v>1216</v>
      </c>
      <c r="B412" s="199">
        <v>12514148</v>
      </c>
      <c r="C412" s="200">
        <v>0</v>
      </c>
      <c r="D412" s="200">
        <v>0</v>
      </c>
      <c r="E412" s="200">
        <v>0</v>
      </c>
      <c r="F412" s="200">
        <v>0</v>
      </c>
      <c r="G412" s="200">
        <v>0</v>
      </c>
      <c r="H412" s="200">
        <v>0</v>
      </c>
      <c r="I412" s="348">
        <f t="shared" si="8"/>
        <v>12514148</v>
      </c>
      <c r="J412" s="192" t="s">
        <v>1217</v>
      </c>
    </row>
    <row r="413" spans="1:10" hidden="1" outlineLevel="1">
      <c r="A413" s="379" t="s">
        <v>1218</v>
      </c>
      <c r="B413" s="199">
        <v>145612188</v>
      </c>
      <c r="C413" s="200">
        <v>0</v>
      </c>
      <c r="D413" s="200">
        <v>0</v>
      </c>
      <c r="E413" s="200">
        <v>0</v>
      </c>
      <c r="F413" s="200">
        <v>0</v>
      </c>
      <c r="G413" s="200">
        <v>0</v>
      </c>
      <c r="H413" s="200">
        <v>0</v>
      </c>
      <c r="I413" s="348">
        <f t="shared" si="8"/>
        <v>145612188</v>
      </c>
      <c r="J413" s="192" t="s">
        <v>1219</v>
      </c>
    </row>
    <row r="414" spans="1:10" collapsed="1">
      <c r="A414" s="378" t="s">
        <v>1220</v>
      </c>
      <c r="B414" s="195">
        <f t="shared" ref="B414:H414" si="9">SUM(B415:B781)</f>
        <v>101027395152.909</v>
      </c>
      <c r="C414" s="195">
        <f t="shared" si="9"/>
        <v>132298600.88699999</v>
      </c>
      <c r="D414" s="196">
        <f t="shared" si="9"/>
        <v>8513259</v>
      </c>
      <c r="E414" s="196">
        <f t="shared" si="9"/>
        <v>0</v>
      </c>
      <c r="F414" s="196">
        <f t="shared" si="9"/>
        <v>4639577338</v>
      </c>
      <c r="G414" s="196">
        <f t="shared" si="9"/>
        <v>26010568</v>
      </c>
      <c r="H414" s="196">
        <f t="shared" si="9"/>
        <v>112116</v>
      </c>
      <c r="I414" s="348">
        <f>SUM(B414:H414)</f>
        <v>105833907034.79599</v>
      </c>
    </row>
    <row r="415" spans="1:10" hidden="1" outlineLevel="1">
      <c r="A415" s="381" t="s">
        <v>2193</v>
      </c>
      <c r="B415" s="716">
        <v>5899945.2300000004</v>
      </c>
      <c r="C415" s="200">
        <v>0</v>
      </c>
      <c r="D415" s="200">
        <v>0</v>
      </c>
      <c r="E415" s="200">
        <v>0</v>
      </c>
      <c r="F415" s="200">
        <v>0</v>
      </c>
      <c r="G415" s="200">
        <v>0</v>
      </c>
      <c r="H415" s="200">
        <v>0</v>
      </c>
      <c r="I415" s="348">
        <f>SUM(B415:H415)</f>
        <v>5899945.2300000004</v>
      </c>
      <c r="J415" s="192" t="s">
        <v>2194</v>
      </c>
    </row>
    <row r="416" spans="1:10" hidden="1" outlineLevel="1">
      <c r="A416" s="381" t="s">
        <v>1738</v>
      </c>
      <c r="B416" s="716">
        <v>19466990</v>
      </c>
      <c r="C416" s="200">
        <v>0</v>
      </c>
      <c r="D416" s="200">
        <v>0</v>
      </c>
      <c r="E416" s="200">
        <v>0</v>
      </c>
      <c r="F416" s="200">
        <v>0</v>
      </c>
      <c r="G416" s="200">
        <v>0</v>
      </c>
      <c r="H416" s="200">
        <v>0</v>
      </c>
      <c r="I416" s="348">
        <f t="shared" ref="I416:I479" si="10">SUM(B416:H416)</f>
        <v>19466990</v>
      </c>
      <c r="J416" s="192" t="s">
        <v>1739</v>
      </c>
    </row>
    <row r="417" spans="1:10" hidden="1" outlineLevel="1">
      <c r="A417" s="381" t="s">
        <v>1812</v>
      </c>
      <c r="B417" s="716">
        <v>31582325</v>
      </c>
      <c r="C417" s="200">
        <v>0</v>
      </c>
      <c r="D417" s="200">
        <v>0</v>
      </c>
      <c r="E417" s="200">
        <v>0</v>
      </c>
      <c r="F417" s="200">
        <v>0</v>
      </c>
      <c r="G417" s="200">
        <v>0</v>
      </c>
      <c r="H417" s="200">
        <v>0</v>
      </c>
      <c r="I417" s="348">
        <f t="shared" si="10"/>
        <v>31582325</v>
      </c>
      <c r="J417" s="192" t="s">
        <v>1813</v>
      </c>
    </row>
    <row r="418" spans="1:10" hidden="1" outlineLevel="1">
      <c r="A418" s="381" t="s">
        <v>1246</v>
      </c>
      <c r="B418" s="716">
        <v>23845668</v>
      </c>
      <c r="C418" s="200">
        <v>14454</v>
      </c>
      <c r="D418" s="200">
        <v>0</v>
      </c>
      <c r="E418" s="200">
        <v>0</v>
      </c>
      <c r="F418" s="200">
        <v>0</v>
      </c>
      <c r="G418" s="200">
        <v>0</v>
      </c>
      <c r="H418" s="200">
        <v>0</v>
      </c>
      <c r="I418" s="348">
        <f t="shared" si="10"/>
        <v>23860122</v>
      </c>
      <c r="J418" s="192" t="s">
        <v>1247</v>
      </c>
    </row>
    <row r="419" spans="1:10" hidden="1" outlineLevel="1">
      <c r="A419" s="381" t="s">
        <v>1582</v>
      </c>
      <c r="B419" s="716">
        <v>40505511</v>
      </c>
      <c r="C419" s="200">
        <v>0</v>
      </c>
      <c r="D419" s="200">
        <v>0</v>
      </c>
      <c r="E419" s="200">
        <v>0</v>
      </c>
      <c r="F419" s="200">
        <v>0</v>
      </c>
      <c r="G419" s="200">
        <v>0</v>
      </c>
      <c r="H419" s="200">
        <v>0</v>
      </c>
      <c r="I419" s="348">
        <f t="shared" si="10"/>
        <v>40505511</v>
      </c>
      <c r="J419" s="192" t="s">
        <v>1583</v>
      </c>
    </row>
    <row r="420" spans="1:10" hidden="1" outlineLevel="1">
      <c r="A420" s="381" t="s">
        <v>1518</v>
      </c>
      <c r="B420" s="716">
        <v>80357511</v>
      </c>
      <c r="C420" s="200">
        <v>5367</v>
      </c>
      <c r="D420" s="200">
        <v>0</v>
      </c>
      <c r="E420" s="200">
        <v>0</v>
      </c>
      <c r="F420" s="200">
        <v>0</v>
      </c>
      <c r="G420" s="200">
        <v>0</v>
      </c>
      <c r="H420" s="200">
        <v>0</v>
      </c>
      <c r="I420" s="348">
        <f t="shared" si="10"/>
        <v>80362878</v>
      </c>
      <c r="J420" s="192" t="s">
        <v>1519</v>
      </c>
    </row>
    <row r="421" spans="1:10" hidden="1" outlineLevel="1">
      <c r="A421" s="381" t="s">
        <v>1570</v>
      </c>
      <c r="B421" s="716">
        <v>165871698</v>
      </c>
      <c r="C421" s="200">
        <v>295260</v>
      </c>
      <c r="D421" s="200">
        <v>0</v>
      </c>
      <c r="E421" s="200">
        <v>0</v>
      </c>
      <c r="F421" s="200">
        <v>0</v>
      </c>
      <c r="G421" s="200">
        <v>0</v>
      </c>
      <c r="H421" s="200">
        <v>0</v>
      </c>
      <c r="I421" s="348">
        <f t="shared" si="10"/>
        <v>166166958</v>
      </c>
      <c r="J421" s="192" t="s">
        <v>1571</v>
      </c>
    </row>
    <row r="422" spans="1:10" hidden="1" outlineLevel="1">
      <c r="A422" s="381" t="s">
        <v>1386</v>
      </c>
      <c r="B422" s="716">
        <v>24883095</v>
      </c>
      <c r="C422" s="200">
        <v>70736</v>
      </c>
      <c r="D422" s="200">
        <v>0</v>
      </c>
      <c r="E422" s="200">
        <v>0</v>
      </c>
      <c r="F422" s="200">
        <v>0</v>
      </c>
      <c r="G422" s="200">
        <v>0</v>
      </c>
      <c r="H422" s="200">
        <v>0</v>
      </c>
      <c r="I422" s="348">
        <f t="shared" si="10"/>
        <v>24953831</v>
      </c>
      <c r="J422" s="192" t="s">
        <v>1387</v>
      </c>
    </row>
    <row r="423" spans="1:10" hidden="1" outlineLevel="1">
      <c r="A423" s="381" t="s">
        <v>1320</v>
      </c>
      <c r="B423" s="716">
        <v>386168488</v>
      </c>
      <c r="C423" s="200">
        <v>582170</v>
      </c>
      <c r="D423" s="200">
        <v>0</v>
      </c>
      <c r="E423" s="200">
        <v>0</v>
      </c>
      <c r="F423" s="200">
        <v>0</v>
      </c>
      <c r="G423" s="200">
        <v>0</v>
      </c>
      <c r="H423" s="200">
        <v>0</v>
      </c>
      <c r="I423" s="348">
        <f t="shared" si="10"/>
        <v>386750658</v>
      </c>
      <c r="J423" s="192" t="s">
        <v>1321</v>
      </c>
    </row>
    <row r="424" spans="1:10" hidden="1" outlineLevel="1">
      <c r="A424" s="381" t="s">
        <v>1458</v>
      </c>
      <c r="B424" s="716">
        <v>27981153</v>
      </c>
      <c r="C424" s="200">
        <v>0</v>
      </c>
      <c r="D424" s="200">
        <v>0</v>
      </c>
      <c r="E424" s="200">
        <v>0</v>
      </c>
      <c r="F424" s="200">
        <v>0</v>
      </c>
      <c r="G424" s="200">
        <v>0</v>
      </c>
      <c r="H424" s="200">
        <v>0</v>
      </c>
      <c r="I424" s="348">
        <f t="shared" si="10"/>
        <v>27981153</v>
      </c>
      <c r="J424" s="192" t="s">
        <v>1459</v>
      </c>
    </row>
    <row r="425" spans="1:10" hidden="1" outlineLevel="1">
      <c r="A425" s="381" t="s">
        <v>1225</v>
      </c>
      <c r="B425" s="716">
        <v>28206434</v>
      </c>
      <c r="C425" s="200">
        <v>0</v>
      </c>
      <c r="D425" s="200">
        <v>0</v>
      </c>
      <c r="E425" s="200">
        <v>0</v>
      </c>
      <c r="F425" s="200">
        <v>0</v>
      </c>
      <c r="G425" s="200">
        <v>0</v>
      </c>
      <c r="H425" s="200">
        <v>0</v>
      </c>
      <c r="I425" s="348">
        <f t="shared" si="10"/>
        <v>28206434</v>
      </c>
      <c r="J425" s="192" t="s">
        <v>1226</v>
      </c>
    </row>
    <row r="426" spans="1:10" hidden="1" outlineLevel="1">
      <c r="A426" s="381" t="s">
        <v>692</v>
      </c>
      <c r="B426" s="715">
        <v>41293797</v>
      </c>
      <c r="C426" s="200">
        <v>14783</v>
      </c>
      <c r="D426" s="200">
        <v>0</v>
      </c>
      <c r="E426" s="200">
        <v>0</v>
      </c>
      <c r="F426" s="200">
        <v>0</v>
      </c>
      <c r="G426" s="200">
        <v>0</v>
      </c>
      <c r="H426" s="200">
        <v>0</v>
      </c>
      <c r="I426" s="348">
        <f t="shared" si="10"/>
        <v>41308580</v>
      </c>
      <c r="J426" s="192" t="s">
        <v>1668</v>
      </c>
    </row>
    <row r="427" spans="1:10" hidden="1" outlineLevel="1">
      <c r="A427" s="381" t="s">
        <v>1484</v>
      </c>
      <c r="B427" s="716">
        <v>53046565</v>
      </c>
      <c r="C427" s="200">
        <v>33333</v>
      </c>
      <c r="D427" s="200">
        <v>0</v>
      </c>
      <c r="E427" s="200">
        <v>0</v>
      </c>
      <c r="F427" s="200">
        <v>0</v>
      </c>
      <c r="G427" s="200">
        <v>0</v>
      </c>
      <c r="H427" s="200">
        <v>0</v>
      </c>
      <c r="I427" s="348">
        <f t="shared" si="10"/>
        <v>53079898</v>
      </c>
      <c r="J427" s="192" t="s">
        <v>1485</v>
      </c>
    </row>
    <row r="428" spans="1:10" hidden="1" outlineLevel="1">
      <c r="A428" s="381" t="s">
        <v>1283</v>
      </c>
      <c r="B428" s="716">
        <v>178350089.80000001</v>
      </c>
      <c r="C428" s="200">
        <v>0</v>
      </c>
      <c r="D428" s="200">
        <v>0</v>
      </c>
      <c r="E428" s="200">
        <v>0</v>
      </c>
      <c r="F428" s="200">
        <v>0</v>
      </c>
      <c r="G428" s="200">
        <v>0</v>
      </c>
      <c r="H428" s="200">
        <v>0</v>
      </c>
      <c r="I428" s="348">
        <f t="shared" si="10"/>
        <v>178350089.80000001</v>
      </c>
      <c r="J428" s="192" t="s">
        <v>1284</v>
      </c>
    </row>
    <row r="429" spans="1:10" hidden="1" outlineLevel="1">
      <c r="A429" s="381" t="s">
        <v>1227</v>
      </c>
      <c r="B429" s="716">
        <v>196554071</v>
      </c>
      <c r="C429" s="200">
        <v>46005</v>
      </c>
      <c r="D429" s="200">
        <v>0</v>
      </c>
      <c r="E429" s="200">
        <v>0</v>
      </c>
      <c r="F429" s="200">
        <v>0</v>
      </c>
      <c r="G429" s="200">
        <v>0</v>
      </c>
      <c r="H429" s="200">
        <v>0</v>
      </c>
      <c r="I429" s="348">
        <f t="shared" si="10"/>
        <v>196600076</v>
      </c>
      <c r="J429" s="192" t="s">
        <v>1228</v>
      </c>
    </row>
    <row r="430" spans="1:10" hidden="1" outlineLevel="1">
      <c r="A430" s="381" t="s">
        <v>1644</v>
      </c>
      <c r="B430" s="716">
        <v>60439153</v>
      </c>
      <c r="C430" s="200">
        <v>0</v>
      </c>
      <c r="D430" s="200">
        <v>0</v>
      </c>
      <c r="E430" s="200">
        <v>0</v>
      </c>
      <c r="F430" s="200">
        <v>0</v>
      </c>
      <c r="G430" s="200">
        <v>0</v>
      </c>
      <c r="H430" s="200">
        <v>0</v>
      </c>
      <c r="I430" s="348">
        <f t="shared" si="10"/>
        <v>60439153</v>
      </c>
      <c r="J430" s="192" t="s">
        <v>1645</v>
      </c>
    </row>
    <row r="431" spans="1:10" hidden="1" outlineLevel="1">
      <c r="A431" s="381" t="s">
        <v>1598</v>
      </c>
      <c r="B431" s="716">
        <v>38826725</v>
      </c>
      <c r="C431" s="200">
        <v>0</v>
      </c>
      <c r="D431" s="200">
        <v>0</v>
      </c>
      <c r="E431" s="200">
        <v>0</v>
      </c>
      <c r="F431" s="200">
        <v>0</v>
      </c>
      <c r="G431" s="200">
        <v>0</v>
      </c>
      <c r="H431" s="200">
        <v>0</v>
      </c>
      <c r="I431" s="348">
        <f t="shared" si="10"/>
        <v>38826725</v>
      </c>
      <c r="J431" s="192" t="s">
        <v>1599</v>
      </c>
    </row>
    <row r="432" spans="1:10" hidden="1" outlineLevel="1">
      <c r="A432" s="381" t="s">
        <v>1556</v>
      </c>
      <c r="B432" s="716">
        <v>187140187</v>
      </c>
      <c r="C432" s="200">
        <v>0</v>
      </c>
      <c r="D432" s="200">
        <v>0</v>
      </c>
      <c r="E432" s="200">
        <v>0</v>
      </c>
      <c r="F432" s="200">
        <v>0</v>
      </c>
      <c r="G432" s="200">
        <v>0</v>
      </c>
      <c r="H432" s="200">
        <v>0</v>
      </c>
      <c r="I432" s="348">
        <f t="shared" si="10"/>
        <v>187140187</v>
      </c>
      <c r="J432" s="192" t="s">
        <v>1557</v>
      </c>
    </row>
    <row r="433" spans="1:10" hidden="1" outlineLevel="1">
      <c r="A433" s="381" t="s">
        <v>1626</v>
      </c>
      <c r="B433" s="716">
        <v>7041169</v>
      </c>
      <c r="C433" s="200">
        <v>0</v>
      </c>
      <c r="D433" s="200">
        <v>0</v>
      </c>
      <c r="E433" s="200">
        <v>0</v>
      </c>
      <c r="F433" s="200">
        <v>0</v>
      </c>
      <c r="G433" s="200">
        <v>0</v>
      </c>
      <c r="H433" s="200">
        <v>0</v>
      </c>
      <c r="I433" s="348">
        <f t="shared" si="10"/>
        <v>7041169</v>
      </c>
      <c r="J433" s="192" t="s">
        <v>1627</v>
      </c>
    </row>
    <row r="434" spans="1:10" hidden="1" outlineLevel="1">
      <c r="A434" s="381" t="s">
        <v>1669</v>
      </c>
      <c r="B434" s="716">
        <v>101391691</v>
      </c>
      <c r="C434" s="200">
        <v>147427</v>
      </c>
      <c r="D434" s="200">
        <v>0</v>
      </c>
      <c r="E434" s="200">
        <v>0</v>
      </c>
      <c r="F434" s="200">
        <v>0</v>
      </c>
      <c r="G434" s="200">
        <v>0</v>
      </c>
      <c r="H434" s="200">
        <v>0</v>
      </c>
      <c r="I434" s="348">
        <f t="shared" si="10"/>
        <v>101539118</v>
      </c>
      <c r="J434" s="192" t="s">
        <v>1670</v>
      </c>
    </row>
    <row r="435" spans="1:10" hidden="1" outlineLevel="1">
      <c r="A435" s="381" t="s">
        <v>1758</v>
      </c>
      <c r="B435" s="716">
        <v>128273556</v>
      </c>
      <c r="C435" s="200">
        <v>0</v>
      </c>
      <c r="D435" s="200">
        <v>0</v>
      </c>
      <c r="E435" s="200">
        <v>0</v>
      </c>
      <c r="F435" s="200">
        <v>0</v>
      </c>
      <c r="G435" s="200">
        <v>0</v>
      </c>
      <c r="H435" s="200">
        <v>0</v>
      </c>
      <c r="I435" s="348">
        <f t="shared" si="10"/>
        <v>128273556</v>
      </c>
      <c r="J435" s="192" t="s">
        <v>1759</v>
      </c>
    </row>
    <row r="436" spans="1:10" hidden="1" outlineLevel="1">
      <c r="A436" s="381" t="s">
        <v>2195</v>
      </c>
      <c r="B436" s="716">
        <v>28189153</v>
      </c>
      <c r="C436" s="200">
        <v>400282</v>
      </c>
      <c r="D436" s="200">
        <v>0</v>
      </c>
      <c r="E436" s="200">
        <v>0</v>
      </c>
      <c r="F436" s="200">
        <v>0</v>
      </c>
      <c r="G436" s="200">
        <v>0</v>
      </c>
      <c r="H436" s="200">
        <v>0</v>
      </c>
      <c r="I436" s="348">
        <f t="shared" si="10"/>
        <v>28589435</v>
      </c>
      <c r="J436" s="192" t="s">
        <v>2196</v>
      </c>
    </row>
    <row r="437" spans="1:10" hidden="1" outlineLevel="1">
      <c r="A437" s="381" t="s">
        <v>1722</v>
      </c>
      <c r="B437" s="716">
        <v>46586220</v>
      </c>
      <c r="C437" s="200">
        <v>0</v>
      </c>
      <c r="D437" s="200">
        <v>0</v>
      </c>
      <c r="E437" s="200">
        <v>0</v>
      </c>
      <c r="F437" s="200">
        <v>0</v>
      </c>
      <c r="G437" s="200">
        <v>0</v>
      </c>
      <c r="H437" s="200">
        <v>0</v>
      </c>
      <c r="I437" s="348">
        <f t="shared" si="10"/>
        <v>46586220</v>
      </c>
      <c r="J437" s="192" t="s">
        <v>1723</v>
      </c>
    </row>
    <row r="438" spans="1:10" hidden="1" outlineLevel="1">
      <c r="A438" s="381" t="s">
        <v>1496</v>
      </c>
      <c r="B438" s="716">
        <v>176887224.60299999</v>
      </c>
      <c r="C438" s="200">
        <v>0</v>
      </c>
      <c r="D438" s="200">
        <v>0</v>
      </c>
      <c r="E438" s="200">
        <v>0</v>
      </c>
      <c r="F438" s="200">
        <v>0</v>
      </c>
      <c r="G438" s="200">
        <v>470971</v>
      </c>
      <c r="H438" s="200">
        <v>0</v>
      </c>
      <c r="I438" s="348">
        <f t="shared" si="10"/>
        <v>177358195.60299999</v>
      </c>
      <c r="J438" s="192" t="s">
        <v>1497</v>
      </c>
    </row>
    <row r="439" spans="1:10" hidden="1" outlineLevel="1">
      <c r="A439" s="381" t="s">
        <v>1236</v>
      </c>
      <c r="B439" s="716">
        <v>186137896</v>
      </c>
      <c r="C439" s="200">
        <v>1745614</v>
      </c>
      <c r="D439" s="200">
        <v>0</v>
      </c>
      <c r="E439" s="200">
        <v>0</v>
      </c>
      <c r="F439" s="200">
        <v>0</v>
      </c>
      <c r="G439" s="200">
        <v>0</v>
      </c>
      <c r="H439" s="200">
        <v>0</v>
      </c>
      <c r="I439" s="348">
        <f t="shared" si="10"/>
        <v>187883510</v>
      </c>
      <c r="J439" s="192" t="s">
        <v>1237</v>
      </c>
    </row>
    <row r="440" spans="1:10" hidden="1" outlineLevel="1">
      <c r="A440" s="381" t="s">
        <v>1348</v>
      </c>
      <c r="B440" s="716">
        <v>70845087</v>
      </c>
      <c r="C440" s="200">
        <v>1148815</v>
      </c>
      <c r="D440" s="200">
        <v>0</v>
      </c>
      <c r="E440" s="200">
        <v>0</v>
      </c>
      <c r="F440" s="200">
        <v>0</v>
      </c>
      <c r="G440" s="200">
        <v>0</v>
      </c>
      <c r="H440" s="200">
        <v>0</v>
      </c>
      <c r="I440" s="348">
        <f t="shared" si="10"/>
        <v>71993902</v>
      </c>
      <c r="J440" s="192" t="s">
        <v>1349</v>
      </c>
    </row>
    <row r="441" spans="1:10" hidden="1" outlineLevel="1">
      <c r="A441" s="381" t="s">
        <v>1814</v>
      </c>
      <c r="B441" s="716">
        <v>145019427</v>
      </c>
      <c r="C441" s="200">
        <v>0</v>
      </c>
      <c r="D441" s="200">
        <v>0</v>
      </c>
      <c r="E441" s="200">
        <v>0</v>
      </c>
      <c r="F441" s="200">
        <v>0</v>
      </c>
      <c r="G441" s="200">
        <v>0</v>
      </c>
      <c r="H441" s="200">
        <v>0</v>
      </c>
      <c r="I441" s="348">
        <f t="shared" si="10"/>
        <v>145019427</v>
      </c>
      <c r="J441" s="192" t="s">
        <v>1815</v>
      </c>
    </row>
    <row r="442" spans="1:10" hidden="1" outlineLevel="1">
      <c r="A442" s="381" t="s">
        <v>1240</v>
      </c>
      <c r="B442" s="716">
        <v>446582626</v>
      </c>
      <c r="C442" s="200">
        <v>4446730</v>
      </c>
      <c r="D442" s="200">
        <v>0</v>
      </c>
      <c r="E442" s="200">
        <v>0</v>
      </c>
      <c r="F442" s="200">
        <v>7141194</v>
      </c>
      <c r="G442" s="200">
        <v>0</v>
      </c>
      <c r="H442" s="200">
        <v>0</v>
      </c>
      <c r="I442" s="348">
        <f t="shared" si="10"/>
        <v>458170550</v>
      </c>
      <c r="J442" s="192" t="s">
        <v>1241</v>
      </c>
    </row>
    <row r="443" spans="1:10" hidden="1" outlineLevel="1">
      <c r="A443" s="381" t="s">
        <v>1404</v>
      </c>
      <c r="B443" s="716">
        <v>16300187</v>
      </c>
      <c r="C443" s="200">
        <v>5687</v>
      </c>
      <c r="D443" s="200">
        <v>0</v>
      </c>
      <c r="E443" s="200">
        <v>0</v>
      </c>
      <c r="F443" s="200">
        <v>0</v>
      </c>
      <c r="G443" s="200">
        <v>0</v>
      </c>
      <c r="H443" s="200">
        <v>0</v>
      </c>
      <c r="I443" s="348">
        <f t="shared" si="10"/>
        <v>16305874</v>
      </c>
      <c r="J443" s="192" t="s">
        <v>1405</v>
      </c>
    </row>
    <row r="444" spans="1:10" hidden="1" outlineLevel="1">
      <c r="A444" s="381" t="s">
        <v>1584</v>
      </c>
      <c r="B444" s="716">
        <v>114667730</v>
      </c>
      <c r="C444" s="200">
        <v>271175</v>
      </c>
      <c r="D444" s="200">
        <v>0</v>
      </c>
      <c r="E444" s="200">
        <v>0</v>
      </c>
      <c r="F444" s="200">
        <v>0</v>
      </c>
      <c r="G444" s="200">
        <v>0</v>
      </c>
      <c r="H444" s="200">
        <v>0</v>
      </c>
      <c r="I444" s="348">
        <f t="shared" si="10"/>
        <v>114938905</v>
      </c>
      <c r="J444" s="192" t="s">
        <v>1585</v>
      </c>
    </row>
    <row r="445" spans="1:10" hidden="1" outlineLevel="1">
      <c r="A445" s="381" t="s">
        <v>1420</v>
      </c>
      <c r="B445" s="716">
        <v>13898514</v>
      </c>
      <c r="C445" s="200">
        <v>0</v>
      </c>
      <c r="D445" s="200">
        <v>0</v>
      </c>
      <c r="E445" s="200">
        <v>0</v>
      </c>
      <c r="F445" s="200">
        <v>0</v>
      </c>
      <c r="G445" s="200">
        <v>0</v>
      </c>
      <c r="H445" s="200">
        <v>0</v>
      </c>
      <c r="I445" s="348">
        <f t="shared" si="10"/>
        <v>13898514</v>
      </c>
      <c r="J445" s="192" t="s">
        <v>1421</v>
      </c>
    </row>
    <row r="446" spans="1:10" hidden="1" outlineLevel="1">
      <c r="A446" s="381" t="s">
        <v>1438</v>
      </c>
      <c r="B446" s="716">
        <v>138982629</v>
      </c>
      <c r="C446" s="200">
        <v>0</v>
      </c>
      <c r="D446" s="200">
        <v>0</v>
      </c>
      <c r="E446" s="200">
        <v>0</v>
      </c>
      <c r="F446" s="200">
        <v>0</v>
      </c>
      <c r="G446" s="200">
        <v>0</v>
      </c>
      <c r="H446" s="200">
        <v>0</v>
      </c>
      <c r="I446" s="348">
        <f t="shared" si="10"/>
        <v>138982629</v>
      </c>
      <c r="J446" s="192" t="s">
        <v>1439</v>
      </c>
    </row>
    <row r="447" spans="1:10" hidden="1" outlineLevel="1">
      <c r="A447" s="1590" t="s">
        <v>1504</v>
      </c>
      <c r="B447" s="716">
        <f>454384814.346+783624</f>
        <v>455168438.34600002</v>
      </c>
      <c r="C447" s="200">
        <v>0</v>
      </c>
      <c r="D447" s="200">
        <v>0</v>
      </c>
      <c r="E447" s="200">
        <v>0</v>
      </c>
      <c r="F447" s="200">
        <v>0</v>
      </c>
      <c r="G447" s="200">
        <v>0</v>
      </c>
      <c r="H447" s="200">
        <v>0</v>
      </c>
      <c r="I447" s="348">
        <f t="shared" si="10"/>
        <v>455168438.34600002</v>
      </c>
      <c r="J447" s="192" t="s">
        <v>1505</v>
      </c>
    </row>
    <row r="448" spans="1:10" hidden="1" outlineLevel="1">
      <c r="A448" s="381" t="s">
        <v>1275</v>
      </c>
      <c r="B448" s="716">
        <v>10782685</v>
      </c>
      <c r="C448" s="200">
        <v>601921</v>
      </c>
      <c r="D448" s="200">
        <v>0</v>
      </c>
      <c r="E448" s="200">
        <v>0</v>
      </c>
      <c r="F448" s="200">
        <v>0</v>
      </c>
      <c r="G448" s="200">
        <v>0</v>
      </c>
      <c r="H448" s="200">
        <v>0</v>
      </c>
      <c r="I448" s="348">
        <f t="shared" si="10"/>
        <v>11384606</v>
      </c>
      <c r="J448" s="192" t="s">
        <v>1276</v>
      </c>
    </row>
    <row r="449" spans="1:10" hidden="1" outlineLevel="1">
      <c r="A449" s="381" t="s">
        <v>1562</v>
      </c>
      <c r="B449" s="716">
        <v>2350855</v>
      </c>
      <c r="C449" s="200">
        <v>0</v>
      </c>
      <c r="D449" s="200">
        <v>0</v>
      </c>
      <c r="E449" s="200">
        <v>0</v>
      </c>
      <c r="F449" s="200">
        <v>0</v>
      </c>
      <c r="G449" s="200">
        <v>0</v>
      </c>
      <c r="H449" s="200">
        <v>0</v>
      </c>
      <c r="I449" s="348">
        <f t="shared" si="10"/>
        <v>2350855</v>
      </c>
      <c r="J449" s="192" t="s">
        <v>1563</v>
      </c>
    </row>
    <row r="450" spans="1:10" hidden="1" outlineLevel="1">
      <c r="A450" s="381" t="s">
        <v>2197</v>
      </c>
      <c r="B450" s="716">
        <v>5771541</v>
      </c>
      <c r="C450" s="200">
        <v>16313</v>
      </c>
      <c r="D450" s="200">
        <v>0</v>
      </c>
      <c r="E450" s="200">
        <v>0</v>
      </c>
      <c r="F450" s="200">
        <v>0</v>
      </c>
      <c r="G450" s="200">
        <v>0</v>
      </c>
      <c r="H450" s="200">
        <v>0</v>
      </c>
      <c r="I450" s="348">
        <f t="shared" si="10"/>
        <v>5787854</v>
      </c>
      <c r="J450" s="192" t="s">
        <v>2198</v>
      </c>
    </row>
    <row r="451" spans="1:10" hidden="1" outlineLevel="1">
      <c r="A451" s="381" t="s">
        <v>1706</v>
      </c>
      <c r="B451" s="716">
        <v>224649311</v>
      </c>
      <c r="C451" s="200">
        <v>2456429</v>
      </c>
      <c r="D451" s="200">
        <v>0</v>
      </c>
      <c r="E451" s="200">
        <v>0</v>
      </c>
      <c r="F451" s="200">
        <v>0</v>
      </c>
      <c r="G451" s="200">
        <v>0</v>
      </c>
      <c r="H451" s="200">
        <v>0</v>
      </c>
      <c r="I451" s="348">
        <f t="shared" si="10"/>
        <v>227105740</v>
      </c>
      <c r="J451" s="192" t="s">
        <v>1707</v>
      </c>
    </row>
    <row r="452" spans="1:10" hidden="1" outlineLevel="1">
      <c r="A452" s="381" t="s">
        <v>1454</v>
      </c>
      <c r="B452" s="716">
        <v>100098053.34999999</v>
      </c>
      <c r="C452" s="200">
        <v>0</v>
      </c>
      <c r="D452" s="200">
        <v>0</v>
      </c>
      <c r="E452" s="200">
        <v>0</v>
      </c>
      <c r="F452" s="200">
        <v>0</v>
      </c>
      <c r="G452" s="200">
        <v>0</v>
      </c>
      <c r="H452" s="200">
        <v>0</v>
      </c>
      <c r="I452" s="348">
        <f t="shared" si="10"/>
        <v>100098053.34999999</v>
      </c>
      <c r="J452" s="192" t="s">
        <v>1455</v>
      </c>
    </row>
    <row r="453" spans="1:10" hidden="1" outlineLevel="1">
      <c r="A453" s="381" t="s">
        <v>1412</v>
      </c>
      <c r="B453" s="716">
        <v>205159897</v>
      </c>
      <c r="C453" s="200">
        <v>0</v>
      </c>
      <c r="D453" s="200">
        <v>0</v>
      </c>
      <c r="E453" s="200">
        <v>0</v>
      </c>
      <c r="F453" s="200">
        <v>0</v>
      </c>
      <c r="G453" s="200">
        <v>0</v>
      </c>
      <c r="H453" s="200">
        <v>0</v>
      </c>
      <c r="I453" s="348">
        <f t="shared" si="10"/>
        <v>205159897</v>
      </c>
      <c r="J453" s="192" t="s">
        <v>1413</v>
      </c>
    </row>
    <row r="454" spans="1:10" hidden="1" outlineLevel="1">
      <c r="A454" s="381" t="s">
        <v>1548</v>
      </c>
      <c r="B454" s="716">
        <v>21488089</v>
      </c>
      <c r="C454" s="200">
        <v>0</v>
      </c>
      <c r="D454" s="200">
        <v>0</v>
      </c>
      <c r="E454" s="200">
        <v>0</v>
      </c>
      <c r="F454" s="200">
        <v>0</v>
      </c>
      <c r="G454" s="200">
        <v>0</v>
      </c>
      <c r="H454" s="200">
        <v>0</v>
      </c>
      <c r="I454" s="348">
        <f t="shared" si="10"/>
        <v>21488089</v>
      </c>
      <c r="J454" s="192" t="s">
        <v>1549</v>
      </c>
    </row>
    <row r="455" spans="1:10" hidden="1" outlineLevel="1">
      <c r="A455" s="381" t="s">
        <v>1656</v>
      </c>
      <c r="B455" s="716">
        <v>1429193676</v>
      </c>
      <c r="C455" s="200">
        <v>0</v>
      </c>
      <c r="D455" s="200">
        <v>0</v>
      </c>
      <c r="E455" s="200">
        <v>0</v>
      </c>
      <c r="F455" s="200">
        <v>0</v>
      </c>
      <c r="G455" s="200">
        <v>0</v>
      </c>
      <c r="H455" s="200">
        <v>0</v>
      </c>
      <c r="I455" s="348">
        <f t="shared" si="10"/>
        <v>1429193676</v>
      </c>
      <c r="J455" s="192" t="s">
        <v>1657</v>
      </c>
    </row>
    <row r="456" spans="1:10" hidden="1" outlineLevel="1">
      <c r="A456" s="381" t="s">
        <v>1221</v>
      </c>
      <c r="B456" s="716">
        <v>572831968.51499999</v>
      </c>
      <c r="C456" s="200">
        <v>0</v>
      </c>
      <c r="D456" s="200">
        <v>0</v>
      </c>
      <c r="E456" s="200">
        <v>0</v>
      </c>
      <c r="F456" s="200">
        <v>0</v>
      </c>
      <c r="G456" s="200">
        <v>0</v>
      </c>
      <c r="H456" s="200">
        <v>0</v>
      </c>
      <c r="I456" s="348">
        <f t="shared" si="10"/>
        <v>572831968.51499999</v>
      </c>
      <c r="J456" s="192" t="s">
        <v>1222</v>
      </c>
    </row>
    <row r="457" spans="1:10" hidden="1" outlineLevel="1">
      <c r="A457" s="381" t="s">
        <v>1366</v>
      </c>
      <c r="B457" s="716">
        <v>33437483</v>
      </c>
      <c r="C457" s="200">
        <v>0</v>
      </c>
      <c r="D457" s="200">
        <v>0</v>
      </c>
      <c r="E457" s="200">
        <v>0</v>
      </c>
      <c r="F457" s="200">
        <v>0</v>
      </c>
      <c r="G457" s="200">
        <v>0</v>
      </c>
      <c r="H457" s="200">
        <v>0</v>
      </c>
      <c r="I457" s="348">
        <f t="shared" si="10"/>
        <v>33437483</v>
      </c>
      <c r="J457" s="192" t="s">
        <v>1367</v>
      </c>
    </row>
    <row r="458" spans="1:10" hidden="1" outlineLevel="1">
      <c r="A458" s="381" t="s">
        <v>1610</v>
      </c>
      <c r="B458" s="716">
        <v>47273310.850000001</v>
      </c>
      <c r="C458" s="200">
        <v>0</v>
      </c>
      <c r="D458" s="200">
        <v>0</v>
      </c>
      <c r="E458" s="200">
        <v>0</v>
      </c>
      <c r="F458" s="200">
        <v>0</v>
      </c>
      <c r="G458" s="200">
        <v>0</v>
      </c>
      <c r="H458" s="200">
        <v>0</v>
      </c>
      <c r="I458" s="348">
        <f t="shared" si="10"/>
        <v>47273310.850000001</v>
      </c>
      <c r="J458" s="192" t="s">
        <v>1611</v>
      </c>
    </row>
    <row r="459" spans="1:10" hidden="1" outlineLevel="1">
      <c r="A459" s="381" t="s">
        <v>1474</v>
      </c>
      <c r="B459" s="716">
        <v>15048294</v>
      </c>
      <c r="C459" s="200">
        <v>0</v>
      </c>
      <c r="D459" s="200">
        <v>0</v>
      </c>
      <c r="E459" s="200">
        <v>0</v>
      </c>
      <c r="F459" s="200">
        <v>0</v>
      </c>
      <c r="G459" s="200">
        <v>0</v>
      </c>
      <c r="H459" s="200">
        <v>0</v>
      </c>
      <c r="I459" s="348">
        <f t="shared" si="10"/>
        <v>15048294</v>
      </c>
      <c r="J459" s="192" t="s">
        <v>1475</v>
      </c>
    </row>
    <row r="460" spans="1:10" hidden="1" outlineLevel="1">
      <c r="A460" s="381" t="s">
        <v>580</v>
      </c>
      <c r="B460" s="716">
        <v>269462389</v>
      </c>
      <c r="C460" s="200">
        <v>3671458</v>
      </c>
      <c r="D460" s="200">
        <v>0</v>
      </c>
      <c r="E460" s="200">
        <v>0</v>
      </c>
      <c r="F460" s="200">
        <v>0</v>
      </c>
      <c r="G460" s="200">
        <v>0</v>
      </c>
      <c r="H460" s="200">
        <v>0</v>
      </c>
      <c r="I460" s="348">
        <f t="shared" si="10"/>
        <v>273133847</v>
      </c>
      <c r="J460" s="192" t="s">
        <v>581</v>
      </c>
    </row>
    <row r="461" spans="1:10" hidden="1" outlineLevel="1">
      <c r="A461" s="381" t="s">
        <v>1592</v>
      </c>
      <c r="B461" s="716">
        <v>118733744</v>
      </c>
      <c r="C461" s="200">
        <v>272419</v>
      </c>
      <c r="D461" s="200">
        <v>0</v>
      </c>
      <c r="E461" s="200">
        <v>0</v>
      </c>
      <c r="F461" s="200">
        <v>0</v>
      </c>
      <c r="G461" s="200">
        <v>0</v>
      </c>
      <c r="H461" s="200">
        <v>0</v>
      </c>
      <c r="I461" s="348">
        <f t="shared" si="10"/>
        <v>119006163</v>
      </c>
      <c r="J461" s="192" t="s">
        <v>1593</v>
      </c>
    </row>
    <row r="462" spans="1:10" hidden="1" outlineLevel="1">
      <c r="A462" s="381" t="s">
        <v>1792</v>
      </c>
      <c r="B462" s="716">
        <v>35456182.869999997</v>
      </c>
      <c r="C462" s="200">
        <v>0</v>
      </c>
      <c r="D462" s="200">
        <v>0</v>
      </c>
      <c r="E462" s="200">
        <v>0</v>
      </c>
      <c r="F462" s="200">
        <v>0</v>
      </c>
      <c r="G462" s="200">
        <v>0</v>
      </c>
      <c r="H462" s="200">
        <v>0</v>
      </c>
      <c r="I462" s="348">
        <f t="shared" si="10"/>
        <v>35456182.869999997</v>
      </c>
      <c r="J462" s="192" t="s">
        <v>1793</v>
      </c>
    </row>
    <row r="463" spans="1:10" hidden="1" outlineLevel="1">
      <c r="A463" s="381" t="s">
        <v>1322</v>
      </c>
      <c r="B463" s="716">
        <v>11106729</v>
      </c>
      <c r="C463" s="200">
        <v>83254</v>
      </c>
      <c r="D463" s="200">
        <v>0</v>
      </c>
      <c r="E463" s="200">
        <v>0</v>
      </c>
      <c r="F463" s="200">
        <v>0</v>
      </c>
      <c r="G463" s="200">
        <v>0</v>
      </c>
      <c r="H463" s="200">
        <v>0</v>
      </c>
      <c r="I463" s="348">
        <f t="shared" si="10"/>
        <v>11189983</v>
      </c>
      <c r="J463" s="192" t="s">
        <v>1323</v>
      </c>
    </row>
    <row r="464" spans="1:10" hidden="1" outlineLevel="1">
      <c r="A464" s="381" t="s">
        <v>1618</v>
      </c>
      <c r="B464" s="716">
        <v>23840338</v>
      </c>
      <c r="C464" s="200">
        <v>0</v>
      </c>
      <c r="D464" s="200">
        <v>0</v>
      </c>
      <c r="E464" s="200">
        <v>0</v>
      </c>
      <c r="F464" s="200">
        <v>0</v>
      </c>
      <c r="G464" s="200">
        <v>0</v>
      </c>
      <c r="H464" s="200">
        <v>0</v>
      </c>
      <c r="I464" s="348">
        <f t="shared" si="10"/>
        <v>23840338</v>
      </c>
      <c r="J464" s="192" t="s">
        <v>1619</v>
      </c>
    </row>
    <row r="465" spans="1:10" hidden="1" outlineLevel="1">
      <c r="A465" s="381" t="s">
        <v>1806</v>
      </c>
      <c r="B465" s="716">
        <v>61722346</v>
      </c>
      <c r="C465" s="200">
        <v>0</v>
      </c>
      <c r="D465" s="200">
        <v>0</v>
      </c>
      <c r="E465" s="200">
        <v>0</v>
      </c>
      <c r="F465" s="200">
        <v>0</v>
      </c>
      <c r="G465" s="200">
        <v>0</v>
      </c>
      <c r="H465" s="200">
        <v>0</v>
      </c>
      <c r="I465" s="348">
        <f t="shared" si="10"/>
        <v>61722346</v>
      </c>
      <c r="J465" s="192" t="s">
        <v>2199</v>
      </c>
    </row>
    <row r="466" spans="1:10" hidden="1" outlineLevel="1">
      <c r="A466" s="381" t="s">
        <v>1342</v>
      </c>
      <c r="B466" s="716">
        <v>126456129</v>
      </c>
      <c r="C466" s="200">
        <v>0</v>
      </c>
      <c r="D466" s="200">
        <v>0</v>
      </c>
      <c r="E466" s="200">
        <v>0</v>
      </c>
      <c r="F466" s="200">
        <v>0</v>
      </c>
      <c r="G466" s="200">
        <v>0</v>
      </c>
      <c r="H466" s="200">
        <v>0</v>
      </c>
      <c r="I466" s="348">
        <f t="shared" si="10"/>
        <v>126456129</v>
      </c>
      <c r="J466" s="192" t="s">
        <v>1343</v>
      </c>
    </row>
    <row r="467" spans="1:10" hidden="1" outlineLevel="1">
      <c r="A467" s="381" t="s">
        <v>1340</v>
      </c>
      <c r="B467" s="716">
        <v>35780916</v>
      </c>
      <c r="C467" s="200">
        <v>6543</v>
      </c>
      <c r="D467" s="200">
        <v>0</v>
      </c>
      <c r="E467" s="200">
        <v>0</v>
      </c>
      <c r="F467" s="200">
        <v>0</v>
      </c>
      <c r="G467" s="200">
        <v>0</v>
      </c>
      <c r="H467" s="200">
        <v>0</v>
      </c>
      <c r="I467" s="348">
        <f t="shared" si="10"/>
        <v>35787459</v>
      </c>
      <c r="J467" s="192" t="s">
        <v>1341</v>
      </c>
    </row>
    <row r="468" spans="1:10" hidden="1" outlineLevel="1">
      <c r="A468" s="381" t="s">
        <v>1326</v>
      </c>
      <c r="B468" s="716">
        <v>97283211.465000004</v>
      </c>
      <c r="C468" s="200">
        <v>140284</v>
      </c>
      <c r="D468" s="200">
        <v>0</v>
      </c>
      <c r="E468" s="200">
        <v>0</v>
      </c>
      <c r="F468" s="200">
        <v>0</v>
      </c>
      <c r="G468" s="200">
        <v>0</v>
      </c>
      <c r="H468" s="200">
        <v>0</v>
      </c>
      <c r="I468" s="348">
        <f t="shared" si="10"/>
        <v>97423495.465000004</v>
      </c>
      <c r="J468" s="192" t="s">
        <v>1327</v>
      </c>
    </row>
    <row r="469" spans="1:10" hidden="1" outlineLevel="1">
      <c r="A469" s="381" t="s">
        <v>1376</v>
      </c>
      <c r="B469" s="716">
        <v>110579601</v>
      </c>
      <c r="C469" s="200">
        <v>1439561</v>
      </c>
      <c r="D469" s="200">
        <v>0</v>
      </c>
      <c r="E469" s="200">
        <v>0</v>
      </c>
      <c r="F469" s="200">
        <v>0</v>
      </c>
      <c r="G469" s="200">
        <v>0</v>
      </c>
      <c r="H469" s="200">
        <v>0</v>
      </c>
      <c r="I469" s="348">
        <f t="shared" si="10"/>
        <v>112019162</v>
      </c>
      <c r="J469" s="192" t="s">
        <v>1377</v>
      </c>
    </row>
    <row r="470" spans="1:10" hidden="1" outlineLevel="1">
      <c r="A470" s="381" t="s">
        <v>1628</v>
      </c>
      <c r="B470" s="716">
        <v>131704312</v>
      </c>
      <c r="C470" s="200">
        <v>0</v>
      </c>
      <c r="D470" s="200">
        <v>0</v>
      </c>
      <c r="E470" s="200">
        <v>0</v>
      </c>
      <c r="F470" s="200">
        <v>0</v>
      </c>
      <c r="G470" s="200">
        <v>0</v>
      </c>
      <c r="H470" s="200">
        <v>0</v>
      </c>
      <c r="I470" s="348">
        <f t="shared" si="10"/>
        <v>131704312</v>
      </c>
      <c r="J470" s="192" t="s">
        <v>1629</v>
      </c>
    </row>
    <row r="471" spans="1:10" hidden="1" outlineLevel="1">
      <c r="A471" s="381" t="s">
        <v>2200</v>
      </c>
      <c r="B471" s="716">
        <v>5144942.3099999996</v>
      </c>
      <c r="C471" s="200">
        <v>0</v>
      </c>
      <c r="D471" s="200">
        <v>0</v>
      </c>
      <c r="E471" s="200">
        <v>0</v>
      </c>
      <c r="F471" s="200">
        <v>0</v>
      </c>
      <c r="G471" s="200">
        <v>0</v>
      </c>
      <c r="H471" s="200">
        <v>0</v>
      </c>
      <c r="I471" s="348">
        <f t="shared" si="10"/>
        <v>5144942.3099999996</v>
      </c>
      <c r="J471" s="192" t="s">
        <v>2201</v>
      </c>
    </row>
    <row r="472" spans="1:10" hidden="1" outlineLevel="1">
      <c r="A472" s="381" t="s">
        <v>1293</v>
      </c>
      <c r="B472" s="716">
        <v>261307180</v>
      </c>
      <c r="C472" s="200">
        <v>184178</v>
      </c>
      <c r="D472" s="200">
        <v>0</v>
      </c>
      <c r="E472" s="200">
        <v>0</v>
      </c>
      <c r="F472" s="200">
        <v>0</v>
      </c>
      <c r="G472" s="200">
        <v>0</v>
      </c>
      <c r="H472" s="200">
        <v>0</v>
      </c>
      <c r="I472" s="348">
        <f t="shared" si="10"/>
        <v>261491358</v>
      </c>
      <c r="J472" s="192" t="s">
        <v>1294</v>
      </c>
    </row>
    <row r="473" spans="1:10" hidden="1" outlineLevel="1">
      <c r="A473" s="381" t="s">
        <v>1590</v>
      </c>
      <c r="B473" s="716">
        <v>16538453</v>
      </c>
      <c r="C473" s="200">
        <v>1253</v>
      </c>
      <c r="D473" s="200">
        <v>0</v>
      </c>
      <c r="E473" s="200">
        <v>0</v>
      </c>
      <c r="F473" s="200">
        <v>0</v>
      </c>
      <c r="G473" s="200">
        <v>0</v>
      </c>
      <c r="H473" s="200">
        <v>0</v>
      </c>
      <c r="I473" s="348">
        <f t="shared" si="10"/>
        <v>16539706</v>
      </c>
      <c r="J473" s="192" t="s">
        <v>1591</v>
      </c>
    </row>
    <row r="474" spans="1:10" hidden="1" outlineLevel="1">
      <c r="A474" s="381" t="s">
        <v>1464</v>
      </c>
      <c r="B474" s="716">
        <v>45628277</v>
      </c>
      <c r="C474" s="200">
        <v>0</v>
      </c>
      <c r="D474" s="200">
        <v>0</v>
      </c>
      <c r="E474" s="200">
        <v>0</v>
      </c>
      <c r="F474" s="200">
        <v>0</v>
      </c>
      <c r="G474" s="200">
        <v>0</v>
      </c>
      <c r="H474" s="200">
        <v>0</v>
      </c>
      <c r="I474" s="348">
        <f t="shared" si="10"/>
        <v>45628277</v>
      </c>
      <c r="J474" s="192" t="s">
        <v>1465</v>
      </c>
    </row>
    <row r="475" spans="1:10" hidden="1" outlineLevel="1">
      <c r="A475" s="381" t="s">
        <v>2202</v>
      </c>
      <c r="B475" s="716">
        <v>6468775</v>
      </c>
      <c r="C475" s="200">
        <v>0</v>
      </c>
      <c r="D475" s="200">
        <v>0</v>
      </c>
      <c r="E475" s="200">
        <v>0</v>
      </c>
      <c r="F475" s="200">
        <v>0</v>
      </c>
      <c r="G475" s="200">
        <v>0</v>
      </c>
      <c r="H475" s="200">
        <v>0</v>
      </c>
      <c r="I475" s="348">
        <f t="shared" si="10"/>
        <v>6468775</v>
      </c>
      <c r="J475" s="192" t="s">
        <v>2203</v>
      </c>
    </row>
    <row r="476" spans="1:10" hidden="1" outlineLevel="1">
      <c r="A476" s="381" t="s">
        <v>1586</v>
      </c>
      <c r="B476" s="716">
        <v>26326187</v>
      </c>
      <c r="C476" s="200">
        <v>0</v>
      </c>
      <c r="D476" s="200">
        <v>0</v>
      </c>
      <c r="E476" s="200">
        <v>0</v>
      </c>
      <c r="F476" s="200">
        <v>0</v>
      </c>
      <c r="G476" s="200">
        <v>0</v>
      </c>
      <c r="H476" s="200">
        <v>0</v>
      </c>
      <c r="I476" s="348">
        <f t="shared" si="10"/>
        <v>26326187</v>
      </c>
      <c r="J476" s="192" t="s">
        <v>1587</v>
      </c>
    </row>
    <row r="477" spans="1:10" hidden="1" outlineLevel="1">
      <c r="A477" s="381" t="s">
        <v>1232</v>
      </c>
      <c r="B477" s="715">
        <v>504967552</v>
      </c>
      <c r="C477" s="200">
        <v>0</v>
      </c>
      <c r="D477" s="200">
        <v>0</v>
      </c>
      <c r="E477" s="200">
        <v>0</v>
      </c>
      <c r="F477" s="200">
        <v>0</v>
      </c>
      <c r="G477" s="200">
        <v>0</v>
      </c>
      <c r="H477" s="200">
        <v>0</v>
      </c>
      <c r="I477" s="348">
        <f t="shared" si="10"/>
        <v>504967552</v>
      </c>
      <c r="J477" s="192" t="s">
        <v>1233</v>
      </c>
    </row>
    <row r="478" spans="1:10" hidden="1" outlineLevel="1">
      <c r="A478" s="381" t="s">
        <v>1444</v>
      </c>
      <c r="B478" s="716">
        <v>911256968</v>
      </c>
      <c r="C478" s="200">
        <v>0</v>
      </c>
      <c r="D478" s="200">
        <v>0</v>
      </c>
      <c r="E478" s="200">
        <v>0</v>
      </c>
      <c r="F478" s="200">
        <v>0</v>
      </c>
      <c r="G478" s="200">
        <v>0</v>
      </c>
      <c r="H478" s="200">
        <v>0</v>
      </c>
      <c r="I478" s="348">
        <f t="shared" si="10"/>
        <v>911256968</v>
      </c>
      <c r="J478" s="192" t="s">
        <v>1445</v>
      </c>
    </row>
    <row r="479" spans="1:10" hidden="1" outlineLevel="1">
      <c r="A479" s="381" t="s">
        <v>1248</v>
      </c>
      <c r="B479" s="716">
        <v>108809197</v>
      </c>
      <c r="C479" s="200">
        <v>0</v>
      </c>
      <c r="D479" s="200">
        <v>0</v>
      </c>
      <c r="E479" s="200">
        <v>0</v>
      </c>
      <c r="F479" s="200">
        <v>0</v>
      </c>
      <c r="G479" s="200">
        <v>0</v>
      </c>
      <c r="H479" s="200">
        <v>0</v>
      </c>
      <c r="I479" s="348">
        <f t="shared" si="10"/>
        <v>108809197</v>
      </c>
      <c r="J479" s="192" t="s">
        <v>1249</v>
      </c>
    </row>
    <row r="480" spans="1:10" hidden="1" outlineLevel="1">
      <c r="A480" s="381" t="s">
        <v>1675</v>
      </c>
      <c r="B480" s="716">
        <v>289066254</v>
      </c>
      <c r="C480" s="200">
        <v>1834059</v>
      </c>
      <c r="D480" s="200">
        <v>0</v>
      </c>
      <c r="E480" s="200">
        <v>0</v>
      </c>
      <c r="F480" s="200">
        <v>0</v>
      </c>
      <c r="G480" s="200">
        <v>0</v>
      </c>
      <c r="H480" s="200">
        <v>0</v>
      </c>
      <c r="I480" s="348">
        <f t="shared" ref="I480:I543" si="11">SUM(B480:H480)</f>
        <v>290900313</v>
      </c>
      <c r="J480" s="192" t="s">
        <v>1676</v>
      </c>
    </row>
    <row r="481" spans="1:10" hidden="1" outlineLevel="1">
      <c r="A481" s="381" t="s">
        <v>1536</v>
      </c>
      <c r="B481" s="716">
        <v>21413656</v>
      </c>
      <c r="C481" s="200">
        <v>3959</v>
      </c>
      <c r="D481" s="200">
        <v>0</v>
      </c>
      <c r="E481" s="200">
        <v>0</v>
      </c>
      <c r="F481" s="200">
        <v>0</v>
      </c>
      <c r="G481" s="200">
        <v>0</v>
      </c>
      <c r="H481" s="200">
        <v>0</v>
      </c>
      <c r="I481" s="348">
        <f t="shared" si="11"/>
        <v>21417615</v>
      </c>
      <c r="J481" s="192" t="s">
        <v>1537</v>
      </c>
    </row>
    <row r="482" spans="1:10" hidden="1" outlineLevel="1">
      <c r="A482" s="381" t="s">
        <v>1374</v>
      </c>
      <c r="B482" s="716">
        <v>81358310.488000005</v>
      </c>
      <c r="C482" s="200">
        <v>0</v>
      </c>
      <c r="D482" s="200">
        <v>0</v>
      </c>
      <c r="E482" s="200">
        <v>0</v>
      </c>
      <c r="F482" s="200">
        <v>0</v>
      </c>
      <c r="G482" s="200">
        <v>0</v>
      </c>
      <c r="H482" s="200">
        <v>0</v>
      </c>
      <c r="I482" s="348">
        <f t="shared" si="11"/>
        <v>81358310.488000005</v>
      </c>
      <c r="J482" s="192" t="s">
        <v>1375</v>
      </c>
    </row>
    <row r="483" spans="1:10" hidden="1" outlineLevel="1">
      <c r="A483" s="381" t="s">
        <v>1257</v>
      </c>
      <c r="B483" s="716">
        <v>45725773</v>
      </c>
      <c r="C483" s="200">
        <v>18344</v>
      </c>
      <c r="D483" s="200">
        <v>0</v>
      </c>
      <c r="E483" s="200">
        <v>0</v>
      </c>
      <c r="F483" s="200">
        <v>0</v>
      </c>
      <c r="G483" s="200">
        <v>0</v>
      </c>
      <c r="H483" s="200">
        <v>0</v>
      </c>
      <c r="I483" s="348">
        <f t="shared" si="11"/>
        <v>45744117</v>
      </c>
      <c r="J483" s="192" t="s">
        <v>1258</v>
      </c>
    </row>
    <row r="484" spans="1:10" hidden="1" outlineLevel="1">
      <c r="A484" s="381" t="s">
        <v>1714</v>
      </c>
      <c r="B484" s="716">
        <v>175473449.84299999</v>
      </c>
      <c r="C484" s="200">
        <v>0</v>
      </c>
      <c r="D484" s="200">
        <v>0</v>
      </c>
      <c r="E484" s="200">
        <v>0</v>
      </c>
      <c r="F484" s="200">
        <v>0</v>
      </c>
      <c r="G484" s="200">
        <v>0</v>
      </c>
      <c r="H484" s="200">
        <v>0</v>
      </c>
      <c r="I484" s="348">
        <f t="shared" si="11"/>
        <v>175473449.84299999</v>
      </c>
      <c r="J484" s="192" t="s">
        <v>1715</v>
      </c>
    </row>
    <row r="485" spans="1:10" hidden="1" outlineLevel="1">
      <c r="A485" s="381" t="s">
        <v>1542</v>
      </c>
      <c r="B485" s="716">
        <v>40210092</v>
      </c>
      <c r="C485" s="200">
        <v>0</v>
      </c>
      <c r="D485" s="200">
        <v>0</v>
      </c>
      <c r="E485" s="200">
        <v>0</v>
      </c>
      <c r="F485" s="200">
        <v>0</v>
      </c>
      <c r="G485" s="200">
        <v>0</v>
      </c>
      <c r="H485" s="200">
        <v>0</v>
      </c>
      <c r="I485" s="348">
        <f t="shared" si="11"/>
        <v>40210092</v>
      </c>
      <c r="J485" s="192" t="s">
        <v>1543</v>
      </c>
    </row>
    <row r="486" spans="1:10" hidden="1" outlineLevel="1">
      <c r="A486" s="381" t="s">
        <v>1526</v>
      </c>
      <c r="B486" s="716">
        <v>50125154</v>
      </c>
      <c r="C486" s="200">
        <v>87374</v>
      </c>
      <c r="D486" s="200">
        <v>0</v>
      </c>
      <c r="E486" s="200">
        <v>0</v>
      </c>
      <c r="F486" s="200">
        <v>0</v>
      </c>
      <c r="G486" s="200">
        <v>0</v>
      </c>
      <c r="H486" s="200">
        <v>0</v>
      </c>
      <c r="I486" s="348">
        <f t="shared" si="11"/>
        <v>50212528</v>
      </c>
      <c r="J486" s="192" t="s">
        <v>1527</v>
      </c>
    </row>
    <row r="487" spans="1:10" hidden="1" outlineLevel="1">
      <c r="A487" s="381" t="s">
        <v>1356</v>
      </c>
      <c r="B487" s="716">
        <v>37914235</v>
      </c>
      <c r="C487" s="200">
        <v>0</v>
      </c>
      <c r="D487" s="200">
        <v>0</v>
      </c>
      <c r="E487" s="200">
        <v>0</v>
      </c>
      <c r="F487" s="200">
        <v>0</v>
      </c>
      <c r="G487" s="200">
        <v>0</v>
      </c>
      <c r="H487" s="200">
        <v>0</v>
      </c>
      <c r="I487" s="348">
        <f t="shared" si="11"/>
        <v>37914235</v>
      </c>
      <c r="J487" s="192" t="s">
        <v>1357</v>
      </c>
    </row>
    <row r="488" spans="1:10" hidden="1" outlineLevel="1">
      <c r="A488" s="381" t="s">
        <v>1712</v>
      </c>
      <c r="B488" s="716">
        <v>15650550</v>
      </c>
      <c r="C488" s="200">
        <v>0</v>
      </c>
      <c r="D488" s="200">
        <v>0</v>
      </c>
      <c r="E488" s="200">
        <v>0</v>
      </c>
      <c r="F488" s="200">
        <v>0</v>
      </c>
      <c r="G488" s="200">
        <v>0</v>
      </c>
      <c r="H488" s="200">
        <v>0</v>
      </c>
      <c r="I488" s="348">
        <f t="shared" si="11"/>
        <v>15650550</v>
      </c>
      <c r="J488" s="192" t="s">
        <v>1713</v>
      </c>
    </row>
    <row r="489" spans="1:10" hidden="1" outlineLevel="1">
      <c r="A489" s="381" t="s">
        <v>1299</v>
      </c>
      <c r="B489" s="716">
        <v>11789945</v>
      </c>
      <c r="C489" s="200">
        <v>0</v>
      </c>
      <c r="D489" s="200">
        <v>0</v>
      </c>
      <c r="E489" s="200">
        <v>0</v>
      </c>
      <c r="F489" s="200">
        <v>0</v>
      </c>
      <c r="G489" s="200">
        <v>0</v>
      </c>
      <c r="H489" s="200">
        <v>0</v>
      </c>
      <c r="I489" s="348">
        <f t="shared" si="11"/>
        <v>11789945</v>
      </c>
      <c r="J489" s="192" t="s">
        <v>1300</v>
      </c>
    </row>
    <row r="490" spans="1:10" hidden="1" outlineLevel="1">
      <c r="A490" s="381" t="s">
        <v>1754</v>
      </c>
      <c r="B490" s="716">
        <v>20890802</v>
      </c>
      <c r="C490" s="200">
        <v>0</v>
      </c>
      <c r="D490" s="200">
        <v>0</v>
      </c>
      <c r="E490" s="200">
        <v>0</v>
      </c>
      <c r="F490" s="200">
        <v>0</v>
      </c>
      <c r="G490" s="200">
        <v>0</v>
      </c>
      <c r="H490" s="200">
        <v>0</v>
      </c>
      <c r="I490" s="348">
        <f t="shared" si="11"/>
        <v>20890802</v>
      </c>
      <c r="J490" s="192" t="s">
        <v>1755</v>
      </c>
    </row>
    <row r="491" spans="1:10" hidden="1" outlineLevel="1">
      <c r="A491" s="381" t="s">
        <v>1690</v>
      </c>
      <c r="B491" s="716">
        <v>91776009</v>
      </c>
      <c r="C491" s="200">
        <v>0</v>
      </c>
      <c r="D491" s="200">
        <v>0</v>
      </c>
      <c r="E491" s="200">
        <v>0</v>
      </c>
      <c r="F491" s="200">
        <v>0</v>
      </c>
      <c r="G491" s="200">
        <v>0</v>
      </c>
      <c r="H491" s="200">
        <v>0</v>
      </c>
      <c r="I491" s="348">
        <f t="shared" si="11"/>
        <v>91776009</v>
      </c>
      <c r="J491" s="192" t="s">
        <v>1691</v>
      </c>
    </row>
    <row r="492" spans="1:10" hidden="1" outlineLevel="1">
      <c r="A492" s="381" t="s">
        <v>1251</v>
      </c>
      <c r="B492" s="716">
        <v>42512827</v>
      </c>
      <c r="C492" s="200">
        <v>0</v>
      </c>
      <c r="D492" s="200">
        <v>0</v>
      </c>
      <c r="E492" s="200">
        <v>0</v>
      </c>
      <c r="F492" s="200">
        <v>0</v>
      </c>
      <c r="G492" s="200">
        <v>0</v>
      </c>
      <c r="H492" s="200">
        <v>0</v>
      </c>
      <c r="I492" s="348">
        <f t="shared" si="11"/>
        <v>42512827</v>
      </c>
      <c r="J492" s="192" t="s">
        <v>1252</v>
      </c>
    </row>
    <row r="493" spans="1:10" hidden="1" outlineLevel="1">
      <c r="A493" s="381" t="s">
        <v>1392</v>
      </c>
      <c r="B493" s="716">
        <v>51764836</v>
      </c>
      <c r="C493" s="200">
        <v>110629</v>
      </c>
      <c r="D493" s="200">
        <v>0</v>
      </c>
      <c r="E493" s="200">
        <v>0</v>
      </c>
      <c r="F493" s="200">
        <v>0</v>
      </c>
      <c r="G493" s="200">
        <v>0</v>
      </c>
      <c r="H493" s="200">
        <v>0</v>
      </c>
      <c r="I493" s="348">
        <f t="shared" si="11"/>
        <v>51875465</v>
      </c>
      <c r="J493" s="192" t="s">
        <v>1393</v>
      </c>
    </row>
    <row r="494" spans="1:10" hidden="1" outlineLevel="1">
      <c r="A494" s="381" t="s">
        <v>1662</v>
      </c>
      <c r="B494" s="716">
        <v>14084951</v>
      </c>
      <c r="C494" s="200">
        <v>0</v>
      </c>
      <c r="D494" s="200">
        <v>0</v>
      </c>
      <c r="E494" s="200">
        <v>0</v>
      </c>
      <c r="F494" s="200">
        <v>0</v>
      </c>
      <c r="G494" s="200">
        <v>0</v>
      </c>
      <c r="H494" s="200">
        <v>0</v>
      </c>
      <c r="I494" s="348">
        <f t="shared" si="11"/>
        <v>14084951</v>
      </c>
      <c r="J494" s="192" t="s">
        <v>1663</v>
      </c>
    </row>
    <row r="495" spans="1:10" hidden="1" outlineLevel="1">
      <c r="A495" s="381" t="s">
        <v>1660</v>
      </c>
      <c r="B495" s="716">
        <v>17494648</v>
      </c>
      <c r="C495" s="200">
        <v>3755</v>
      </c>
      <c r="D495" s="200">
        <v>0</v>
      </c>
      <c r="E495" s="200">
        <v>0</v>
      </c>
      <c r="F495" s="200">
        <v>0</v>
      </c>
      <c r="G495" s="200">
        <v>0</v>
      </c>
      <c r="H495" s="200">
        <v>0</v>
      </c>
      <c r="I495" s="348">
        <f t="shared" si="11"/>
        <v>17498403</v>
      </c>
      <c r="J495" s="192" t="s">
        <v>1661</v>
      </c>
    </row>
    <row r="496" spans="1:10" hidden="1" outlineLevel="1">
      <c r="A496" s="381" t="s">
        <v>1564</v>
      </c>
      <c r="B496" s="716">
        <v>5569205</v>
      </c>
      <c r="C496" s="200">
        <v>4025</v>
      </c>
      <c r="D496" s="200">
        <v>0</v>
      </c>
      <c r="E496" s="200">
        <v>0</v>
      </c>
      <c r="F496" s="200">
        <v>0</v>
      </c>
      <c r="G496" s="200">
        <v>0</v>
      </c>
      <c r="H496" s="200">
        <v>0</v>
      </c>
      <c r="I496" s="348">
        <f t="shared" si="11"/>
        <v>5573230</v>
      </c>
      <c r="J496" s="192" t="s">
        <v>1565</v>
      </c>
    </row>
    <row r="497" spans="1:10" hidden="1" outlineLevel="1">
      <c r="A497" s="381" t="s">
        <v>1612</v>
      </c>
      <c r="B497" s="716">
        <v>53435303</v>
      </c>
      <c r="C497" s="200">
        <v>0</v>
      </c>
      <c r="D497" s="200">
        <v>0</v>
      </c>
      <c r="E497" s="200">
        <v>0</v>
      </c>
      <c r="F497" s="200">
        <v>0</v>
      </c>
      <c r="G497" s="200">
        <v>0</v>
      </c>
      <c r="H497" s="200">
        <v>0</v>
      </c>
      <c r="I497" s="348">
        <f t="shared" si="11"/>
        <v>53435303</v>
      </c>
      <c r="J497" s="192" t="s">
        <v>1613</v>
      </c>
    </row>
    <row r="498" spans="1:10" hidden="1" outlineLevel="1">
      <c r="A498" s="381" t="s">
        <v>1544</v>
      </c>
      <c r="B498" s="716">
        <v>7434121</v>
      </c>
      <c r="C498" s="200">
        <v>14528</v>
      </c>
      <c r="D498" s="200">
        <v>0</v>
      </c>
      <c r="E498" s="200">
        <v>0</v>
      </c>
      <c r="F498" s="200">
        <v>49485</v>
      </c>
      <c r="G498" s="200">
        <v>0</v>
      </c>
      <c r="H498" s="200">
        <v>0</v>
      </c>
      <c r="I498" s="348">
        <f t="shared" si="11"/>
        <v>7498134</v>
      </c>
      <c r="J498" s="192" t="s">
        <v>1545</v>
      </c>
    </row>
    <row r="499" spans="1:10" hidden="1" outlineLevel="1">
      <c r="A499" s="381" t="s">
        <v>1530</v>
      </c>
      <c r="B499" s="716">
        <v>67029848.450000003</v>
      </c>
      <c r="C499" s="200">
        <v>0</v>
      </c>
      <c r="D499" s="200">
        <v>0</v>
      </c>
      <c r="E499" s="200">
        <v>0</v>
      </c>
      <c r="F499" s="200">
        <v>0</v>
      </c>
      <c r="G499" s="200">
        <v>0</v>
      </c>
      <c r="H499" s="200">
        <v>0</v>
      </c>
      <c r="I499" s="348">
        <f t="shared" si="11"/>
        <v>67029848.450000003</v>
      </c>
      <c r="J499" s="192" t="s">
        <v>1531</v>
      </c>
    </row>
    <row r="500" spans="1:10" hidden="1" outlineLevel="1">
      <c r="A500" s="381" t="s">
        <v>1452</v>
      </c>
      <c r="B500" s="716">
        <v>127163083</v>
      </c>
      <c r="C500" s="200">
        <v>0</v>
      </c>
      <c r="D500" s="200">
        <v>0</v>
      </c>
      <c r="E500" s="200">
        <v>0</v>
      </c>
      <c r="F500" s="200">
        <v>0</v>
      </c>
      <c r="G500" s="200">
        <v>0</v>
      </c>
      <c r="H500" s="200">
        <v>0</v>
      </c>
      <c r="I500" s="348">
        <f t="shared" si="11"/>
        <v>127163083</v>
      </c>
      <c r="J500" s="192" t="s">
        <v>1453</v>
      </c>
    </row>
    <row r="501" spans="1:10" hidden="1" outlineLevel="1">
      <c r="A501" s="381" t="s">
        <v>1774</v>
      </c>
      <c r="B501" s="716">
        <v>238250680</v>
      </c>
      <c r="C501" s="200">
        <v>1343050</v>
      </c>
      <c r="D501" s="200">
        <v>0</v>
      </c>
      <c r="E501" s="200">
        <v>0</v>
      </c>
      <c r="F501" s="200">
        <v>0</v>
      </c>
      <c r="G501" s="200">
        <v>0</v>
      </c>
      <c r="H501" s="200">
        <v>0</v>
      </c>
      <c r="I501" s="348">
        <f t="shared" si="11"/>
        <v>239593730</v>
      </c>
      <c r="J501" s="192" t="s">
        <v>1775</v>
      </c>
    </row>
    <row r="502" spans="1:10" hidden="1" outlineLevel="1">
      <c r="A502" s="381" t="s">
        <v>1402</v>
      </c>
      <c r="B502" s="716">
        <v>771875521.38</v>
      </c>
      <c r="C502" s="200">
        <v>0</v>
      </c>
      <c r="D502" s="200">
        <v>0</v>
      </c>
      <c r="E502" s="200">
        <v>0</v>
      </c>
      <c r="F502" s="200">
        <v>17344937</v>
      </c>
      <c r="G502" s="200">
        <v>0</v>
      </c>
      <c r="H502" s="200">
        <v>0</v>
      </c>
      <c r="I502" s="348">
        <f t="shared" si="11"/>
        <v>789220458.38</v>
      </c>
      <c r="J502" s="192" t="s">
        <v>1403</v>
      </c>
    </row>
    <row r="503" spans="1:10" hidden="1" outlineLevel="1">
      <c r="A503" s="381" t="s">
        <v>1440</v>
      </c>
      <c r="B503" s="716">
        <v>85520637.75</v>
      </c>
      <c r="C503" s="200">
        <v>0</v>
      </c>
      <c r="D503" s="200">
        <v>0</v>
      </c>
      <c r="E503" s="200">
        <v>0</v>
      </c>
      <c r="F503" s="200">
        <v>0</v>
      </c>
      <c r="G503" s="200">
        <v>0</v>
      </c>
      <c r="H503" s="200">
        <v>0</v>
      </c>
      <c r="I503" s="348">
        <f t="shared" si="11"/>
        <v>85520637.75</v>
      </c>
      <c r="J503" s="192" t="s">
        <v>1441</v>
      </c>
    </row>
    <row r="504" spans="1:10" hidden="1" outlineLevel="1">
      <c r="A504" s="381" t="s">
        <v>1606</v>
      </c>
      <c r="B504" s="716">
        <v>17475252</v>
      </c>
      <c r="C504" s="200">
        <v>53903</v>
      </c>
      <c r="D504" s="200">
        <v>0</v>
      </c>
      <c r="E504" s="200">
        <v>0</v>
      </c>
      <c r="F504" s="200">
        <v>0</v>
      </c>
      <c r="G504" s="200">
        <v>0</v>
      </c>
      <c r="H504" s="200">
        <v>0</v>
      </c>
      <c r="I504" s="348">
        <f t="shared" si="11"/>
        <v>17529155</v>
      </c>
      <c r="J504" s="192" t="s">
        <v>1607</v>
      </c>
    </row>
    <row r="505" spans="1:10" hidden="1" outlineLevel="1">
      <c r="A505" s="381" t="s">
        <v>1408</v>
      </c>
      <c r="B505" s="716">
        <v>610273967</v>
      </c>
      <c r="C505" s="200">
        <v>10812377</v>
      </c>
      <c r="D505" s="200">
        <v>0</v>
      </c>
      <c r="E505" s="200">
        <v>0</v>
      </c>
      <c r="F505" s="200">
        <v>0</v>
      </c>
      <c r="G505" s="200">
        <v>0</v>
      </c>
      <c r="H505" s="200">
        <v>0</v>
      </c>
      <c r="I505" s="348">
        <f t="shared" si="11"/>
        <v>621086344</v>
      </c>
      <c r="J505" s="192" t="s">
        <v>1409</v>
      </c>
    </row>
    <row r="506" spans="1:10" hidden="1" outlineLevel="1">
      <c r="A506" s="381" t="s">
        <v>1253</v>
      </c>
      <c r="B506" s="716">
        <v>7714812</v>
      </c>
      <c r="C506" s="200">
        <v>0</v>
      </c>
      <c r="D506" s="200">
        <v>0</v>
      </c>
      <c r="E506" s="200">
        <v>0</v>
      </c>
      <c r="F506" s="200">
        <v>0</v>
      </c>
      <c r="G506" s="200">
        <v>0</v>
      </c>
      <c r="H506" s="200">
        <v>0</v>
      </c>
      <c r="I506" s="348">
        <f t="shared" si="11"/>
        <v>7714812</v>
      </c>
      <c r="J506" s="192" t="s">
        <v>1254</v>
      </c>
    </row>
    <row r="507" spans="1:10" hidden="1" outlineLevel="1">
      <c r="A507" s="381" t="s">
        <v>1434</v>
      </c>
      <c r="B507" s="716">
        <v>90064515</v>
      </c>
      <c r="C507" s="200">
        <v>1408339</v>
      </c>
      <c r="D507" s="200">
        <v>0</v>
      </c>
      <c r="E507" s="200">
        <v>0</v>
      </c>
      <c r="F507" s="200">
        <v>0</v>
      </c>
      <c r="G507" s="200">
        <v>0</v>
      </c>
      <c r="H507" s="200">
        <v>0</v>
      </c>
      <c r="I507" s="348">
        <f t="shared" si="11"/>
        <v>91472854</v>
      </c>
      <c r="J507" s="192" t="s">
        <v>1435</v>
      </c>
    </row>
    <row r="508" spans="1:10" hidden="1" outlineLevel="1">
      <c r="A508" s="381" t="s">
        <v>1702</v>
      </c>
      <c r="B508" s="716">
        <v>21872898.550000001</v>
      </c>
      <c r="C508" s="200">
        <v>0</v>
      </c>
      <c r="D508" s="200">
        <v>0</v>
      </c>
      <c r="E508" s="200">
        <v>0</v>
      </c>
      <c r="F508" s="200">
        <v>0</v>
      </c>
      <c r="G508" s="200">
        <v>0</v>
      </c>
      <c r="H508" s="200">
        <v>0</v>
      </c>
      <c r="I508" s="348">
        <f t="shared" si="11"/>
        <v>21872898.550000001</v>
      </c>
      <c r="J508" s="192" t="s">
        <v>1703</v>
      </c>
    </row>
    <row r="509" spans="1:10" hidden="1" outlineLevel="1">
      <c r="A509" s="381" t="s">
        <v>1269</v>
      </c>
      <c r="B509" s="716">
        <v>35081878</v>
      </c>
      <c r="C509" s="200">
        <v>0</v>
      </c>
      <c r="D509" s="200">
        <v>0</v>
      </c>
      <c r="E509" s="200">
        <v>0</v>
      </c>
      <c r="F509" s="200">
        <v>0</v>
      </c>
      <c r="G509" s="200">
        <v>0</v>
      </c>
      <c r="H509" s="200">
        <v>0</v>
      </c>
      <c r="I509" s="348">
        <f t="shared" si="11"/>
        <v>35081878</v>
      </c>
      <c r="J509" s="192" t="s">
        <v>1270</v>
      </c>
    </row>
    <row r="510" spans="1:10" hidden="1" outlineLevel="1">
      <c r="A510" s="381" t="s">
        <v>1259</v>
      </c>
      <c r="B510" s="716">
        <v>24186960</v>
      </c>
      <c r="C510" s="200">
        <v>164357</v>
      </c>
      <c r="D510" s="200">
        <v>0</v>
      </c>
      <c r="E510" s="200">
        <v>0</v>
      </c>
      <c r="F510" s="200">
        <v>0</v>
      </c>
      <c r="G510" s="200">
        <v>0</v>
      </c>
      <c r="H510" s="200">
        <v>0</v>
      </c>
      <c r="I510" s="348">
        <f t="shared" si="11"/>
        <v>24351317</v>
      </c>
      <c r="J510" s="192" t="s">
        <v>1260</v>
      </c>
    </row>
    <row r="511" spans="1:10" hidden="1" outlineLevel="1">
      <c r="A511" s="381" t="s">
        <v>1470</v>
      </c>
      <c r="B511" s="716">
        <v>43906264</v>
      </c>
      <c r="C511" s="200">
        <v>10926</v>
      </c>
      <c r="D511" s="200">
        <v>0</v>
      </c>
      <c r="E511" s="200">
        <v>0</v>
      </c>
      <c r="F511" s="200">
        <v>0</v>
      </c>
      <c r="G511" s="200">
        <v>0</v>
      </c>
      <c r="H511" s="200">
        <v>0</v>
      </c>
      <c r="I511" s="348">
        <f t="shared" si="11"/>
        <v>43917190</v>
      </c>
      <c r="J511" s="192" t="s">
        <v>1471</v>
      </c>
    </row>
    <row r="512" spans="1:10" hidden="1" outlineLevel="1">
      <c r="A512" s="381" t="s">
        <v>1742</v>
      </c>
      <c r="B512" s="716">
        <v>25457600</v>
      </c>
      <c r="C512" s="200">
        <v>0</v>
      </c>
      <c r="D512" s="200">
        <v>0</v>
      </c>
      <c r="E512" s="200">
        <v>0</v>
      </c>
      <c r="F512" s="200">
        <v>0</v>
      </c>
      <c r="G512" s="200">
        <v>0</v>
      </c>
      <c r="H512" s="200">
        <v>0</v>
      </c>
      <c r="I512" s="348">
        <f t="shared" si="11"/>
        <v>25457600</v>
      </c>
      <c r="J512" s="192" t="s">
        <v>1743</v>
      </c>
    </row>
    <row r="513" spans="1:10" hidden="1" outlineLevel="1">
      <c r="A513" s="381" t="s">
        <v>1350</v>
      </c>
      <c r="B513" s="716">
        <v>40749516</v>
      </c>
      <c r="C513" s="200">
        <v>0</v>
      </c>
      <c r="D513" s="200">
        <v>0</v>
      </c>
      <c r="E513" s="200">
        <v>0</v>
      </c>
      <c r="F513" s="200">
        <v>0</v>
      </c>
      <c r="G513" s="200">
        <v>0</v>
      </c>
      <c r="H513" s="200">
        <v>0</v>
      </c>
      <c r="I513" s="348">
        <f t="shared" si="11"/>
        <v>40749516</v>
      </c>
      <c r="J513" s="192" t="s">
        <v>1351</v>
      </c>
    </row>
    <row r="514" spans="1:10" hidden="1" outlineLevel="1">
      <c r="A514" s="381" t="s">
        <v>1424</v>
      </c>
      <c r="B514" s="716">
        <v>60509675</v>
      </c>
      <c r="C514" s="200">
        <v>23637</v>
      </c>
      <c r="D514" s="200">
        <v>0</v>
      </c>
      <c r="E514" s="200">
        <v>0</v>
      </c>
      <c r="F514" s="200">
        <v>0</v>
      </c>
      <c r="G514" s="200">
        <v>0</v>
      </c>
      <c r="H514" s="200">
        <v>0</v>
      </c>
      <c r="I514" s="348">
        <f t="shared" si="11"/>
        <v>60533312</v>
      </c>
      <c r="J514" s="192" t="s">
        <v>1425</v>
      </c>
    </row>
    <row r="515" spans="1:10" hidden="1" outlineLevel="1">
      <c r="A515" s="381" t="s">
        <v>1486</v>
      </c>
      <c r="B515" s="716">
        <v>53127774</v>
      </c>
      <c r="C515" s="200">
        <v>0</v>
      </c>
      <c r="D515" s="200">
        <v>0</v>
      </c>
      <c r="E515" s="200">
        <v>0</v>
      </c>
      <c r="F515" s="200">
        <v>0</v>
      </c>
      <c r="G515" s="200">
        <v>0</v>
      </c>
      <c r="H515" s="200">
        <v>0</v>
      </c>
      <c r="I515" s="348">
        <f t="shared" si="11"/>
        <v>53127774</v>
      </c>
      <c r="J515" s="192" t="s">
        <v>1487</v>
      </c>
    </row>
    <row r="516" spans="1:10" hidden="1" outlineLevel="1">
      <c r="A516" s="381" t="s">
        <v>1532</v>
      </c>
      <c r="B516" s="716">
        <v>166821415</v>
      </c>
      <c r="C516" s="200">
        <v>0</v>
      </c>
      <c r="D516" s="200">
        <v>0</v>
      </c>
      <c r="E516" s="200">
        <v>0</v>
      </c>
      <c r="F516" s="200">
        <v>0</v>
      </c>
      <c r="G516" s="200">
        <v>0</v>
      </c>
      <c r="H516" s="200">
        <v>0</v>
      </c>
      <c r="I516" s="348">
        <f t="shared" si="11"/>
        <v>166821415</v>
      </c>
      <c r="J516" s="192" t="s">
        <v>1533</v>
      </c>
    </row>
    <row r="517" spans="1:10" hidden="1" outlineLevel="1">
      <c r="A517" s="381" t="s">
        <v>1406</v>
      </c>
      <c r="B517" s="716">
        <v>24984696</v>
      </c>
      <c r="C517" s="200">
        <v>88053</v>
      </c>
      <c r="D517" s="200">
        <v>0</v>
      </c>
      <c r="E517" s="200">
        <v>0</v>
      </c>
      <c r="F517" s="200">
        <v>0</v>
      </c>
      <c r="G517" s="200">
        <v>0</v>
      </c>
      <c r="H517" s="200">
        <v>0</v>
      </c>
      <c r="I517" s="348">
        <f t="shared" si="11"/>
        <v>25072749</v>
      </c>
      <c r="J517" s="192" t="s">
        <v>1407</v>
      </c>
    </row>
    <row r="518" spans="1:10" hidden="1" outlineLevel="1">
      <c r="A518" s="381" t="s">
        <v>1820</v>
      </c>
      <c r="B518" s="716">
        <v>170599913.09</v>
      </c>
      <c r="C518" s="200">
        <v>0</v>
      </c>
      <c r="D518" s="200">
        <v>0</v>
      </c>
      <c r="E518" s="200">
        <v>0</v>
      </c>
      <c r="F518" s="200">
        <v>0</v>
      </c>
      <c r="G518" s="200">
        <v>0</v>
      </c>
      <c r="H518" s="200">
        <v>0</v>
      </c>
      <c r="I518" s="348">
        <f t="shared" si="11"/>
        <v>170599913.09</v>
      </c>
      <c r="J518" s="192" t="s">
        <v>1821</v>
      </c>
    </row>
    <row r="519" spans="1:10" hidden="1" outlineLevel="1">
      <c r="A519" s="381" t="s">
        <v>1673</v>
      </c>
      <c r="B519" s="716">
        <v>113048557</v>
      </c>
      <c r="C519" s="200">
        <v>0</v>
      </c>
      <c r="D519" s="200">
        <v>0</v>
      </c>
      <c r="E519" s="200">
        <v>0</v>
      </c>
      <c r="F519" s="200">
        <v>0</v>
      </c>
      <c r="G519" s="200">
        <v>0</v>
      </c>
      <c r="H519" s="200">
        <v>0</v>
      </c>
      <c r="I519" s="348">
        <f t="shared" si="11"/>
        <v>113048557</v>
      </c>
      <c r="J519" s="192" t="s">
        <v>1674</v>
      </c>
    </row>
    <row r="520" spans="1:10" hidden="1" outlineLevel="1">
      <c r="A520" s="381" t="s">
        <v>1580</v>
      </c>
      <c r="B520" s="716">
        <v>73648294</v>
      </c>
      <c r="C520" s="200">
        <v>0</v>
      </c>
      <c r="D520" s="200">
        <v>0</v>
      </c>
      <c r="E520" s="200">
        <v>0</v>
      </c>
      <c r="F520" s="200">
        <v>0</v>
      </c>
      <c r="G520" s="200">
        <v>0</v>
      </c>
      <c r="H520" s="200">
        <v>0</v>
      </c>
      <c r="I520" s="348">
        <f t="shared" si="11"/>
        <v>73648294</v>
      </c>
      <c r="J520" s="192" t="s">
        <v>1581</v>
      </c>
    </row>
    <row r="521" spans="1:10" hidden="1" outlineLevel="1">
      <c r="A521" s="381" t="s">
        <v>1588</v>
      </c>
      <c r="B521" s="716">
        <v>142040055</v>
      </c>
      <c r="C521" s="200">
        <v>399252</v>
      </c>
      <c r="D521" s="200">
        <v>0</v>
      </c>
      <c r="E521" s="200">
        <v>0</v>
      </c>
      <c r="F521" s="200">
        <v>0</v>
      </c>
      <c r="G521" s="200">
        <v>0</v>
      </c>
      <c r="H521" s="200">
        <v>0</v>
      </c>
      <c r="I521" s="348">
        <f t="shared" si="11"/>
        <v>142439307</v>
      </c>
      <c r="J521" s="192" t="s">
        <v>1589</v>
      </c>
    </row>
    <row r="522" spans="1:10" hidden="1" outlineLevel="1">
      <c r="A522" s="381" t="s">
        <v>1568</v>
      </c>
      <c r="B522" s="716">
        <v>8395985</v>
      </c>
      <c r="C522" s="200">
        <v>8322</v>
      </c>
      <c r="D522" s="200">
        <v>0</v>
      </c>
      <c r="E522" s="200">
        <v>0</v>
      </c>
      <c r="F522" s="200">
        <v>0</v>
      </c>
      <c r="G522" s="200">
        <v>0</v>
      </c>
      <c r="H522" s="200">
        <v>0</v>
      </c>
      <c r="I522" s="348">
        <f t="shared" si="11"/>
        <v>8404307</v>
      </c>
      <c r="J522" s="192" t="s">
        <v>1569</v>
      </c>
    </row>
    <row r="523" spans="1:10" hidden="1" outlineLevel="1">
      <c r="A523" s="381" t="s">
        <v>1482</v>
      </c>
      <c r="B523" s="716">
        <v>115657702</v>
      </c>
      <c r="C523" s="200">
        <v>482046</v>
      </c>
      <c r="D523" s="200">
        <v>0</v>
      </c>
      <c r="E523" s="200">
        <v>0</v>
      </c>
      <c r="F523" s="200">
        <v>0</v>
      </c>
      <c r="G523" s="200">
        <v>0</v>
      </c>
      <c r="H523" s="200">
        <v>0</v>
      </c>
      <c r="I523" s="348">
        <f t="shared" si="11"/>
        <v>116139748</v>
      </c>
      <c r="J523" s="192" t="s">
        <v>1483</v>
      </c>
    </row>
    <row r="524" spans="1:10" hidden="1" outlineLevel="1">
      <c r="A524" s="381" t="s">
        <v>1506</v>
      </c>
      <c r="B524" s="716">
        <v>75084152</v>
      </c>
      <c r="C524" s="200">
        <v>0</v>
      </c>
      <c r="D524" s="200">
        <v>0</v>
      </c>
      <c r="E524" s="200">
        <v>0</v>
      </c>
      <c r="F524" s="200">
        <v>0</v>
      </c>
      <c r="G524" s="200">
        <v>0</v>
      </c>
      <c r="H524" s="200">
        <v>0</v>
      </c>
      <c r="I524" s="348">
        <f t="shared" si="11"/>
        <v>75084152</v>
      </c>
      <c r="J524" s="192" t="s">
        <v>1507</v>
      </c>
    </row>
    <row r="525" spans="1:10" hidden="1" outlineLevel="1">
      <c r="A525" s="381" t="s">
        <v>1596</v>
      </c>
      <c r="B525" s="716">
        <v>55943830.670999996</v>
      </c>
      <c r="C525" s="200">
        <v>0</v>
      </c>
      <c r="D525" s="200">
        <v>0</v>
      </c>
      <c r="E525" s="200">
        <v>0</v>
      </c>
      <c r="F525" s="200">
        <v>0</v>
      </c>
      <c r="G525" s="200">
        <v>0</v>
      </c>
      <c r="H525" s="200">
        <v>0</v>
      </c>
      <c r="I525" s="348">
        <f t="shared" si="11"/>
        <v>55943830.670999996</v>
      </c>
      <c r="J525" s="192" t="s">
        <v>1597</v>
      </c>
    </row>
    <row r="526" spans="1:10" hidden="1" outlineLevel="1">
      <c r="A526" s="381" t="s">
        <v>1330</v>
      </c>
      <c r="B526" s="716">
        <v>229210463</v>
      </c>
      <c r="C526" s="200">
        <v>0</v>
      </c>
      <c r="D526" s="200">
        <v>0</v>
      </c>
      <c r="E526" s="200">
        <v>0</v>
      </c>
      <c r="F526" s="200">
        <v>0</v>
      </c>
      <c r="G526" s="200">
        <v>0</v>
      </c>
      <c r="H526" s="200">
        <v>0</v>
      </c>
      <c r="I526" s="348">
        <f t="shared" si="11"/>
        <v>229210463</v>
      </c>
      <c r="J526" s="192" t="s">
        <v>1331</v>
      </c>
    </row>
    <row r="527" spans="1:10" hidden="1" outlineLevel="1">
      <c r="A527" s="381" t="s">
        <v>1746</v>
      </c>
      <c r="B527" s="716">
        <v>45845289.846000001</v>
      </c>
      <c r="C527" s="200">
        <v>5036.82</v>
      </c>
      <c r="D527" s="200">
        <v>0</v>
      </c>
      <c r="E527" s="200">
        <v>0</v>
      </c>
      <c r="F527" s="200">
        <v>0</v>
      </c>
      <c r="G527" s="200">
        <v>0</v>
      </c>
      <c r="H527" s="200">
        <v>0</v>
      </c>
      <c r="I527" s="348">
        <f t="shared" si="11"/>
        <v>45850326.666000001</v>
      </c>
      <c r="J527" s="192" t="s">
        <v>1747</v>
      </c>
    </row>
    <row r="528" spans="1:10" hidden="1" outlineLevel="1">
      <c r="A528" s="381" t="s">
        <v>1390</v>
      </c>
      <c r="B528" s="716">
        <v>59843403</v>
      </c>
      <c r="C528" s="200">
        <v>97045</v>
      </c>
      <c r="D528" s="200">
        <v>0</v>
      </c>
      <c r="E528" s="200">
        <v>0</v>
      </c>
      <c r="F528" s="200">
        <v>0</v>
      </c>
      <c r="G528" s="200">
        <v>0</v>
      </c>
      <c r="H528" s="200">
        <v>0</v>
      </c>
      <c r="I528" s="348">
        <f t="shared" si="11"/>
        <v>59940448</v>
      </c>
      <c r="J528" s="192" t="s">
        <v>1391</v>
      </c>
    </row>
    <row r="529" spans="1:10" hidden="1" outlineLevel="1">
      <c r="A529" s="381" t="s">
        <v>1642</v>
      </c>
      <c r="B529" s="716">
        <v>113175680</v>
      </c>
      <c r="C529" s="200">
        <v>284408</v>
      </c>
      <c r="D529" s="200">
        <v>0</v>
      </c>
      <c r="E529" s="200">
        <v>0</v>
      </c>
      <c r="F529" s="200">
        <v>0</v>
      </c>
      <c r="G529" s="200">
        <v>0</v>
      </c>
      <c r="H529" s="200">
        <v>0</v>
      </c>
      <c r="I529" s="348">
        <f t="shared" si="11"/>
        <v>113460088</v>
      </c>
      <c r="J529" s="192" t="s">
        <v>1643</v>
      </c>
    </row>
    <row r="530" spans="1:10" hidden="1" outlineLevel="1">
      <c r="A530" s="381" t="s">
        <v>1574</v>
      </c>
      <c r="B530" s="716">
        <v>40614609</v>
      </c>
      <c r="C530" s="200">
        <v>0</v>
      </c>
      <c r="D530" s="200">
        <v>0</v>
      </c>
      <c r="E530" s="200">
        <v>0</v>
      </c>
      <c r="F530" s="200">
        <v>0</v>
      </c>
      <c r="G530" s="200">
        <v>0</v>
      </c>
      <c r="H530" s="200">
        <v>0</v>
      </c>
      <c r="I530" s="348">
        <f t="shared" si="11"/>
        <v>40614609</v>
      </c>
      <c r="J530" s="192" t="s">
        <v>1575</v>
      </c>
    </row>
    <row r="531" spans="1:10" hidden="1" outlineLevel="1">
      <c r="A531" s="381" t="s">
        <v>1229</v>
      </c>
      <c r="B531" s="716">
        <v>71868581</v>
      </c>
      <c r="C531" s="200">
        <v>0</v>
      </c>
      <c r="D531" s="200">
        <v>0</v>
      </c>
      <c r="E531" s="200">
        <v>0</v>
      </c>
      <c r="F531" s="200">
        <v>0</v>
      </c>
      <c r="G531" s="200">
        <v>0</v>
      </c>
      <c r="H531" s="200">
        <v>0</v>
      </c>
      <c r="I531" s="348">
        <f t="shared" si="11"/>
        <v>71868581</v>
      </c>
      <c r="J531" s="192" t="s">
        <v>1230</v>
      </c>
    </row>
    <row r="532" spans="1:10" hidden="1" outlineLevel="1">
      <c r="A532" s="381" t="s">
        <v>1572</v>
      </c>
      <c r="B532" s="716">
        <v>96199821</v>
      </c>
      <c r="C532" s="200">
        <v>984032</v>
      </c>
      <c r="D532" s="200">
        <v>0</v>
      </c>
      <c r="E532" s="200">
        <v>0</v>
      </c>
      <c r="F532" s="200">
        <v>0</v>
      </c>
      <c r="G532" s="200">
        <v>0</v>
      </c>
      <c r="H532" s="200">
        <v>0</v>
      </c>
      <c r="I532" s="348">
        <f t="shared" si="11"/>
        <v>97183853</v>
      </c>
      <c r="J532" s="192" t="s">
        <v>1573</v>
      </c>
    </row>
    <row r="533" spans="1:10" hidden="1" outlineLevel="1">
      <c r="A533" s="381" t="s">
        <v>1436</v>
      </c>
      <c r="B533" s="716">
        <v>106241002</v>
      </c>
      <c r="C533" s="200">
        <v>0</v>
      </c>
      <c r="D533" s="200">
        <v>0</v>
      </c>
      <c r="E533" s="200">
        <v>0</v>
      </c>
      <c r="F533" s="200">
        <v>0</v>
      </c>
      <c r="G533" s="200">
        <v>0</v>
      </c>
      <c r="H533" s="200">
        <v>0</v>
      </c>
      <c r="I533" s="348">
        <f t="shared" si="11"/>
        <v>106241002</v>
      </c>
      <c r="J533" s="192" t="s">
        <v>1437</v>
      </c>
    </row>
    <row r="534" spans="1:10" hidden="1" outlineLevel="1">
      <c r="A534" s="381" t="s">
        <v>1600</v>
      </c>
      <c r="B534" s="716">
        <v>60449262</v>
      </c>
      <c r="C534" s="200">
        <v>0</v>
      </c>
      <c r="D534" s="200">
        <v>0</v>
      </c>
      <c r="E534" s="200">
        <v>0</v>
      </c>
      <c r="F534" s="200">
        <v>0</v>
      </c>
      <c r="G534" s="200">
        <v>0</v>
      </c>
      <c r="H534" s="200">
        <v>0</v>
      </c>
      <c r="I534" s="348">
        <f t="shared" si="11"/>
        <v>60449262</v>
      </c>
      <c r="J534" s="192" t="s">
        <v>1601</v>
      </c>
    </row>
    <row r="535" spans="1:10" hidden="1" outlineLevel="1">
      <c r="A535" s="381" t="s">
        <v>1698</v>
      </c>
      <c r="B535" s="716">
        <v>93035611</v>
      </c>
      <c r="C535" s="200">
        <v>1066000</v>
      </c>
      <c r="D535" s="200">
        <v>0</v>
      </c>
      <c r="E535" s="200">
        <v>0</v>
      </c>
      <c r="F535" s="200">
        <v>0</v>
      </c>
      <c r="G535" s="200">
        <v>0</v>
      </c>
      <c r="H535" s="200">
        <v>0</v>
      </c>
      <c r="I535" s="348">
        <f t="shared" si="11"/>
        <v>94101611</v>
      </c>
      <c r="J535" s="192" t="s">
        <v>1699</v>
      </c>
    </row>
    <row r="536" spans="1:10" hidden="1" outlineLevel="1">
      <c r="A536" s="381" t="s">
        <v>1616</v>
      </c>
      <c r="B536" s="716">
        <v>116863782</v>
      </c>
      <c r="C536" s="200">
        <v>0</v>
      </c>
      <c r="D536" s="200">
        <v>0</v>
      </c>
      <c r="E536" s="200">
        <v>0</v>
      </c>
      <c r="F536" s="200">
        <v>0</v>
      </c>
      <c r="G536" s="200">
        <v>0</v>
      </c>
      <c r="H536" s="200">
        <v>0</v>
      </c>
      <c r="I536" s="348">
        <f t="shared" si="11"/>
        <v>116863782</v>
      </c>
      <c r="J536" s="192" t="s">
        <v>1617</v>
      </c>
    </row>
    <row r="537" spans="1:10" hidden="1" outlineLevel="1">
      <c r="A537" s="381" t="s">
        <v>1604</v>
      </c>
      <c r="B537" s="716">
        <v>71131946</v>
      </c>
      <c r="C537" s="200">
        <v>1409281</v>
      </c>
      <c r="D537" s="200">
        <v>0</v>
      </c>
      <c r="E537" s="200">
        <v>0</v>
      </c>
      <c r="F537" s="200">
        <v>0</v>
      </c>
      <c r="G537" s="200">
        <v>0</v>
      </c>
      <c r="H537" s="200">
        <v>0</v>
      </c>
      <c r="I537" s="348">
        <f t="shared" si="11"/>
        <v>72541227</v>
      </c>
      <c r="J537" s="192" t="s">
        <v>1605</v>
      </c>
    </row>
    <row r="538" spans="1:10" hidden="1" outlineLevel="1">
      <c r="A538" s="381" t="s">
        <v>1554</v>
      </c>
      <c r="B538" s="716">
        <v>28905104</v>
      </c>
      <c r="C538" s="200">
        <v>0</v>
      </c>
      <c r="D538" s="200">
        <v>0</v>
      </c>
      <c r="E538" s="200">
        <v>0</v>
      </c>
      <c r="F538" s="200">
        <v>0</v>
      </c>
      <c r="G538" s="200">
        <v>0</v>
      </c>
      <c r="H538" s="200">
        <v>0</v>
      </c>
      <c r="I538" s="348">
        <f t="shared" si="11"/>
        <v>28905104</v>
      </c>
      <c r="J538" s="192" t="s">
        <v>1555</v>
      </c>
    </row>
    <row r="539" spans="1:10" hidden="1" outlineLevel="1">
      <c r="A539" s="381" t="s">
        <v>1679</v>
      </c>
      <c r="B539" s="716">
        <v>23505332.732999999</v>
      </c>
      <c r="C539" s="200">
        <v>328272.26699999999</v>
      </c>
      <c r="D539" s="200">
        <v>0</v>
      </c>
      <c r="E539" s="200">
        <v>0</v>
      </c>
      <c r="F539" s="200">
        <v>0</v>
      </c>
      <c r="G539" s="200">
        <v>0</v>
      </c>
      <c r="H539" s="200">
        <v>0</v>
      </c>
      <c r="I539" s="348">
        <f t="shared" si="11"/>
        <v>23833605</v>
      </c>
      <c r="J539" s="192" t="s">
        <v>1680</v>
      </c>
    </row>
    <row r="540" spans="1:10" hidden="1" outlineLevel="1">
      <c r="A540" s="381" t="s">
        <v>1756</v>
      </c>
      <c r="B540" s="716">
        <v>958975660.36800003</v>
      </c>
      <c r="C540" s="200">
        <v>0</v>
      </c>
      <c r="D540" s="200">
        <v>0</v>
      </c>
      <c r="E540" s="200">
        <v>0</v>
      </c>
      <c r="F540" s="200">
        <v>0</v>
      </c>
      <c r="G540" s="200">
        <v>0</v>
      </c>
      <c r="H540" s="200">
        <v>0</v>
      </c>
      <c r="I540" s="348">
        <f t="shared" si="11"/>
        <v>958975660.36800003</v>
      </c>
      <c r="J540" s="192" t="s">
        <v>1757</v>
      </c>
    </row>
    <row r="541" spans="1:10" hidden="1" outlineLevel="1">
      <c r="A541" s="381" t="s">
        <v>891</v>
      </c>
      <c r="B541" s="716">
        <v>20745687.772999998</v>
      </c>
      <c r="C541" s="200">
        <v>0</v>
      </c>
      <c r="D541" s="200">
        <v>0</v>
      </c>
      <c r="E541" s="200">
        <v>0</v>
      </c>
      <c r="F541" s="200">
        <v>0</v>
      </c>
      <c r="G541" s="200">
        <v>0</v>
      </c>
      <c r="H541" s="200">
        <v>0</v>
      </c>
      <c r="I541" s="348">
        <f t="shared" si="11"/>
        <v>20745687.772999998</v>
      </c>
      <c r="J541" s="192" t="s">
        <v>892</v>
      </c>
    </row>
    <row r="542" spans="1:10" hidden="1" outlineLevel="1">
      <c r="A542" s="381" t="s">
        <v>1336</v>
      </c>
      <c r="B542" s="716">
        <v>36082798</v>
      </c>
      <c r="C542" s="200">
        <v>0</v>
      </c>
      <c r="D542" s="200">
        <v>0</v>
      </c>
      <c r="E542" s="200">
        <v>0</v>
      </c>
      <c r="F542" s="200">
        <v>0</v>
      </c>
      <c r="G542" s="200">
        <v>0</v>
      </c>
      <c r="H542" s="200">
        <v>0</v>
      </c>
      <c r="I542" s="348">
        <f t="shared" si="11"/>
        <v>36082798</v>
      </c>
      <c r="J542" s="192" t="s">
        <v>1337</v>
      </c>
    </row>
    <row r="543" spans="1:10" hidden="1" outlineLevel="1">
      <c r="A543" s="381" t="s">
        <v>1550</v>
      </c>
      <c r="B543" s="716">
        <v>32894147</v>
      </c>
      <c r="C543" s="200">
        <v>0</v>
      </c>
      <c r="D543" s="200">
        <v>0</v>
      </c>
      <c r="E543" s="200">
        <v>0</v>
      </c>
      <c r="F543" s="200">
        <v>0</v>
      </c>
      <c r="G543" s="200">
        <v>0</v>
      </c>
      <c r="H543" s="200">
        <v>0</v>
      </c>
      <c r="I543" s="348">
        <f t="shared" si="11"/>
        <v>32894147</v>
      </c>
      <c r="J543" s="192" t="s">
        <v>1551</v>
      </c>
    </row>
    <row r="544" spans="1:10" hidden="1" outlineLevel="1">
      <c r="A544" s="381" t="s">
        <v>1528</v>
      </c>
      <c r="B544" s="716">
        <v>80143040</v>
      </c>
      <c r="C544" s="200">
        <v>0</v>
      </c>
      <c r="D544" s="200">
        <v>0</v>
      </c>
      <c r="E544" s="200">
        <v>0</v>
      </c>
      <c r="F544" s="200">
        <v>0</v>
      </c>
      <c r="G544" s="200">
        <v>0</v>
      </c>
      <c r="H544" s="200">
        <v>0</v>
      </c>
      <c r="I544" s="348">
        <f t="shared" ref="I544:I607" si="12">SUM(B544:H544)</f>
        <v>80143040</v>
      </c>
      <c r="J544" s="192" t="s">
        <v>1529</v>
      </c>
    </row>
    <row r="545" spans="1:10" hidden="1" outlineLevel="1">
      <c r="A545" s="381" t="s">
        <v>1360</v>
      </c>
      <c r="B545" s="716">
        <v>40865585</v>
      </c>
      <c r="C545" s="200">
        <v>0</v>
      </c>
      <c r="D545" s="200">
        <v>0</v>
      </c>
      <c r="E545" s="200">
        <v>0</v>
      </c>
      <c r="F545" s="200">
        <v>0</v>
      </c>
      <c r="G545" s="200">
        <v>0</v>
      </c>
      <c r="H545" s="200">
        <v>0</v>
      </c>
      <c r="I545" s="348">
        <f t="shared" si="12"/>
        <v>40865585</v>
      </c>
      <c r="J545" s="192" t="s">
        <v>1361</v>
      </c>
    </row>
    <row r="546" spans="1:10" hidden="1" outlineLevel="1">
      <c r="A546" s="381" t="s">
        <v>1648</v>
      </c>
      <c r="B546" s="716">
        <v>117705749</v>
      </c>
      <c r="C546" s="200">
        <v>878759</v>
      </c>
      <c r="D546" s="200">
        <v>0</v>
      </c>
      <c r="E546" s="200">
        <v>0</v>
      </c>
      <c r="F546" s="200">
        <v>0</v>
      </c>
      <c r="G546" s="200">
        <v>0</v>
      </c>
      <c r="H546" s="200">
        <v>0</v>
      </c>
      <c r="I546" s="348">
        <f t="shared" si="12"/>
        <v>118584508</v>
      </c>
      <c r="J546" s="192" t="s">
        <v>1649</v>
      </c>
    </row>
    <row r="547" spans="1:10" hidden="1" outlineLevel="1">
      <c r="A547" s="381" t="s">
        <v>1494</v>
      </c>
      <c r="B547" s="716">
        <v>76101121</v>
      </c>
      <c r="C547" s="200">
        <v>392863</v>
      </c>
      <c r="D547" s="200">
        <v>0</v>
      </c>
      <c r="E547" s="200">
        <v>0</v>
      </c>
      <c r="F547" s="200">
        <v>0</v>
      </c>
      <c r="G547" s="200">
        <v>0</v>
      </c>
      <c r="H547" s="200">
        <v>0</v>
      </c>
      <c r="I547" s="348">
        <f t="shared" si="12"/>
        <v>76493984</v>
      </c>
      <c r="J547" s="192" t="s">
        <v>1495</v>
      </c>
    </row>
    <row r="548" spans="1:10" hidden="1" outlineLevel="1">
      <c r="A548" s="381" t="s">
        <v>1566</v>
      </c>
      <c r="B548" s="716">
        <v>58990840</v>
      </c>
      <c r="C548" s="200">
        <v>0</v>
      </c>
      <c r="D548" s="200">
        <v>0</v>
      </c>
      <c r="E548" s="200">
        <v>0</v>
      </c>
      <c r="F548" s="200">
        <v>0</v>
      </c>
      <c r="G548" s="200">
        <v>0</v>
      </c>
      <c r="H548" s="200">
        <v>0</v>
      </c>
      <c r="I548" s="348">
        <f t="shared" si="12"/>
        <v>58990840</v>
      </c>
      <c r="J548" s="192" t="s">
        <v>1567</v>
      </c>
    </row>
    <row r="549" spans="1:10" hidden="1" outlineLevel="1">
      <c r="A549" s="381" t="s">
        <v>1466</v>
      </c>
      <c r="B549" s="716">
        <v>142682988</v>
      </c>
      <c r="C549" s="200">
        <v>53385</v>
      </c>
      <c r="D549" s="200">
        <v>0</v>
      </c>
      <c r="E549" s="200">
        <v>0</v>
      </c>
      <c r="F549" s="200">
        <v>0</v>
      </c>
      <c r="G549" s="200">
        <v>0</v>
      </c>
      <c r="H549" s="200">
        <v>0</v>
      </c>
      <c r="I549" s="348">
        <f t="shared" si="12"/>
        <v>142736373</v>
      </c>
      <c r="J549" s="192" t="s">
        <v>1467</v>
      </c>
    </row>
    <row r="550" spans="1:10" hidden="1" outlineLevel="1">
      <c r="A550" s="381" t="s">
        <v>1772</v>
      </c>
      <c r="B550" s="716">
        <v>15769367</v>
      </c>
      <c r="C550" s="200">
        <v>0</v>
      </c>
      <c r="D550" s="200">
        <v>0</v>
      </c>
      <c r="E550" s="200">
        <v>0</v>
      </c>
      <c r="F550" s="200">
        <v>0</v>
      </c>
      <c r="G550" s="200">
        <v>0</v>
      </c>
      <c r="H550" s="200">
        <v>0</v>
      </c>
      <c r="I550" s="348">
        <f t="shared" si="12"/>
        <v>15769367</v>
      </c>
      <c r="J550" s="192" t="s">
        <v>1773</v>
      </c>
    </row>
    <row r="551" spans="1:10" hidden="1" outlineLevel="1">
      <c r="A551" s="381" t="s">
        <v>1666</v>
      </c>
      <c r="B551" s="716">
        <v>2451357549</v>
      </c>
      <c r="C551" s="200">
        <v>887747</v>
      </c>
      <c r="D551" s="200">
        <v>0</v>
      </c>
      <c r="E551" s="200">
        <v>0</v>
      </c>
      <c r="F551" s="200">
        <v>73736756</v>
      </c>
      <c r="G551" s="200">
        <v>4601114</v>
      </c>
      <c r="H551" s="200">
        <v>0</v>
      </c>
      <c r="I551" s="348">
        <f t="shared" si="12"/>
        <v>2530583166</v>
      </c>
      <c r="J551" s="192" t="s">
        <v>1667</v>
      </c>
    </row>
    <row r="552" spans="1:10" hidden="1" outlineLevel="1">
      <c r="A552" s="381" t="s">
        <v>1720</v>
      </c>
      <c r="B552" s="716">
        <v>255871061.866</v>
      </c>
      <c r="C552" s="200">
        <v>0</v>
      </c>
      <c r="D552" s="200">
        <v>0</v>
      </c>
      <c r="E552" s="200">
        <v>0</v>
      </c>
      <c r="F552" s="200">
        <v>0</v>
      </c>
      <c r="G552" s="200">
        <v>0</v>
      </c>
      <c r="H552" s="200">
        <v>0</v>
      </c>
      <c r="I552" s="348">
        <f t="shared" si="12"/>
        <v>255871061.866</v>
      </c>
      <c r="J552" s="192" t="s">
        <v>1721</v>
      </c>
    </row>
    <row r="553" spans="1:10" hidden="1" outlineLevel="1">
      <c r="A553" s="381" t="s">
        <v>2204</v>
      </c>
      <c r="B553" s="716">
        <v>2311469</v>
      </c>
      <c r="C553" s="200">
        <v>0</v>
      </c>
      <c r="D553" s="200">
        <v>0</v>
      </c>
      <c r="E553" s="200">
        <v>0</v>
      </c>
      <c r="F553" s="200">
        <v>0</v>
      </c>
      <c r="G553" s="200">
        <v>0</v>
      </c>
      <c r="H553" s="200">
        <v>0</v>
      </c>
      <c r="I553" s="348">
        <f t="shared" si="12"/>
        <v>2311469</v>
      </c>
      <c r="J553" s="192" t="s">
        <v>2205</v>
      </c>
    </row>
    <row r="554" spans="1:10" hidden="1" outlineLevel="1">
      <c r="A554" s="381" t="s">
        <v>1372</v>
      </c>
      <c r="B554" s="716">
        <v>37709750.149999999</v>
      </c>
      <c r="C554" s="200">
        <v>172858</v>
      </c>
      <c r="D554" s="200">
        <v>0</v>
      </c>
      <c r="E554" s="200">
        <v>0</v>
      </c>
      <c r="F554" s="200">
        <v>0</v>
      </c>
      <c r="G554" s="200">
        <v>0</v>
      </c>
      <c r="H554" s="200">
        <v>0</v>
      </c>
      <c r="I554" s="348">
        <f t="shared" si="12"/>
        <v>37882608.149999999</v>
      </c>
      <c r="J554" s="192" t="s">
        <v>1373</v>
      </c>
    </row>
    <row r="555" spans="1:10" hidden="1" outlineLevel="1">
      <c r="A555" s="381" t="s">
        <v>1677</v>
      </c>
      <c r="B555" s="716">
        <v>108829376.91</v>
      </c>
      <c r="C555" s="200">
        <v>703752</v>
      </c>
      <c r="D555" s="200">
        <v>0</v>
      </c>
      <c r="E555" s="200">
        <v>0</v>
      </c>
      <c r="F555" s="200">
        <v>0</v>
      </c>
      <c r="G555" s="200">
        <v>0</v>
      </c>
      <c r="H555" s="200">
        <v>0</v>
      </c>
      <c r="I555" s="348">
        <f t="shared" si="12"/>
        <v>109533128.91</v>
      </c>
      <c r="J555" s="192" t="s">
        <v>1678</v>
      </c>
    </row>
    <row r="556" spans="1:10" hidden="1" outlineLevel="1">
      <c r="A556" s="381" t="s">
        <v>1456</v>
      </c>
      <c r="B556" s="716">
        <v>26842838</v>
      </c>
      <c r="C556" s="200">
        <v>0</v>
      </c>
      <c r="D556" s="200">
        <v>0</v>
      </c>
      <c r="E556" s="200">
        <v>0</v>
      </c>
      <c r="F556" s="200">
        <v>0</v>
      </c>
      <c r="G556" s="200">
        <v>0</v>
      </c>
      <c r="H556" s="200">
        <v>0</v>
      </c>
      <c r="I556" s="348">
        <f t="shared" si="12"/>
        <v>26842838</v>
      </c>
      <c r="J556" s="192" t="s">
        <v>1457</v>
      </c>
    </row>
    <row r="557" spans="1:10" hidden="1" outlineLevel="1">
      <c r="A557" s="381" t="s">
        <v>1614</v>
      </c>
      <c r="B557" s="716">
        <v>126364635</v>
      </c>
      <c r="C557" s="200">
        <v>0</v>
      </c>
      <c r="D557" s="200">
        <v>0</v>
      </c>
      <c r="E557" s="200">
        <v>0</v>
      </c>
      <c r="F557" s="200">
        <v>0</v>
      </c>
      <c r="G557" s="200">
        <v>0</v>
      </c>
      <c r="H557" s="200">
        <v>0</v>
      </c>
      <c r="I557" s="348">
        <f t="shared" si="12"/>
        <v>126364635</v>
      </c>
      <c r="J557" s="192" t="s">
        <v>1615</v>
      </c>
    </row>
    <row r="558" spans="1:10" hidden="1" outlineLevel="1">
      <c r="A558" s="381" t="s">
        <v>1314</v>
      </c>
      <c r="B558" s="716">
        <v>17508215</v>
      </c>
      <c r="C558" s="200">
        <v>0</v>
      </c>
      <c r="D558" s="200">
        <v>0</v>
      </c>
      <c r="E558" s="200">
        <v>0</v>
      </c>
      <c r="F558" s="200">
        <v>0</v>
      </c>
      <c r="G558" s="200">
        <v>0</v>
      </c>
      <c r="H558" s="200">
        <v>0</v>
      </c>
      <c r="I558" s="348">
        <f t="shared" si="12"/>
        <v>17508215</v>
      </c>
      <c r="J558" s="192" t="s">
        <v>1315</v>
      </c>
    </row>
    <row r="559" spans="1:10" hidden="1" outlineLevel="1">
      <c r="A559" s="381" t="s">
        <v>1291</v>
      </c>
      <c r="B559" s="716">
        <v>78387692</v>
      </c>
      <c r="C559" s="200">
        <v>0</v>
      </c>
      <c r="D559" s="200">
        <v>0</v>
      </c>
      <c r="E559" s="200">
        <v>0</v>
      </c>
      <c r="F559" s="200">
        <v>0</v>
      </c>
      <c r="G559" s="200">
        <v>0</v>
      </c>
      <c r="H559" s="200">
        <v>0</v>
      </c>
      <c r="I559" s="348">
        <f t="shared" si="12"/>
        <v>78387692</v>
      </c>
      <c r="J559" s="192" t="s">
        <v>1292</v>
      </c>
    </row>
    <row r="560" spans="1:10" hidden="1" outlineLevel="1">
      <c r="A560" s="381" t="s">
        <v>1279</v>
      </c>
      <c r="B560" s="716">
        <v>16256292</v>
      </c>
      <c r="C560" s="200">
        <v>481645</v>
      </c>
      <c r="D560" s="200">
        <v>0</v>
      </c>
      <c r="E560" s="200">
        <v>0</v>
      </c>
      <c r="F560" s="200">
        <v>0</v>
      </c>
      <c r="G560" s="200">
        <v>0</v>
      </c>
      <c r="H560" s="200">
        <v>0</v>
      </c>
      <c r="I560" s="348">
        <f t="shared" si="12"/>
        <v>16737937</v>
      </c>
      <c r="J560" s="192" t="s">
        <v>1280</v>
      </c>
    </row>
    <row r="561" spans="1:10" hidden="1" outlineLevel="1">
      <c r="A561" s="381" t="s">
        <v>1716</v>
      </c>
      <c r="B561" s="716">
        <v>10266158</v>
      </c>
      <c r="C561" s="200">
        <v>356878</v>
      </c>
      <c r="D561" s="200">
        <v>0</v>
      </c>
      <c r="E561" s="200">
        <v>0</v>
      </c>
      <c r="F561" s="200">
        <v>0</v>
      </c>
      <c r="G561" s="200">
        <v>0</v>
      </c>
      <c r="H561" s="200">
        <v>0</v>
      </c>
      <c r="I561" s="348">
        <f t="shared" si="12"/>
        <v>10623036</v>
      </c>
      <c r="J561" s="192" t="s">
        <v>1717</v>
      </c>
    </row>
    <row r="562" spans="1:10" hidden="1" outlineLevel="1">
      <c r="A562" s="381" t="s">
        <v>1694</v>
      </c>
      <c r="B562" s="716">
        <v>173843294</v>
      </c>
      <c r="C562" s="200">
        <v>0</v>
      </c>
      <c r="D562" s="200">
        <v>0</v>
      </c>
      <c r="E562" s="200">
        <v>0</v>
      </c>
      <c r="F562" s="200">
        <v>0</v>
      </c>
      <c r="G562" s="200">
        <v>0</v>
      </c>
      <c r="H562" s="200">
        <v>0</v>
      </c>
      <c r="I562" s="348">
        <f t="shared" si="12"/>
        <v>173843294</v>
      </c>
      <c r="J562" s="192" t="s">
        <v>1695</v>
      </c>
    </row>
    <row r="563" spans="1:10" hidden="1" outlineLevel="1">
      <c r="A563" s="381" t="s">
        <v>1324</v>
      </c>
      <c r="B563" s="716">
        <v>29262440</v>
      </c>
      <c r="C563" s="200">
        <v>0</v>
      </c>
      <c r="D563" s="200">
        <v>0</v>
      </c>
      <c r="E563" s="200">
        <v>0</v>
      </c>
      <c r="F563" s="200">
        <v>0</v>
      </c>
      <c r="G563" s="200">
        <v>0</v>
      </c>
      <c r="H563" s="200">
        <v>0</v>
      </c>
      <c r="I563" s="348">
        <f t="shared" si="12"/>
        <v>29262440</v>
      </c>
      <c r="J563" s="192" t="s">
        <v>1325</v>
      </c>
    </row>
    <row r="564" spans="1:10" hidden="1" outlineLevel="1">
      <c r="A564" s="381" t="s">
        <v>1730</v>
      </c>
      <c r="B564" s="716">
        <v>33590327</v>
      </c>
      <c r="C564" s="200">
        <v>0</v>
      </c>
      <c r="D564" s="200">
        <v>0</v>
      </c>
      <c r="E564" s="200">
        <v>0</v>
      </c>
      <c r="F564" s="200">
        <v>0</v>
      </c>
      <c r="G564" s="200">
        <v>0</v>
      </c>
      <c r="H564" s="200">
        <v>0</v>
      </c>
      <c r="I564" s="348">
        <f t="shared" si="12"/>
        <v>33590327</v>
      </c>
      <c r="J564" s="192" t="s">
        <v>1731</v>
      </c>
    </row>
    <row r="565" spans="1:10" hidden="1" outlineLevel="1">
      <c r="A565" s="381" t="s">
        <v>1696</v>
      </c>
      <c r="B565" s="716">
        <v>6141857</v>
      </c>
      <c r="C565" s="200">
        <v>13505</v>
      </c>
      <c r="D565" s="200">
        <v>0</v>
      </c>
      <c r="E565" s="200">
        <v>0</v>
      </c>
      <c r="F565" s="200">
        <v>0</v>
      </c>
      <c r="G565" s="200">
        <v>0</v>
      </c>
      <c r="H565" s="200">
        <v>0</v>
      </c>
      <c r="I565" s="348">
        <f t="shared" si="12"/>
        <v>6155362</v>
      </c>
      <c r="J565" s="192" t="s">
        <v>1697</v>
      </c>
    </row>
    <row r="566" spans="1:10" hidden="1" outlineLevel="1">
      <c r="A566" s="381" t="s">
        <v>1726</v>
      </c>
      <c r="B566" s="716">
        <v>33347582</v>
      </c>
      <c r="C566" s="200">
        <v>14042</v>
      </c>
      <c r="D566" s="200">
        <v>0</v>
      </c>
      <c r="E566" s="200">
        <v>0</v>
      </c>
      <c r="F566" s="200">
        <v>0</v>
      </c>
      <c r="G566" s="200">
        <v>0</v>
      </c>
      <c r="H566" s="200">
        <v>0</v>
      </c>
      <c r="I566" s="348">
        <f t="shared" si="12"/>
        <v>33361624</v>
      </c>
      <c r="J566" s="192" t="s">
        <v>1727</v>
      </c>
    </row>
    <row r="567" spans="1:10" hidden="1" outlineLevel="1">
      <c r="A567" s="381" t="s">
        <v>1281</v>
      </c>
      <c r="B567" s="716">
        <v>16086968</v>
      </c>
      <c r="C567" s="200">
        <v>0</v>
      </c>
      <c r="D567" s="200">
        <v>0</v>
      </c>
      <c r="E567" s="200">
        <v>0</v>
      </c>
      <c r="F567" s="200">
        <v>0</v>
      </c>
      <c r="G567" s="200">
        <v>0</v>
      </c>
      <c r="H567" s="200">
        <v>0</v>
      </c>
      <c r="I567" s="348">
        <f t="shared" si="12"/>
        <v>16086968</v>
      </c>
      <c r="J567" s="192" t="s">
        <v>1282</v>
      </c>
    </row>
    <row r="568" spans="1:10" hidden="1" outlineLevel="1">
      <c r="A568" s="381" t="s">
        <v>1802</v>
      </c>
      <c r="B568" s="716">
        <v>8586119</v>
      </c>
      <c r="C568" s="200">
        <v>0</v>
      </c>
      <c r="D568" s="200">
        <v>0</v>
      </c>
      <c r="E568" s="200">
        <v>0</v>
      </c>
      <c r="F568" s="200">
        <v>0</v>
      </c>
      <c r="G568" s="200">
        <v>0</v>
      </c>
      <c r="H568" s="200">
        <v>0</v>
      </c>
      <c r="I568" s="348">
        <f t="shared" si="12"/>
        <v>8586119</v>
      </c>
      <c r="J568" s="192" t="s">
        <v>1803</v>
      </c>
    </row>
    <row r="569" spans="1:10" hidden="1" outlineLevel="1">
      <c r="A569" s="381" t="s">
        <v>1418</v>
      </c>
      <c r="B569" s="716">
        <v>27855021</v>
      </c>
      <c r="C569" s="200">
        <v>39194</v>
      </c>
      <c r="D569" s="200">
        <v>0</v>
      </c>
      <c r="E569" s="200">
        <v>0</v>
      </c>
      <c r="F569" s="200">
        <v>0</v>
      </c>
      <c r="G569" s="200">
        <v>0</v>
      </c>
      <c r="H569" s="200">
        <v>0</v>
      </c>
      <c r="I569" s="348">
        <f t="shared" si="12"/>
        <v>27894215</v>
      </c>
      <c r="J569" s="192" t="s">
        <v>1419</v>
      </c>
    </row>
    <row r="570" spans="1:10" hidden="1" outlineLevel="1">
      <c r="A570" s="381" t="s">
        <v>1338</v>
      </c>
      <c r="B570" s="716">
        <v>21171996</v>
      </c>
      <c r="C570" s="200">
        <v>0</v>
      </c>
      <c r="D570" s="200">
        <v>0</v>
      </c>
      <c r="E570" s="200">
        <v>0</v>
      </c>
      <c r="F570" s="200">
        <v>0</v>
      </c>
      <c r="G570" s="200">
        <v>0</v>
      </c>
      <c r="H570" s="200">
        <v>0</v>
      </c>
      <c r="I570" s="348">
        <f t="shared" si="12"/>
        <v>21171996</v>
      </c>
      <c r="J570" s="192" t="s">
        <v>1339</v>
      </c>
    </row>
    <row r="571" spans="1:10" hidden="1" outlineLevel="1">
      <c r="A571" s="381" t="s">
        <v>1316</v>
      </c>
      <c r="B571" s="716">
        <v>377081321</v>
      </c>
      <c r="C571" s="200">
        <v>0</v>
      </c>
      <c r="D571" s="200">
        <v>0</v>
      </c>
      <c r="E571" s="200">
        <v>0</v>
      </c>
      <c r="F571" s="200">
        <v>0</v>
      </c>
      <c r="G571" s="200">
        <v>0</v>
      </c>
      <c r="H571" s="200">
        <v>0</v>
      </c>
      <c r="I571" s="348">
        <f t="shared" si="12"/>
        <v>377081321</v>
      </c>
      <c r="J571" s="192" t="s">
        <v>1317</v>
      </c>
    </row>
    <row r="572" spans="1:10" hidden="1" outlineLevel="1">
      <c r="A572" s="381" t="s">
        <v>1289</v>
      </c>
      <c r="B572" s="716">
        <v>81801897</v>
      </c>
      <c r="C572" s="200">
        <v>0</v>
      </c>
      <c r="D572" s="200">
        <v>0</v>
      </c>
      <c r="E572" s="200">
        <v>0</v>
      </c>
      <c r="F572" s="200">
        <v>0</v>
      </c>
      <c r="G572" s="200">
        <v>0</v>
      </c>
      <c r="H572" s="200">
        <v>0</v>
      </c>
      <c r="I572" s="348">
        <f t="shared" si="12"/>
        <v>81801897</v>
      </c>
      <c r="J572" s="192" t="s">
        <v>1290</v>
      </c>
    </row>
    <row r="573" spans="1:10" hidden="1" outlineLevel="1">
      <c r="A573" s="381" t="s">
        <v>1476</v>
      </c>
      <c r="B573" s="716">
        <v>131765931</v>
      </c>
      <c r="C573" s="200">
        <v>37423</v>
      </c>
      <c r="D573" s="200">
        <v>0</v>
      </c>
      <c r="E573" s="200">
        <v>0</v>
      </c>
      <c r="F573" s="200">
        <v>0</v>
      </c>
      <c r="G573" s="200">
        <v>0</v>
      </c>
      <c r="H573" s="200">
        <v>0</v>
      </c>
      <c r="I573" s="348">
        <f t="shared" si="12"/>
        <v>131803354</v>
      </c>
      <c r="J573" s="192" t="s">
        <v>1477</v>
      </c>
    </row>
    <row r="574" spans="1:10" hidden="1" outlineLevel="1">
      <c r="A574" s="381" t="s">
        <v>2206</v>
      </c>
      <c r="B574" s="716">
        <v>3221612</v>
      </c>
      <c r="C574" s="200">
        <v>0</v>
      </c>
      <c r="D574" s="200">
        <v>0</v>
      </c>
      <c r="E574" s="200">
        <v>0</v>
      </c>
      <c r="F574" s="200">
        <v>0</v>
      </c>
      <c r="G574" s="200">
        <v>0</v>
      </c>
      <c r="H574" s="200">
        <v>0</v>
      </c>
      <c r="I574" s="348">
        <f t="shared" si="12"/>
        <v>3221612</v>
      </c>
      <c r="J574" s="192" t="s">
        <v>2207</v>
      </c>
    </row>
    <row r="575" spans="1:10" hidden="1" outlineLevel="1">
      <c r="A575" s="381" t="s">
        <v>1708</v>
      </c>
      <c r="B575" s="716">
        <v>28062721</v>
      </c>
      <c r="C575" s="200">
        <v>0</v>
      </c>
      <c r="D575" s="200">
        <v>0</v>
      </c>
      <c r="E575" s="200">
        <v>0</v>
      </c>
      <c r="F575" s="200">
        <v>0</v>
      </c>
      <c r="G575" s="200">
        <v>0</v>
      </c>
      <c r="H575" s="200">
        <v>0</v>
      </c>
      <c r="I575" s="348">
        <f t="shared" si="12"/>
        <v>28062721</v>
      </c>
      <c r="J575" s="192" t="s">
        <v>1709</v>
      </c>
    </row>
    <row r="576" spans="1:10" hidden="1" outlineLevel="1">
      <c r="A576" s="381" t="s">
        <v>1638</v>
      </c>
      <c r="B576" s="716">
        <v>51219518</v>
      </c>
      <c r="C576" s="200">
        <v>139582</v>
      </c>
      <c r="D576" s="200">
        <v>0</v>
      </c>
      <c r="E576" s="200">
        <v>0</v>
      </c>
      <c r="F576" s="200">
        <v>0</v>
      </c>
      <c r="G576" s="200">
        <v>0</v>
      </c>
      <c r="H576" s="200">
        <v>0</v>
      </c>
      <c r="I576" s="348">
        <f t="shared" si="12"/>
        <v>51359100</v>
      </c>
      <c r="J576" s="192" t="s">
        <v>1639</v>
      </c>
    </row>
    <row r="577" spans="1:10" hidden="1" outlineLevel="1">
      <c r="A577" s="381" t="s">
        <v>1624</v>
      </c>
      <c r="B577" s="716">
        <v>37338714</v>
      </c>
      <c r="C577" s="200">
        <v>0</v>
      </c>
      <c r="D577" s="200">
        <v>0</v>
      </c>
      <c r="E577" s="200">
        <v>0</v>
      </c>
      <c r="F577" s="200">
        <v>0</v>
      </c>
      <c r="G577" s="200">
        <v>0</v>
      </c>
      <c r="H577" s="200">
        <v>0</v>
      </c>
      <c r="I577" s="348">
        <f t="shared" si="12"/>
        <v>37338714</v>
      </c>
      <c r="J577" s="192" t="s">
        <v>1625</v>
      </c>
    </row>
    <row r="578" spans="1:10" hidden="1" outlineLevel="1">
      <c r="A578" s="381" t="s">
        <v>1780</v>
      </c>
      <c r="B578" s="716">
        <v>327466450</v>
      </c>
      <c r="C578" s="200">
        <v>171577</v>
      </c>
      <c r="D578" s="200">
        <v>0</v>
      </c>
      <c r="E578" s="200">
        <v>0</v>
      </c>
      <c r="F578" s="200">
        <v>0</v>
      </c>
      <c r="G578" s="200">
        <v>0</v>
      </c>
      <c r="H578" s="200">
        <v>0</v>
      </c>
      <c r="I578" s="348">
        <f t="shared" si="12"/>
        <v>327638027</v>
      </c>
      <c r="J578" s="192" t="s">
        <v>1781</v>
      </c>
    </row>
    <row r="579" spans="1:10" hidden="1" outlineLevel="1">
      <c r="A579" s="381" t="s">
        <v>1634</v>
      </c>
      <c r="B579" s="716">
        <v>356780924</v>
      </c>
      <c r="C579" s="200">
        <v>45387</v>
      </c>
      <c r="D579" s="200">
        <v>0</v>
      </c>
      <c r="E579" s="200">
        <v>0</v>
      </c>
      <c r="F579" s="200">
        <v>0</v>
      </c>
      <c r="G579" s="200">
        <v>0</v>
      </c>
      <c r="H579" s="200">
        <v>0</v>
      </c>
      <c r="I579" s="348">
        <f t="shared" si="12"/>
        <v>356826311</v>
      </c>
      <c r="J579" s="192" t="s">
        <v>1635</v>
      </c>
    </row>
    <row r="580" spans="1:10" hidden="1" outlineLevel="1">
      <c r="A580" s="381" t="s">
        <v>1261</v>
      </c>
      <c r="B580" s="716">
        <v>17945009</v>
      </c>
      <c r="C580" s="200">
        <v>0</v>
      </c>
      <c r="D580" s="200">
        <v>0</v>
      </c>
      <c r="E580" s="200">
        <v>0</v>
      </c>
      <c r="F580" s="200">
        <v>0</v>
      </c>
      <c r="G580" s="200">
        <v>0</v>
      </c>
      <c r="H580" s="200">
        <v>0</v>
      </c>
      <c r="I580" s="348">
        <f t="shared" si="12"/>
        <v>17945009</v>
      </c>
      <c r="J580" s="192" t="s">
        <v>1262</v>
      </c>
    </row>
    <row r="581" spans="1:10" hidden="1" outlineLevel="1">
      <c r="A581" s="381" t="s">
        <v>1422</v>
      </c>
      <c r="B581" s="716">
        <v>16591871</v>
      </c>
      <c r="C581" s="200">
        <v>0</v>
      </c>
      <c r="D581" s="200">
        <v>0</v>
      </c>
      <c r="E581" s="200">
        <v>0</v>
      </c>
      <c r="F581" s="200">
        <v>0</v>
      </c>
      <c r="G581" s="200">
        <v>0</v>
      </c>
      <c r="H581" s="200">
        <v>0</v>
      </c>
      <c r="I581" s="348">
        <f t="shared" si="12"/>
        <v>16591871</v>
      </c>
      <c r="J581" s="192" t="s">
        <v>1423</v>
      </c>
    </row>
    <row r="582" spans="1:10" hidden="1" outlineLevel="1">
      <c r="A582" s="381" t="s">
        <v>1502</v>
      </c>
      <c r="B582" s="716">
        <v>20803402</v>
      </c>
      <c r="C582" s="200">
        <v>42398</v>
      </c>
      <c r="D582" s="200">
        <v>0</v>
      </c>
      <c r="E582" s="200">
        <v>0</v>
      </c>
      <c r="F582" s="200">
        <v>0</v>
      </c>
      <c r="G582" s="200">
        <v>0</v>
      </c>
      <c r="H582" s="200">
        <v>0</v>
      </c>
      <c r="I582" s="348">
        <f t="shared" si="12"/>
        <v>20845800</v>
      </c>
      <c r="J582" s="192" t="s">
        <v>1503</v>
      </c>
    </row>
    <row r="583" spans="1:10" hidden="1" outlineLevel="1">
      <c r="A583" s="381" t="s">
        <v>1332</v>
      </c>
      <c r="B583" s="716">
        <v>138661377</v>
      </c>
      <c r="C583" s="200">
        <v>0</v>
      </c>
      <c r="D583" s="200">
        <v>0</v>
      </c>
      <c r="E583" s="200">
        <v>0</v>
      </c>
      <c r="F583" s="200">
        <v>0</v>
      </c>
      <c r="G583" s="200">
        <v>0</v>
      </c>
      <c r="H583" s="200">
        <v>0</v>
      </c>
      <c r="I583" s="348">
        <f t="shared" si="12"/>
        <v>138661377</v>
      </c>
      <c r="J583" s="192" t="s">
        <v>1333</v>
      </c>
    </row>
    <row r="584" spans="1:10" hidden="1" outlineLevel="1">
      <c r="A584" s="381" t="s">
        <v>1576</v>
      </c>
      <c r="B584" s="716">
        <v>89774141.165999994</v>
      </c>
      <c r="C584" s="200">
        <v>0</v>
      </c>
      <c r="D584" s="200">
        <v>0</v>
      </c>
      <c r="E584" s="200">
        <v>0</v>
      </c>
      <c r="F584" s="200">
        <v>0</v>
      </c>
      <c r="G584" s="200">
        <v>0</v>
      </c>
      <c r="H584" s="200">
        <v>0</v>
      </c>
      <c r="I584" s="348">
        <f t="shared" si="12"/>
        <v>89774141.165999994</v>
      </c>
      <c r="J584" s="192" t="s">
        <v>1577</v>
      </c>
    </row>
    <row r="585" spans="1:10" hidden="1" outlineLevel="1">
      <c r="A585" s="381" t="s">
        <v>1608</v>
      </c>
      <c r="B585" s="716">
        <v>24545233</v>
      </c>
      <c r="C585" s="200">
        <v>0</v>
      </c>
      <c r="D585" s="200">
        <v>0</v>
      </c>
      <c r="E585" s="200">
        <v>0</v>
      </c>
      <c r="F585" s="200">
        <v>0</v>
      </c>
      <c r="G585" s="200">
        <v>0</v>
      </c>
      <c r="H585" s="200">
        <v>0</v>
      </c>
      <c r="I585" s="348">
        <f t="shared" si="12"/>
        <v>24545233</v>
      </c>
      <c r="J585" s="192" t="s">
        <v>1609</v>
      </c>
    </row>
    <row r="586" spans="1:10" hidden="1" outlineLevel="1">
      <c r="A586" s="381" t="s">
        <v>1255</v>
      </c>
      <c r="B586" s="716">
        <v>116856771</v>
      </c>
      <c r="C586" s="200">
        <v>0</v>
      </c>
      <c r="D586" s="200">
        <v>0</v>
      </c>
      <c r="E586" s="200">
        <v>0</v>
      </c>
      <c r="F586" s="200">
        <v>0</v>
      </c>
      <c r="G586" s="200">
        <v>0</v>
      </c>
      <c r="H586" s="200">
        <v>0</v>
      </c>
      <c r="I586" s="348">
        <f t="shared" si="12"/>
        <v>116856771</v>
      </c>
      <c r="J586" s="192" t="s">
        <v>1256</v>
      </c>
    </row>
    <row r="587" spans="1:10" hidden="1" outlineLevel="1">
      <c r="A587" s="381" t="s">
        <v>1602</v>
      </c>
      <c r="B587" s="716">
        <v>41533977</v>
      </c>
      <c r="C587" s="200">
        <v>997543</v>
      </c>
      <c r="D587" s="200">
        <v>0</v>
      </c>
      <c r="E587" s="200">
        <v>0</v>
      </c>
      <c r="F587" s="200">
        <v>0</v>
      </c>
      <c r="G587" s="200">
        <v>0</v>
      </c>
      <c r="H587" s="200">
        <v>0</v>
      </c>
      <c r="I587" s="348">
        <f t="shared" si="12"/>
        <v>42531520</v>
      </c>
      <c r="J587" s="192" t="s">
        <v>1603</v>
      </c>
    </row>
    <row r="588" spans="1:10" hidden="1" outlineLevel="1">
      <c r="A588" s="381" t="s">
        <v>1354</v>
      </c>
      <c r="B588" s="716">
        <v>98578310</v>
      </c>
      <c r="C588" s="200">
        <v>0</v>
      </c>
      <c r="D588" s="200">
        <v>0</v>
      </c>
      <c r="E588" s="200">
        <v>0</v>
      </c>
      <c r="F588" s="200">
        <v>0</v>
      </c>
      <c r="G588" s="200">
        <v>0</v>
      </c>
      <c r="H588" s="200">
        <v>0</v>
      </c>
      <c r="I588" s="348">
        <f t="shared" si="12"/>
        <v>98578310</v>
      </c>
      <c r="J588" s="192" t="s">
        <v>1355</v>
      </c>
    </row>
    <row r="589" spans="1:10" hidden="1" outlineLevel="1">
      <c r="A589" s="381" t="s">
        <v>1446</v>
      </c>
      <c r="B589" s="715">
        <v>2039598665</v>
      </c>
      <c r="C589" s="200">
        <v>0</v>
      </c>
      <c r="D589" s="200">
        <v>0</v>
      </c>
      <c r="E589" s="200">
        <v>0</v>
      </c>
      <c r="F589" s="200">
        <v>31902319</v>
      </c>
      <c r="G589" s="200">
        <v>0</v>
      </c>
      <c r="H589" s="200">
        <v>0</v>
      </c>
      <c r="I589" s="348">
        <f t="shared" si="12"/>
        <v>2071500984</v>
      </c>
      <c r="J589" s="192" t="s">
        <v>1447</v>
      </c>
    </row>
    <row r="590" spans="1:10" hidden="1" outlineLevel="1">
      <c r="A590" s="381" t="s">
        <v>1664</v>
      </c>
      <c r="B590" s="716">
        <v>214374835</v>
      </c>
      <c r="C590" s="200">
        <v>4854629</v>
      </c>
      <c r="D590" s="200">
        <v>0</v>
      </c>
      <c r="E590" s="200">
        <v>0</v>
      </c>
      <c r="F590" s="200">
        <v>0</v>
      </c>
      <c r="G590" s="200">
        <v>0</v>
      </c>
      <c r="H590" s="200">
        <v>0</v>
      </c>
      <c r="I590" s="348">
        <f t="shared" si="12"/>
        <v>219229464</v>
      </c>
      <c r="J590" s="192" t="s">
        <v>1665</v>
      </c>
    </row>
    <row r="591" spans="1:10" hidden="1" outlineLevel="1">
      <c r="A591" s="381" t="s">
        <v>1788</v>
      </c>
      <c r="B591" s="716">
        <v>15596187</v>
      </c>
      <c r="C591" s="200">
        <v>501281</v>
      </c>
      <c r="D591" s="200">
        <v>0</v>
      </c>
      <c r="E591" s="200">
        <v>0</v>
      </c>
      <c r="F591" s="200">
        <v>0</v>
      </c>
      <c r="G591" s="200">
        <v>0</v>
      </c>
      <c r="H591" s="200">
        <v>0</v>
      </c>
      <c r="I591" s="348">
        <f t="shared" si="12"/>
        <v>16097468</v>
      </c>
      <c r="J591" s="192" t="s">
        <v>1789</v>
      </c>
    </row>
    <row r="592" spans="1:10" hidden="1" outlineLevel="1">
      <c r="A592" s="381" t="s">
        <v>1650</v>
      </c>
      <c r="B592" s="716">
        <v>6103685213</v>
      </c>
      <c r="C592" s="200">
        <v>0</v>
      </c>
      <c r="D592" s="200">
        <v>0</v>
      </c>
      <c r="E592" s="200">
        <v>0</v>
      </c>
      <c r="F592" s="200">
        <v>269070565</v>
      </c>
      <c r="G592" s="200">
        <v>0</v>
      </c>
      <c r="H592" s="200">
        <v>0</v>
      </c>
      <c r="I592" s="348">
        <f t="shared" si="12"/>
        <v>6372755778</v>
      </c>
      <c r="J592" s="192" t="s">
        <v>1651</v>
      </c>
    </row>
    <row r="593" spans="1:10" hidden="1" outlineLevel="1">
      <c r="A593" s="381" t="s">
        <v>1632</v>
      </c>
      <c r="B593" s="716">
        <v>48806016</v>
      </c>
      <c r="C593" s="200">
        <v>0</v>
      </c>
      <c r="D593" s="200">
        <v>0</v>
      </c>
      <c r="E593" s="200">
        <v>0</v>
      </c>
      <c r="F593" s="200">
        <v>0</v>
      </c>
      <c r="G593" s="200">
        <v>0</v>
      </c>
      <c r="H593" s="200">
        <v>0</v>
      </c>
      <c r="I593" s="348">
        <f t="shared" si="12"/>
        <v>48806016</v>
      </c>
      <c r="J593" s="192" t="s">
        <v>1633</v>
      </c>
    </row>
    <row r="594" spans="1:10" hidden="1" outlineLevel="1">
      <c r="A594" s="381" t="s">
        <v>1344</v>
      </c>
      <c r="B594" s="716">
        <v>958763557</v>
      </c>
      <c r="C594" s="200">
        <v>1496374</v>
      </c>
      <c r="D594" s="200">
        <v>0</v>
      </c>
      <c r="E594" s="200">
        <v>0</v>
      </c>
      <c r="F594" s="200">
        <v>12921422</v>
      </c>
      <c r="G594" s="200">
        <v>1098019</v>
      </c>
      <c r="H594" s="200">
        <v>0</v>
      </c>
      <c r="I594" s="348">
        <f t="shared" si="12"/>
        <v>974279372</v>
      </c>
      <c r="J594" s="192" t="s">
        <v>1345</v>
      </c>
    </row>
    <row r="595" spans="1:10" hidden="1" outlineLevel="1">
      <c r="A595" s="381" t="s">
        <v>1398</v>
      </c>
      <c r="B595" s="716">
        <v>25772764</v>
      </c>
      <c r="C595" s="200">
        <v>339045</v>
      </c>
      <c r="D595" s="200">
        <v>0</v>
      </c>
      <c r="E595" s="200">
        <v>0</v>
      </c>
      <c r="F595" s="200">
        <v>0</v>
      </c>
      <c r="G595" s="200">
        <v>766560</v>
      </c>
      <c r="H595" s="200">
        <v>0</v>
      </c>
      <c r="I595" s="348">
        <f t="shared" si="12"/>
        <v>26878369</v>
      </c>
      <c r="J595" s="192" t="s">
        <v>1399</v>
      </c>
    </row>
    <row r="596" spans="1:10" hidden="1" outlineLevel="1">
      <c r="A596" s="381" t="s">
        <v>1244</v>
      </c>
      <c r="B596" s="716">
        <v>37095395</v>
      </c>
      <c r="C596" s="200">
        <v>0</v>
      </c>
      <c r="D596" s="200">
        <v>0</v>
      </c>
      <c r="E596" s="200">
        <v>0</v>
      </c>
      <c r="F596" s="200">
        <v>0</v>
      </c>
      <c r="G596" s="200">
        <v>0</v>
      </c>
      <c r="H596" s="200">
        <v>0</v>
      </c>
      <c r="I596" s="348">
        <f t="shared" si="12"/>
        <v>37095395</v>
      </c>
      <c r="J596" s="192" t="s">
        <v>1245</v>
      </c>
    </row>
    <row r="597" spans="1:10" hidden="1" outlineLevel="1">
      <c r="A597" s="381" t="s">
        <v>1301</v>
      </c>
      <c r="B597" s="716">
        <v>58146065</v>
      </c>
      <c r="C597" s="200">
        <v>0</v>
      </c>
      <c r="D597" s="200">
        <v>0</v>
      </c>
      <c r="E597" s="200">
        <v>0</v>
      </c>
      <c r="F597" s="200">
        <v>0</v>
      </c>
      <c r="G597" s="200">
        <v>0</v>
      </c>
      <c r="H597" s="200">
        <v>0</v>
      </c>
      <c r="I597" s="348">
        <f t="shared" si="12"/>
        <v>58146065</v>
      </c>
      <c r="J597" s="192" t="s">
        <v>1302</v>
      </c>
    </row>
    <row r="598" spans="1:10" hidden="1" outlineLevel="1">
      <c r="A598" s="381" t="s">
        <v>1462</v>
      </c>
      <c r="B598" s="716">
        <v>63581044</v>
      </c>
      <c r="C598" s="200">
        <v>118051</v>
      </c>
      <c r="D598" s="200">
        <v>0</v>
      </c>
      <c r="E598" s="200">
        <v>0</v>
      </c>
      <c r="F598" s="200">
        <v>0</v>
      </c>
      <c r="G598" s="200">
        <v>0</v>
      </c>
      <c r="H598" s="200">
        <v>0</v>
      </c>
      <c r="I598" s="348">
        <f t="shared" si="12"/>
        <v>63699095</v>
      </c>
      <c r="J598" s="192" t="s">
        <v>1463</v>
      </c>
    </row>
    <row r="599" spans="1:10" hidden="1" outlineLevel="1">
      <c r="A599" s="381" t="s">
        <v>1794</v>
      </c>
      <c r="B599" s="716">
        <v>236546940</v>
      </c>
      <c r="C599" s="200">
        <v>625248</v>
      </c>
      <c r="D599" s="200">
        <v>0</v>
      </c>
      <c r="E599" s="200">
        <v>0</v>
      </c>
      <c r="F599" s="200">
        <v>0</v>
      </c>
      <c r="G599" s="200">
        <v>0</v>
      </c>
      <c r="H599" s="200">
        <v>0</v>
      </c>
      <c r="I599" s="348">
        <f t="shared" si="12"/>
        <v>237172188</v>
      </c>
      <c r="J599" s="192" t="s">
        <v>1795</v>
      </c>
    </row>
    <row r="600" spans="1:10" hidden="1" outlineLevel="1">
      <c r="A600" s="381" t="s">
        <v>1546</v>
      </c>
      <c r="B600" s="716">
        <v>29361541</v>
      </c>
      <c r="C600" s="200">
        <v>0</v>
      </c>
      <c r="D600" s="200">
        <v>0</v>
      </c>
      <c r="E600" s="200">
        <v>0</v>
      </c>
      <c r="F600" s="200">
        <v>0</v>
      </c>
      <c r="G600" s="200">
        <v>0</v>
      </c>
      <c r="H600" s="200">
        <v>0</v>
      </c>
      <c r="I600" s="348">
        <f t="shared" si="12"/>
        <v>29361541</v>
      </c>
      <c r="J600" s="192" t="s">
        <v>1547</v>
      </c>
    </row>
    <row r="601" spans="1:10" hidden="1" outlineLevel="1">
      <c r="A601" s="381" t="s">
        <v>1426</v>
      </c>
      <c r="B601" s="716">
        <v>53672041</v>
      </c>
      <c r="C601" s="200">
        <v>134570</v>
      </c>
      <c r="D601" s="200">
        <v>0</v>
      </c>
      <c r="E601" s="200">
        <v>0</v>
      </c>
      <c r="F601" s="200">
        <v>0</v>
      </c>
      <c r="G601" s="200">
        <v>0</v>
      </c>
      <c r="H601" s="200">
        <v>0</v>
      </c>
      <c r="I601" s="348">
        <f t="shared" si="12"/>
        <v>53806611</v>
      </c>
      <c r="J601" s="192" t="s">
        <v>1427</v>
      </c>
    </row>
    <row r="602" spans="1:10" hidden="1" outlineLevel="1">
      <c r="A602" s="381" t="s">
        <v>1760</v>
      </c>
      <c r="B602" s="716">
        <v>59127040</v>
      </c>
      <c r="C602" s="200">
        <v>0</v>
      </c>
      <c r="D602" s="200">
        <v>0</v>
      </c>
      <c r="E602" s="200">
        <v>0</v>
      </c>
      <c r="F602" s="200">
        <v>0</v>
      </c>
      <c r="G602" s="200">
        <v>0</v>
      </c>
      <c r="H602" s="200">
        <v>0</v>
      </c>
      <c r="I602" s="348">
        <f t="shared" si="12"/>
        <v>59127040</v>
      </c>
      <c r="J602" s="192" t="s">
        <v>1761</v>
      </c>
    </row>
    <row r="603" spans="1:10" hidden="1" outlineLevel="1">
      <c r="A603" s="381" t="s">
        <v>1798</v>
      </c>
      <c r="B603" s="716">
        <v>145306789</v>
      </c>
      <c r="C603" s="200">
        <v>0</v>
      </c>
      <c r="D603" s="200">
        <v>0</v>
      </c>
      <c r="E603" s="200">
        <v>0</v>
      </c>
      <c r="F603" s="200">
        <v>0</v>
      </c>
      <c r="G603" s="200">
        <v>0</v>
      </c>
      <c r="H603" s="200">
        <v>0</v>
      </c>
      <c r="I603" s="348">
        <f t="shared" si="12"/>
        <v>145306789</v>
      </c>
      <c r="J603" s="192" t="s">
        <v>1799</v>
      </c>
    </row>
    <row r="604" spans="1:10" hidden="1" outlineLevel="1">
      <c r="A604" s="381" t="s">
        <v>1318</v>
      </c>
      <c r="B604" s="716">
        <v>42303505</v>
      </c>
      <c r="C604" s="200">
        <v>174415</v>
      </c>
      <c r="D604" s="200">
        <v>0</v>
      </c>
      <c r="E604" s="200">
        <v>0</v>
      </c>
      <c r="F604" s="200">
        <v>0</v>
      </c>
      <c r="G604" s="200">
        <v>0</v>
      </c>
      <c r="H604" s="200">
        <v>0</v>
      </c>
      <c r="I604" s="348">
        <f t="shared" si="12"/>
        <v>42477920</v>
      </c>
      <c r="J604" s="192" t="s">
        <v>1319</v>
      </c>
    </row>
    <row r="605" spans="1:10" hidden="1" outlineLevel="1">
      <c r="A605" s="381" t="s">
        <v>1764</v>
      </c>
      <c r="B605" s="716">
        <v>21288731</v>
      </c>
      <c r="C605" s="200">
        <v>79964</v>
      </c>
      <c r="D605" s="200">
        <v>0</v>
      </c>
      <c r="E605" s="200">
        <v>0</v>
      </c>
      <c r="F605" s="200">
        <v>0</v>
      </c>
      <c r="G605" s="200">
        <v>0</v>
      </c>
      <c r="H605" s="200">
        <v>0</v>
      </c>
      <c r="I605" s="348">
        <f t="shared" si="12"/>
        <v>21368695</v>
      </c>
      <c r="J605" s="192" t="s">
        <v>1765</v>
      </c>
    </row>
    <row r="606" spans="1:10" hidden="1" outlineLevel="1">
      <c r="A606" s="381" t="s">
        <v>1540</v>
      </c>
      <c r="B606" s="716">
        <v>23953144.850000001</v>
      </c>
      <c r="C606" s="200">
        <v>0</v>
      </c>
      <c r="D606" s="200">
        <v>0</v>
      </c>
      <c r="E606" s="200">
        <v>0</v>
      </c>
      <c r="F606" s="200">
        <v>0</v>
      </c>
      <c r="G606" s="200">
        <v>0</v>
      </c>
      <c r="H606" s="200">
        <v>0</v>
      </c>
      <c r="I606" s="348">
        <f t="shared" si="12"/>
        <v>23953144.850000001</v>
      </c>
      <c r="J606" s="192" t="s">
        <v>1541</v>
      </c>
    </row>
    <row r="607" spans="1:10" hidden="1" outlineLevel="1">
      <c r="A607" s="381" t="s">
        <v>1396</v>
      </c>
      <c r="B607" s="716">
        <v>54545990</v>
      </c>
      <c r="C607" s="200">
        <v>0</v>
      </c>
      <c r="D607" s="200">
        <v>0</v>
      </c>
      <c r="E607" s="200">
        <v>0</v>
      </c>
      <c r="F607" s="200">
        <v>0</v>
      </c>
      <c r="G607" s="200">
        <v>0</v>
      </c>
      <c r="H607" s="200">
        <v>0</v>
      </c>
      <c r="I607" s="348">
        <f t="shared" si="12"/>
        <v>54545990</v>
      </c>
      <c r="J607" s="192" t="s">
        <v>1397</v>
      </c>
    </row>
    <row r="608" spans="1:10" hidden="1" outlineLevel="1">
      <c r="A608" s="381" t="s">
        <v>1681</v>
      </c>
      <c r="B608" s="716">
        <v>948555182</v>
      </c>
      <c r="C608" s="200">
        <v>0</v>
      </c>
      <c r="D608" s="200">
        <v>0</v>
      </c>
      <c r="E608" s="200">
        <v>0</v>
      </c>
      <c r="F608" s="200">
        <v>0</v>
      </c>
      <c r="G608" s="200">
        <v>7197005</v>
      </c>
      <c r="H608" s="200">
        <v>0</v>
      </c>
      <c r="I608" s="348">
        <f t="shared" ref="I608:I671" si="13">SUM(B608:H608)</f>
        <v>955752187</v>
      </c>
      <c r="J608" s="192" t="s">
        <v>1682</v>
      </c>
    </row>
    <row r="609" spans="1:10" hidden="1" outlineLevel="1">
      <c r="A609" s="381" t="s">
        <v>2208</v>
      </c>
      <c r="B609" s="716">
        <v>6044829</v>
      </c>
      <c r="C609" s="200">
        <v>23960</v>
      </c>
      <c r="D609" s="200">
        <v>0</v>
      </c>
      <c r="E609" s="200">
        <v>0</v>
      </c>
      <c r="F609" s="200">
        <v>0</v>
      </c>
      <c r="G609" s="200">
        <v>0</v>
      </c>
      <c r="H609" s="200">
        <v>0</v>
      </c>
      <c r="I609" s="348">
        <f t="shared" si="13"/>
        <v>6068789</v>
      </c>
      <c r="J609" s="192" t="s">
        <v>2209</v>
      </c>
    </row>
    <row r="610" spans="1:10" hidden="1" outlineLevel="1">
      <c r="A610" s="381" t="s">
        <v>1766</v>
      </c>
      <c r="B610" s="716">
        <v>20084731.579999998</v>
      </c>
      <c r="C610" s="200">
        <v>0</v>
      </c>
      <c r="D610" s="200">
        <v>0</v>
      </c>
      <c r="E610" s="200">
        <v>0</v>
      </c>
      <c r="F610" s="200">
        <v>0</v>
      </c>
      <c r="G610" s="200">
        <v>0</v>
      </c>
      <c r="H610" s="200">
        <v>0</v>
      </c>
      <c r="I610" s="348">
        <f t="shared" si="13"/>
        <v>20084731.579999998</v>
      </c>
      <c r="J610" s="192" t="s">
        <v>1767</v>
      </c>
    </row>
    <row r="611" spans="1:10" hidden="1" outlineLevel="1">
      <c r="A611" s="381" t="s">
        <v>1448</v>
      </c>
      <c r="B611" s="716">
        <v>179004023</v>
      </c>
      <c r="C611" s="200">
        <v>0</v>
      </c>
      <c r="D611" s="200">
        <v>0</v>
      </c>
      <c r="E611" s="200">
        <v>0</v>
      </c>
      <c r="F611" s="200">
        <v>0</v>
      </c>
      <c r="G611" s="200">
        <v>0</v>
      </c>
      <c r="H611" s="200">
        <v>0</v>
      </c>
      <c r="I611" s="348">
        <f t="shared" si="13"/>
        <v>179004023</v>
      </c>
      <c r="J611" s="192" t="s">
        <v>1449</v>
      </c>
    </row>
    <row r="612" spans="1:10" hidden="1" outlineLevel="1">
      <c r="A612" s="381" t="s">
        <v>1490</v>
      </c>
      <c r="B612" s="716">
        <v>15870817</v>
      </c>
      <c r="C612" s="200">
        <v>0</v>
      </c>
      <c r="D612" s="200">
        <v>0</v>
      </c>
      <c r="E612" s="200">
        <v>0</v>
      </c>
      <c r="F612" s="200">
        <v>0</v>
      </c>
      <c r="G612" s="200">
        <v>0</v>
      </c>
      <c r="H612" s="200">
        <v>0</v>
      </c>
      <c r="I612" s="348">
        <f t="shared" si="13"/>
        <v>15870817</v>
      </c>
      <c r="J612" s="192" t="s">
        <v>1491</v>
      </c>
    </row>
    <row r="613" spans="1:10" hidden="1" outlineLevel="1">
      <c r="A613" s="381" t="s">
        <v>1724</v>
      </c>
      <c r="B613" s="716">
        <v>120299485</v>
      </c>
      <c r="C613" s="200">
        <v>67977</v>
      </c>
      <c r="D613" s="200">
        <v>0</v>
      </c>
      <c r="E613" s="200">
        <v>0</v>
      </c>
      <c r="F613" s="200">
        <v>0</v>
      </c>
      <c r="G613" s="200">
        <v>0</v>
      </c>
      <c r="H613" s="200">
        <v>0</v>
      </c>
      <c r="I613" s="348">
        <f t="shared" si="13"/>
        <v>120367462</v>
      </c>
      <c r="J613" s="192" t="s">
        <v>1725</v>
      </c>
    </row>
    <row r="614" spans="1:10" hidden="1" outlineLevel="1">
      <c r="A614" s="381" t="s">
        <v>1267</v>
      </c>
      <c r="B614" s="716">
        <v>15065588</v>
      </c>
      <c r="C614" s="200">
        <v>0</v>
      </c>
      <c r="D614" s="200">
        <v>0</v>
      </c>
      <c r="E614" s="200">
        <v>0</v>
      </c>
      <c r="F614" s="200">
        <v>0</v>
      </c>
      <c r="G614" s="200">
        <v>0</v>
      </c>
      <c r="H614" s="200">
        <v>0</v>
      </c>
      <c r="I614" s="348">
        <f t="shared" si="13"/>
        <v>15065588</v>
      </c>
      <c r="J614" s="192" t="s">
        <v>1268</v>
      </c>
    </row>
    <row r="615" spans="1:10" hidden="1" outlineLevel="1">
      <c r="A615" s="381" t="s">
        <v>1358</v>
      </c>
      <c r="B615" s="716">
        <v>340360599</v>
      </c>
      <c r="C615" s="200">
        <v>3291152</v>
      </c>
      <c r="D615" s="200">
        <v>0</v>
      </c>
      <c r="E615" s="200">
        <v>0</v>
      </c>
      <c r="F615" s="200">
        <v>0</v>
      </c>
      <c r="G615" s="200">
        <v>0</v>
      </c>
      <c r="H615" s="200">
        <v>0</v>
      </c>
      <c r="I615" s="348">
        <f t="shared" si="13"/>
        <v>343651751</v>
      </c>
      <c r="J615" s="192" t="s">
        <v>1359</v>
      </c>
    </row>
    <row r="616" spans="1:10" hidden="1" outlineLevel="1">
      <c r="A616" s="381" t="s">
        <v>1658</v>
      </c>
      <c r="B616" s="716">
        <v>46316897</v>
      </c>
      <c r="C616" s="200">
        <v>39525</v>
      </c>
      <c r="D616" s="200">
        <v>0</v>
      </c>
      <c r="E616" s="200">
        <v>0</v>
      </c>
      <c r="F616" s="200">
        <v>0</v>
      </c>
      <c r="G616" s="200">
        <v>0</v>
      </c>
      <c r="H616" s="200">
        <v>0</v>
      </c>
      <c r="I616" s="348">
        <f t="shared" si="13"/>
        <v>46356422</v>
      </c>
      <c r="J616" s="192" t="s">
        <v>1659</v>
      </c>
    </row>
    <row r="617" spans="1:10" hidden="1" outlineLevel="1">
      <c r="A617" s="381" t="s">
        <v>1552</v>
      </c>
      <c r="B617" s="716">
        <v>104431999</v>
      </c>
      <c r="C617" s="200">
        <v>0</v>
      </c>
      <c r="D617" s="200">
        <v>0</v>
      </c>
      <c r="E617" s="200">
        <v>0</v>
      </c>
      <c r="F617" s="200">
        <v>0</v>
      </c>
      <c r="G617" s="200">
        <v>0</v>
      </c>
      <c r="H617" s="200">
        <v>0</v>
      </c>
      <c r="I617" s="348">
        <f t="shared" si="13"/>
        <v>104431999</v>
      </c>
      <c r="J617" s="192" t="s">
        <v>1553</v>
      </c>
    </row>
    <row r="618" spans="1:10" hidden="1" outlineLevel="1">
      <c r="A618" s="381" t="s">
        <v>1242</v>
      </c>
      <c r="B618" s="716">
        <v>14117576</v>
      </c>
      <c r="C618" s="200">
        <v>0</v>
      </c>
      <c r="D618" s="200">
        <v>0</v>
      </c>
      <c r="E618" s="200">
        <v>0</v>
      </c>
      <c r="F618" s="200">
        <v>0</v>
      </c>
      <c r="G618" s="200">
        <v>0</v>
      </c>
      <c r="H618" s="200">
        <v>0</v>
      </c>
      <c r="I618" s="348">
        <f t="shared" si="13"/>
        <v>14117576</v>
      </c>
      <c r="J618" s="192" t="s">
        <v>1243</v>
      </c>
    </row>
    <row r="619" spans="1:10" hidden="1" outlineLevel="1">
      <c r="A619" s="381" t="s">
        <v>1752</v>
      </c>
      <c r="B619" s="716">
        <v>17216120</v>
      </c>
      <c r="C619" s="200">
        <v>0</v>
      </c>
      <c r="D619" s="200">
        <v>0</v>
      </c>
      <c r="E619" s="200">
        <v>0</v>
      </c>
      <c r="F619" s="200">
        <v>0</v>
      </c>
      <c r="G619" s="200">
        <v>0</v>
      </c>
      <c r="H619" s="200">
        <v>0</v>
      </c>
      <c r="I619" s="348">
        <f t="shared" si="13"/>
        <v>17216120</v>
      </c>
      <c r="J619" s="192" t="s">
        <v>1753</v>
      </c>
    </row>
    <row r="620" spans="1:10" hidden="1" outlineLevel="1">
      <c r="A620" s="381" t="s">
        <v>1295</v>
      </c>
      <c r="B620" s="716">
        <v>1089419999.928</v>
      </c>
      <c r="C620" s="200">
        <v>17106968.800000001</v>
      </c>
      <c r="D620" s="200">
        <v>0</v>
      </c>
      <c r="E620" s="200">
        <v>0</v>
      </c>
      <c r="F620" s="200">
        <v>14778645</v>
      </c>
      <c r="G620" s="200">
        <v>0</v>
      </c>
      <c r="H620" s="200">
        <v>0</v>
      </c>
      <c r="I620" s="348">
        <f t="shared" si="13"/>
        <v>1121305613.7279999</v>
      </c>
      <c r="J620" s="192" t="s">
        <v>1296</v>
      </c>
    </row>
    <row r="621" spans="1:10" hidden="1" outlineLevel="1">
      <c r="A621" s="381" t="s">
        <v>1685</v>
      </c>
      <c r="B621" s="716">
        <v>153166350.58700001</v>
      </c>
      <c r="C621" s="200">
        <v>1787347</v>
      </c>
      <c r="D621" s="200">
        <v>0</v>
      </c>
      <c r="E621" s="200">
        <v>0</v>
      </c>
      <c r="F621" s="200">
        <v>0</v>
      </c>
      <c r="G621" s="200">
        <v>0</v>
      </c>
      <c r="H621" s="200">
        <v>0</v>
      </c>
      <c r="I621" s="348">
        <f t="shared" si="13"/>
        <v>154953697.58700001</v>
      </c>
      <c r="J621" s="192" t="s">
        <v>1686</v>
      </c>
    </row>
    <row r="622" spans="1:10" hidden="1" outlineLevel="1">
      <c r="A622" s="381" t="s">
        <v>2210</v>
      </c>
      <c r="B622" s="716">
        <v>1736713</v>
      </c>
      <c r="C622" s="200">
        <v>0</v>
      </c>
      <c r="D622" s="200">
        <v>0</v>
      </c>
      <c r="E622" s="200">
        <v>0</v>
      </c>
      <c r="F622" s="200">
        <v>0</v>
      </c>
      <c r="G622" s="200">
        <v>0</v>
      </c>
      <c r="H622" s="200">
        <v>0</v>
      </c>
      <c r="I622" s="348">
        <f t="shared" si="13"/>
        <v>1736713</v>
      </c>
      <c r="J622" s="192" t="s">
        <v>2211</v>
      </c>
    </row>
    <row r="623" spans="1:10" hidden="1" outlineLevel="1">
      <c r="A623" s="381" t="s">
        <v>2212</v>
      </c>
      <c r="B623" s="716">
        <v>20946815</v>
      </c>
      <c r="C623" s="200">
        <v>0</v>
      </c>
      <c r="D623" s="200">
        <v>0</v>
      </c>
      <c r="E623" s="200">
        <v>0</v>
      </c>
      <c r="F623" s="200">
        <v>0</v>
      </c>
      <c r="G623" s="200">
        <v>0</v>
      </c>
      <c r="H623" s="200">
        <v>0</v>
      </c>
      <c r="I623" s="348">
        <f t="shared" si="13"/>
        <v>20946815</v>
      </c>
      <c r="J623" s="192" t="s">
        <v>2213</v>
      </c>
    </row>
    <row r="624" spans="1:10" hidden="1" outlineLevel="1">
      <c r="A624" s="381" t="s">
        <v>1400</v>
      </c>
      <c r="B624" s="716">
        <v>20134196</v>
      </c>
      <c r="C624" s="200">
        <v>0</v>
      </c>
      <c r="D624" s="200">
        <v>0</v>
      </c>
      <c r="E624" s="200">
        <v>0</v>
      </c>
      <c r="F624" s="200">
        <v>0</v>
      </c>
      <c r="G624" s="200">
        <v>0</v>
      </c>
      <c r="H624" s="200">
        <v>0</v>
      </c>
      <c r="I624" s="348">
        <f t="shared" si="13"/>
        <v>20134196</v>
      </c>
      <c r="J624" s="192" t="s">
        <v>1401</v>
      </c>
    </row>
    <row r="625" spans="1:10" hidden="1" outlineLevel="1">
      <c r="A625" s="381" t="s">
        <v>1620</v>
      </c>
      <c r="B625" s="716">
        <v>87216160</v>
      </c>
      <c r="C625" s="200">
        <v>0</v>
      </c>
      <c r="D625" s="200">
        <v>0</v>
      </c>
      <c r="E625" s="200">
        <v>0</v>
      </c>
      <c r="F625" s="200">
        <v>0</v>
      </c>
      <c r="G625" s="200">
        <v>0</v>
      </c>
      <c r="H625" s="200">
        <v>0</v>
      </c>
      <c r="I625" s="348">
        <f t="shared" si="13"/>
        <v>87216160</v>
      </c>
      <c r="J625" s="192" t="s">
        <v>1621</v>
      </c>
    </row>
    <row r="626" spans="1:10" hidden="1" outlineLevel="1">
      <c r="A626" s="381" t="s">
        <v>1671</v>
      </c>
      <c r="B626" s="716">
        <v>73816892</v>
      </c>
      <c r="C626" s="200">
        <v>0</v>
      </c>
      <c r="D626" s="200">
        <v>0</v>
      </c>
      <c r="E626" s="200">
        <v>0</v>
      </c>
      <c r="F626" s="200">
        <v>0</v>
      </c>
      <c r="G626" s="200">
        <v>0</v>
      </c>
      <c r="H626" s="200">
        <v>0</v>
      </c>
      <c r="I626" s="348">
        <f t="shared" si="13"/>
        <v>73816892</v>
      </c>
      <c r="J626" s="192" t="s">
        <v>1672</v>
      </c>
    </row>
    <row r="627" spans="1:10" hidden="1" outlineLevel="1">
      <c r="A627" s="381" t="s">
        <v>1538</v>
      </c>
      <c r="B627" s="716">
        <v>792763386.51999998</v>
      </c>
      <c r="C627" s="200">
        <v>0</v>
      </c>
      <c r="D627" s="200">
        <v>0</v>
      </c>
      <c r="E627" s="200">
        <v>0</v>
      </c>
      <c r="F627" s="200">
        <v>0</v>
      </c>
      <c r="G627" s="200">
        <v>0</v>
      </c>
      <c r="H627" s="200">
        <v>0</v>
      </c>
      <c r="I627" s="348">
        <f t="shared" si="13"/>
        <v>792763386.51999998</v>
      </c>
      <c r="J627" s="192" t="s">
        <v>1539</v>
      </c>
    </row>
    <row r="628" spans="1:10" hidden="1" outlineLevel="1">
      <c r="A628" s="381" t="s">
        <v>1382</v>
      </c>
      <c r="B628" s="716">
        <v>66104995</v>
      </c>
      <c r="C628" s="200">
        <v>0</v>
      </c>
      <c r="D628" s="200">
        <v>0</v>
      </c>
      <c r="E628" s="200">
        <v>0</v>
      </c>
      <c r="F628" s="200">
        <v>0</v>
      </c>
      <c r="G628" s="200">
        <v>0</v>
      </c>
      <c r="H628" s="200">
        <v>0</v>
      </c>
      <c r="I628" s="348">
        <f t="shared" si="13"/>
        <v>66104995</v>
      </c>
      <c r="J628" s="192" t="s">
        <v>1383</v>
      </c>
    </row>
    <row r="629" spans="1:10" hidden="1" outlineLevel="1">
      <c r="A629" s="381" t="s">
        <v>1524</v>
      </c>
      <c r="B629" s="716">
        <v>34763888</v>
      </c>
      <c r="C629" s="200">
        <v>0</v>
      </c>
      <c r="D629" s="200">
        <v>0</v>
      </c>
      <c r="E629" s="200">
        <v>0</v>
      </c>
      <c r="F629" s="200">
        <v>0</v>
      </c>
      <c r="G629" s="200">
        <v>0</v>
      </c>
      <c r="H629" s="200">
        <v>0</v>
      </c>
      <c r="I629" s="348">
        <f t="shared" si="13"/>
        <v>34763888</v>
      </c>
      <c r="J629" s="192" t="s">
        <v>1525</v>
      </c>
    </row>
    <row r="630" spans="1:10" hidden="1" outlineLevel="1">
      <c r="A630" s="381" t="s">
        <v>1818</v>
      </c>
      <c r="B630" s="716">
        <v>137732506.89300001</v>
      </c>
      <c r="C630" s="200">
        <v>0</v>
      </c>
      <c r="D630" s="200">
        <v>0</v>
      </c>
      <c r="E630" s="200">
        <v>0</v>
      </c>
      <c r="F630" s="200">
        <v>0</v>
      </c>
      <c r="G630" s="200">
        <v>0</v>
      </c>
      <c r="H630" s="200">
        <v>0</v>
      </c>
      <c r="I630" s="348">
        <f t="shared" si="13"/>
        <v>137732506.89300001</v>
      </c>
      <c r="J630" s="192" t="s">
        <v>1819</v>
      </c>
    </row>
    <row r="631" spans="1:10" hidden="1" outlineLevel="1">
      <c r="A631" s="381" t="s">
        <v>1238</v>
      </c>
      <c r="B631" s="716">
        <v>68568889</v>
      </c>
      <c r="C631" s="200">
        <v>0</v>
      </c>
      <c r="D631" s="200">
        <v>0</v>
      </c>
      <c r="E631" s="200">
        <v>0</v>
      </c>
      <c r="F631" s="200">
        <v>0</v>
      </c>
      <c r="G631" s="200">
        <v>0</v>
      </c>
      <c r="H631" s="200">
        <v>0</v>
      </c>
      <c r="I631" s="348">
        <f t="shared" si="13"/>
        <v>68568889</v>
      </c>
      <c r="J631" s="192" t="s">
        <v>1239</v>
      </c>
    </row>
    <row r="632" spans="1:10" hidden="1" outlineLevel="1">
      <c r="A632" s="381" t="s">
        <v>1800</v>
      </c>
      <c r="B632" s="716">
        <v>33556415</v>
      </c>
      <c r="C632" s="200">
        <v>195216</v>
      </c>
      <c r="D632" s="200">
        <v>0</v>
      </c>
      <c r="E632" s="200">
        <v>0</v>
      </c>
      <c r="F632" s="200">
        <v>0</v>
      </c>
      <c r="G632" s="200">
        <v>0</v>
      </c>
      <c r="H632" s="200">
        <v>0</v>
      </c>
      <c r="I632" s="348">
        <f t="shared" si="13"/>
        <v>33751631</v>
      </c>
      <c r="J632" s="192" t="s">
        <v>1801</v>
      </c>
    </row>
    <row r="633" spans="1:10" hidden="1" outlineLevel="1">
      <c r="A633" s="381" t="s">
        <v>2214</v>
      </c>
      <c r="B633" s="716">
        <v>10849777</v>
      </c>
      <c r="C633" s="200">
        <v>0</v>
      </c>
      <c r="D633" s="200">
        <v>0</v>
      </c>
      <c r="E633" s="200">
        <v>0</v>
      </c>
      <c r="F633" s="200">
        <v>0</v>
      </c>
      <c r="G633" s="200">
        <v>0</v>
      </c>
      <c r="H633" s="200">
        <v>0</v>
      </c>
      <c r="I633" s="348">
        <f t="shared" si="13"/>
        <v>10849777</v>
      </c>
      <c r="J633" s="192" t="s">
        <v>2215</v>
      </c>
    </row>
    <row r="634" spans="1:10" hidden="1" outlineLevel="1">
      <c r="A634" s="381" t="s">
        <v>1704</v>
      </c>
      <c r="B634" s="716">
        <v>47078987</v>
      </c>
      <c r="C634" s="200">
        <v>0</v>
      </c>
      <c r="D634" s="200">
        <v>0</v>
      </c>
      <c r="E634" s="200">
        <v>0</v>
      </c>
      <c r="F634" s="200">
        <v>0</v>
      </c>
      <c r="G634" s="200">
        <v>0</v>
      </c>
      <c r="H634" s="200">
        <v>0</v>
      </c>
      <c r="I634" s="348">
        <f t="shared" si="13"/>
        <v>47078987</v>
      </c>
      <c r="J634" s="192" t="s">
        <v>1705</v>
      </c>
    </row>
    <row r="635" spans="1:10" hidden="1" outlineLevel="1">
      <c r="A635" s="381" t="s">
        <v>1312</v>
      </c>
      <c r="B635" s="716">
        <v>4843291903</v>
      </c>
      <c r="C635" s="200">
        <v>0</v>
      </c>
      <c r="D635" s="200">
        <v>0</v>
      </c>
      <c r="E635" s="200">
        <v>0</v>
      </c>
      <c r="F635" s="200">
        <v>99466992</v>
      </c>
      <c r="G635" s="200">
        <v>0</v>
      </c>
      <c r="H635" s="200">
        <v>0</v>
      </c>
      <c r="I635" s="348">
        <f t="shared" si="13"/>
        <v>4942758895</v>
      </c>
      <c r="J635" s="192" t="s">
        <v>1313</v>
      </c>
    </row>
    <row r="636" spans="1:10" hidden="1" outlineLevel="1">
      <c r="A636" s="381" t="s">
        <v>1468</v>
      </c>
      <c r="B636" s="716">
        <v>35033746</v>
      </c>
      <c r="C636" s="200">
        <v>324958</v>
      </c>
      <c r="D636" s="200">
        <v>0</v>
      </c>
      <c r="E636" s="200">
        <v>0</v>
      </c>
      <c r="F636" s="200">
        <v>0</v>
      </c>
      <c r="G636" s="200">
        <v>0</v>
      </c>
      <c r="H636" s="200">
        <v>0</v>
      </c>
      <c r="I636" s="348">
        <f t="shared" si="13"/>
        <v>35358704</v>
      </c>
      <c r="J636" s="192" t="s">
        <v>1469</v>
      </c>
    </row>
    <row r="637" spans="1:10" hidden="1" outlineLevel="1">
      <c r="A637" s="381" t="s">
        <v>1309</v>
      </c>
      <c r="B637" s="716">
        <v>195514916</v>
      </c>
      <c r="C637" s="200">
        <v>0</v>
      </c>
      <c r="D637" s="200">
        <v>0</v>
      </c>
      <c r="E637" s="200">
        <v>0</v>
      </c>
      <c r="F637" s="200">
        <v>0</v>
      </c>
      <c r="G637" s="200">
        <v>0</v>
      </c>
      <c r="H637" s="200">
        <v>0</v>
      </c>
      <c r="I637" s="348">
        <f t="shared" si="13"/>
        <v>195514916</v>
      </c>
      <c r="J637" s="192" t="s">
        <v>1310</v>
      </c>
    </row>
    <row r="638" spans="1:10" hidden="1" outlineLevel="1">
      <c r="A638" s="381" t="s">
        <v>2216</v>
      </c>
      <c r="B638" s="716">
        <v>6757705</v>
      </c>
      <c r="C638" s="200">
        <v>0</v>
      </c>
      <c r="D638" s="200">
        <v>0</v>
      </c>
      <c r="E638" s="200">
        <v>0</v>
      </c>
      <c r="F638" s="200">
        <v>0</v>
      </c>
      <c r="G638" s="200">
        <v>0</v>
      </c>
      <c r="H638" s="200">
        <v>0</v>
      </c>
      <c r="I638" s="348">
        <f t="shared" si="13"/>
        <v>6757705</v>
      </c>
      <c r="J638" s="192" t="s">
        <v>2217</v>
      </c>
    </row>
    <row r="639" spans="1:10" hidden="1" outlineLevel="1">
      <c r="A639" s="381" t="s">
        <v>1558</v>
      </c>
      <c r="B639" s="716">
        <v>1070266265</v>
      </c>
      <c r="C639" s="200">
        <v>0</v>
      </c>
      <c r="D639" s="200">
        <v>8513259</v>
      </c>
      <c r="E639" s="200">
        <v>0</v>
      </c>
      <c r="F639" s="200">
        <v>0</v>
      </c>
      <c r="G639" s="200">
        <v>0</v>
      </c>
      <c r="H639" s="200">
        <v>0</v>
      </c>
      <c r="I639" s="348">
        <f t="shared" si="13"/>
        <v>1078779524</v>
      </c>
      <c r="J639" s="192" t="s">
        <v>1559</v>
      </c>
    </row>
    <row r="640" spans="1:10" hidden="1" outlineLevel="1">
      <c r="A640" s="381" t="s">
        <v>1762</v>
      </c>
      <c r="B640" s="716">
        <v>57500784</v>
      </c>
      <c r="C640" s="200">
        <v>0</v>
      </c>
      <c r="D640" s="200">
        <v>0</v>
      </c>
      <c r="E640" s="200">
        <v>0</v>
      </c>
      <c r="F640" s="200">
        <v>0</v>
      </c>
      <c r="G640" s="200">
        <v>0</v>
      </c>
      <c r="H640" s="200">
        <v>0</v>
      </c>
      <c r="I640" s="348">
        <f t="shared" si="13"/>
        <v>57500784</v>
      </c>
      <c r="J640" s="192" t="s">
        <v>1763</v>
      </c>
    </row>
    <row r="641" spans="1:10" hidden="1" outlineLevel="1">
      <c r="A641" s="381" t="s">
        <v>1442</v>
      </c>
      <c r="B641" s="716">
        <v>6169329</v>
      </c>
      <c r="C641" s="200">
        <v>60454</v>
      </c>
      <c r="D641" s="200">
        <v>0</v>
      </c>
      <c r="E641" s="200">
        <v>0</v>
      </c>
      <c r="F641" s="200">
        <v>0</v>
      </c>
      <c r="G641" s="200">
        <v>0</v>
      </c>
      <c r="H641" s="200">
        <v>0</v>
      </c>
      <c r="I641" s="348">
        <f t="shared" si="13"/>
        <v>6229783</v>
      </c>
      <c r="J641" s="192" t="s">
        <v>1443</v>
      </c>
    </row>
    <row r="642" spans="1:10" hidden="1" outlineLevel="1">
      <c r="A642" s="381" t="s">
        <v>1748</v>
      </c>
      <c r="B642" s="716">
        <v>18751797</v>
      </c>
      <c r="C642" s="200">
        <v>12120</v>
      </c>
      <c r="D642" s="200">
        <v>0</v>
      </c>
      <c r="E642" s="200">
        <v>0</v>
      </c>
      <c r="F642" s="200">
        <v>0</v>
      </c>
      <c r="G642" s="200">
        <v>0</v>
      </c>
      <c r="H642" s="200">
        <v>0</v>
      </c>
      <c r="I642" s="348">
        <f t="shared" si="13"/>
        <v>18763917</v>
      </c>
      <c r="J642" s="192" t="s">
        <v>1749</v>
      </c>
    </row>
    <row r="643" spans="1:10" hidden="1" outlineLevel="1">
      <c r="A643" s="381" t="s">
        <v>1790</v>
      </c>
      <c r="B643" s="716">
        <v>7802154</v>
      </c>
      <c r="C643" s="200">
        <v>51576</v>
      </c>
      <c r="D643" s="200">
        <v>0</v>
      </c>
      <c r="E643" s="200">
        <v>0</v>
      </c>
      <c r="F643" s="200">
        <v>0</v>
      </c>
      <c r="G643" s="200">
        <v>0</v>
      </c>
      <c r="H643" s="200">
        <v>0</v>
      </c>
      <c r="I643" s="348">
        <f t="shared" si="13"/>
        <v>7853730</v>
      </c>
      <c r="J643" s="192" t="s">
        <v>1791</v>
      </c>
    </row>
    <row r="644" spans="1:10" hidden="1" outlineLevel="1">
      <c r="A644" s="381" t="s">
        <v>2218</v>
      </c>
      <c r="B644" s="716">
        <v>9775113</v>
      </c>
      <c r="C644" s="200">
        <v>281909</v>
      </c>
      <c r="D644" s="200">
        <v>0</v>
      </c>
      <c r="E644" s="200">
        <v>0</v>
      </c>
      <c r="F644" s="200">
        <v>0</v>
      </c>
      <c r="G644" s="200">
        <v>0</v>
      </c>
      <c r="H644" s="200">
        <v>0</v>
      </c>
      <c r="I644" s="348">
        <f t="shared" si="13"/>
        <v>10057022</v>
      </c>
      <c r="J644" s="192" t="s">
        <v>2219</v>
      </c>
    </row>
    <row r="645" spans="1:10" hidden="1" outlineLevel="1">
      <c r="A645" s="381" t="s">
        <v>1334</v>
      </c>
      <c r="B645" s="716">
        <v>66197354</v>
      </c>
      <c r="C645" s="200">
        <v>0</v>
      </c>
      <c r="D645" s="200">
        <v>0</v>
      </c>
      <c r="E645" s="200">
        <v>0</v>
      </c>
      <c r="F645" s="200">
        <v>0</v>
      </c>
      <c r="G645" s="200">
        <v>0</v>
      </c>
      <c r="H645" s="200">
        <v>0</v>
      </c>
      <c r="I645" s="348">
        <f t="shared" si="13"/>
        <v>66197354</v>
      </c>
      <c r="J645" s="192" t="s">
        <v>1335</v>
      </c>
    </row>
    <row r="646" spans="1:10" hidden="1" outlineLevel="1">
      <c r="A646" s="381" t="s">
        <v>2220</v>
      </c>
      <c r="B646" s="716">
        <v>17370727</v>
      </c>
      <c r="C646" s="200">
        <v>0</v>
      </c>
      <c r="D646" s="200">
        <v>0</v>
      </c>
      <c r="E646" s="200">
        <v>0</v>
      </c>
      <c r="F646" s="200">
        <v>0</v>
      </c>
      <c r="G646" s="200">
        <v>0</v>
      </c>
      <c r="H646" s="200">
        <v>0</v>
      </c>
      <c r="I646" s="348">
        <f t="shared" si="13"/>
        <v>17370727</v>
      </c>
      <c r="J646" s="192" t="s">
        <v>2221</v>
      </c>
    </row>
    <row r="647" spans="1:10" hidden="1" outlineLevel="1">
      <c r="A647" s="381" t="s">
        <v>1263</v>
      </c>
      <c r="B647" s="716">
        <v>24618646.75</v>
      </c>
      <c r="C647" s="200">
        <v>700028</v>
      </c>
      <c r="D647" s="200">
        <v>0</v>
      </c>
      <c r="E647" s="200">
        <v>0</v>
      </c>
      <c r="F647" s="200">
        <v>0</v>
      </c>
      <c r="G647" s="200">
        <v>0</v>
      </c>
      <c r="H647" s="200">
        <v>0</v>
      </c>
      <c r="I647" s="348">
        <f t="shared" si="13"/>
        <v>25318674.75</v>
      </c>
      <c r="J647" s="192" t="s">
        <v>1264</v>
      </c>
    </row>
    <row r="648" spans="1:10" hidden="1" outlineLevel="1">
      <c r="A648" s="381" t="s">
        <v>1388</v>
      </c>
      <c r="B648" s="716">
        <v>35538177</v>
      </c>
      <c r="C648" s="200">
        <v>0</v>
      </c>
      <c r="D648" s="200">
        <v>0</v>
      </c>
      <c r="E648" s="200">
        <v>0</v>
      </c>
      <c r="F648" s="200">
        <v>0</v>
      </c>
      <c r="G648" s="200">
        <v>0</v>
      </c>
      <c r="H648" s="200">
        <v>0</v>
      </c>
      <c r="I648" s="348">
        <f t="shared" si="13"/>
        <v>35538177</v>
      </c>
      <c r="J648" s="192" t="s">
        <v>1389</v>
      </c>
    </row>
    <row r="649" spans="1:10" hidden="1" outlineLevel="1">
      <c r="A649" s="381" t="s">
        <v>1277</v>
      </c>
      <c r="B649" s="716">
        <v>69548986</v>
      </c>
      <c r="C649" s="200">
        <v>1743453</v>
      </c>
      <c r="D649" s="200">
        <v>0</v>
      </c>
      <c r="E649" s="200">
        <v>0</v>
      </c>
      <c r="F649" s="200">
        <v>0</v>
      </c>
      <c r="G649" s="200">
        <v>0</v>
      </c>
      <c r="H649" s="200">
        <v>0</v>
      </c>
      <c r="I649" s="348">
        <f t="shared" si="13"/>
        <v>71292439</v>
      </c>
      <c r="J649" s="192" t="s">
        <v>1278</v>
      </c>
    </row>
    <row r="650" spans="1:10" hidden="1" outlineLevel="1">
      <c r="A650" s="381" t="s">
        <v>1736</v>
      </c>
      <c r="B650" s="716">
        <v>45220411.32</v>
      </c>
      <c r="C650" s="200">
        <v>0</v>
      </c>
      <c r="D650" s="200">
        <v>0</v>
      </c>
      <c r="E650" s="200">
        <v>0</v>
      </c>
      <c r="F650" s="200">
        <v>0</v>
      </c>
      <c r="G650" s="200">
        <v>0</v>
      </c>
      <c r="H650" s="200">
        <v>0</v>
      </c>
      <c r="I650" s="348">
        <f t="shared" si="13"/>
        <v>45220411.32</v>
      </c>
      <c r="J650" s="192" t="s">
        <v>1737</v>
      </c>
    </row>
    <row r="651" spans="1:10" hidden="1" outlineLevel="1">
      <c r="A651" s="381" t="s">
        <v>1297</v>
      </c>
      <c r="B651" s="716">
        <v>71737562</v>
      </c>
      <c r="C651" s="200">
        <v>329590</v>
      </c>
      <c r="D651" s="200">
        <v>0</v>
      </c>
      <c r="E651" s="200">
        <v>0</v>
      </c>
      <c r="F651" s="200">
        <v>0</v>
      </c>
      <c r="G651" s="200">
        <v>0</v>
      </c>
      <c r="H651" s="200">
        <v>0</v>
      </c>
      <c r="I651" s="348">
        <f t="shared" si="13"/>
        <v>72067152</v>
      </c>
      <c r="J651" s="192" t="s">
        <v>1298</v>
      </c>
    </row>
    <row r="652" spans="1:10" hidden="1" outlineLevel="1">
      <c r="A652" s="381" t="s">
        <v>2222</v>
      </c>
      <c r="B652" s="716">
        <v>9217991</v>
      </c>
      <c r="C652" s="200">
        <v>507351</v>
      </c>
      <c r="D652" s="200">
        <v>0</v>
      </c>
      <c r="E652" s="200">
        <v>0</v>
      </c>
      <c r="F652" s="200">
        <v>0</v>
      </c>
      <c r="G652" s="200">
        <v>0</v>
      </c>
      <c r="H652" s="200">
        <v>0</v>
      </c>
      <c r="I652" s="348">
        <f t="shared" si="13"/>
        <v>9725342</v>
      </c>
      <c r="J652" s="192" t="s">
        <v>2223</v>
      </c>
    </row>
    <row r="653" spans="1:10" hidden="1" outlineLevel="1">
      <c r="A653" s="381" t="s">
        <v>1750</v>
      </c>
      <c r="B653" s="716">
        <v>56015404</v>
      </c>
      <c r="C653" s="200">
        <v>28104</v>
      </c>
      <c r="D653" s="200">
        <v>0</v>
      </c>
      <c r="E653" s="200">
        <v>0</v>
      </c>
      <c r="F653" s="200">
        <v>0</v>
      </c>
      <c r="G653" s="200">
        <v>0</v>
      </c>
      <c r="H653" s="200">
        <v>0</v>
      </c>
      <c r="I653" s="348">
        <f t="shared" si="13"/>
        <v>56043508</v>
      </c>
      <c r="J653" s="192" t="s">
        <v>1751</v>
      </c>
    </row>
    <row r="654" spans="1:10" hidden="1" outlineLevel="1">
      <c r="A654" s="381" t="s">
        <v>1514</v>
      </c>
      <c r="B654" s="716">
        <v>139998823</v>
      </c>
      <c r="C654" s="200">
        <v>0</v>
      </c>
      <c r="D654" s="200">
        <v>0</v>
      </c>
      <c r="E654" s="200">
        <v>0</v>
      </c>
      <c r="F654" s="200">
        <v>0</v>
      </c>
      <c r="G654" s="200">
        <v>0</v>
      </c>
      <c r="H654" s="200">
        <v>0</v>
      </c>
      <c r="I654" s="348">
        <f t="shared" si="13"/>
        <v>139998823</v>
      </c>
      <c r="J654" s="192" t="s">
        <v>1515</v>
      </c>
    </row>
    <row r="655" spans="1:10" hidden="1" outlineLevel="1">
      <c r="A655" s="381" t="s">
        <v>1578</v>
      </c>
      <c r="B655" s="716">
        <v>51747612</v>
      </c>
      <c r="C655" s="200">
        <v>0</v>
      </c>
      <c r="D655" s="200">
        <v>0</v>
      </c>
      <c r="E655" s="200">
        <v>0</v>
      </c>
      <c r="F655" s="200">
        <v>0</v>
      </c>
      <c r="G655" s="200">
        <v>0</v>
      </c>
      <c r="H655" s="200">
        <v>0</v>
      </c>
      <c r="I655" s="348">
        <f t="shared" si="13"/>
        <v>51747612</v>
      </c>
      <c r="J655" s="192" t="s">
        <v>1579</v>
      </c>
    </row>
    <row r="656" spans="1:10" hidden="1" outlineLevel="1">
      <c r="A656" s="381" t="s">
        <v>1776</v>
      </c>
      <c r="B656" s="716">
        <v>277218915</v>
      </c>
      <c r="C656" s="200">
        <v>0</v>
      </c>
      <c r="D656" s="200">
        <v>0</v>
      </c>
      <c r="E656" s="200">
        <v>0</v>
      </c>
      <c r="F656" s="200">
        <v>0</v>
      </c>
      <c r="G656" s="200">
        <v>0</v>
      </c>
      <c r="H656" s="200">
        <v>0</v>
      </c>
      <c r="I656" s="348">
        <f t="shared" si="13"/>
        <v>277218915</v>
      </c>
      <c r="J656" s="192" t="s">
        <v>1777</v>
      </c>
    </row>
    <row r="657" spans="1:10" hidden="1" outlineLevel="1">
      <c r="A657" s="381" t="s">
        <v>1710</v>
      </c>
      <c r="B657" s="716">
        <v>168021759</v>
      </c>
      <c r="C657" s="200">
        <v>294050</v>
      </c>
      <c r="D657" s="200">
        <v>0</v>
      </c>
      <c r="E657" s="200">
        <v>0</v>
      </c>
      <c r="F657" s="200">
        <v>0</v>
      </c>
      <c r="G657" s="200">
        <v>0</v>
      </c>
      <c r="H657" s="200">
        <v>0</v>
      </c>
      <c r="I657" s="348">
        <f t="shared" si="13"/>
        <v>168315809</v>
      </c>
      <c r="J657" s="192" t="s">
        <v>1711</v>
      </c>
    </row>
    <row r="658" spans="1:10" hidden="1" outlineLevel="1">
      <c r="A658" s="381" t="s">
        <v>1303</v>
      </c>
      <c r="B658" s="716">
        <v>327992827</v>
      </c>
      <c r="C658" s="200">
        <v>0</v>
      </c>
      <c r="D658" s="200">
        <v>0</v>
      </c>
      <c r="E658" s="200">
        <v>0</v>
      </c>
      <c r="F658" s="200">
        <v>0</v>
      </c>
      <c r="G658" s="200">
        <v>0</v>
      </c>
      <c r="H658" s="200">
        <v>0</v>
      </c>
      <c r="I658" s="348">
        <f t="shared" si="13"/>
        <v>327992827</v>
      </c>
      <c r="J658" s="192" t="s">
        <v>1304</v>
      </c>
    </row>
    <row r="659" spans="1:10" hidden="1" outlineLevel="1">
      <c r="A659" s="381" t="s">
        <v>1512</v>
      </c>
      <c r="B659" s="716">
        <v>13207425</v>
      </c>
      <c r="C659" s="200">
        <v>0</v>
      </c>
      <c r="D659" s="200">
        <v>0</v>
      </c>
      <c r="E659" s="200">
        <v>0</v>
      </c>
      <c r="F659" s="200">
        <v>0</v>
      </c>
      <c r="G659" s="200">
        <v>0</v>
      </c>
      <c r="H659" s="200">
        <v>0</v>
      </c>
      <c r="I659" s="348">
        <f t="shared" si="13"/>
        <v>13207425</v>
      </c>
      <c r="J659" s="192" t="s">
        <v>1513</v>
      </c>
    </row>
    <row r="660" spans="1:10" hidden="1" outlineLevel="1">
      <c r="A660" s="381" t="s">
        <v>1560</v>
      </c>
      <c r="B660" s="716">
        <v>14292360</v>
      </c>
      <c r="C660" s="200">
        <v>40584</v>
      </c>
      <c r="D660" s="200">
        <v>0</v>
      </c>
      <c r="E660" s="200">
        <v>0</v>
      </c>
      <c r="F660" s="200">
        <v>0</v>
      </c>
      <c r="G660" s="200">
        <v>0</v>
      </c>
      <c r="H660" s="200">
        <v>0</v>
      </c>
      <c r="I660" s="348">
        <f t="shared" si="13"/>
        <v>14332944</v>
      </c>
      <c r="J660" s="192" t="s">
        <v>1561</v>
      </c>
    </row>
    <row r="661" spans="1:10" hidden="1" outlineLevel="1">
      <c r="A661" s="381" t="s">
        <v>1636</v>
      </c>
      <c r="B661" s="716">
        <v>57954695</v>
      </c>
      <c r="C661" s="200">
        <v>0</v>
      </c>
      <c r="D661" s="200">
        <v>0</v>
      </c>
      <c r="E661" s="200">
        <v>0</v>
      </c>
      <c r="F661" s="200">
        <v>0</v>
      </c>
      <c r="G661" s="200">
        <v>0</v>
      </c>
      <c r="H661" s="200">
        <v>0</v>
      </c>
      <c r="I661" s="348">
        <f t="shared" si="13"/>
        <v>57954695</v>
      </c>
      <c r="J661" s="192" t="s">
        <v>1637</v>
      </c>
    </row>
    <row r="662" spans="1:10" hidden="1" outlineLevel="1">
      <c r="A662" s="381" t="s">
        <v>1646</v>
      </c>
      <c r="B662" s="716">
        <v>328813299</v>
      </c>
      <c r="C662" s="200">
        <v>0</v>
      </c>
      <c r="D662" s="200">
        <v>0</v>
      </c>
      <c r="E662" s="200">
        <v>0</v>
      </c>
      <c r="F662" s="200">
        <v>0</v>
      </c>
      <c r="G662" s="200">
        <v>223690</v>
      </c>
      <c r="H662" s="200">
        <v>0</v>
      </c>
      <c r="I662" s="348">
        <f t="shared" si="13"/>
        <v>329036989</v>
      </c>
      <c r="J662" s="192" t="s">
        <v>1647</v>
      </c>
    </row>
    <row r="663" spans="1:10" hidden="1" outlineLevel="1">
      <c r="A663" s="381" t="s">
        <v>1718</v>
      </c>
      <c r="B663" s="716">
        <v>791575685</v>
      </c>
      <c r="C663" s="200">
        <v>0</v>
      </c>
      <c r="D663" s="200">
        <v>0</v>
      </c>
      <c r="E663" s="200">
        <v>0</v>
      </c>
      <c r="F663" s="200">
        <v>0</v>
      </c>
      <c r="G663" s="200">
        <v>0</v>
      </c>
      <c r="H663" s="200">
        <v>0</v>
      </c>
      <c r="I663" s="348">
        <f t="shared" si="13"/>
        <v>791575685</v>
      </c>
      <c r="J663" s="192" t="s">
        <v>1719</v>
      </c>
    </row>
    <row r="664" spans="1:10" hidden="1" outlineLevel="1">
      <c r="A664" s="381" t="s">
        <v>1640</v>
      </c>
      <c r="B664" s="716">
        <v>577003733.62100005</v>
      </c>
      <c r="C664" s="200">
        <v>0</v>
      </c>
      <c r="D664" s="200">
        <v>0</v>
      </c>
      <c r="E664" s="200">
        <v>0</v>
      </c>
      <c r="F664" s="200">
        <v>0</v>
      </c>
      <c r="G664" s="200">
        <v>0</v>
      </c>
      <c r="H664" s="200">
        <v>0</v>
      </c>
      <c r="I664" s="348">
        <f t="shared" si="13"/>
        <v>577003733.62100005</v>
      </c>
      <c r="J664" s="192" t="s">
        <v>1641</v>
      </c>
    </row>
    <row r="665" spans="1:10" hidden="1" outlineLevel="1">
      <c r="A665" s="381" t="s">
        <v>869</v>
      </c>
      <c r="B665" s="716">
        <v>33754928</v>
      </c>
      <c r="C665" s="200">
        <v>221072</v>
      </c>
      <c r="D665" s="200">
        <v>0</v>
      </c>
      <c r="E665" s="200">
        <v>0</v>
      </c>
      <c r="F665" s="200">
        <v>0</v>
      </c>
      <c r="G665" s="200">
        <v>0</v>
      </c>
      <c r="H665" s="200">
        <v>0</v>
      </c>
      <c r="I665" s="348">
        <f t="shared" si="13"/>
        <v>33976000</v>
      </c>
      <c r="J665" s="192" t="s">
        <v>870</v>
      </c>
    </row>
    <row r="666" spans="1:10" hidden="1" outlineLevel="1">
      <c r="A666" s="381" t="s">
        <v>1744</v>
      </c>
      <c r="B666" s="716">
        <v>349138696</v>
      </c>
      <c r="C666" s="200">
        <v>1538233</v>
      </c>
      <c r="D666" s="200">
        <v>0</v>
      </c>
      <c r="E666" s="200">
        <v>0</v>
      </c>
      <c r="F666" s="200">
        <v>0</v>
      </c>
      <c r="G666" s="200">
        <v>0</v>
      </c>
      <c r="H666" s="200">
        <v>0</v>
      </c>
      <c r="I666" s="348">
        <f t="shared" si="13"/>
        <v>350676929</v>
      </c>
      <c r="J666" s="192" t="s">
        <v>1745</v>
      </c>
    </row>
    <row r="667" spans="1:10" hidden="1" outlineLevel="1">
      <c r="A667" s="381" t="s">
        <v>1622</v>
      </c>
      <c r="B667" s="716">
        <v>65030677</v>
      </c>
      <c r="C667" s="200">
        <v>0</v>
      </c>
      <c r="D667" s="200">
        <v>0</v>
      </c>
      <c r="E667" s="200">
        <v>0</v>
      </c>
      <c r="F667" s="200">
        <v>0</v>
      </c>
      <c r="G667" s="200">
        <v>0</v>
      </c>
      <c r="H667" s="200">
        <v>0</v>
      </c>
      <c r="I667" s="348">
        <f t="shared" si="13"/>
        <v>65030677</v>
      </c>
      <c r="J667" s="192" t="s">
        <v>1623</v>
      </c>
    </row>
    <row r="668" spans="1:10" hidden="1" outlineLevel="1">
      <c r="A668" s="381" t="s">
        <v>2224</v>
      </c>
      <c r="B668" s="716">
        <v>11242538</v>
      </c>
      <c r="C668" s="200">
        <v>0</v>
      </c>
      <c r="D668" s="200">
        <v>0</v>
      </c>
      <c r="E668" s="200">
        <v>0</v>
      </c>
      <c r="F668" s="200">
        <v>0</v>
      </c>
      <c r="G668" s="200">
        <v>0</v>
      </c>
      <c r="H668" s="200">
        <v>0</v>
      </c>
      <c r="I668" s="348">
        <f t="shared" si="13"/>
        <v>11242538</v>
      </c>
      <c r="J668" s="192" t="s">
        <v>2225</v>
      </c>
    </row>
    <row r="669" spans="1:10" hidden="1" outlineLevel="1">
      <c r="A669" s="381" t="s">
        <v>1114</v>
      </c>
      <c r="B669" s="716">
        <v>62433896</v>
      </c>
      <c r="C669" s="200">
        <v>253246</v>
      </c>
      <c r="D669" s="200">
        <v>0</v>
      </c>
      <c r="E669" s="200">
        <v>0</v>
      </c>
      <c r="F669" s="200">
        <v>0</v>
      </c>
      <c r="G669" s="200">
        <v>0</v>
      </c>
      <c r="H669" s="200">
        <v>0</v>
      </c>
      <c r="I669" s="348">
        <f t="shared" si="13"/>
        <v>62687142</v>
      </c>
      <c r="J669" s="192" t="s">
        <v>1689</v>
      </c>
    </row>
    <row r="670" spans="1:10" hidden="1" outlineLevel="1">
      <c r="A670" s="381" t="s">
        <v>1414</v>
      </c>
      <c r="B670" s="716">
        <v>37455342</v>
      </c>
      <c r="C670" s="200">
        <v>0</v>
      </c>
      <c r="D670" s="200">
        <v>0</v>
      </c>
      <c r="E670" s="200">
        <v>0</v>
      </c>
      <c r="F670" s="200">
        <v>0</v>
      </c>
      <c r="G670" s="200">
        <v>0</v>
      </c>
      <c r="H670" s="200">
        <v>0</v>
      </c>
      <c r="I670" s="348">
        <f t="shared" si="13"/>
        <v>37455342</v>
      </c>
      <c r="J670" s="192" t="s">
        <v>1415</v>
      </c>
    </row>
    <row r="671" spans="1:10" hidden="1" outlineLevel="1">
      <c r="A671" s="381" t="s">
        <v>1652</v>
      </c>
      <c r="B671" s="716">
        <v>154723805</v>
      </c>
      <c r="C671" s="200">
        <v>195781</v>
      </c>
      <c r="D671" s="200">
        <v>0</v>
      </c>
      <c r="E671" s="200">
        <v>0</v>
      </c>
      <c r="F671" s="200">
        <v>0</v>
      </c>
      <c r="G671" s="200">
        <v>0</v>
      </c>
      <c r="H671" s="200">
        <v>0</v>
      </c>
      <c r="I671" s="348">
        <f t="shared" si="13"/>
        <v>154919586</v>
      </c>
      <c r="J671" s="192" t="s">
        <v>1653</v>
      </c>
    </row>
    <row r="672" spans="1:10" hidden="1" outlineLevel="1">
      <c r="A672" s="381" t="s">
        <v>1428</v>
      </c>
      <c r="B672" s="716">
        <v>59005419</v>
      </c>
      <c r="C672" s="200">
        <v>0</v>
      </c>
      <c r="D672" s="200">
        <v>0</v>
      </c>
      <c r="E672" s="200">
        <v>0</v>
      </c>
      <c r="F672" s="200">
        <v>0</v>
      </c>
      <c r="G672" s="200">
        <v>0</v>
      </c>
      <c r="H672" s="200">
        <v>0</v>
      </c>
      <c r="I672" s="348">
        <f t="shared" ref="I672:I735" si="14">SUM(B672:H672)</f>
        <v>59005419</v>
      </c>
      <c r="J672" s="192" t="s">
        <v>1429</v>
      </c>
    </row>
    <row r="673" spans="1:10" hidden="1" outlineLevel="1">
      <c r="A673" s="381" t="s">
        <v>1700</v>
      </c>
      <c r="B673" s="716">
        <v>9205024</v>
      </c>
      <c r="C673" s="200">
        <v>0</v>
      </c>
      <c r="D673" s="200">
        <v>0</v>
      </c>
      <c r="E673" s="200">
        <v>0</v>
      </c>
      <c r="F673" s="200">
        <v>0</v>
      </c>
      <c r="G673" s="200">
        <v>0</v>
      </c>
      <c r="H673" s="200">
        <v>0</v>
      </c>
      <c r="I673" s="348">
        <f t="shared" si="14"/>
        <v>9205024</v>
      </c>
      <c r="J673" s="192" t="s">
        <v>1701</v>
      </c>
    </row>
    <row r="674" spans="1:10" hidden="1" outlineLevel="1">
      <c r="A674" s="381" t="s">
        <v>1734</v>
      </c>
      <c r="B674" s="716">
        <v>62293272</v>
      </c>
      <c r="C674" s="200">
        <v>0</v>
      </c>
      <c r="D674" s="200">
        <v>0</v>
      </c>
      <c r="E674" s="200">
        <v>0</v>
      </c>
      <c r="F674" s="200">
        <v>0</v>
      </c>
      <c r="G674" s="200">
        <v>0</v>
      </c>
      <c r="H674" s="200">
        <v>0</v>
      </c>
      <c r="I674" s="348">
        <f t="shared" si="14"/>
        <v>62293272</v>
      </c>
      <c r="J674" s="192" t="s">
        <v>1735</v>
      </c>
    </row>
    <row r="675" spans="1:10" hidden="1" outlineLevel="1">
      <c r="A675" s="381" t="s">
        <v>2226</v>
      </c>
      <c r="B675" s="716">
        <v>4944305</v>
      </c>
      <c r="C675" s="200">
        <v>0</v>
      </c>
      <c r="D675" s="200">
        <v>0</v>
      </c>
      <c r="E675" s="200">
        <v>0</v>
      </c>
      <c r="F675" s="200">
        <v>0</v>
      </c>
      <c r="G675" s="200">
        <v>0</v>
      </c>
      <c r="H675" s="200">
        <v>0</v>
      </c>
      <c r="I675" s="348">
        <f t="shared" si="14"/>
        <v>4944305</v>
      </c>
      <c r="J675" s="192" t="s">
        <v>2227</v>
      </c>
    </row>
    <row r="676" spans="1:10" hidden="1" outlineLevel="1">
      <c r="A676" s="381" t="s">
        <v>1824</v>
      </c>
      <c r="B676" s="716">
        <v>1658183</v>
      </c>
      <c r="C676" s="200">
        <v>0</v>
      </c>
      <c r="D676" s="200">
        <v>0</v>
      </c>
      <c r="E676" s="200">
        <v>0</v>
      </c>
      <c r="F676" s="200">
        <v>0</v>
      </c>
      <c r="G676" s="200">
        <v>0</v>
      </c>
      <c r="H676" s="200">
        <v>0</v>
      </c>
      <c r="I676" s="348">
        <f t="shared" si="14"/>
        <v>1658183</v>
      </c>
      <c r="J676" s="192" t="s">
        <v>1825</v>
      </c>
    </row>
    <row r="677" spans="1:10" hidden="1" outlineLevel="1">
      <c r="A677" s="381" t="s">
        <v>2228</v>
      </c>
      <c r="B677" s="716">
        <v>4008499</v>
      </c>
      <c r="C677" s="200">
        <v>592104</v>
      </c>
      <c r="D677" s="200">
        <v>0</v>
      </c>
      <c r="E677" s="200">
        <v>0</v>
      </c>
      <c r="F677" s="200">
        <v>0</v>
      </c>
      <c r="G677" s="200">
        <v>0</v>
      </c>
      <c r="H677" s="200">
        <v>0</v>
      </c>
      <c r="I677" s="348">
        <f t="shared" si="14"/>
        <v>4600603</v>
      </c>
      <c r="J677" s="192" t="s">
        <v>2229</v>
      </c>
    </row>
    <row r="678" spans="1:10" hidden="1" outlineLevel="1">
      <c r="A678" s="381" t="s">
        <v>1732</v>
      </c>
      <c r="B678" s="716">
        <v>336264018</v>
      </c>
      <c r="C678" s="200">
        <v>0</v>
      </c>
      <c r="D678" s="200">
        <v>0</v>
      </c>
      <c r="E678" s="200">
        <v>0</v>
      </c>
      <c r="F678" s="200">
        <v>0</v>
      </c>
      <c r="G678" s="200">
        <v>0</v>
      </c>
      <c r="H678" s="200">
        <v>0</v>
      </c>
      <c r="I678" s="348">
        <f t="shared" si="14"/>
        <v>336264018</v>
      </c>
      <c r="J678" s="192" t="s">
        <v>1733</v>
      </c>
    </row>
    <row r="679" spans="1:10" hidden="1" outlineLevel="1">
      <c r="A679" s="381" t="s">
        <v>1728</v>
      </c>
      <c r="B679" s="716">
        <v>42022561</v>
      </c>
      <c r="C679" s="200">
        <v>10633</v>
      </c>
      <c r="D679" s="200">
        <v>0</v>
      </c>
      <c r="E679" s="200">
        <v>0</v>
      </c>
      <c r="F679" s="200">
        <v>0</v>
      </c>
      <c r="G679" s="200">
        <v>0</v>
      </c>
      <c r="H679" s="200">
        <v>0</v>
      </c>
      <c r="I679" s="348">
        <f t="shared" si="14"/>
        <v>42033194</v>
      </c>
      <c r="J679" s="192" t="s">
        <v>1729</v>
      </c>
    </row>
    <row r="680" spans="1:10" hidden="1" outlineLevel="1">
      <c r="A680" s="381" t="s">
        <v>1384</v>
      </c>
      <c r="B680" s="716">
        <v>27413222.300000001</v>
      </c>
      <c r="C680" s="200">
        <v>0</v>
      </c>
      <c r="D680" s="200">
        <v>0</v>
      </c>
      <c r="E680" s="200">
        <v>0</v>
      </c>
      <c r="F680" s="200">
        <v>0</v>
      </c>
      <c r="G680" s="200">
        <v>0</v>
      </c>
      <c r="H680" s="200">
        <v>0</v>
      </c>
      <c r="I680" s="348">
        <f t="shared" si="14"/>
        <v>27413222.300000001</v>
      </c>
      <c r="J680" s="192" t="s">
        <v>1385</v>
      </c>
    </row>
    <row r="681" spans="1:10" hidden="1" outlineLevel="1">
      <c r="A681" s="381" t="s">
        <v>1804</v>
      </c>
      <c r="B681" s="716">
        <v>96548021</v>
      </c>
      <c r="C681" s="200">
        <v>1589290</v>
      </c>
      <c r="D681" s="200">
        <v>0</v>
      </c>
      <c r="E681" s="200">
        <v>0</v>
      </c>
      <c r="F681" s="200">
        <v>0</v>
      </c>
      <c r="G681" s="200">
        <v>0</v>
      </c>
      <c r="H681" s="200">
        <v>0</v>
      </c>
      <c r="I681" s="348">
        <f t="shared" si="14"/>
        <v>98137311</v>
      </c>
      <c r="J681" s="192" t="s">
        <v>1805</v>
      </c>
    </row>
    <row r="682" spans="1:10" hidden="1" outlineLevel="1">
      <c r="A682" s="381" t="s">
        <v>1378</v>
      </c>
      <c r="B682" s="716">
        <v>9622531.7100000009</v>
      </c>
      <c r="C682" s="200">
        <v>0</v>
      </c>
      <c r="D682" s="200">
        <v>0</v>
      </c>
      <c r="E682" s="200">
        <v>0</v>
      </c>
      <c r="F682" s="200">
        <v>0</v>
      </c>
      <c r="G682" s="200">
        <v>0</v>
      </c>
      <c r="H682" s="200">
        <v>0</v>
      </c>
      <c r="I682" s="348">
        <f t="shared" si="14"/>
        <v>9622531.7100000009</v>
      </c>
      <c r="J682" s="192" t="s">
        <v>1379</v>
      </c>
    </row>
    <row r="683" spans="1:10" hidden="1" outlineLevel="1">
      <c r="A683" s="381" t="s">
        <v>1740</v>
      </c>
      <c r="B683" s="716">
        <v>5822267</v>
      </c>
      <c r="C683" s="200">
        <v>10185</v>
      </c>
      <c r="D683" s="200">
        <v>0</v>
      </c>
      <c r="E683" s="200">
        <v>0</v>
      </c>
      <c r="F683" s="200">
        <v>0</v>
      </c>
      <c r="G683" s="200">
        <v>0</v>
      </c>
      <c r="H683" s="200">
        <v>0</v>
      </c>
      <c r="I683" s="348">
        <f t="shared" si="14"/>
        <v>5832452</v>
      </c>
      <c r="J683" s="192" t="s">
        <v>1741</v>
      </c>
    </row>
    <row r="684" spans="1:10" hidden="1" outlineLevel="1">
      <c r="A684" s="381" t="s">
        <v>1346</v>
      </c>
      <c r="B684" s="716">
        <v>109103776</v>
      </c>
      <c r="C684" s="200">
        <v>112493</v>
      </c>
      <c r="D684" s="200">
        <v>0</v>
      </c>
      <c r="E684" s="200">
        <v>0</v>
      </c>
      <c r="F684" s="200">
        <v>0</v>
      </c>
      <c r="G684" s="200">
        <v>0</v>
      </c>
      <c r="H684" s="200">
        <v>0</v>
      </c>
      <c r="I684" s="348">
        <f t="shared" si="14"/>
        <v>109216269</v>
      </c>
      <c r="J684" s="192" t="s">
        <v>1347</v>
      </c>
    </row>
    <row r="685" spans="1:10" hidden="1" outlineLevel="1">
      <c r="A685" s="381" t="s">
        <v>1287</v>
      </c>
      <c r="B685" s="716">
        <v>130095515</v>
      </c>
      <c r="C685" s="200">
        <v>0</v>
      </c>
      <c r="D685" s="200">
        <v>0</v>
      </c>
      <c r="E685" s="200">
        <v>0</v>
      </c>
      <c r="F685" s="200">
        <v>0</v>
      </c>
      <c r="G685" s="200">
        <v>0</v>
      </c>
      <c r="H685" s="200">
        <v>0</v>
      </c>
      <c r="I685" s="348">
        <f t="shared" si="14"/>
        <v>130095515</v>
      </c>
      <c r="J685" s="192" t="s">
        <v>1288</v>
      </c>
    </row>
    <row r="686" spans="1:10" hidden="1" outlineLevel="1">
      <c r="A686" s="381" t="s">
        <v>2230</v>
      </c>
      <c r="B686" s="716">
        <v>49086076</v>
      </c>
      <c r="C686" s="200">
        <v>0</v>
      </c>
      <c r="D686" s="200">
        <v>0</v>
      </c>
      <c r="E686" s="200">
        <v>0</v>
      </c>
      <c r="F686" s="200">
        <v>0</v>
      </c>
      <c r="G686" s="200">
        <v>0</v>
      </c>
      <c r="H686" s="200">
        <v>0</v>
      </c>
      <c r="I686" s="348">
        <f t="shared" si="14"/>
        <v>49086076</v>
      </c>
      <c r="J686" s="192" t="s">
        <v>2231</v>
      </c>
    </row>
    <row r="687" spans="1:10" hidden="1" outlineLevel="1">
      <c r="A687" s="381" t="s">
        <v>1594</v>
      </c>
      <c r="B687" s="716">
        <v>8302028</v>
      </c>
      <c r="C687" s="200">
        <v>0</v>
      </c>
      <c r="D687" s="200">
        <v>0</v>
      </c>
      <c r="E687" s="200">
        <v>0</v>
      </c>
      <c r="F687" s="200">
        <v>0</v>
      </c>
      <c r="G687" s="200">
        <v>0</v>
      </c>
      <c r="H687" s="200">
        <v>0</v>
      </c>
      <c r="I687" s="348">
        <f t="shared" si="14"/>
        <v>8302028</v>
      </c>
      <c r="J687" s="192" t="s">
        <v>1595</v>
      </c>
    </row>
    <row r="688" spans="1:10" hidden="1" outlineLevel="1">
      <c r="A688" s="381" t="s">
        <v>779</v>
      </c>
      <c r="B688" s="716">
        <v>52494867.664999999</v>
      </c>
      <c r="C688" s="200">
        <v>2022113</v>
      </c>
      <c r="D688" s="200">
        <v>0</v>
      </c>
      <c r="E688" s="200">
        <v>0</v>
      </c>
      <c r="F688" s="200">
        <v>0</v>
      </c>
      <c r="G688" s="200">
        <v>0</v>
      </c>
      <c r="H688" s="200">
        <v>0</v>
      </c>
      <c r="I688" s="348">
        <f t="shared" si="14"/>
        <v>54516980.664999999</v>
      </c>
      <c r="J688" s="192" t="s">
        <v>1231</v>
      </c>
    </row>
    <row r="689" spans="1:10" hidden="1" outlineLevel="1">
      <c r="A689" s="381" t="s">
        <v>1307</v>
      </c>
      <c r="B689" s="716">
        <v>33708669</v>
      </c>
      <c r="C689" s="200">
        <v>4201</v>
      </c>
      <c r="D689" s="200">
        <v>0</v>
      </c>
      <c r="E689" s="200">
        <v>0</v>
      </c>
      <c r="F689" s="200">
        <v>0</v>
      </c>
      <c r="G689" s="200">
        <v>0</v>
      </c>
      <c r="H689" s="200">
        <v>0</v>
      </c>
      <c r="I689" s="348">
        <f t="shared" si="14"/>
        <v>33712870</v>
      </c>
      <c r="J689" s="192" t="s">
        <v>1308</v>
      </c>
    </row>
    <row r="690" spans="1:10" hidden="1" outlineLevel="1">
      <c r="A690" s="381" t="s">
        <v>1510</v>
      </c>
      <c r="B690" s="716">
        <v>101906684</v>
      </c>
      <c r="C690" s="200">
        <v>0</v>
      </c>
      <c r="D690" s="200">
        <v>0</v>
      </c>
      <c r="E690" s="200">
        <v>0</v>
      </c>
      <c r="F690" s="200">
        <v>0</v>
      </c>
      <c r="G690" s="200">
        <v>0</v>
      </c>
      <c r="H690" s="200">
        <v>0</v>
      </c>
      <c r="I690" s="348">
        <f t="shared" si="14"/>
        <v>101906684</v>
      </c>
      <c r="J690" s="192" t="s">
        <v>1511</v>
      </c>
    </row>
    <row r="691" spans="1:10" hidden="1" outlineLevel="1">
      <c r="A691" s="381" t="s">
        <v>1328</v>
      </c>
      <c r="B691" s="716">
        <v>3243385</v>
      </c>
      <c r="C691" s="200">
        <v>5297</v>
      </c>
      <c r="D691" s="200">
        <v>0</v>
      </c>
      <c r="E691" s="200">
        <v>0</v>
      </c>
      <c r="F691" s="200">
        <v>0</v>
      </c>
      <c r="G691" s="200">
        <v>0</v>
      </c>
      <c r="H691" s="200">
        <v>0</v>
      </c>
      <c r="I691" s="348">
        <f t="shared" si="14"/>
        <v>3248682</v>
      </c>
      <c r="J691" s="192" t="s">
        <v>1329</v>
      </c>
    </row>
    <row r="692" spans="1:10" hidden="1" outlineLevel="1">
      <c r="A692" s="381" t="s">
        <v>2232</v>
      </c>
      <c r="B692" s="715">
        <v>2957202</v>
      </c>
      <c r="C692" s="200">
        <v>0</v>
      </c>
      <c r="D692" s="200">
        <v>0</v>
      </c>
      <c r="E692" s="200">
        <v>0</v>
      </c>
      <c r="F692" s="200">
        <v>0</v>
      </c>
      <c r="G692" s="200">
        <v>0</v>
      </c>
      <c r="H692" s="200">
        <v>0</v>
      </c>
      <c r="I692" s="348">
        <f t="shared" si="14"/>
        <v>2957202</v>
      </c>
      <c r="J692" s="192" t="s">
        <v>2233</v>
      </c>
    </row>
    <row r="693" spans="1:10" hidden="1" outlineLevel="1">
      <c r="A693" s="381" t="s">
        <v>1362</v>
      </c>
      <c r="B693" s="716">
        <v>383649942</v>
      </c>
      <c r="C693" s="200">
        <v>0</v>
      </c>
      <c r="D693" s="200">
        <v>0</v>
      </c>
      <c r="E693" s="200">
        <v>0</v>
      </c>
      <c r="F693" s="200">
        <v>0</v>
      </c>
      <c r="G693" s="200">
        <v>0</v>
      </c>
      <c r="H693" s="200">
        <v>0</v>
      </c>
      <c r="I693" s="348">
        <f t="shared" si="14"/>
        <v>383649942</v>
      </c>
      <c r="J693" s="192" t="s">
        <v>1363</v>
      </c>
    </row>
    <row r="694" spans="1:10" hidden="1" outlineLevel="1">
      <c r="A694" s="381" t="s">
        <v>456</v>
      </c>
      <c r="B694" s="716">
        <v>179927752.19999999</v>
      </c>
      <c r="C694" s="200">
        <v>0</v>
      </c>
      <c r="D694" s="200">
        <v>0</v>
      </c>
      <c r="E694" s="200">
        <v>0</v>
      </c>
      <c r="F694" s="200">
        <v>0</v>
      </c>
      <c r="G694" s="200">
        <v>0</v>
      </c>
      <c r="H694" s="200">
        <v>0</v>
      </c>
      <c r="I694" s="348">
        <f t="shared" si="14"/>
        <v>179927752.19999999</v>
      </c>
      <c r="J694" s="192" t="s">
        <v>457</v>
      </c>
    </row>
    <row r="695" spans="1:10" hidden="1" outlineLevel="1">
      <c r="A695" s="381" t="s">
        <v>2234</v>
      </c>
      <c r="B695" s="716">
        <v>6724203</v>
      </c>
      <c r="C695" s="200">
        <v>0</v>
      </c>
      <c r="D695" s="200">
        <v>0</v>
      </c>
      <c r="E695" s="200">
        <v>0</v>
      </c>
      <c r="F695" s="200">
        <v>0</v>
      </c>
      <c r="G695" s="200">
        <v>0</v>
      </c>
      <c r="H695" s="200">
        <v>0</v>
      </c>
      <c r="I695" s="348">
        <f t="shared" si="14"/>
        <v>6724203</v>
      </c>
      <c r="J695" s="192" t="s">
        <v>2235</v>
      </c>
    </row>
    <row r="696" spans="1:10" hidden="1" outlineLevel="1">
      <c r="A696" s="381" t="s">
        <v>2236</v>
      </c>
      <c r="B696" s="716">
        <v>4859458</v>
      </c>
      <c r="C696" s="200">
        <v>39781</v>
      </c>
      <c r="D696" s="200">
        <v>0</v>
      </c>
      <c r="E696" s="200">
        <v>0</v>
      </c>
      <c r="F696" s="200">
        <v>0</v>
      </c>
      <c r="G696" s="200">
        <v>0</v>
      </c>
      <c r="H696" s="200">
        <v>0</v>
      </c>
      <c r="I696" s="348">
        <f t="shared" si="14"/>
        <v>4899239</v>
      </c>
      <c r="J696" s="192" t="s">
        <v>2237</v>
      </c>
    </row>
    <row r="697" spans="1:10" hidden="1" outlineLevel="1">
      <c r="A697" s="381" t="s">
        <v>1492</v>
      </c>
      <c r="B697" s="716">
        <v>9619606</v>
      </c>
      <c r="C697" s="200">
        <v>26421</v>
      </c>
      <c r="D697" s="200">
        <v>0</v>
      </c>
      <c r="E697" s="200">
        <v>0</v>
      </c>
      <c r="F697" s="200">
        <v>0</v>
      </c>
      <c r="G697" s="200">
        <v>0</v>
      </c>
      <c r="H697" s="200">
        <v>0</v>
      </c>
      <c r="I697" s="348">
        <f t="shared" si="14"/>
        <v>9646027</v>
      </c>
      <c r="J697" s="192" t="s">
        <v>1493</v>
      </c>
    </row>
    <row r="698" spans="1:10" hidden="1" outlineLevel="1">
      <c r="A698" s="381" t="s">
        <v>1786</v>
      </c>
      <c r="B698" s="716">
        <v>8860116.3499999996</v>
      </c>
      <c r="C698" s="200">
        <v>0</v>
      </c>
      <c r="D698" s="200">
        <v>0</v>
      </c>
      <c r="E698" s="200">
        <v>0</v>
      </c>
      <c r="F698" s="200">
        <v>0</v>
      </c>
      <c r="G698" s="200">
        <v>0</v>
      </c>
      <c r="H698" s="200">
        <v>0</v>
      </c>
      <c r="I698" s="348">
        <f t="shared" si="14"/>
        <v>8860116.3499999996</v>
      </c>
      <c r="J698" s="192" t="s">
        <v>1787</v>
      </c>
    </row>
    <row r="699" spans="1:10" hidden="1" outlineLevel="1">
      <c r="A699" s="381" t="s">
        <v>1478</v>
      </c>
      <c r="B699" s="716">
        <v>28000854</v>
      </c>
      <c r="C699" s="200">
        <v>63473</v>
      </c>
      <c r="D699" s="200">
        <v>0</v>
      </c>
      <c r="E699" s="200">
        <v>0</v>
      </c>
      <c r="F699" s="200">
        <v>0</v>
      </c>
      <c r="G699" s="200">
        <v>0</v>
      </c>
      <c r="H699" s="200">
        <v>0</v>
      </c>
      <c r="I699" s="348">
        <f t="shared" si="14"/>
        <v>28064327</v>
      </c>
      <c r="J699" s="192" t="s">
        <v>1479</v>
      </c>
    </row>
    <row r="700" spans="1:10" hidden="1" outlineLevel="1">
      <c r="A700" s="381" t="s">
        <v>2238</v>
      </c>
      <c r="B700" s="716">
        <v>13563700.16</v>
      </c>
      <c r="C700" s="200">
        <v>0</v>
      </c>
      <c r="D700" s="200">
        <v>0</v>
      </c>
      <c r="E700" s="200">
        <v>0</v>
      </c>
      <c r="F700" s="200">
        <v>0</v>
      </c>
      <c r="G700" s="200">
        <v>0</v>
      </c>
      <c r="H700" s="200">
        <v>0</v>
      </c>
      <c r="I700" s="348">
        <f t="shared" si="14"/>
        <v>13563700.16</v>
      </c>
      <c r="J700" s="192" t="s">
        <v>2239</v>
      </c>
    </row>
    <row r="701" spans="1:10" hidden="1" outlineLevel="1">
      <c r="A701" s="381" t="s">
        <v>1410</v>
      </c>
      <c r="B701" s="716">
        <v>48422590</v>
      </c>
      <c r="C701" s="200">
        <v>6575</v>
      </c>
      <c r="D701" s="200">
        <v>0</v>
      </c>
      <c r="E701" s="200">
        <v>0</v>
      </c>
      <c r="F701" s="200">
        <v>0</v>
      </c>
      <c r="G701" s="200">
        <v>0</v>
      </c>
      <c r="H701" s="200">
        <v>0</v>
      </c>
      <c r="I701" s="348">
        <f t="shared" si="14"/>
        <v>48429165</v>
      </c>
      <c r="J701" s="192" t="s">
        <v>1411</v>
      </c>
    </row>
    <row r="702" spans="1:10" hidden="1" outlineLevel="1">
      <c r="A702" s="381" t="s">
        <v>1796</v>
      </c>
      <c r="B702" s="716">
        <v>135967889</v>
      </c>
      <c r="C702" s="200">
        <v>0</v>
      </c>
      <c r="D702" s="200">
        <v>0</v>
      </c>
      <c r="E702" s="200">
        <v>0</v>
      </c>
      <c r="F702" s="200">
        <v>0</v>
      </c>
      <c r="G702" s="200">
        <v>0</v>
      </c>
      <c r="H702" s="200">
        <v>0</v>
      </c>
      <c r="I702" s="348">
        <f t="shared" si="14"/>
        <v>135967889</v>
      </c>
      <c r="J702" s="192" t="s">
        <v>1797</v>
      </c>
    </row>
    <row r="703" spans="1:10" hidden="1" outlineLevel="1">
      <c r="A703" s="381" t="s">
        <v>2240</v>
      </c>
      <c r="B703" s="716">
        <v>3657802</v>
      </c>
      <c r="C703" s="200">
        <v>0</v>
      </c>
      <c r="D703" s="200">
        <v>0</v>
      </c>
      <c r="E703" s="200">
        <v>0</v>
      </c>
      <c r="F703" s="200">
        <v>0</v>
      </c>
      <c r="G703" s="200">
        <v>0</v>
      </c>
      <c r="H703" s="200">
        <v>0</v>
      </c>
      <c r="I703" s="348">
        <f t="shared" si="14"/>
        <v>3657802</v>
      </c>
      <c r="J703" s="192" t="s">
        <v>2241</v>
      </c>
    </row>
    <row r="704" spans="1:10" hidden="1" outlineLevel="1">
      <c r="A704" s="381" t="s">
        <v>2242</v>
      </c>
      <c r="B704" s="716">
        <v>8087862.6799999997</v>
      </c>
      <c r="C704" s="200">
        <v>0</v>
      </c>
      <c r="D704" s="200">
        <v>0</v>
      </c>
      <c r="E704" s="200">
        <v>0</v>
      </c>
      <c r="F704" s="200">
        <v>0</v>
      </c>
      <c r="G704" s="200">
        <v>0</v>
      </c>
      <c r="H704" s="200">
        <v>0</v>
      </c>
      <c r="I704" s="348">
        <f t="shared" si="14"/>
        <v>8087862.6799999997</v>
      </c>
      <c r="J704" s="192" t="s">
        <v>2243</v>
      </c>
    </row>
    <row r="705" spans="1:10" hidden="1" outlineLevel="1">
      <c r="A705" s="381" t="s">
        <v>1234</v>
      </c>
      <c r="B705" s="716">
        <v>91947444</v>
      </c>
      <c r="C705" s="200">
        <v>0</v>
      </c>
      <c r="D705" s="200">
        <v>0</v>
      </c>
      <c r="E705" s="200">
        <v>0</v>
      </c>
      <c r="F705" s="200">
        <v>0</v>
      </c>
      <c r="G705" s="200">
        <v>0</v>
      </c>
      <c r="H705" s="200">
        <v>0</v>
      </c>
      <c r="I705" s="348">
        <f t="shared" si="14"/>
        <v>91947444</v>
      </c>
      <c r="J705" s="192" t="s">
        <v>1235</v>
      </c>
    </row>
    <row r="706" spans="1:10" hidden="1" outlineLevel="1">
      <c r="A706" s="381" t="s">
        <v>2244</v>
      </c>
      <c r="B706" s="716">
        <v>3155708</v>
      </c>
      <c r="C706" s="200">
        <v>0</v>
      </c>
      <c r="D706" s="200">
        <v>0</v>
      </c>
      <c r="E706" s="200">
        <v>0</v>
      </c>
      <c r="F706" s="200">
        <v>0</v>
      </c>
      <c r="G706" s="200">
        <v>0</v>
      </c>
      <c r="H706" s="200">
        <v>0</v>
      </c>
      <c r="I706" s="348">
        <f t="shared" si="14"/>
        <v>3155708</v>
      </c>
      <c r="J706" s="192" t="s">
        <v>2245</v>
      </c>
    </row>
    <row r="707" spans="1:10" hidden="1" outlineLevel="1">
      <c r="A707" s="381" t="s">
        <v>1416</v>
      </c>
      <c r="B707" s="716">
        <v>257166925</v>
      </c>
      <c r="C707" s="200">
        <v>0</v>
      </c>
      <c r="D707" s="200">
        <v>0</v>
      </c>
      <c r="E707" s="200">
        <v>0</v>
      </c>
      <c r="F707" s="200">
        <v>0</v>
      </c>
      <c r="G707" s="200">
        <v>0</v>
      </c>
      <c r="H707" s="200">
        <v>0</v>
      </c>
      <c r="I707" s="348">
        <f t="shared" si="14"/>
        <v>257166925</v>
      </c>
      <c r="J707" s="192" t="s">
        <v>1417</v>
      </c>
    </row>
    <row r="708" spans="1:10" hidden="1" outlineLevel="1">
      <c r="A708" s="1590" t="s">
        <v>564</v>
      </c>
      <c r="B708" s="716">
        <f>845798704+3102195</f>
        <v>848900899</v>
      </c>
      <c r="C708" s="200">
        <f>33497381</f>
        <v>33497381</v>
      </c>
      <c r="D708" s="200">
        <v>0</v>
      </c>
      <c r="E708" s="200">
        <v>0</v>
      </c>
      <c r="F708" s="200">
        <v>0</v>
      </c>
      <c r="G708" s="200">
        <v>0</v>
      </c>
      <c r="H708" s="200">
        <v>0</v>
      </c>
      <c r="I708" s="348">
        <f t="shared" si="14"/>
        <v>882398280</v>
      </c>
      <c r="J708" s="192" t="s">
        <v>565</v>
      </c>
    </row>
    <row r="709" spans="1:10" hidden="1" outlineLevel="1">
      <c r="A709" s="381" t="s">
        <v>2246</v>
      </c>
      <c r="B709" s="716">
        <v>3497901</v>
      </c>
      <c r="C709" s="200">
        <v>127918</v>
      </c>
      <c r="D709" s="200">
        <v>0</v>
      </c>
      <c r="E709" s="200">
        <v>0</v>
      </c>
      <c r="F709" s="200">
        <v>0</v>
      </c>
      <c r="G709" s="200">
        <v>0</v>
      </c>
      <c r="H709" s="200">
        <v>0</v>
      </c>
      <c r="I709" s="348">
        <f t="shared" si="14"/>
        <v>3625819</v>
      </c>
      <c r="J709" s="192" t="s">
        <v>2247</v>
      </c>
    </row>
    <row r="710" spans="1:10" hidden="1" outlineLevel="1">
      <c r="A710" s="381" t="s">
        <v>1630</v>
      </c>
      <c r="B710" s="716">
        <v>26745298</v>
      </c>
      <c r="C710" s="200">
        <v>0</v>
      </c>
      <c r="D710" s="200">
        <v>0</v>
      </c>
      <c r="E710" s="200">
        <v>0</v>
      </c>
      <c r="F710" s="200">
        <v>0</v>
      </c>
      <c r="G710" s="200">
        <v>0</v>
      </c>
      <c r="H710" s="200">
        <v>0</v>
      </c>
      <c r="I710" s="348">
        <f t="shared" si="14"/>
        <v>26745298</v>
      </c>
      <c r="J710" s="192" t="s">
        <v>1631</v>
      </c>
    </row>
    <row r="711" spans="1:10" hidden="1" outlineLevel="1">
      <c r="A711" s="381" t="s">
        <v>1265</v>
      </c>
      <c r="B711" s="716">
        <v>743187009.43200004</v>
      </c>
      <c r="C711" s="200">
        <v>5965571</v>
      </c>
      <c r="D711" s="200">
        <v>0</v>
      </c>
      <c r="E711" s="200">
        <v>0</v>
      </c>
      <c r="F711" s="200">
        <v>4412727</v>
      </c>
      <c r="G711" s="200">
        <v>0</v>
      </c>
      <c r="H711" s="200">
        <v>0</v>
      </c>
      <c r="I711" s="348">
        <f t="shared" si="14"/>
        <v>753565307.43200004</v>
      </c>
      <c r="J711" s="192" t="s">
        <v>1266</v>
      </c>
    </row>
    <row r="712" spans="1:10" hidden="1" outlineLevel="1">
      <c r="A712" s="381" t="s">
        <v>2248</v>
      </c>
      <c r="B712" s="716">
        <v>2512680</v>
      </c>
      <c r="C712" s="200">
        <v>242605</v>
      </c>
      <c r="D712" s="200">
        <v>0</v>
      </c>
      <c r="E712" s="200">
        <v>0</v>
      </c>
      <c r="F712" s="200">
        <v>0</v>
      </c>
      <c r="G712" s="200">
        <v>0</v>
      </c>
      <c r="H712" s="200">
        <v>0</v>
      </c>
      <c r="I712" s="348">
        <f t="shared" si="14"/>
        <v>2755285</v>
      </c>
      <c r="J712" s="192" t="s">
        <v>2249</v>
      </c>
    </row>
    <row r="713" spans="1:10" hidden="1" outlineLevel="1">
      <c r="A713" s="381" t="s">
        <v>1380</v>
      </c>
      <c r="B713" s="716">
        <v>168633691</v>
      </c>
      <c r="C713" s="200">
        <v>1044473</v>
      </c>
      <c r="D713" s="200">
        <v>0</v>
      </c>
      <c r="E713" s="200">
        <v>0</v>
      </c>
      <c r="F713" s="200">
        <v>0</v>
      </c>
      <c r="G713" s="200">
        <v>0</v>
      </c>
      <c r="H713" s="200">
        <v>0</v>
      </c>
      <c r="I713" s="348">
        <f t="shared" si="14"/>
        <v>169678164</v>
      </c>
      <c r="J713" s="192" t="s">
        <v>1381</v>
      </c>
    </row>
    <row r="714" spans="1:10" hidden="1" outlineLevel="1">
      <c r="A714" s="381" t="s">
        <v>2250</v>
      </c>
      <c r="B714" s="716">
        <v>66164560</v>
      </c>
      <c r="C714" s="200">
        <v>0</v>
      </c>
      <c r="D714" s="200">
        <v>0</v>
      </c>
      <c r="E714" s="200">
        <v>0</v>
      </c>
      <c r="F714" s="200">
        <v>0</v>
      </c>
      <c r="G714" s="200">
        <v>0</v>
      </c>
      <c r="H714" s="200">
        <v>0</v>
      </c>
      <c r="I714" s="348">
        <f t="shared" si="14"/>
        <v>66164560</v>
      </c>
      <c r="J714" s="192" t="s">
        <v>2251</v>
      </c>
    </row>
    <row r="715" spans="1:10" hidden="1" outlineLevel="1">
      <c r="A715" s="381" t="s">
        <v>2252</v>
      </c>
      <c r="B715" s="716">
        <v>1885538</v>
      </c>
      <c r="C715" s="200">
        <v>151348</v>
      </c>
      <c r="D715" s="200">
        <v>0</v>
      </c>
      <c r="E715" s="200">
        <v>0</v>
      </c>
      <c r="F715" s="200">
        <v>0</v>
      </c>
      <c r="G715" s="200">
        <v>0</v>
      </c>
      <c r="H715" s="200">
        <v>0</v>
      </c>
      <c r="I715" s="348">
        <f t="shared" si="14"/>
        <v>2036886</v>
      </c>
      <c r="J715" s="192" t="s">
        <v>2253</v>
      </c>
    </row>
    <row r="716" spans="1:10" hidden="1" outlineLevel="1">
      <c r="A716" s="381" t="s">
        <v>1654</v>
      </c>
      <c r="B716" s="716">
        <v>1201758001.6099999</v>
      </c>
      <c r="C716" s="200">
        <v>0</v>
      </c>
      <c r="D716" s="200">
        <v>0</v>
      </c>
      <c r="E716" s="200">
        <v>0</v>
      </c>
      <c r="F716" s="200">
        <v>0</v>
      </c>
      <c r="G716" s="200">
        <v>0</v>
      </c>
      <c r="H716" s="200">
        <v>0</v>
      </c>
      <c r="I716" s="348">
        <f t="shared" si="14"/>
        <v>1201758001.6099999</v>
      </c>
      <c r="J716" s="192" t="s">
        <v>1655</v>
      </c>
    </row>
    <row r="717" spans="1:10" hidden="1" outlineLevel="1">
      <c r="A717" s="381" t="s">
        <v>1516</v>
      </c>
      <c r="B717" s="716">
        <v>7558622203</v>
      </c>
      <c r="C717" s="200">
        <v>0</v>
      </c>
      <c r="D717" s="200">
        <v>0</v>
      </c>
      <c r="E717" s="200">
        <v>0</v>
      </c>
      <c r="F717" s="200">
        <v>0</v>
      </c>
      <c r="G717" s="200">
        <v>0</v>
      </c>
      <c r="H717" s="200">
        <v>0</v>
      </c>
      <c r="I717" s="348">
        <f t="shared" si="14"/>
        <v>7558622203</v>
      </c>
      <c r="J717" s="192" t="s">
        <v>1517</v>
      </c>
    </row>
    <row r="718" spans="1:10" hidden="1" outlineLevel="1">
      <c r="A718" s="381" t="s">
        <v>1460</v>
      </c>
      <c r="B718" s="716">
        <v>24533973</v>
      </c>
      <c r="C718" s="200">
        <v>0</v>
      </c>
      <c r="D718" s="200">
        <v>0</v>
      </c>
      <c r="E718" s="200">
        <v>0</v>
      </c>
      <c r="F718" s="200">
        <v>0</v>
      </c>
      <c r="G718" s="200">
        <v>0</v>
      </c>
      <c r="H718" s="200">
        <v>0</v>
      </c>
      <c r="I718" s="348">
        <f t="shared" si="14"/>
        <v>24533973</v>
      </c>
      <c r="J718" s="192" t="s">
        <v>1461</v>
      </c>
    </row>
    <row r="719" spans="1:10" hidden="1" outlineLevel="1">
      <c r="A719" s="381" t="s">
        <v>1430</v>
      </c>
      <c r="B719" s="716">
        <v>16061417812</v>
      </c>
      <c r="C719" s="200">
        <v>0</v>
      </c>
      <c r="D719" s="200">
        <v>0</v>
      </c>
      <c r="E719" s="200">
        <v>0</v>
      </c>
      <c r="F719" s="200">
        <v>0</v>
      </c>
      <c r="G719" s="200">
        <v>0</v>
      </c>
      <c r="H719" s="200">
        <v>0</v>
      </c>
      <c r="I719" s="348">
        <f t="shared" si="14"/>
        <v>16061417812</v>
      </c>
      <c r="J719" s="192" t="s">
        <v>1431</v>
      </c>
    </row>
    <row r="720" spans="1:10" hidden="1" outlineLevel="1">
      <c r="A720" s="381" t="s">
        <v>1808</v>
      </c>
      <c r="B720" s="716">
        <v>3674958654.1820002</v>
      </c>
      <c r="C720" s="200">
        <v>0</v>
      </c>
      <c r="D720" s="200">
        <v>0</v>
      </c>
      <c r="E720" s="200">
        <v>0</v>
      </c>
      <c r="F720" s="200">
        <v>0</v>
      </c>
      <c r="G720" s="200">
        <v>0</v>
      </c>
      <c r="H720" s="200">
        <v>0</v>
      </c>
      <c r="I720" s="348">
        <f t="shared" si="14"/>
        <v>3674958654.1820002</v>
      </c>
      <c r="J720" s="192" t="s">
        <v>1809</v>
      </c>
    </row>
    <row r="721" spans="1:10" hidden="1" outlineLevel="1">
      <c r="A721" s="381" t="s">
        <v>1768</v>
      </c>
      <c r="B721" s="716">
        <v>666532431</v>
      </c>
      <c r="C721" s="200">
        <v>0</v>
      </c>
      <c r="D721" s="200">
        <v>0</v>
      </c>
      <c r="E721" s="200">
        <v>0</v>
      </c>
      <c r="F721" s="200">
        <v>0</v>
      </c>
      <c r="G721" s="200">
        <v>0</v>
      </c>
      <c r="H721" s="200">
        <v>0</v>
      </c>
      <c r="I721" s="348">
        <f t="shared" si="14"/>
        <v>666532431</v>
      </c>
      <c r="J721" s="192" t="s">
        <v>1769</v>
      </c>
    </row>
    <row r="722" spans="1:10" hidden="1" outlineLevel="1">
      <c r="A722" s="381" t="s">
        <v>2254</v>
      </c>
      <c r="B722" s="716">
        <v>218317729</v>
      </c>
      <c r="C722" s="200">
        <v>0</v>
      </c>
      <c r="D722" s="200">
        <v>0</v>
      </c>
      <c r="E722" s="200">
        <v>0</v>
      </c>
      <c r="F722" s="200">
        <v>0</v>
      </c>
      <c r="G722" s="200">
        <v>0</v>
      </c>
      <c r="H722" s="200">
        <v>0</v>
      </c>
      <c r="I722" s="348">
        <f t="shared" si="14"/>
        <v>218317729</v>
      </c>
      <c r="J722" s="192" t="s">
        <v>2255</v>
      </c>
    </row>
    <row r="723" spans="1:10" hidden="1" outlineLevel="1">
      <c r="A723" s="381" t="s">
        <v>879</v>
      </c>
      <c r="B723" s="716">
        <v>3715673854</v>
      </c>
      <c r="C723" s="200">
        <v>0</v>
      </c>
      <c r="D723" s="200">
        <v>0</v>
      </c>
      <c r="E723" s="200">
        <v>0</v>
      </c>
      <c r="F723" s="200">
        <v>0</v>
      </c>
      <c r="G723" s="200">
        <v>0</v>
      </c>
      <c r="H723" s="200">
        <v>0</v>
      </c>
      <c r="I723" s="348">
        <f t="shared" si="14"/>
        <v>3715673854</v>
      </c>
      <c r="J723" s="192" t="s">
        <v>880</v>
      </c>
    </row>
    <row r="724" spans="1:10" hidden="1" outlineLevel="1">
      <c r="A724" s="381" t="s">
        <v>1500</v>
      </c>
      <c r="B724" s="716">
        <v>71442425</v>
      </c>
      <c r="C724" s="200">
        <v>0</v>
      </c>
      <c r="D724" s="200">
        <v>0</v>
      </c>
      <c r="E724" s="200">
        <v>0</v>
      </c>
      <c r="F724" s="200">
        <v>0</v>
      </c>
      <c r="G724" s="200">
        <v>0</v>
      </c>
      <c r="H724" s="200">
        <v>0</v>
      </c>
      <c r="I724" s="348">
        <f t="shared" si="14"/>
        <v>71442425</v>
      </c>
      <c r="J724" s="192" t="s">
        <v>1501</v>
      </c>
    </row>
    <row r="725" spans="1:10" hidden="1" outlineLevel="1">
      <c r="A725" s="381" t="s">
        <v>1683</v>
      </c>
      <c r="B725" s="716">
        <v>4243946919</v>
      </c>
      <c r="C725" s="200">
        <v>0</v>
      </c>
      <c r="D725" s="200">
        <v>0</v>
      </c>
      <c r="E725" s="200">
        <v>0</v>
      </c>
      <c r="F725" s="200">
        <v>59184557</v>
      </c>
      <c r="G725" s="200">
        <v>11653209</v>
      </c>
      <c r="H725" s="200">
        <v>0</v>
      </c>
      <c r="I725" s="348">
        <f t="shared" si="14"/>
        <v>4314784685</v>
      </c>
      <c r="J725" s="192" t="s">
        <v>1684</v>
      </c>
    </row>
    <row r="726" spans="1:10" hidden="1" outlineLevel="1">
      <c r="A726" s="381" t="s">
        <v>758</v>
      </c>
      <c r="B726" s="716">
        <v>4513292574.7849998</v>
      </c>
      <c r="C726" s="200">
        <v>0</v>
      </c>
      <c r="D726" s="200">
        <v>0</v>
      </c>
      <c r="E726" s="200">
        <v>0</v>
      </c>
      <c r="F726" s="200">
        <v>4238871</v>
      </c>
      <c r="G726" s="200">
        <v>0</v>
      </c>
      <c r="H726" s="200">
        <v>0</v>
      </c>
      <c r="I726" s="348">
        <f t="shared" si="14"/>
        <v>4517531445.7849998</v>
      </c>
      <c r="J726" s="192" t="s">
        <v>759</v>
      </c>
    </row>
    <row r="727" spans="1:10" hidden="1" outlineLevel="1">
      <c r="A727" s="381" t="s">
        <v>1090</v>
      </c>
      <c r="B727" s="716">
        <v>3743229502</v>
      </c>
      <c r="C727" s="200">
        <v>0</v>
      </c>
      <c r="D727" s="200">
        <v>0</v>
      </c>
      <c r="E727" s="200">
        <v>0</v>
      </c>
      <c r="F727" s="200">
        <v>0</v>
      </c>
      <c r="G727" s="200">
        <v>0</v>
      </c>
      <c r="H727" s="200">
        <v>0</v>
      </c>
      <c r="I727" s="348">
        <f t="shared" si="14"/>
        <v>3743229502</v>
      </c>
      <c r="J727" s="192" t="s">
        <v>1091</v>
      </c>
    </row>
    <row r="728" spans="1:10" hidden="1" outlineLevel="1">
      <c r="A728" s="381" t="s">
        <v>2256</v>
      </c>
      <c r="B728" s="716">
        <v>88783854.003999993</v>
      </c>
      <c r="C728" s="200">
        <v>0</v>
      </c>
      <c r="D728" s="200">
        <v>0</v>
      </c>
      <c r="E728" s="200">
        <v>0</v>
      </c>
      <c r="F728" s="200">
        <v>0</v>
      </c>
      <c r="G728" s="200">
        <v>0</v>
      </c>
      <c r="H728" s="200">
        <v>0</v>
      </c>
      <c r="I728" s="348">
        <f t="shared" si="14"/>
        <v>88783854.003999993</v>
      </c>
      <c r="J728" s="192" t="s">
        <v>2257</v>
      </c>
    </row>
    <row r="729" spans="1:10" hidden="1" outlineLevel="1">
      <c r="A729" s="381" t="s">
        <v>1352</v>
      </c>
      <c r="B729" s="716">
        <v>3602661</v>
      </c>
      <c r="C729" s="200">
        <v>0</v>
      </c>
      <c r="D729" s="200">
        <v>0</v>
      </c>
      <c r="E729" s="200">
        <v>0</v>
      </c>
      <c r="F729" s="200">
        <v>0</v>
      </c>
      <c r="G729" s="200">
        <v>0</v>
      </c>
      <c r="H729" s="200">
        <v>0</v>
      </c>
      <c r="I729" s="348">
        <f t="shared" si="14"/>
        <v>3602661</v>
      </c>
      <c r="J729" s="192" t="s">
        <v>1353</v>
      </c>
    </row>
    <row r="730" spans="1:10" hidden="1" outlineLevel="1">
      <c r="A730" s="381" t="s">
        <v>2258</v>
      </c>
      <c r="B730" s="716">
        <v>7482677</v>
      </c>
      <c r="C730" s="200">
        <v>0</v>
      </c>
      <c r="D730" s="200">
        <v>0</v>
      </c>
      <c r="E730" s="200">
        <v>0</v>
      </c>
      <c r="F730" s="200">
        <v>0</v>
      </c>
      <c r="G730" s="200">
        <v>0</v>
      </c>
      <c r="H730" s="200">
        <v>0</v>
      </c>
      <c r="I730" s="348">
        <f t="shared" si="14"/>
        <v>7482677</v>
      </c>
      <c r="J730" s="192" t="s">
        <v>2259</v>
      </c>
    </row>
    <row r="731" spans="1:10" hidden="1" outlineLevel="1">
      <c r="A731" s="381" t="s">
        <v>2260</v>
      </c>
      <c r="B731" s="716">
        <v>385706</v>
      </c>
      <c r="C731" s="200">
        <v>0</v>
      </c>
      <c r="D731" s="200">
        <v>0</v>
      </c>
      <c r="E731" s="200">
        <v>0</v>
      </c>
      <c r="F731" s="200">
        <v>0</v>
      </c>
      <c r="G731" s="200">
        <v>0</v>
      </c>
      <c r="H731" s="200">
        <v>0</v>
      </c>
      <c r="I731" s="348">
        <f t="shared" si="14"/>
        <v>385706</v>
      </c>
      <c r="J731" s="192" t="s">
        <v>2261</v>
      </c>
    </row>
    <row r="732" spans="1:10" hidden="1" outlineLevel="1">
      <c r="A732" s="381" t="s">
        <v>1784</v>
      </c>
      <c r="B732" s="716">
        <v>116429932</v>
      </c>
      <c r="C732" s="200">
        <v>0</v>
      </c>
      <c r="D732" s="200">
        <v>0</v>
      </c>
      <c r="E732" s="200">
        <v>0</v>
      </c>
      <c r="F732" s="200">
        <v>0</v>
      </c>
      <c r="G732" s="200">
        <v>0</v>
      </c>
      <c r="H732" s="200">
        <v>0</v>
      </c>
      <c r="I732" s="348">
        <f t="shared" si="14"/>
        <v>116429932</v>
      </c>
      <c r="J732" s="192" t="s">
        <v>1785</v>
      </c>
    </row>
    <row r="733" spans="1:10" hidden="1" outlineLevel="1">
      <c r="A733" s="381" t="s">
        <v>1816</v>
      </c>
      <c r="B733" s="716">
        <v>90130551</v>
      </c>
      <c r="C733" s="200">
        <v>0</v>
      </c>
      <c r="D733" s="200">
        <v>0</v>
      </c>
      <c r="E733" s="200">
        <v>0</v>
      </c>
      <c r="F733" s="200">
        <v>0</v>
      </c>
      <c r="G733" s="200">
        <v>0</v>
      </c>
      <c r="H733" s="200">
        <v>0</v>
      </c>
      <c r="I733" s="348">
        <f t="shared" si="14"/>
        <v>90130551</v>
      </c>
      <c r="J733" s="192" t="s">
        <v>1817</v>
      </c>
    </row>
    <row r="734" spans="1:10" hidden="1" outlineLevel="1">
      <c r="A734" s="381" t="s">
        <v>1368</v>
      </c>
      <c r="B734" s="716">
        <v>70651375</v>
      </c>
      <c r="C734" s="200">
        <v>0</v>
      </c>
      <c r="D734" s="200">
        <v>0</v>
      </c>
      <c r="E734" s="200">
        <v>0</v>
      </c>
      <c r="F734" s="200">
        <v>0</v>
      </c>
      <c r="G734" s="200">
        <v>0</v>
      </c>
      <c r="H734" s="200">
        <v>0</v>
      </c>
      <c r="I734" s="348">
        <f t="shared" si="14"/>
        <v>70651375</v>
      </c>
      <c r="J734" s="192" t="s">
        <v>1369</v>
      </c>
    </row>
    <row r="735" spans="1:10" hidden="1" outlineLevel="1">
      <c r="A735" s="381" t="s">
        <v>1534</v>
      </c>
      <c r="B735" s="716">
        <v>89031761</v>
      </c>
      <c r="C735" s="200">
        <v>463493</v>
      </c>
      <c r="D735" s="200">
        <v>0</v>
      </c>
      <c r="E735" s="200">
        <v>0</v>
      </c>
      <c r="F735" s="200">
        <v>0</v>
      </c>
      <c r="G735" s="200">
        <v>0</v>
      </c>
      <c r="H735" s="200">
        <v>0</v>
      </c>
      <c r="I735" s="348">
        <f t="shared" si="14"/>
        <v>89495254</v>
      </c>
      <c r="J735" s="192" t="s">
        <v>1535</v>
      </c>
    </row>
    <row r="736" spans="1:10" hidden="1" outlineLevel="1">
      <c r="A736" s="381" t="s">
        <v>1778</v>
      </c>
      <c r="B736" s="716">
        <v>318708434</v>
      </c>
      <c r="C736" s="200">
        <v>0</v>
      </c>
      <c r="D736" s="200">
        <v>0</v>
      </c>
      <c r="E736" s="200">
        <v>0</v>
      </c>
      <c r="F736" s="200">
        <v>0</v>
      </c>
      <c r="G736" s="200">
        <v>0</v>
      </c>
      <c r="H736" s="200">
        <v>0</v>
      </c>
      <c r="I736" s="348">
        <f t="shared" ref="I736:I787" si="15">SUM(B736:H736)</f>
        <v>318708434</v>
      </c>
      <c r="J736" s="192" t="s">
        <v>1779</v>
      </c>
    </row>
    <row r="737" spans="1:10" hidden="1" outlineLevel="1">
      <c r="A737" s="381" t="s">
        <v>799</v>
      </c>
      <c r="B737" s="716">
        <v>20413410</v>
      </c>
      <c r="C737" s="200">
        <v>0</v>
      </c>
      <c r="D737" s="200">
        <v>0</v>
      </c>
      <c r="E737" s="200">
        <v>0</v>
      </c>
      <c r="F737" s="200">
        <v>0</v>
      </c>
      <c r="G737" s="200">
        <v>0</v>
      </c>
      <c r="H737" s="200">
        <v>0</v>
      </c>
      <c r="I737" s="348">
        <f t="shared" si="15"/>
        <v>20413410</v>
      </c>
      <c r="J737" s="192" t="s">
        <v>2262</v>
      </c>
    </row>
    <row r="738" spans="1:10" hidden="1" outlineLevel="1">
      <c r="A738" s="381" t="s">
        <v>730</v>
      </c>
      <c r="B738" s="716">
        <v>18587563</v>
      </c>
      <c r="C738" s="200">
        <v>0</v>
      </c>
      <c r="D738" s="200">
        <v>0</v>
      </c>
      <c r="E738" s="200">
        <v>0</v>
      </c>
      <c r="F738" s="200">
        <v>0</v>
      </c>
      <c r="G738" s="200">
        <v>0</v>
      </c>
      <c r="H738" s="200">
        <v>0</v>
      </c>
      <c r="I738" s="348">
        <f t="shared" si="15"/>
        <v>18587563</v>
      </c>
      <c r="J738" s="192" t="s">
        <v>731</v>
      </c>
    </row>
    <row r="739" spans="1:10" hidden="1" outlineLevel="1">
      <c r="A739" s="381" t="s">
        <v>1450</v>
      </c>
      <c r="B739" s="716">
        <v>312725124</v>
      </c>
      <c r="C739" s="200">
        <v>0</v>
      </c>
      <c r="D739" s="200">
        <v>0</v>
      </c>
      <c r="E739" s="200">
        <v>0</v>
      </c>
      <c r="F739" s="200">
        <v>0</v>
      </c>
      <c r="G739" s="200">
        <v>0</v>
      </c>
      <c r="H739" s="200">
        <v>0</v>
      </c>
      <c r="I739" s="348">
        <f t="shared" si="15"/>
        <v>312725124</v>
      </c>
      <c r="J739" s="192" t="s">
        <v>1451</v>
      </c>
    </row>
    <row r="740" spans="1:10" hidden="1" outlineLevel="1">
      <c r="A740" s="381" t="s">
        <v>2263</v>
      </c>
      <c r="B740" s="716">
        <v>28406258</v>
      </c>
      <c r="C740" s="200">
        <v>0</v>
      </c>
      <c r="D740" s="200">
        <v>0</v>
      </c>
      <c r="E740" s="200">
        <v>0</v>
      </c>
      <c r="F740" s="200">
        <v>0</v>
      </c>
      <c r="G740" s="200">
        <v>0</v>
      </c>
      <c r="H740" s="200">
        <v>0</v>
      </c>
      <c r="I740" s="348">
        <f t="shared" si="15"/>
        <v>28406258</v>
      </c>
      <c r="J740" s="192" t="s">
        <v>2264</v>
      </c>
    </row>
    <row r="741" spans="1:10" hidden="1" outlineLevel="1">
      <c r="A741" s="381" t="s">
        <v>2265</v>
      </c>
      <c r="B741" s="716">
        <v>5739148</v>
      </c>
      <c r="C741" s="200">
        <v>0</v>
      </c>
      <c r="D741" s="200">
        <v>0</v>
      </c>
      <c r="E741" s="200">
        <v>0</v>
      </c>
      <c r="F741" s="200">
        <v>0</v>
      </c>
      <c r="G741" s="200">
        <v>0</v>
      </c>
      <c r="H741" s="200">
        <v>0</v>
      </c>
      <c r="I741" s="348">
        <f t="shared" si="15"/>
        <v>5739148</v>
      </c>
      <c r="J741" s="192" t="s">
        <v>2266</v>
      </c>
    </row>
    <row r="742" spans="1:10" hidden="1" outlineLevel="1">
      <c r="A742" s="381" t="s">
        <v>1520</v>
      </c>
      <c r="B742" s="716">
        <v>89662777.269999996</v>
      </c>
      <c r="C742" s="200">
        <v>0</v>
      </c>
      <c r="D742" s="200">
        <v>0</v>
      </c>
      <c r="E742" s="200">
        <v>0</v>
      </c>
      <c r="F742" s="200">
        <v>0</v>
      </c>
      <c r="G742" s="200">
        <v>0</v>
      </c>
      <c r="H742" s="200">
        <v>112116</v>
      </c>
      <c r="I742" s="348">
        <f t="shared" si="15"/>
        <v>89774893.269999996</v>
      </c>
      <c r="J742" s="192" t="s">
        <v>1521</v>
      </c>
    </row>
    <row r="743" spans="1:10" hidden="1" outlineLevel="1">
      <c r="A743" s="381" t="s">
        <v>1394</v>
      </c>
      <c r="B743" s="716">
        <v>87751742</v>
      </c>
      <c r="C743" s="200">
        <v>0</v>
      </c>
      <c r="D743" s="200">
        <v>0</v>
      </c>
      <c r="E743" s="200">
        <v>0</v>
      </c>
      <c r="F743" s="200">
        <v>0</v>
      </c>
      <c r="G743" s="200">
        <v>0</v>
      </c>
      <c r="H743" s="200">
        <v>0</v>
      </c>
      <c r="I743" s="348">
        <f t="shared" si="15"/>
        <v>87751742</v>
      </c>
      <c r="J743" s="192" t="s">
        <v>1395</v>
      </c>
    </row>
    <row r="744" spans="1:10" hidden="1" outlineLevel="1">
      <c r="A744" s="381" t="s">
        <v>943</v>
      </c>
      <c r="B744" s="716">
        <v>286278204</v>
      </c>
      <c r="C744" s="200">
        <v>0</v>
      </c>
      <c r="D744" s="200">
        <v>0</v>
      </c>
      <c r="E744" s="200">
        <v>0</v>
      </c>
      <c r="F744" s="200">
        <v>4045328868</v>
      </c>
      <c r="G744" s="200">
        <v>0</v>
      </c>
      <c r="H744" s="200">
        <v>0</v>
      </c>
      <c r="I744" s="348">
        <f t="shared" si="15"/>
        <v>4331607072</v>
      </c>
      <c r="J744" s="192" t="s">
        <v>944</v>
      </c>
    </row>
    <row r="745" spans="1:10" hidden="1" outlineLevel="1">
      <c r="A745" s="381" t="s">
        <v>1046</v>
      </c>
      <c r="B745" s="716">
        <v>283192410</v>
      </c>
      <c r="C745" s="200">
        <v>0</v>
      </c>
      <c r="D745" s="200">
        <v>0</v>
      </c>
      <c r="E745" s="200">
        <v>0</v>
      </c>
      <c r="F745" s="200">
        <v>0</v>
      </c>
      <c r="G745" s="200">
        <v>0</v>
      </c>
      <c r="H745" s="200">
        <v>0</v>
      </c>
      <c r="I745" s="348">
        <f t="shared" si="15"/>
        <v>283192410</v>
      </c>
      <c r="J745" s="192" t="s">
        <v>1047</v>
      </c>
    </row>
    <row r="746" spans="1:10" hidden="1" outlineLevel="1">
      <c r="A746" s="381" t="s">
        <v>1770</v>
      </c>
      <c r="B746" s="716">
        <v>63369340</v>
      </c>
      <c r="C746" s="200">
        <v>0</v>
      </c>
      <c r="D746" s="200">
        <v>0</v>
      </c>
      <c r="E746" s="200">
        <v>0</v>
      </c>
      <c r="F746" s="200">
        <v>0</v>
      </c>
      <c r="G746" s="200">
        <v>0</v>
      </c>
      <c r="H746" s="200">
        <v>0</v>
      </c>
      <c r="I746" s="348">
        <f t="shared" si="15"/>
        <v>63369340</v>
      </c>
      <c r="J746" s="192" t="s">
        <v>1771</v>
      </c>
    </row>
    <row r="747" spans="1:10" hidden="1" outlineLevel="1">
      <c r="A747" s="381" t="s">
        <v>2267</v>
      </c>
      <c r="B747" s="716">
        <v>7633003</v>
      </c>
      <c r="C747" s="200">
        <v>0</v>
      </c>
      <c r="D747" s="200">
        <v>0</v>
      </c>
      <c r="E747" s="200">
        <v>0</v>
      </c>
      <c r="F747" s="200">
        <v>0</v>
      </c>
      <c r="G747" s="200">
        <v>0</v>
      </c>
      <c r="H747" s="200">
        <v>0</v>
      </c>
      <c r="I747" s="348">
        <f t="shared" si="15"/>
        <v>7633003</v>
      </c>
      <c r="J747" s="192" t="s">
        <v>2268</v>
      </c>
    </row>
    <row r="748" spans="1:10" hidden="1" outlineLevel="1">
      <c r="A748" s="381" t="s">
        <v>1030</v>
      </c>
      <c r="B748" s="716">
        <v>68259863</v>
      </c>
      <c r="C748" s="200">
        <v>0</v>
      </c>
      <c r="D748" s="200">
        <v>0</v>
      </c>
      <c r="E748" s="200">
        <v>0</v>
      </c>
      <c r="F748" s="200">
        <v>0</v>
      </c>
      <c r="G748" s="200">
        <v>0</v>
      </c>
      <c r="H748" s="200">
        <v>0</v>
      </c>
      <c r="I748" s="348">
        <f t="shared" si="15"/>
        <v>68259863</v>
      </c>
      <c r="J748" s="192" t="s">
        <v>1031</v>
      </c>
    </row>
    <row r="749" spans="1:10" hidden="1" outlineLevel="1">
      <c r="A749" s="381" t="s">
        <v>2269</v>
      </c>
      <c r="B749" s="716">
        <v>5429162</v>
      </c>
      <c r="C749" s="200">
        <v>0</v>
      </c>
      <c r="D749" s="200">
        <v>0</v>
      </c>
      <c r="E749" s="200">
        <v>0</v>
      </c>
      <c r="F749" s="200">
        <v>0</v>
      </c>
      <c r="G749" s="200">
        <v>0</v>
      </c>
      <c r="H749" s="200">
        <v>0</v>
      </c>
      <c r="I749" s="348">
        <f t="shared" si="15"/>
        <v>5429162</v>
      </c>
      <c r="J749" s="192" t="s">
        <v>2270</v>
      </c>
    </row>
    <row r="750" spans="1:10" hidden="1" outlineLevel="1">
      <c r="A750" s="381" t="s">
        <v>839</v>
      </c>
      <c r="B750" s="716">
        <v>201974055</v>
      </c>
      <c r="C750" s="200">
        <v>0</v>
      </c>
      <c r="D750" s="200">
        <v>0</v>
      </c>
      <c r="E750" s="200">
        <v>0</v>
      </c>
      <c r="F750" s="200">
        <v>0</v>
      </c>
      <c r="G750" s="200">
        <v>0</v>
      </c>
      <c r="H750" s="200">
        <v>0</v>
      </c>
      <c r="I750" s="348">
        <f t="shared" si="15"/>
        <v>201974055</v>
      </c>
      <c r="J750" s="192" t="s">
        <v>1311</v>
      </c>
    </row>
    <row r="751" spans="1:10" hidden="1" outlineLevel="1">
      <c r="A751" s="381" t="s">
        <v>1273</v>
      </c>
      <c r="B751" s="716">
        <v>134466689</v>
      </c>
      <c r="C751" s="200">
        <v>0</v>
      </c>
      <c r="D751" s="200">
        <v>0</v>
      </c>
      <c r="E751" s="200">
        <v>0</v>
      </c>
      <c r="F751" s="200">
        <v>0</v>
      </c>
      <c r="G751" s="200">
        <v>0</v>
      </c>
      <c r="H751" s="200">
        <v>0</v>
      </c>
      <c r="I751" s="348">
        <f t="shared" si="15"/>
        <v>134466689</v>
      </c>
      <c r="J751" s="192" t="s">
        <v>1274</v>
      </c>
    </row>
    <row r="752" spans="1:10" hidden="1" outlineLevel="1">
      <c r="A752" s="381" t="s">
        <v>1480</v>
      </c>
      <c r="B752" s="716">
        <v>10923924</v>
      </c>
      <c r="C752" s="200">
        <v>0</v>
      </c>
      <c r="D752" s="200">
        <v>0</v>
      </c>
      <c r="E752" s="200">
        <v>0</v>
      </c>
      <c r="F752" s="200">
        <v>0</v>
      </c>
      <c r="G752" s="200">
        <v>0</v>
      </c>
      <c r="H752" s="200">
        <v>0</v>
      </c>
      <c r="I752" s="348">
        <f t="shared" si="15"/>
        <v>10923924</v>
      </c>
      <c r="J752" s="192" t="s">
        <v>1481</v>
      </c>
    </row>
    <row r="753" spans="1:10" hidden="1" outlineLevel="1">
      <c r="A753" s="381" t="s">
        <v>1271</v>
      </c>
      <c r="B753" s="716">
        <v>103336212</v>
      </c>
      <c r="C753" s="200">
        <v>0</v>
      </c>
      <c r="D753" s="200">
        <v>0</v>
      </c>
      <c r="E753" s="200">
        <v>0</v>
      </c>
      <c r="F753" s="200">
        <v>0</v>
      </c>
      <c r="G753" s="200">
        <v>0</v>
      </c>
      <c r="H753" s="200">
        <v>0</v>
      </c>
      <c r="I753" s="348">
        <f t="shared" si="15"/>
        <v>103336212</v>
      </c>
      <c r="J753" s="192" t="s">
        <v>1272</v>
      </c>
    </row>
    <row r="754" spans="1:10" hidden="1" outlineLevel="1">
      <c r="A754" s="381" t="s">
        <v>1488</v>
      </c>
      <c r="B754" s="716">
        <v>142731184</v>
      </c>
      <c r="C754" s="200">
        <v>0</v>
      </c>
      <c r="D754" s="200">
        <v>0</v>
      </c>
      <c r="E754" s="200">
        <v>0</v>
      </c>
      <c r="F754" s="200">
        <v>0</v>
      </c>
      <c r="G754" s="200">
        <v>0</v>
      </c>
      <c r="H754" s="200">
        <v>0</v>
      </c>
      <c r="I754" s="348">
        <f t="shared" si="15"/>
        <v>142731184</v>
      </c>
      <c r="J754" s="192" t="s">
        <v>1489</v>
      </c>
    </row>
    <row r="755" spans="1:10" hidden="1" outlineLevel="1">
      <c r="A755" s="381" t="s">
        <v>1782</v>
      </c>
      <c r="B755" s="716">
        <v>169797407</v>
      </c>
      <c r="C755" s="200">
        <v>402727</v>
      </c>
      <c r="D755" s="200">
        <v>0</v>
      </c>
      <c r="E755" s="200">
        <v>0</v>
      </c>
      <c r="F755" s="200">
        <v>0</v>
      </c>
      <c r="G755" s="200">
        <v>0</v>
      </c>
      <c r="H755" s="200">
        <v>0</v>
      </c>
      <c r="I755" s="348">
        <f t="shared" si="15"/>
        <v>170200134</v>
      </c>
      <c r="J755" s="192" t="s">
        <v>1783</v>
      </c>
    </row>
    <row r="756" spans="1:10" hidden="1" outlineLevel="1">
      <c r="A756" s="381" t="s">
        <v>1472</v>
      </c>
      <c r="B756" s="716">
        <v>17628843</v>
      </c>
      <c r="C756" s="200">
        <v>0</v>
      </c>
      <c r="D756" s="200">
        <v>0</v>
      </c>
      <c r="E756" s="200">
        <v>0</v>
      </c>
      <c r="F756" s="200">
        <v>0</v>
      </c>
      <c r="G756" s="200">
        <v>0</v>
      </c>
      <c r="H756" s="200">
        <v>0</v>
      </c>
      <c r="I756" s="348">
        <f t="shared" si="15"/>
        <v>17628843</v>
      </c>
      <c r="J756" s="192" t="s">
        <v>1473</v>
      </c>
    </row>
    <row r="757" spans="1:10" hidden="1" outlineLevel="1">
      <c r="A757" s="381" t="s">
        <v>1692</v>
      </c>
      <c r="B757" s="716">
        <v>43910870</v>
      </c>
      <c r="C757" s="200">
        <v>0</v>
      </c>
      <c r="D757" s="200">
        <v>0</v>
      </c>
      <c r="E757" s="200">
        <v>0</v>
      </c>
      <c r="F757" s="200">
        <v>0</v>
      </c>
      <c r="G757" s="200">
        <v>0</v>
      </c>
      <c r="H757" s="200">
        <v>0</v>
      </c>
      <c r="I757" s="348">
        <f t="shared" si="15"/>
        <v>43910870</v>
      </c>
      <c r="J757" s="192" t="s">
        <v>1693</v>
      </c>
    </row>
    <row r="758" spans="1:10" hidden="1" outlineLevel="1">
      <c r="A758" s="381" t="s">
        <v>2271</v>
      </c>
      <c r="B758" s="716">
        <v>17052855.559999999</v>
      </c>
      <c r="C758" s="200">
        <v>0</v>
      </c>
      <c r="D758" s="200">
        <v>0</v>
      </c>
      <c r="E758" s="200">
        <v>0</v>
      </c>
      <c r="F758" s="200">
        <v>0</v>
      </c>
      <c r="G758" s="200">
        <v>0</v>
      </c>
      <c r="H758" s="200">
        <v>0</v>
      </c>
      <c r="I758" s="348">
        <f t="shared" si="15"/>
        <v>17052855.559999999</v>
      </c>
      <c r="J758" s="192" t="s">
        <v>2272</v>
      </c>
    </row>
    <row r="759" spans="1:10" hidden="1" outlineLevel="1">
      <c r="A759" s="381" t="s">
        <v>1687</v>
      </c>
      <c r="B759" s="716">
        <v>55129446.170000002</v>
      </c>
      <c r="C759" s="200">
        <v>0</v>
      </c>
      <c r="D759" s="200">
        <v>0</v>
      </c>
      <c r="E759" s="200">
        <v>0</v>
      </c>
      <c r="F759" s="200">
        <v>0</v>
      </c>
      <c r="G759" s="200">
        <v>0</v>
      </c>
      <c r="H759" s="200">
        <v>0</v>
      </c>
      <c r="I759" s="348">
        <f t="shared" si="15"/>
        <v>55129446.170000002</v>
      </c>
      <c r="J759" s="192" t="s">
        <v>1688</v>
      </c>
    </row>
    <row r="760" spans="1:10" hidden="1" outlineLevel="1">
      <c r="A760" s="381" t="s">
        <v>2273</v>
      </c>
      <c r="B760" s="716">
        <v>82547733</v>
      </c>
      <c r="C760" s="200">
        <v>1911032</v>
      </c>
      <c r="D760" s="200">
        <v>0</v>
      </c>
      <c r="E760" s="200">
        <v>0</v>
      </c>
      <c r="F760" s="200">
        <v>0</v>
      </c>
      <c r="G760" s="200">
        <v>0</v>
      </c>
      <c r="H760" s="200">
        <v>0</v>
      </c>
      <c r="I760" s="348">
        <f t="shared" si="15"/>
        <v>84458765</v>
      </c>
      <c r="J760" s="192" t="s">
        <v>2274</v>
      </c>
    </row>
    <row r="761" spans="1:10" hidden="1" outlineLevel="1">
      <c r="A761" s="381" t="s">
        <v>1498</v>
      </c>
      <c r="B761" s="716">
        <v>5811968</v>
      </c>
      <c r="C761" s="200">
        <v>0</v>
      </c>
      <c r="D761" s="200">
        <v>0</v>
      </c>
      <c r="E761" s="200">
        <v>0</v>
      </c>
      <c r="F761" s="200">
        <v>0</v>
      </c>
      <c r="G761" s="200">
        <v>0</v>
      </c>
      <c r="H761" s="200">
        <v>0</v>
      </c>
      <c r="I761" s="348">
        <f t="shared" si="15"/>
        <v>5811968</v>
      </c>
      <c r="J761" s="192" t="s">
        <v>1499</v>
      </c>
    </row>
    <row r="762" spans="1:10" hidden="1" outlineLevel="1">
      <c r="A762" s="381" t="s">
        <v>1508</v>
      </c>
      <c r="B762" s="716">
        <v>150560898</v>
      </c>
      <c r="C762" s="200">
        <v>0</v>
      </c>
      <c r="D762" s="200">
        <v>0</v>
      </c>
      <c r="E762" s="200">
        <v>0</v>
      </c>
      <c r="F762" s="200">
        <v>0</v>
      </c>
      <c r="G762" s="200">
        <v>0</v>
      </c>
      <c r="H762" s="200">
        <v>0</v>
      </c>
      <c r="I762" s="348">
        <f t="shared" si="15"/>
        <v>150560898</v>
      </c>
      <c r="J762" s="192" t="s">
        <v>1509</v>
      </c>
    </row>
    <row r="763" spans="1:10" hidden="1" outlineLevel="1">
      <c r="A763" s="381" t="s">
        <v>1305</v>
      </c>
      <c r="B763" s="716">
        <v>286944772.958</v>
      </c>
      <c r="C763" s="200">
        <v>0</v>
      </c>
      <c r="D763" s="200">
        <v>0</v>
      </c>
      <c r="E763" s="200">
        <v>0</v>
      </c>
      <c r="F763" s="200">
        <v>0</v>
      </c>
      <c r="G763" s="200">
        <v>0</v>
      </c>
      <c r="H763" s="200">
        <v>0</v>
      </c>
      <c r="I763" s="348">
        <f t="shared" si="15"/>
        <v>286944772.958</v>
      </c>
      <c r="J763" s="192" t="s">
        <v>1306</v>
      </c>
    </row>
    <row r="764" spans="1:10" hidden="1" outlineLevel="1">
      <c r="A764" s="381" t="s">
        <v>1810</v>
      </c>
      <c r="B764" s="716">
        <v>65741321</v>
      </c>
      <c r="C764" s="200">
        <v>0</v>
      </c>
      <c r="D764" s="200">
        <v>0</v>
      </c>
      <c r="E764" s="200">
        <v>0</v>
      </c>
      <c r="F764" s="200">
        <v>0</v>
      </c>
      <c r="G764" s="200">
        <v>0</v>
      </c>
      <c r="H764" s="200">
        <v>0</v>
      </c>
      <c r="I764" s="348">
        <f t="shared" si="15"/>
        <v>65741321</v>
      </c>
      <c r="J764" s="192" t="s">
        <v>1811</v>
      </c>
    </row>
    <row r="765" spans="1:10" hidden="1" outlineLevel="1">
      <c r="A765" s="381" t="s">
        <v>542</v>
      </c>
      <c r="B765" s="716">
        <v>425</v>
      </c>
      <c r="C765" s="200">
        <v>0</v>
      </c>
      <c r="D765" s="200">
        <v>0</v>
      </c>
      <c r="E765" s="200">
        <v>0</v>
      </c>
      <c r="F765" s="200">
        <v>0</v>
      </c>
      <c r="G765" s="200">
        <v>0</v>
      </c>
      <c r="H765" s="200">
        <v>0</v>
      </c>
      <c r="I765" s="348">
        <f t="shared" si="15"/>
        <v>425</v>
      </c>
      <c r="J765" s="192" t="s">
        <v>543</v>
      </c>
    </row>
    <row r="766" spans="1:10" hidden="1" outlineLevel="1">
      <c r="A766" s="381" t="s">
        <v>2275</v>
      </c>
      <c r="B766" s="716">
        <v>54148466.409999996</v>
      </c>
      <c r="C766" s="200">
        <v>0</v>
      </c>
      <c r="D766" s="200">
        <v>0</v>
      </c>
      <c r="E766" s="200">
        <v>0</v>
      </c>
      <c r="F766" s="200">
        <v>0</v>
      </c>
      <c r="G766" s="200">
        <v>0</v>
      </c>
      <c r="H766" s="200">
        <v>0</v>
      </c>
      <c r="I766" s="348">
        <f t="shared" si="15"/>
        <v>54148466.409999996</v>
      </c>
      <c r="J766" s="192" t="s">
        <v>2276</v>
      </c>
    </row>
    <row r="767" spans="1:10" hidden="1" outlineLevel="1">
      <c r="A767" s="381" t="s">
        <v>726</v>
      </c>
      <c r="B767" s="716">
        <v>29219608</v>
      </c>
      <c r="C767" s="200">
        <v>0</v>
      </c>
      <c r="D767" s="200">
        <v>0</v>
      </c>
      <c r="E767" s="200">
        <v>0</v>
      </c>
      <c r="F767" s="200">
        <v>0</v>
      </c>
      <c r="G767" s="200">
        <v>0</v>
      </c>
      <c r="H767" s="200">
        <v>0</v>
      </c>
      <c r="I767" s="348">
        <f t="shared" si="15"/>
        <v>29219608</v>
      </c>
      <c r="J767" s="192" t="s">
        <v>727</v>
      </c>
    </row>
    <row r="768" spans="1:10" hidden="1" outlineLevel="1">
      <c r="A768" s="381" t="s">
        <v>1370</v>
      </c>
      <c r="B768" s="716">
        <v>22894550.199999999</v>
      </c>
      <c r="C768" s="200">
        <v>821389</v>
      </c>
      <c r="D768" s="200">
        <v>0</v>
      </c>
      <c r="E768" s="200">
        <v>0</v>
      </c>
      <c r="F768" s="200">
        <v>0</v>
      </c>
      <c r="G768" s="200">
        <v>0</v>
      </c>
      <c r="H768" s="200">
        <v>0</v>
      </c>
      <c r="I768" s="348">
        <f t="shared" si="15"/>
        <v>23715939.199999999</v>
      </c>
      <c r="J768" s="192" t="s">
        <v>1371</v>
      </c>
    </row>
    <row r="769" spans="1:10" hidden="1" outlineLevel="1">
      <c r="A769" s="381" t="s">
        <v>1522</v>
      </c>
      <c r="B769" s="716">
        <v>285750523</v>
      </c>
      <c r="C769" s="200">
        <v>0</v>
      </c>
      <c r="D769" s="200">
        <v>0</v>
      </c>
      <c r="E769" s="200">
        <v>0</v>
      </c>
      <c r="F769" s="200">
        <v>0</v>
      </c>
      <c r="G769" s="200">
        <v>0</v>
      </c>
      <c r="H769" s="200">
        <v>0</v>
      </c>
      <c r="I769" s="348">
        <f t="shared" si="15"/>
        <v>285750523</v>
      </c>
      <c r="J769" s="192" t="s">
        <v>1523</v>
      </c>
    </row>
    <row r="770" spans="1:10" hidden="1" outlineLevel="1">
      <c r="A770" s="381" t="s">
        <v>1223</v>
      </c>
      <c r="B770" s="716">
        <v>61340176.417000003</v>
      </c>
      <c r="C770" s="200">
        <v>0</v>
      </c>
      <c r="D770" s="200">
        <v>0</v>
      </c>
      <c r="E770" s="200">
        <v>0</v>
      </c>
      <c r="F770" s="200">
        <v>0</v>
      </c>
      <c r="G770" s="200">
        <v>0</v>
      </c>
      <c r="H770" s="200">
        <v>0</v>
      </c>
      <c r="I770" s="348">
        <f t="shared" si="15"/>
        <v>61340176.417000003</v>
      </c>
      <c r="J770" s="192" t="s">
        <v>1224</v>
      </c>
    </row>
    <row r="771" spans="1:10" hidden="1" outlineLevel="1">
      <c r="A771" s="381" t="s">
        <v>1432</v>
      </c>
      <c r="B771" s="716">
        <v>66518865.289999999</v>
      </c>
      <c r="C771" s="200">
        <v>0</v>
      </c>
      <c r="D771" s="200">
        <v>0</v>
      </c>
      <c r="E771" s="200">
        <v>0</v>
      </c>
      <c r="F771" s="200">
        <v>0</v>
      </c>
      <c r="G771" s="200">
        <v>0</v>
      </c>
      <c r="H771" s="200">
        <v>0</v>
      </c>
      <c r="I771" s="348">
        <f t="shared" si="15"/>
        <v>66518865.289999999</v>
      </c>
      <c r="J771" s="192" t="s">
        <v>1433</v>
      </c>
    </row>
    <row r="772" spans="1:10" hidden="1" outlineLevel="1">
      <c r="A772" s="381" t="s">
        <v>1364</v>
      </c>
      <c r="B772" s="716">
        <v>71946527.569999993</v>
      </c>
      <c r="C772" s="200">
        <v>0</v>
      </c>
      <c r="D772" s="200">
        <v>0</v>
      </c>
      <c r="E772" s="200">
        <v>0</v>
      </c>
      <c r="F772" s="200">
        <v>0</v>
      </c>
      <c r="G772" s="200">
        <v>0</v>
      </c>
      <c r="H772" s="200">
        <v>0</v>
      </c>
      <c r="I772" s="348">
        <f t="shared" si="15"/>
        <v>71946527.569999993</v>
      </c>
      <c r="J772" s="192" t="s">
        <v>1365</v>
      </c>
    </row>
    <row r="773" spans="1:10" hidden="1" outlineLevel="1">
      <c r="A773" s="381" t="s">
        <v>1822</v>
      </c>
      <c r="B773" s="716">
        <v>61944441</v>
      </c>
      <c r="C773" s="200">
        <v>156888</v>
      </c>
      <c r="D773" s="200">
        <v>0</v>
      </c>
      <c r="E773" s="200">
        <v>0</v>
      </c>
      <c r="F773" s="200">
        <v>0</v>
      </c>
      <c r="G773" s="200">
        <v>0</v>
      </c>
      <c r="H773" s="200">
        <v>0</v>
      </c>
      <c r="I773" s="348">
        <f t="shared" si="15"/>
        <v>62101329</v>
      </c>
      <c r="J773" s="192" t="s">
        <v>1823</v>
      </c>
    </row>
    <row r="774" spans="1:10" hidden="1" outlineLevel="1">
      <c r="A774" s="381" t="s">
        <v>1285</v>
      </c>
      <c r="B774" s="716">
        <v>55885806</v>
      </c>
      <c r="C774" s="200">
        <v>1037979</v>
      </c>
      <c r="D774" s="200">
        <v>0</v>
      </c>
      <c r="E774" s="200">
        <v>0</v>
      </c>
      <c r="F774" s="200">
        <v>0</v>
      </c>
      <c r="G774" s="200">
        <v>0</v>
      </c>
      <c r="H774" s="200">
        <v>0</v>
      </c>
      <c r="I774" s="348">
        <f t="shared" si="15"/>
        <v>56923785</v>
      </c>
      <c r="J774" s="192" t="s">
        <v>1286</v>
      </c>
    </row>
    <row r="775" spans="1:10" hidden="1" outlineLevel="1">
      <c r="A775" s="381" t="s">
        <v>768</v>
      </c>
      <c r="B775" s="716">
        <v>18898261.960000001</v>
      </c>
      <c r="C775" s="200">
        <v>0</v>
      </c>
      <c r="D775" s="200">
        <v>0</v>
      </c>
      <c r="E775" s="200">
        <v>0</v>
      </c>
      <c r="F775" s="200">
        <v>0</v>
      </c>
      <c r="G775" s="200">
        <v>0</v>
      </c>
      <c r="H775" s="200">
        <v>0</v>
      </c>
      <c r="I775" s="348">
        <f t="shared" si="15"/>
        <v>18898261.960000001</v>
      </c>
      <c r="J775" s="192" t="s">
        <v>769</v>
      </c>
    </row>
    <row r="776" spans="1:10" hidden="1" outlineLevel="1">
      <c r="A776" s="381" t="s">
        <v>2277</v>
      </c>
      <c r="B776" s="716">
        <v>11430636.313999999</v>
      </c>
      <c r="C776" s="200">
        <v>0</v>
      </c>
      <c r="D776" s="200">
        <v>0</v>
      </c>
      <c r="E776" s="200">
        <v>0</v>
      </c>
      <c r="F776" s="200">
        <v>0</v>
      </c>
      <c r="G776" s="200">
        <v>0</v>
      </c>
      <c r="H776" s="200">
        <v>0</v>
      </c>
      <c r="I776" s="348">
        <f t="shared" si="15"/>
        <v>11430636.313999999</v>
      </c>
      <c r="J776" s="192" t="s">
        <v>2278</v>
      </c>
    </row>
    <row r="777" spans="1:10" hidden="1" outlineLevel="1">
      <c r="A777" s="381" t="s">
        <v>2279</v>
      </c>
      <c r="B777" s="716">
        <v>31719930</v>
      </c>
      <c r="C777" s="200">
        <v>0</v>
      </c>
      <c r="D777" s="200">
        <v>0</v>
      </c>
      <c r="E777" s="200">
        <v>0</v>
      </c>
      <c r="F777" s="200">
        <v>0</v>
      </c>
      <c r="G777" s="200">
        <v>0</v>
      </c>
      <c r="H777" s="200">
        <v>0</v>
      </c>
      <c r="I777" s="348">
        <f t="shared" si="15"/>
        <v>31719930</v>
      </c>
      <c r="J777" s="192" t="s">
        <v>2280</v>
      </c>
    </row>
    <row r="778" spans="1:10" hidden="1" outlineLevel="1">
      <c r="A778" s="381" t="s">
        <v>2281</v>
      </c>
      <c r="B778" s="716">
        <v>3234498.84</v>
      </c>
      <c r="C778" s="200">
        <v>0</v>
      </c>
      <c r="D778" s="200">
        <v>0</v>
      </c>
      <c r="E778" s="200">
        <v>0</v>
      </c>
      <c r="F778" s="200">
        <v>0</v>
      </c>
      <c r="G778" s="200">
        <v>0</v>
      </c>
      <c r="H778" s="200">
        <v>0</v>
      </c>
      <c r="I778" s="348">
        <f t="shared" si="15"/>
        <v>3234498.84</v>
      </c>
      <c r="J778" s="192" t="s">
        <v>2282</v>
      </c>
    </row>
    <row r="779" spans="1:10" hidden="1" outlineLevel="1">
      <c r="A779" s="381" t="s">
        <v>1826</v>
      </c>
      <c r="B779" s="716">
        <v>216149409</v>
      </c>
      <c r="C779" s="200">
        <v>0</v>
      </c>
      <c r="D779" s="200">
        <v>0</v>
      </c>
      <c r="E779" s="200">
        <v>0</v>
      </c>
      <c r="F779" s="200">
        <v>0</v>
      </c>
      <c r="G779" s="200">
        <v>0</v>
      </c>
      <c r="H779" s="200">
        <v>0</v>
      </c>
      <c r="I779" s="348">
        <f t="shared" si="15"/>
        <v>216149409</v>
      </c>
      <c r="J779" s="192" t="s">
        <v>1827</v>
      </c>
    </row>
    <row r="780" spans="1:10" hidden="1" outlineLevel="1">
      <c r="A780" s="381" t="s">
        <v>2283</v>
      </c>
      <c r="B780" s="716">
        <v>28456465.449999999</v>
      </c>
      <c r="C780" s="200">
        <v>0</v>
      </c>
      <c r="D780" s="200">
        <v>0</v>
      </c>
      <c r="E780" s="200">
        <v>0</v>
      </c>
      <c r="F780" s="200">
        <v>0</v>
      </c>
      <c r="G780" s="200">
        <v>0</v>
      </c>
      <c r="H780" s="200">
        <v>0</v>
      </c>
      <c r="I780" s="348">
        <f t="shared" si="15"/>
        <v>28456465.449999999</v>
      </c>
      <c r="J780" s="192" t="s">
        <v>2284</v>
      </c>
    </row>
    <row r="781" spans="1:10" hidden="1" outlineLevel="1">
      <c r="A781" s="381" t="s">
        <v>2285</v>
      </c>
      <c r="B781" s="715">
        <v>695288</v>
      </c>
      <c r="C781" s="200">
        <v>0</v>
      </c>
      <c r="D781" s="200">
        <v>0</v>
      </c>
      <c r="E781" s="200">
        <v>0</v>
      </c>
      <c r="F781" s="200">
        <v>0</v>
      </c>
      <c r="G781" s="200">
        <v>0</v>
      </c>
      <c r="H781" s="200">
        <v>0</v>
      </c>
      <c r="I781" s="348">
        <f t="shared" si="15"/>
        <v>695288</v>
      </c>
      <c r="J781" s="192" t="s">
        <v>2286</v>
      </c>
    </row>
    <row r="782" spans="1:10" hidden="1" outlineLevel="1">
      <c r="A782" s="381" t="s">
        <v>2287</v>
      </c>
      <c r="B782" s="715">
        <v>0</v>
      </c>
      <c r="C782" s="199">
        <v>0</v>
      </c>
      <c r="D782" s="200">
        <v>0</v>
      </c>
      <c r="E782" s="200">
        <v>0</v>
      </c>
      <c r="F782" s="200">
        <v>0</v>
      </c>
      <c r="G782" s="200">
        <v>0</v>
      </c>
      <c r="H782" s="200">
        <v>0</v>
      </c>
      <c r="I782" s="348">
        <f>SUM(B782:H782)</f>
        <v>0</v>
      </c>
      <c r="J782" s="192" t="s">
        <v>2288</v>
      </c>
    </row>
    <row r="783" spans="1:10" hidden="1" outlineLevel="1">
      <c r="A783" s="381" t="s">
        <v>2289</v>
      </c>
      <c r="B783" s="715">
        <v>0</v>
      </c>
      <c r="C783" s="199">
        <v>0</v>
      </c>
      <c r="D783" s="200">
        <v>0</v>
      </c>
      <c r="E783" s="200">
        <v>0</v>
      </c>
      <c r="F783" s="200">
        <v>0</v>
      </c>
      <c r="G783" s="200">
        <v>0</v>
      </c>
      <c r="H783" s="200">
        <v>0</v>
      </c>
      <c r="I783" s="348">
        <f>SUM(B783:H783)</f>
        <v>0</v>
      </c>
      <c r="J783" s="192" t="s">
        <v>2290</v>
      </c>
    </row>
    <row r="784" spans="1:10" ht="13.5" collapsed="1" thickBot="1">
      <c r="A784" s="382" t="s">
        <v>1828</v>
      </c>
      <c r="B784" s="201">
        <f>SUM(B785:B922)</f>
        <v>45111195326</v>
      </c>
      <c r="C784" s="201">
        <f>SUM(C785:C922)</f>
        <v>34780640</v>
      </c>
      <c r="D784" s="202">
        <f>SUM(D785:D922)</f>
        <v>0</v>
      </c>
      <c r="E784" s="202">
        <f t="shared" ref="E784:H784" si="16">SUM(E785:E922)</f>
        <v>0</v>
      </c>
      <c r="F784" s="202">
        <f t="shared" si="16"/>
        <v>2272678372</v>
      </c>
      <c r="G784" s="202">
        <f t="shared" si="16"/>
        <v>2004015</v>
      </c>
      <c r="H784" s="202">
        <f t="shared" si="16"/>
        <v>0</v>
      </c>
      <c r="I784" s="585">
        <f>SUM(B784:H784)</f>
        <v>47420658353</v>
      </c>
    </row>
    <row r="785" spans="1:10" hidden="1" outlineLevel="1">
      <c r="A785" s="381" t="s">
        <v>1829</v>
      </c>
      <c r="B785" s="199">
        <v>224148973</v>
      </c>
      <c r="C785" s="200">
        <v>0</v>
      </c>
      <c r="D785" s="200">
        <v>0</v>
      </c>
      <c r="E785" s="200">
        <v>0</v>
      </c>
      <c r="F785" s="200">
        <v>0</v>
      </c>
      <c r="G785" s="200">
        <v>0</v>
      </c>
      <c r="H785" s="200">
        <v>0</v>
      </c>
      <c r="I785" s="348">
        <f>SUM(B785:H785)</f>
        <v>224148973</v>
      </c>
      <c r="J785" s="192" t="s">
        <v>1830</v>
      </c>
    </row>
    <row r="786" spans="1:10" hidden="1" outlineLevel="1">
      <c r="A786" s="381" t="s">
        <v>1831</v>
      </c>
      <c r="B786" s="199">
        <v>442696616</v>
      </c>
      <c r="C786" s="200">
        <v>47124</v>
      </c>
      <c r="D786" s="200">
        <v>0</v>
      </c>
      <c r="E786" s="200">
        <v>0</v>
      </c>
      <c r="F786" s="200">
        <v>0</v>
      </c>
      <c r="G786" s="200">
        <v>0</v>
      </c>
      <c r="H786" s="200">
        <v>0</v>
      </c>
      <c r="I786" s="348">
        <f t="shared" si="15"/>
        <v>442743740</v>
      </c>
      <c r="J786" s="192" t="s">
        <v>1832</v>
      </c>
    </row>
    <row r="787" spans="1:10" hidden="1" outlineLevel="1">
      <c r="A787" s="381" t="s">
        <v>1833</v>
      </c>
      <c r="B787" s="199">
        <v>1293688443</v>
      </c>
      <c r="C787" s="200">
        <v>0</v>
      </c>
      <c r="D787" s="200">
        <v>0</v>
      </c>
      <c r="E787" s="200">
        <v>0</v>
      </c>
      <c r="F787" s="200">
        <v>15920723</v>
      </c>
      <c r="G787" s="200">
        <v>1400002</v>
      </c>
      <c r="H787" s="200">
        <v>0</v>
      </c>
      <c r="I787" s="348">
        <f t="shared" si="15"/>
        <v>1311009168</v>
      </c>
      <c r="J787" s="192" t="s">
        <v>1834</v>
      </c>
    </row>
    <row r="788" spans="1:10" hidden="1" outlineLevel="1">
      <c r="A788" s="381" t="s">
        <v>2291</v>
      </c>
      <c r="B788" s="199">
        <v>11021823</v>
      </c>
      <c r="C788" s="200">
        <v>0</v>
      </c>
      <c r="D788" s="200">
        <v>0</v>
      </c>
      <c r="E788" s="200">
        <v>0</v>
      </c>
      <c r="F788" s="200">
        <v>0</v>
      </c>
      <c r="G788" s="200">
        <v>0</v>
      </c>
      <c r="H788" s="200">
        <v>0</v>
      </c>
      <c r="I788" s="348">
        <f t="shared" ref="I788:I851" si="17">SUM(B788:H788)</f>
        <v>11021823</v>
      </c>
      <c r="J788" s="192" t="s">
        <v>2292</v>
      </c>
    </row>
    <row r="789" spans="1:10" hidden="1" outlineLevel="1">
      <c r="A789" s="381" t="s">
        <v>1021</v>
      </c>
      <c r="B789" s="199">
        <v>132919056</v>
      </c>
      <c r="C789" s="200">
        <v>0</v>
      </c>
      <c r="D789" s="200">
        <v>0</v>
      </c>
      <c r="E789" s="200">
        <v>0</v>
      </c>
      <c r="F789" s="200">
        <v>2069713277</v>
      </c>
      <c r="G789" s="200">
        <v>0</v>
      </c>
      <c r="H789" s="200">
        <v>0</v>
      </c>
      <c r="I789" s="348">
        <f t="shared" si="17"/>
        <v>2202632333</v>
      </c>
      <c r="J789" s="192" t="s">
        <v>944</v>
      </c>
    </row>
    <row r="790" spans="1:10" hidden="1" outlineLevel="1">
      <c r="A790" s="381" t="s">
        <v>1835</v>
      </c>
      <c r="B790" s="199">
        <v>131330167</v>
      </c>
      <c r="C790" s="200">
        <v>0</v>
      </c>
      <c r="D790" s="200">
        <v>0</v>
      </c>
      <c r="E790" s="200">
        <v>0</v>
      </c>
      <c r="F790" s="200">
        <v>0</v>
      </c>
      <c r="G790" s="200">
        <v>604013</v>
      </c>
      <c r="H790" s="200">
        <v>0</v>
      </c>
      <c r="I790" s="348">
        <f t="shared" si="17"/>
        <v>131934180</v>
      </c>
      <c r="J790" s="192" t="s">
        <v>1836</v>
      </c>
    </row>
    <row r="791" spans="1:10" hidden="1" outlineLevel="1">
      <c r="A791" s="381" t="s">
        <v>542</v>
      </c>
      <c r="B791" s="199">
        <v>2679916</v>
      </c>
      <c r="C791" s="200">
        <v>0</v>
      </c>
      <c r="D791" s="200">
        <v>0</v>
      </c>
      <c r="E791" s="200">
        <v>0</v>
      </c>
      <c r="F791" s="200">
        <v>0</v>
      </c>
      <c r="G791" s="200">
        <v>0</v>
      </c>
      <c r="H791" s="200">
        <v>0</v>
      </c>
      <c r="I791" s="348">
        <f t="shared" si="17"/>
        <v>2679916</v>
      </c>
      <c r="J791" s="192" t="s">
        <v>543</v>
      </c>
    </row>
    <row r="792" spans="1:10" hidden="1" outlineLevel="1">
      <c r="A792" s="381" t="s">
        <v>1837</v>
      </c>
      <c r="B792" s="199">
        <v>149934845</v>
      </c>
      <c r="C792" s="200">
        <v>0</v>
      </c>
      <c r="D792" s="200">
        <v>0</v>
      </c>
      <c r="E792" s="200">
        <v>0</v>
      </c>
      <c r="F792" s="200">
        <v>0</v>
      </c>
      <c r="G792" s="200">
        <v>0</v>
      </c>
      <c r="H792" s="200">
        <v>0</v>
      </c>
      <c r="I792" s="348">
        <f t="shared" si="17"/>
        <v>149934845</v>
      </c>
      <c r="J792" s="192" t="s">
        <v>1838</v>
      </c>
    </row>
    <row r="793" spans="1:10" hidden="1" outlineLevel="1">
      <c r="A793" s="381" t="s">
        <v>1839</v>
      </c>
      <c r="B793" s="199">
        <v>79394436</v>
      </c>
      <c r="C793" s="200">
        <v>1528404</v>
      </c>
      <c r="D793" s="200">
        <v>0</v>
      </c>
      <c r="E793" s="200">
        <v>0</v>
      </c>
      <c r="F793" s="200">
        <v>0</v>
      </c>
      <c r="G793" s="200">
        <v>0</v>
      </c>
      <c r="H793" s="200">
        <v>0</v>
      </c>
      <c r="I793" s="348">
        <f t="shared" si="17"/>
        <v>80922840</v>
      </c>
      <c r="J793" s="192" t="s">
        <v>1840</v>
      </c>
    </row>
    <row r="794" spans="1:10" hidden="1" outlineLevel="1">
      <c r="A794" s="381" t="s">
        <v>1841</v>
      </c>
      <c r="B794" s="199">
        <v>17304016</v>
      </c>
      <c r="C794" s="200">
        <v>18923</v>
      </c>
      <c r="D794" s="200">
        <v>0</v>
      </c>
      <c r="E794" s="200">
        <v>0</v>
      </c>
      <c r="F794" s="200">
        <v>0</v>
      </c>
      <c r="G794" s="200">
        <v>0</v>
      </c>
      <c r="H794" s="200">
        <v>0</v>
      </c>
      <c r="I794" s="348">
        <f t="shared" si="17"/>
        <v>17322939</v>
      </c>
      <c r="J794" s="192" t="s">
        <v>1842</v>
      </c>
    </row>
    <row r="795" spans="1:10" hidden="1" outlineLevel="1">
      <c r="A795" s="381" t="s">
        <v>1843</v>
      </c>
      <c r="B795" s="199">
        <v>25395615</v>
      </c>
      <c r="C795" s="200">
        <v>0</v>
      </c>
      <c r="D795" s="200">
        <v>0</v>
      </c>
      <c r="E795" s="200">
        <v>0</v>
      </c>
      <c r="F795" s="200">
        <v>0</v>
      </c>
      <c r="G795" s="200">
        <v>0</v>
      </c>
      <c r="H795" s="200">
        <v>0</v>
      </c>
      <c r="I795" s="348">
        <f t="shared" si="17"/>
        <v>25395615</v>
      </c>
      <c r="J795" s="192" t="s">
        <v>1844</v>
      </c>
    </row>
    <row r="796" spans="1:10" hidden="1" outlineLevel="1">
      <c r="A796" s="381" t="s">
        <v>1845</v>
      </c>
      <c r="B796" s="199">
        <v>151601296</v>
      </c>
      <c r="C796" s="200">
        <v>0</v>
      </c>
      <c r="D796" s="200">
        <v>0</v>
      </c>
      <c r="E796" s="200">
        <v>0</v>
      </c>
      <c r="F796" s="200">
        <v>0</v>
      </c>
      <c r="G796" s="200">
        <v>0</v>
      </c>
      <c r="H796" s="200">
        <v>0</v>
      </c>
      <c r="I796" s="348">
        <f t="shared" si="17"/>
        <v>151601296</v>
      </c>
      <c r="J796" s="192" t="s">
        <v>1846</v>
      </c>
    </row>
    <row r="797" spans="1:10" hidden="1" outlineLevel="1">
      <c r="A797" s="381" t="s">
        <v>1847</v>
      </c>
      <c r="B797" s="199">
        <v>40400137</v>
      </c>
      <c r="C797" s="200">
        <v>0</v>
      </c>
      <c r="D797" s="200">
        <v>0</v>
      </c>
      <c r="E797" s="200">
        <v>0</v>
      </c>
      <c r="F797" s="200">
        <v>0</v>
      </c>
      <c r="G797" s="200">
        <v>0</v>
      </c>
      <c r="H797" s="200">
        <v>0</v>
      </c>
      <c r="I797" s="348">
        <f t="shared" si="17"/>
        <v>40400137</v>
      </c>
      <c r="J797" s="192" t="s">
        <v>1848</v>
      </c>
    </row>
    <row r="798" spans="1:10" hidden="1" outlineLevel="1">
      <c r="A798" s="381" t="s">
        <v>2293</v>
      </c>
      <c r="B798" s="199">
        <v>9988024</v>
      </c>
      <c r="C798" s="200">
        <v>0</v>
      </c>
      <c r="D798" s="200">
        <v>0</v>
      </c>
      <c r="E798" s="200">
        <v>0</v>
      </c>
      <c r="F798" s="200">
        <v>0</v>
      </c>
      <c r="G798" s="200">
        <v>0</v>
      </c>
      <c r="H798" s="200">
        <v>0</v>
      </c>
      <c r="I798" s="348">
        <f t="shared" si="17"/>
        <v>9988024</v>
      </c>
      <c r="J798" s="192" t="s">
        <v>2294</v>
      </c>
    </row>
    <row r="799" spans="1:10" hidden="1" outlineLevel="1">
      <c r="A799" s="381" t="s">
        <v>1849</v>
      </c>
      <c r="B799" s="199">
        <v>38433958</v>
      </c>
      <c r="C799" s="200">
        <v>6909</v>
      </c>
      <c r="D799" s="200">
        <v>0</v>
      </c>
      <c r="E799" s="200">
        <v>0</v>
      </c>
      <c r="F799" s="200">
        <v>0</v>
      </c>
      <c r="G799" s="200">
        <v>0</v>
      </c>
      <c r="H799" s="200">
        <v>0</v>
      </c>
      <c r="I799" s="348">
        <f t="shared" si="17"/>
        <v>38440867</v>
      </c>
      <c r="J799" s="192" t="s">
        <v>1850</v>
      </c>
    </row>
    <row r="800" spans="1:10" hidden="1" outlineLevel="1">
      <c r="A800" s="381" t="s">
        <v>1851</v>
      </c>
      <c r="B800" s="199">
        <v>36371963</v>
      </c>
      <c r="C800" s="200">
        <v>0</v>
      </c>
      <c r="D800" s="200">
        <v>0</v>
      </c>
      <c r="E800" s="200">
        <v>0</v>
      </c>
      <c r="F800" s="200">
        <v>0</v>
      </c>
      <c r="G800" s="200">
        <v>0</v>
      </c>
      <c r="H800" s="200">
        <v>0</v>
      </c>
      <c r="I800" s="348">
        <f t="shared" si="17"/>
        <v>36371963</v>
      </c>
      <c r="J800" s="192" t="s">
        <v>1852</v>
      </c>
    </row>
    <row r="801" spans="1:10" hidden="1" outlineLevel="1">
      <c r="A801" s="381" t="s">
        <v>1853</v>
      </c>
      <c r="B801" s="199">
        <v>62202387</v>
      </c>
      <c r="C801" s="200">
        <v>815788</v>
      </c>
      <c r="D801" s="200">
        <v>0</v>
      </c>
      <c r="E801" s="200">
        <v>0</v>
      </c>
      <c r="F801" s="200">
        <v>0</v>
      </c>
      <c r="G801" s="200">
        <v>0</v>
      </c>
      <c r="H801" s="200">
        <v>0</v>
      </c>
      <c r="I801" s="348">
        <f t="shared" si="17"/>
        <v>63018175</v>
      </c>
      <c r="J801" s="192" t="s">
        <v>1854</v>
      </c>
    </row>
    <row r="802" spans="1:10" hidden="1" outlineLevel="1">
      <c r="A802" s="381" t="s">
        <v>1855</v>
      </c>
      <c r="B802" s="199">
        <v>219396407</v>
      </c>
      <c r="C802" s="200">
        <v>0</v>
      </c>
      <c r="D802" s="200">
        <v>0</v>
      </c>
      <c r="E802" s="200">
        <v>0</v>
      </c>
      <c r="F802" s="200">
        <v>0</v>
      </c>
      <c r="G802" s="200">
        <v>0</v>
      </c>
      <c r="H802" s="200">
        <v>0</v>
      </c>
      <c r="I802" s="348">
        <f t="shared" si="17"/>
        <v>219396407</v>
      </c>
      <c r="J802" s="192" t="s">
        <v>1856</v>
      </c>
    </row>
    <row r="803" spans="1:10" hidden="1" outlineLevel="1">
      <c r="A803" s="381" t="s">
        <v>1857</v>
      </c>
      <c r="B803" s="199">
        <v>24576171</v>
      </c>
      <c r="C803" s="200">
        <v>0</v>
      </c>
      <c r="D803" s="200">
        <v>0</v>
      </c>
      <c r="E803" s="200">
        <v>0</v>
      </c>
      <c r="F803" s="200">
        <v>0</v>
      </c>
      <c r="G803" s="200">
        <v>0</v>
      </c>
      <c r="H803" s="200">
        <v>0</v>
      </c>
      <c r="I803" s="348">
        <f t="shared" si="17"/>
        <v>24576171</v>
      </c>
      <c r="J803" s="192" t="s">
        <v>1858</v>
      </c>
    </row>
    <row r="804" spans="1:10" hidden="1" outlineLevel="1">
      <c r="A804" s="381" t="s">
        <v>1859</v>
      </c>
      <c r="B804" s="199">
        <v>212473515</v>
      </c>
      <c r="C804" s="200">
        <v>2661201</v>
      </c>
      <c r="D804" s="200">
        <v>0</v>
      </c>
      <c r="E804" s="200">
        <v>0</v>
      </c>
      <c r="F804" s="200">
        <v>0</v>
      </c>
      <c r="G804" s="200">
        <v>0</v>
      </c>
      <c r="H804" s="200">
        <v>0</v>
      </c>
      <c r="I804" s="348">
        <f t="shared" si="17"/>
        <v>215134716</v>
      </c>
      <c r="J804" s="192" t="s">
        <v>1860</v>
      </c>
    </row>
    <row r="805" spans="1:10" hidden="1" outlineLevel="1">
      <c r="A805" s="381" t="s">
        <v>1861</v>
      </c>
      <c r="B805" s="199">
        <v>63341081</v>
      </c>
      <c r="C805" s="200">
        <v>0</v>
      </c>
      <c r="D805" s="200">
        <v>0</v>
      </c>
      <c r="E805" s="200">
        <v>0</v>
      </c>
      <c r="F805" s="200">
        <v>0</v>
      </c>
      <c r="G805" s="200">
        <v>0</v>
      </c>
      <c r="H805" s="200">
        <v>0</v>
      </c>
      <c r="I805" s="348">
        <f t="shared" si="17"/>
        <v>63341081</v>
      </c>
      <c r="J805" s="192" t="s">
        <v>1862</v>
      </c>
    </row>
    <row r="806" spans="1:10" hidden="1" outlineLevel="1">
      <c r="A806" s="381" t="s">
        <v>1863</v>
      </c>
      <c r="B806" s="199">
        <v>113720218</v>
      </c>
      <c r="C806" s="200">
        <v>0</v>
      </c>
      <c r="D806" s="200">
        <v>0</v>
      </c>
      <c r="E806" s="200">
        <v>0</v>
      </c>
      <c r="F806" s="200">
        <v>0</v>
      </c>
      <c r="G806" s="200">
        <v>0</v>
      </c>
      <c r="H806" s="200">
        <v>0</v>
      </c>
      <c r="I806" s="348">
        <f t="shared" si="17"/>
        <v>113720218</v>
      </c>
      <c r="J806" s="192" t="s">
        <v>1864</v>
      </c>
    </row>
    <row r="807" spans="1:10" hidden="1" outlineLevel="1">
      <c r="A807" s="381" t="s">
        <v>1865</v>
      </c>
      <c r="B807" s="199">
        <v>118563011</v>
      </c>
      <c r="C807" s="200">
        <v>0</v>
      </c>
      <c r="D807" s="200">
        <v>0</v>
      </c>
      <c r="E807" s="200">
        <v>0</v>
      </c>
      <c r="F807" s="200">
        <v>0</v>
      </c>
      <c r="G807" s="200">
        <v>0</v>
      </c>
      <c r="H807" s="200">
        <v>0</v>
      </c>
      <c r="I807" s="348">
        <f t="shared" si="17"/>
        <v>118563011</v>
      </c>
      <c r="J807" s="192" t="s">
        <v>1866</v>
      </c>
    </row>
    <row r="808" spans="1:10" hidden="1" outlineLevel="1">
      <c r="A808" s="381" t="s">
        <v>1867</v>
      </c>
      <c r="B808" s="199">
        <v>66029882</v>
      </c>
      <c r="C808" s="200">
        <v>0</v>
      </c>
      <c r="D808" s="200">
        <v>0</v>
      </c>
      <c r="E808" s="200">
        <v>0</v>
      </c>
      <c r="F808" s="200">
        <v>0</v>
      </c>
      <c r="G808" s="200">
        <v>0</v>
      </c>
      <c r="H808" s="200">
        <v>0</v>
      </c>
      <c r="I808" s="348">
        <f t="shared" si="17"/>
        <v>66029882</v>
      </c>
      <c r="J808" s="192" t="s">
        <v>1868</v>
      </c>
    </row>
    <row r="809" spans="1:10" hidden="1" outlineLevel="1">
      <c r="A809" s="381" t="s">
        <v>1869</v>
      </c>
      <c r="B809" s="199">
        <v>188306175</v>
      </c>
      <c r="C809" s="200">
        <v>0</v>
      </c>
      <c r="D809" s="200">
        <v>0</v>
      </c>
      <c r="E809" s="200">
        <v>0</v>
      </c>
      <c r="F809" s="200">
        <v>0</v>
      </c>
      <c r="G809" s="200">
        <v>0</v>
      </c>
      <c r="H809" s="200">
        <v>0</v>
      </c>
      <c r="I809" s="348">
        <f t="shared" si="17"/>
        <v>188306175</v>
      </c>
      <c r="J809" s="192" t="s">
        <v>1870</v>
      </c>
    </row>
    <row r="810" spans="1:10" hidden="1" outlineLevel="1">
      <c r="A810" s="381" t="s">
        <v>1871</v>
      </c>
      <c r="B810" s="199">
        <v>16932167</v>
      </c>
      <c r="C810" s="200">
        <v>0</v>
      </c>
      <c r="D810" s="200">
        <v>0</v>
      </c>
      <c r="E810" s="200">
        <v>0</v>
      </c>
      <c r="F810" s="200">
        <v>0</v>
      </c>
      <c r="G810" s="200">
        <v>0</v>
      </c>
      <c r="H810" s="200">
        <v>0</v>
      </c>
      <c r="I810" s="348">
        <f t="shared" si="17"/>
        <v>16932167</v>
      </c>
      <c r="J810" s="192" t="s">
        <v>1872</v>
      </c>
    </row>
    <row r="811" spans="1:10" hidden="1" outlineLevel="1">
      <c r="A811" s="381" t="s">
        <v>1873</v>
      </c>
      <c r="B811" s="199">
        <v>919698752</v>
      </c>
      <c r="C811" s="200">
        <v>0</v>
      </c>
      <c r="D811" s="200">
        <v>0</v>
      </c>
      <c r="E811" s="200">
        <v>0</v>
      </c>
      <c r="F811" s="200">
        <v>0</v>
      </c>
      <c r="G811" s="200">
        <v>0</v>
      </c>
      <c r="H811" s="200">
        <v>0</v>
      </c>
      <c r="I811" s="348">
        <f t="shared" si="17"/>
        <v>919698752</v>
      </c>
      <c r="J811" s="192" t="s">
        <v>1874</v>
      </c>
    </row>
    <row r="812" spans="1:10" hidden="1" outlineLevel="1">
      <c r="A812" s="381" t="s">
        <v>799</v>
      </c>
      <c r="B812" s="199">
        <v>5575163</v>
      </c>
      <c r="C812" s="200">
        <v>0</v>
      </c>
      <c r="D812" s="200">
        <v>0</v>
      </c>
      <c r="E812" s="200">
        <v>0</v>
      </c>
      <c r="F812" s="200">
        <v>0</v>
      </c>
      <c r="G812" s="200">
        <v>0</v>
      </c>
      <c r="H812" s="200">
        <v>0</v>
      </c>
      <c r="I812" s="348">
        <f t="shared" si="17"/>
        <v>5575163</v>
      </c>
      <c r="J812" s="192" t="s">
        <v>800</v>
      </c>
    </row>
    <row r="813" spans="1:10" hidden="1" outlineLevel="1">
      <c r="A813" s="381" t="s">
        <v>2295</v>
      </c>
      <c r="B813" s="199">
        <v>51472405</v>
      </c>
      <c r="C813" s="200">
        <v>0</v>
      </c>
      <c r="D813" s="200">
        <v>0</v>
      </c>
      <c r="E813" s="200">
        <v>0</v>
      </c>
      <c r="F813" s="200">
        <v>0</v>
      </c>
      <c r="G813" s="200">
        <v>0</v>
      </c>
      <c r="H813" s="200">
        <v>0</v>
      </c>
      <c r="I813" s="348">
        <f t="shared" si="17"/>
        <v>51472405</v>
      </c>
      <c r="J813" s="192" t="s">
        <v>2296</v>
      </c>
    </row>
    <row r="814" spans="1:10" hidden="1" outlineLevel="1">
      <c r="A814" s="381" t="s">
        <v>2297</v>
      </c>
      <c r="B814" s="199">
        <v>49465606</v>
      </c>
      <c r="C814" s="200">
        <v>0</v>
      </c>
      <c r="D814" s="200">
        <v>0</v>
      </c>
      <c r="E814" s="200">
        <v>0</v>
      </c>
      <c r="F814" s="200">
        <v>0</v>
      </c>
      <c r="G814" s="200">
        <v>0</v>
      </c>
      <c r="H814" s="200">
        <v>0</v>
      </c>
      <c r="I814" s="348">
        <f t="shared" si="17"/>
        <v>49465606</v>
      </c>
      <c r="J814" s="192" t="s">
        <v>2298</v>
      </c>
    </row>
    <row r="815" spans="1:10" hidden="1" outlineLevel="1">
      <c r="A815" s="381" t="s">
        <v>1875</v>
      </c>
      <c r="B815" s="199">
        <v>13782525</v>
      </c>
      <c r="C815" s="200">
        <v>295221</v>
      </c>
      <c r="D815" s="200">
        <v>0</v>
      </c>
      <c r="E815" s="200">
        <v>0</v>
      </c>
      <c r="F815" s="200">
        <v>0</v>
      </c>
      <c r="G815" s="200">
        <v>0</v>
      </c>
      <c r="H815" s="200">
        <v>0</v>
      </c>
      <c r="I815" s="348">
        <f t="shared" si="17"/>
        <v>14077746</v>
      </c>
      <c r="J815" s="192" t="s">
        <v>1876</v>
      </c>
    </row>
    <row r="816" spans="1:10" hidden="1" outlineLevel="1">
      <c r="A816" s="381" t="s">
        <v>1877</v>
      </c>
      <c r="B816" s="199">
        <v>10938181</v>
      </c>
      <c r="C816" s="200">
        <v>0</v>
      </c>
      <c r="D816" s="200">
        <v>0</v>
      </c>
      <c r="E816" s="200">
        <v>0</v>
      </c>
      <c r="F816" s="200">
        <v>0</v>
      </c>
      <c r="G816" s="200">
        <v>0</v>
      </c>
      <c r="H816" s="200">
        <v>0</v>
      </c>
      <c r="I816" s="348">
        <f t="shared" si="17"/>
        <v>10938181</v>
      </c>
      <c r="J816" s="192" t="s">
        <v>1878</v>
      </c>
    </row>
    <row r="817" spans="1:10" hidden="1" outlineLevel="1">
      <c r="A817" s="381" t="s">
        <v>1879</v>
      </c>
      <c r="B817" s="199">
        <v>43648726</v>
      </c>
      <c r="C817" s="200">
        <v>12712</v>
      </c>
      <c r="D817" s="200">
        <v>0</v>
      </c>
      <c r="E817" s="200">
        <v>0</v>
      </c>
      <c r="F817" s="200">
        <v>0</v>
      </c>
      <c r="G817" s="200">
        <v>0</v>
      </c>
      <c r="H817" s="200">
        <v>0</v>
      </c>
      <c r="I817" s="348">
        <f t="shared" si="17"/>
        <v>43661438</v>
      </c>
      <c r="J817" s="192" t="s">
        <v>1880</v>
      </c>
    </row>
    <row r="818" spans="1:10" hidden="1" outlineLevel="1">
      <c r="A818" s="381" t="s">
        <v>1881</v>
      </c>
      <c r="B818" s="199">
        <v>25317725</v>
      </c>
      <c r="C818" s="200">
        <v>0</v>
      </c>
      <c r="D818" s="200">
        <v>0</v>
      </c>
      <c r="E818" s="200">
        <v>0</v>
      </c>
      <c r="F818" s="200">
        <v>0</v>
      </c>
      <c r="G818" s="200">
        <v>0</v>
      </c>
      <c r="H818" s="200">
        <v>0</v>
      </c>
      <c r="I818" s="348">
        <f t="shared" si="17"/>
        <v>25317725</v>
      </c>
      <c r="J818" s="192" t="s">
        <v>1882</v>
      </c>
    </row>
    <row r="819" spans="1:10" hidden="1" outlineLevel="1">
      <c r="A819" s="381" t="s">
        <v>1883</v>
      </c>
      <c r="B819" s="199">
        <v>49847697</v>
      </c>
      <c r="C819" s="200">
        <v>0</v>
      </c>
      <c r="D819" s="200">
        <v>0</v>
      </c>
      <c r="E819" s="200">
        <v>0</v>
      </c>
      <c r="F819" s="200">
        <v>0</v>
      </c>
      <c r="G819" s="200">
        <v>0</v>
      </c>
      <c r="H819" s="200">
        <v>0</v>
      </c>
      <c r="I819" s="348">
        <f t="shared" si="17"/>
        <v>49847697</v>
      </c>
      <c r="J819" s="192" t="s">
        <v>1884</v>
      </c>
    </row>
    <row r="820" spans="1:10" hidden="1" outlineLevel="1">
      <c r="A820" s="381" t="s">
        <v>2299</v>
      </c>
      <c r="B820" s="199">
        <v>22844326</v>
      </c>
      <c r="C820" s="200">
        <v>120849</v>
      </c>
      <c r="D820" s="200">
        <v>0</v>
      </c>
      <c r="E820" s="200">
        <v>0</v>
      </c>
      <c r="F820" s="200">
        <v>0</v>
      </c>
      <c r="G820" s="200">
        <v>0</v>
      </c>
      <c r="H820" s="200">
        <v>0</v>
      </c>
      <c r="I820" s="348">
        <f t="shared" si="17"/>
        <v>22965175</v>
      </c>
      <c r="J820" s="192" t="s">
        <v>2300</v>
      </c>
    </row>
    <row r="821" spans="1:10" hidden="1" outlineLevel="1">
      <c r="A821" s="381" t="s">
        <v>1885</v>
      </c>
      <c r="B821" s="199">
        <v>18234178</v>
      </c>
      <c r="C821" s="200">
        <v>126125</v>
      </c>
      <c r="D821" s="200">
        <v>0</v>
      </c>
      <c r="E821" s="200">
        <v>0</v>
      </c>
      <c r="F821" s="200">
        <v>0</v>
      </c>
      <c r="G821" s="200">
        <v>0</v>
      </c>
      <c r="H821" s="200">
        <v>0</v>
      </c>
      <c r="I821" s="348">
        <f t="shared" si="17"/>
        <v>18360303</v>
      </c>
      <c r="J821" s="192" t="s">
        <v>1886</v>
      </c>
    </row>
    <row r="822" spans="1:10" hidden="1" outlineLevel="1">
      <c r="A822" s="381" t="s">
        <v>768</v>
      </c>
      <c r="B822" s="199">
        <v>7968641</v>
      </c>
      <c r="C822" s="200">
        <v>0</v>
      </c>
      <c r="D822" s="200">
        <v>0</v>
      </c>
      <c r="E822" s="200">
        <v>0</v>
      </c>
      <c r="F822" s="200">
        <v>0</v>
      </c>
      <c r="G822" s="200">
        <v>0</v>
      </c>
      <c r="H822" s="200">
        <v>0</v>
      </c>
      <c r="I822" s="348">
        <f t="shared" si="17"/>
        <v>7968641</v>
      </c>
      <c r="J822" s="192" t="s">
        <v>2301</v>
      </c>
    </row>
    <row r="823" spans="1:10" hidden="1" outlineLevel="1">
      <c r="A823" s="381" t="s">
        <v>456</v>
      </c>
      <c r="B823" s="199">
        <v>37709012</v>
      </c>
      <c r="C823" s="200">
        <v>0</v>
      </c>
      <c r="D823" s="200">
        <v>0</v>
      </c>
      <c r="E823" s="200">
        <v>0</v>
      </c>
      <c r="F823" s="200">
        <v>0</v>
      </c>
      <c r="G823" s="200">
        <v>0</v>
      </c>
      <c r="H823" s="200">
        <v>0</v>
      </c>
      <c r="I823" s="348">
        <f t="shared" si="17"/>
        <v>37709012</v>
      </c>
      <c r="J823" s="192" t="s">
        <v>457</v>
      </c>
    </row>
    <row r="824" spans="1:10" hidden="1" outlineLevel="1">
      <c r="A824" s="381" t="s">
        <v>2077</v>
      </c>
      <c r="B824" s="199">
        <v>4761068</v>
      </c>
      <c r="C824" s="200">
        <v>17494</v>
      </c>
      <c r="D824" s="200">
        <v>0</v>
      </c>
      <c r="E824" s="200">
        <v>0</v>
      </c>
      <c r="F824" s="200">
        <v>0</v>
      </c>
      <c r="G824" s="200">
        <v>0</v>
      </c>
      <c r="H824" s="200">
        <v>0</v>
      </c>
      <c r="I824" s="348">
        <f t="shared" si="17"/>
        <v>4778562</v>
      </c>
      <c r="J824" s="192" t="s">
        <v>2078</v>
      </c>
    </row>
    <row r="825" spans="1:10" hidden="1" outlineLevel="1">
      <c r="A825" s="381" t="s">
        <v>2302</v>
      </c>
      <c r="B825" s="199">
        <v>27822584</v>
      </c>
      <c r="C825" s="200">
        <v>0</v>
      </c>
      <c r="D825" s="200">
        <v>0</v>
      </c>
      <c r="E825" s="200">
        <v>0</v>
      </c>
      <c r="F825" s="200">
        <v>0</v>
      </c>
      <c r="G825" s="200">
        <v>0</v>
      </c>
      <c r="H825" s="200">
        <v>0</v>
      </c>
      <c r="I825" s="348">
        <f t="shared" si="17"/>
        <v>27822584</v>
      </c>
      <c r="J825" s="192" t="s">
        <v>2303</v>
      </c>
    </row>
    <row r="826" spans="1:10" hidden="1" outlineLevel="1">
      <c r="A826" s="381" t="s">
        <v>2304</v>
      </c>
      <c r="B826" s="199">
        <v>1766405</v>
      </c>
      <c r="C826" s="200">
        <v>0</v>
      </c>
      <c r="D826" s="200">
        <v>0</v>
      </c>
      <c r="E826" s="200">
        <v>0</v>
      </c>
      <c r="F826" s="200">
        <v>0</v>
      </c>
      <c r="G826" s="200">
        <v>0</v>
      </c>
      <c r="H826" s="200">
        <v>0</v>
      </c>
      <c r="I826" s="348">
        <f t="shared" si="17"/>
        <v>1766405</v>
      </c>
      <c r="J826" s="192" t="s">
        <v>2305</v>
      </c>
    </row>
    <row r="827" spans="1:10" hidden="1" outlineLevel="1">
      <c r="A827" s="381" t="s">
        <v>1887</v>
      </c>
      <c r="B827" s="199">
        <v>174960981</v>
      </c>
      <c r="C827" s="200">
        <v>6292</v>
      </c>
      <c r="D827" s="200">
        <v>0</v>
      </c>
      <c r="E827" s="200">
        <v>0</v>
      </c>
      <c r="F827" s="200">
        <v>0</v>
      </c>
      <c r="G827" s="200">
        <v>0</v>
      </c>
      <c r="H827" s="200">
        <v>0</v>
      </c>
      <c r="I827" s="348">
        <f t="shared" si="17"/>
        <v>174967273</v>
      </c>
      <c r="J827" s="192" t="s">
        <v>1888</v>
      </c>
    </row>
    <row r="828" spans="1:10" hidden="1" outlineLevel="1">
      <c r="A828" s="381" t="s">
        <v>2306</v>
      </c>
      <c r="B828" s="199">
        <v>0</v>
      </c>
      <c r="C828" s="200">
        <v>0</v>
      </c>
      <c r="D828" s="200">
        <v>0</v>
      </c>
      <c r="E828" s="200">
        <v>0</v>
      </c>
      <c r="F828" s="200">
        <v>0</v>
      </c>
      <c r="G828" s="200">
        <v>0</v>
      </c>
      <c r="H828" s="200">
        <v>0</v>
      </c>
      <c r="I828" s="348">
        <f t="shared" si="17"/>
        <v>0</v>
      </c>
      <c r="J828" s="192" t="s">
        <v>2307</v>
      </c>
    </row>
    <row r="829" spans="1:10" hidden="1" outlineLevel="1">
      <c r="A829" s="381" t="s">
        <v>2308</v>
      </c>
      <c r="B829" s="199">
        <v>1921555</v>
      </c>
      <c r="C829" s="200">
        <v>73692</v>
      </c>
      <c r="D829" s="200">
        <v>0</v>
      </c>
      <c r="E829" s="200">
        <v>0</v>
      </c>
      <c r="F829" s="200">
        <v>0</v>
      </c>
      <c r="G829" s="200">
        <v>0</v>
      </c>
      <c r="H829" s="200">
        <v>0</v>
      </c>
      <c r="I829" s="348">
        <f t="shared" si="17"/>
        <v>1995247</v>
      </c>
      <c r="J829" s="192" t="s">
        <v>2309</v>
      </c>
    </row>
    <row r="830" spans="1:10" hidden="1" outlineLevel="1">
      <c r="A830" s="381" t="s">
        <v>1889</v>
      </c>
      <c r="B830" s="199">
        <v>117138475</v>
      </c>
      <c r="C830" s="200">
        <v>0</v>
      </c>
      <c r="D830" s="200">
        <v>0</v>
      </c>
      <c r="E830" s="200">
        <v>0</v>
      </c>
      <c r="F830" s="200">
        <v>0</v>
      </c>
      <c r="G830" s="200">
        <v>0</v>
      </c>
      <c r="H830" s="200">
        <v>0</v>
      </c>
      <c r="I830" s="348">
        <f t="shared" si="17"/>
        <v>117138475</v>
      </c>
      <c r="J830" s="192" t="s">
        <v>1890</v>
      </c>
    </row>
    <row r="831" spans="1:10" hidden="1" outlineLevel="1">
      <c r="A831" s="381" t="s">
        <v>2310</v>
      </c>
      <c r="B831" s="199">
        <v>5478649</v>
      </c>
      <c r="C831" s="200">
        <v>0</v>
      </c>
      <c r="D831" s="200">
        <v>0</v>
      </c>
      <c r="E831" s="200">
        <v>0</v>
      </c>
      <c r="F831" s="200">
        <v>0</v>
      </c>
      <c r="G831" s="200">
        <v>0</v>
      </c>
      <c r="H831" s="200">
        <v>0</v>
      </c>
      <c r="I831" s="348">
        <f t="shared" si="17"/>
        <v>5478649</v>
      </c>
      <c r="J831" s="192" t="s">
        <v>2311</v>
      </c>
    </row>
    <row r="832" spans="1:10" hidden="1" outlineLevel="1">
      <c r="A832" s="381" t="s">
        <v>1891</v>
      </c>
      <c r="B832" s="199">
        <v>1185226</v>
      </c>
      <c r="C832" s="200">
        <v>58745</v>
      </c>
      <c r="D832" s="200">
        <v>0</v>
      </c>
      <c r="E832" s="200">
        <v>0</v>
      </c>
      <c r="F832" s="200">
        <v>0</v>
      </c>
      <c r="G832" s="200">
        <v>0</v>
      </c>
      <c r="H832" s="200">
        <v>0</v>
      </c>
      <c r="I832" s="348">
        <f t="shared" si="17"/>
        <v>1243971</v>
      </c>
      <c r="J832" s="192" t="s">
        <v>1892</v>
      </c>
    </row>
    <row r="833" spans="1:10" hidden="1" outlineLevel="1">
      <c r="A833" s="381" t="s">
        <v>951</v>
      </c>
      <c r="B833" s="199">
        <v>456571</v>
      </c>
      <c r="C833" s="200">
        <v>0</v>
      </c>
      <c r="D833" s="200">
        <v>0</v>
      </c>
      <c r="E833" s="200">
        <v>0</v>
      </c>
      <c r="F833" s="200">
        <v>0</v>
      </c>
      <c r="G833" s="200">
        <v>0</v>
      </c>
      <c r="H833" s="200">
        <v>0</v>
      </c>
      <c r="I833" s="348">
        <f t="shared" si="17"/>
        <v>456571</v>
      </c>
      <c r="J833" s="192" t="s">
        <v>2312</v>
      </c>
    </row>
    <row r="834" spans="1:10" hidden="1" outlineLevel="1">
      <c r="A834" s="381" t="s">
        <v>1893</v>
      </c>
      <c r="B834" s="199">
        <v>1529871052</v>
      </c>
      <c r="C834" s="200">
        <v>0</v>
      </c>
      <c r="D834" s="200">
        <v>0</v>
      </c>
      <c r="E834" s="200">
        <v>0</v>
      </c>
      <c r="F834" s="200">
        <v>27861979</v>
      </c>
      <c r="G834" s="200">
        <v>0</v>
      </c>
      <c r="H834" s="200">
        <v>0</v>
      </c>
      <c r="I834" s="348">
        <f t="shared" si="17"/>
        <v>1557733031</v>
      </c>
      <c r="J834" s="192" t="s">
        <v>1894</v>
      </c>
    </row>
    <row r="835" spans="1:10" hidden="1" outlineLevel="1">
      <c r="A835" s="381" t="s">
        <v>1895</v>
      </c>
      <c r="B835" s="199">
        <v>1651805256</v>
      </c>
      <c r="C835" s="200">
        <v>0</v>
      </c>
      <c r="D835" s="200">
        <v>0</v>
      </c>
      <c r="E835" s="200">
        <v>0</v>
      </c>
      <c r="F835" s="200">
        <v>0</v>
      </c>
      <c r="G835" s="200">
        <v>0</v>
      </c>
      <c r="H835" s="200">
        <v>0</v>
      </c>
      <c r="I835" s="348">
        <f t="shared" si="17"/>
        <v>1651805256</v>
      </c>
      <c r="J835" s="192" t="s">
        <v>1896</v>
      </c>
    </row>
    <row r="836" spans="1:10" hidden="1" outlineLevel="1">
      <c r="A836" s="381" t="s">
        <v>1683</v>
      </c>
      <c r="B836" s="199">
        <v>159141625</v>
      </c>
      <c r="C836" s="200">
        <v>0</v>
      </c>
      <c r="D836" s="200">
        <v>0</v>
      </c>
      <c r="E836" s="200">
        <v>0</v>
      </c>
      <c r="F836" s="200">
        <v>0</v>
      </c>
      <c r="G836" s="200">
        <v>0</v>
      </c>
      <c r="H836" s="200">
        <v>0</v>
      </c>
      <c r="I836" s="348">
        <f t="shared" si="17"/>
        <v>159141625</v>
      </c>
      <c r="J836" s="192" t="s">
        <v>1684</v>
      </c>
    </row>
    <row r="837" spans="1:10" hidden="1" outlineLevel="1">
      <c r="A837" s="381" t="s">
        <v>1897</v>
      </c>
      <c r="B837" s="199">
        <v>30534910</v>
      </c>
      <c r="C837" s="200">
        <v>407999</v>
      </c>
      <c r="D837" s="200">
        <v>0</v>
      </c>
      <c r="E837" s="200">
        <v>0</v>
      </c>
      <c r="F837" s="200">
        <v>0</v>
      </c>
      <c r="G837" s="200">
        <v>0</v>
      </c>
      <c r="H837" s="200">
        <v>0</v>
      </c>
      <c r="I837" s="348">
        <f t="shared" si="17"/>
        <v>30942909</v>
      </c>
      <c r="J837" s="192" t="s">
        <v>1898</v>
      </c>
    </row>
    <row r="838" spans="1:10" hidden="1" outlineLevel="1">
      <c r="A838" s="381" t="s">
        <v>977</v>
      </c>
      <c r="B838" s="199">
        <v>15990313707</v>
      </c>
      <c r="C838" s="200">
        <v>0</v>
      </c>
      <c r="D838" s="200">
        <v>0</v>
      </c>
      <c r="E838" s="200">
        <v>0</v>
      </c>
      <c r="F838" s="200">
        <v>20557181</v>
      </c>
      <c r="G838" s="200">
        <v>0</v>
      </c>
      <c r="H838" s="200">
        <v>0</v>
      </c>
      <c r="I838" s="348">
        <f t="shared" si="17"/>
        <v>16010870888</v>
      </c>
      <c r="J838" s="192" t="s">
        <v>978</v>
      </c>
    </row>
    <row r="839" spans="1:10" hidden="1" outlineLevel="1">
      <c r="A839" s="381" t="s">
        <v>1899</v>
      </c>
      <c r="B839" s="199">
        <v>87628366</v>
      </c>
      <c r="C839" s="200">
        <v>1196189</v>
      </c>
      <c r="D839" s="200">
        <v>0</v>
      </c>
      <c r="E839" s="200">
        <v>0</v>
      </c>
      <c r="F839" s="200">
        <v>0</v>
      </c>
      <c r="G839" s="200">
        <v>0</v>
      </c>
      <c r="H839" s="200">
        <v>0</v>
      </c>
      <c r="I839" s="348">
        <f t="shared" si="17"/>
        <v>88824555</v>
      </c>
      <c r="J839" s="192" t="s">
        <v>1900</v>
      </c>
    </row>
    <row r="840" spans="1:10" hidden="1" outlineLevel="1">
      <c r="A840" s="381" t="s">
        <v>1901</v>
      </c>
      <c r="B840" s="199">
        <v>106825326</v>
      </c>
      <c r="C840" s="200">
        <v>0</v>
      </c>
      <c r="D840" s="200">
        <v>0</v>
      </c>
      <c r="E840" s="200">
        <v>0</v>
      </c>
      <c r="F840" s="200">
        <v>0</v>
      </c>
      <c r="G840" s="200">
        <v>0</v>
      </c>
      <c r="H840" s="200">
        <v>0</v>
      </c>
      <c r="I840" s="348">
        <f t="shared" si="17"/>
        <v>106825326</v>
      </c>
      <c r="J840" s="192" t="s">
        <v>1902</v>
      </c>
    </row>
    <row r="841" spans="1:10" hidden="1" outlineLevel="1">
      <c r="A841" s="381" t="s">
        <v>1903</v>
      </c>
      <c r="B841" s="199">
        <v>1855285334</v>
      </c>
      <c r="C841" s="200">
        <v>0</v>
      </c>
      <c r="D841" s="200">
        <v>0</v>
      </c>
      <c r="E841" s="200">
        <v>0</v>
      </c>
      <c r="F841" s="200">
        <v>0</v>
      </c>
      <c r="G841" s="200">
        <v>0</v>
      </c>
      <c r="H841" s="200">
        <v>0</v>
      </c>
      <c r="I841" s="348">
        <f t="shared" si="17"/>
        <v>1855285334</v>
      </c>
      <c r="J841" s="192" t="s">
        <v>1904</v>
      </c>
    </row>
    <row r="842" spans="1:10" hidden="1" outlineLevel="1">
      <c r="A842" s="381" t="s">
        <v>1905</v>
      </c>
      <c r="B842" s="199">
        <v>622546921</v>
      </c>
      <c r="C842" s="200">
        <v>0</v>
      </c>
      <c r="D842" s="200">
        <v>0</v>
      </c>
      <c r="E842" s="200">
        <v>0</v>
      </c>
      <c r="F842" s="200">
        <v>0</v>
      </c>
      <c r="G842" s="200">
        <v>0</v>
      </c>
      <c r="H842" s="200">
        <v>0</v>
      </c>
      <c r="I842" s="348">
        <f t="shared" si="17"/>
        <v>622546921</v>
      </c>
      <c r="J842" s="192" t="s">
        <v>1906</v>
      </c>
    </row>
    <row r="843" spans="1:10" hidden="1" outlineLevel="1">
      <c r="A843" s="381" t="s">
        <v>1907</v>
      </c>
      <c r="B843" s="199">
        <v>14666378</v>
      </c>
      <c r="C843" s="200">
        <v>0</v>
      </c>
      <c r="D843" s="200">
        <v>0</v>
      </c>
      <c r="E843" s="200">
        <v>0</v>
      </c>
      <c r="F843" s="200">
        <v>0</v>
      </c>
      <c r="G843" s="200">
        <v>0</v>
      </c>
      <c r="H843" s="200">
        <v>0</v>
      </c>
      <c r="I843" s="348">
        <f t="shared" si="17"/>
        <v>14666378</v>
      </c>
      <c r="J843" s="192" t="s">
        <v>1908</v>
      </c>
    </row>
    <row r="844" spans="1:10" hidden="1" outlineLevel="1">
      <c r="A844" s="381" t="s">
        <v>2313</v>
      </c>
      <c r="B844" s="199">
        <v>100075548</v>
      </c>
      <c r="C844" s="200">
        <v>0</v>
      </c>
      <c r="D844" s="200">
        <v>0</v>
      </c>
      <c r="E844" s="200">
        <v>0</v>
      </c>
      <c r="F844" s="200">
        <v>0</v>
      </c>
      <c r="G844" s="200">
        <v>0</v>
      </c>
      <c r="H844" s="200">
        <v>0</v>
      </c>
      <c r="I844" s="348">
        <f t="shared" si="17"/>
        <v>100075548</v>
      </c>
      <c r="J844" s="192" t="s">
        <v>2314</v>
      </c>
    </row>
    <row r="845" spans="1:10" hidden="1" outlineLevel="1">
      <c r="A845" s="381" t="s">
        <v>1909</v>
      </c>
      <c r="B845" s="199">
        <v>76618384</v>
      </c>
      <c r="C845" s="200">
        <v>0</v>
      </c>
      <c r="D845" s="200">
        <v>0</v>
      </c>
      <c r="E845" s="200">
        <v>0</v>
      </c>
      <c r="F845" s="200">
        <v>0</v>
      </c>
      <c r="G845" s="200">
        <v>0</v>
      </c>
      <c r="H845" s="200">
        <v>0</v>
      </c>
      <c r="I845" s="348">
        <f t="shared" si="17"/>
        <v>76618384</v>
      </c>
      <c r="J845" s="192" t="s">
        <v>1910</v>
      </c>
    </row>
    <row r="846" spans="1:10" hidden="1" outlineLevel="1">
      <c r="A846" s="381" t="s">
        <v>1911</v>
      </c>
      <c r="B846" s="199">
        <v>214954473</v>
      </c>
      <c r="C846" s="200">
        <v>14894</v>
      </c>
      <c r="D846" s="200">
        <v>0</v>
      </c>
      <c r="E846" s="200">
        <v>0</v>
      </c>
      <c r="F846" s="200">
        <v>0</v>
      </c>
      <c r="G846" s="200">
        <v>0</v>
      </c>
      <c r="H846" s="200">
        <v>0</v>
      </c>
      <c r="I846" s="348">
        <f t="shared" si="17"/>
        <v>214969367</v>
      </c>
      <c r="J846" s="192" t="s">
        <v>1912</v>
      </c>
    </row>
    <row r="847" spans="1:10" hidden="1" outlineLevel="1">
      <c r="A847" s="381" t="s">
        <v>1913</v>
      </c>
      <c r="B847" s="199">
        <v>153631500</v>
      </c>
      <c r="C847" s="200">
        <v>108941</v>
      </c>
      <c r="D847" s="200">
        <v>0</v>
      </c>
      <c r="E847" s="200">
        <v>0</v>
      </c>
      <c r="F847" s="200">
        <v>0</v>
      </c>
      <c r="G847" s="200">
        <v>0</v>
      </c>
      <c r="H847" s="200">
        <v>0</v>
      </c>
      <c r="I847" s="348">
        <f t="shared" si="17"/>
        <v>153740441</v>
      </c>
      <c r="J847" s="192" t="s">
        <v>1914</v>
      </c>
    </row>
    <row r="848" spans="1:10" hidden="1" outlineLevel="1">
      <c r="A848" s="381" t="s">
        <v>1915</v>
      </c>
      <c r="B848" s="199">
        <v>427683299</v>
      </c>
      <c r="C848" s="200">
        <v>3948964</v>
      </c>
      <c r="D848" s="200">
        <v>0</v>
      </c>
      <c r="E848" s="200">
        <v>0</v>
      </c>
      <c r="F848" s="200">
        <v>0</v>
      </c>
      <c r="G848" s="200">
        <v>0</v>
      </c>
      <c r="H848" s="200">
        <v>0</v>
      </c>
      <c r="I848" s="348">
        <f t="shared" si="17"/>
        <v>431632263</v>
      </c>
      <c r="J848" s="192" t="s">
        <v>1916</v>
      </c>
    </row>
    <row r="849" spans="1:10" hidden="1" outlineLevel="1">
      <c r="A849" s="381" t="s">
        <v>1917</v>
      </c>
      <c r="B849" s="199">
        <v>89326523</v>
      </c>
      <c r="C849" s="200">
        <v>1810945</v>
      </c>
      <c r="D849" s="200">
        <v>0</v>
      </c>
      <c r="E849" s="200">
        <v>0</v>
      </c>
      <c r="F849" s="200">
        <v>0</v>
      </c>
      <c r="G849" s="200">
        <v>0</v>
      </c>
      <c r="H849" s="200">
        <v>0</v>
      </c>
      <c r="I849" s="348">
        <f t="shared" si="17"/>
        <v>91137468</v>
      </c>
      <c r="J849" s="192" t="s">
        <v>1918</v>
      </c>
    </row>
    <row r="850" spans="1:10" hidden="1" outlineLevel="1">
      <c r="A850" s="381" t="s">
        <v>1919</v>
      </c>
      <c r="B850" s="199">
        <v>210681241</v>
      </c>
      <c r="C850" s="200">
        <v>0</v>
      </c>
      <c r="D850" s="200">
        <v>0</v>
      </c>
      <c r="E850" s="200">
        <v>0</v>
      </c>
      <c r="F850" s="200">
        <v>0</v>
      </c>
      <c r="G850" s="200">
        <v>0</v>
      </c>
      <c r="H850" s="200">
        <v>0</v>
      </c>
      <c r="I850" s="348">
        <f t="shared" si="17"/>
        <v>210681241</v>
      </c>
      <c r="J850" s="192" t="s">
        <v>1920</v>
      </c>
    </row>
    <row r="851" spans="1:10" hidden="1" outlineLevel="1">
      <c r="A851" s="381" t="s">
        <v>1921</v>
      </c>
      <c r="B851" s="199">
        <v>40807431</v>
      </c>
      <c r="C851" s="200">
        <v>0</v>
      </c>
      <c r="D851" s="200">
        <v>0</v>
      </c>
      <c r="E851" s="200">
        <v>0</v>
      </c>
      <c r="F851" s="200">
        <v>0</v>
      </c>
      <c r="G851" s="200">
        <v>0</v>
      </c>
      <c r="H851" s="200">
        <v>0</v>
      </c>
      <c r="I851" s="348">
        <f t="shared" si="17"/>
        <v>40807431</v>
      </c>
      <c r="J851" s="192" t="s">
        <v>1922</v>
      </c>
    </row>
    <row r="852" spans="1:10" hidden="1" outlineLevel="1">
      <c r="A852" s="381" t="s">
        <v>1923</v>
      </c>
      <c r="B852" s="199">
        <v>19961393</v>
      </c>
      <c r="C852" s="200">
        <v>0</v>
      </c>
      <c r="D852" s="200">
        <v>0</v>
      </c>
      <c r="E852" s="200">
        <v>0</v>
      </c>
      <c r="F852" s="200">
        <v>0</v>
      </c>
      <c r="G852" s="200">
        <v>0</v>
      </c>
      <c r="H852" s="200">
        <v>0</v>
      </c>
      <c r="I852" s="348">
        <f t="shared" ref="I852:I915" si="18">SUM(B852:H852)</f>
        <v>19961393</v>
      </c>
      <c r="J852" s="192" t="s">
        <v>1924</v>
      </c>
    </row>
    <row r="853" spans="1:10" hidden="1" outlineLevel="1">
      <c r="A853" s="381" t="s">
        <v>1925</v>
      </c>
      <c r="B853" s="199">
        <v>76998110</v>
      </c>
      <c r="C853" s="200">
        <v>0</v>
      </c>
      <c r="D853" s="200">
        <v>0</v>
      </c>
      <c r="E853" s="200">
        <v>0</v>
      </c>
      <c r="F853" s="200">
        <v>0</v>
      </c>
      <c r="G853" s="200">
        <v>0</v>
      </c>
      <c r="H853" s="200">
        <v>0</v>
      </c>
      <c r="I853" s="348">
        <f t="shared" si="18"/>
        <v>76998110</v>
      </c>
      <c r="J853" s="192" t="s">
        <v>1926</v>
      </c>
    </row>
    <row r="854" spans="1:10" hidden="1" outlineLevel="1">
      <c r="A854" s="381" t="s">
        <v>1927</v>
      </c>
      <c r="B854" s="199">
        <v>52487305</v>
      </c>
      <c r="C854" s="200">
        <v>0</v>
      </c>
      <c r="D854" s="200">
        <v>0</v>
      </c>
      <c r="E854" s="200">
        <v>0</v>
      </c>
      <c r="F854" s="200">
        <v>0</v>
      </c>
      <c r="G854" s="200">
        <v>0</v>
      </c>
      <c r="H854" s="200">
        <v>0</v>
      </c>
      <c r="I854" s="348">
        <f t="shared" si="18"/>
        <v>52487305</v>
      </c>
      <c r="J854" s="192" t="s">
        <v>1928</v>
      </c>
    </row>
    <row r="855" spans="1:10" hidden="1" outlineLevel="1">
      <c r="A855" s="381" t="s">
        <v>1929</v>
      </c>
      <c r="B855" s="199">
        <v>37178965</v>
      </c>
      <c r="C855" s="200">
        <v>0</v>
      </c>
      <c r="D855" s="200">
        <v>0</v>
      </c>
      <c r="E855" s="200">
        <v>0</v>
      </c>
      <c r="F855" s="200">
        <v>140726</v>
      </c>
      <c r="G855" s="200">
        <v>0</v>
      </c>
      <c r="H855" s="200">
        <v>0</v>
      </c>
      <c r="I855" s="348">
        <f t="shared" si="18"/>
        <v>37319691</v>
      </c>
      <c r="J855" s="192" t="s">
        <v>1930</v>
      </c>
    </row>
    <row r="856" spans="1:10" hidden="1" outlineLevel="1">
      <c r="A856" s="381" t="s">
        <v>1931</v>
      </c>
      <c r="B856" s="199">
        <v>218231681</v>
      </c>
      <c r="C856" s="200">
        <v>0</v>
      </c>
      <c r="D856" s="200">
        <v>0</v>
      </c>
      <c r="E856" s="200">
        <v>0</v>
      </c>
      <c r="F856" s="200">
        <v>0</v>
      </c>
      <c r="G856" s="200">
        <v>0</v>
      </c>
      <c r="H856" s="200">
        <v>0</v>
      </c>
      <c r="I856" s="348">
        <f t="shared" si="18"/>
        <v>218231681</v>
      </c>
      <c r="J856" s="192" t="s">
        <v>1932</v>
      </c>
    </row>
    <row r="857" spans="1:10" hidden="1" outlineLevel="1">
      <c r="A857" s="381" t="s">
        <v>1933</v>
      </c>
      <c r="B857" s="199">
        <v>127690550</v>
      </c>
      <c r="C857" s="200">
        <v>0</v>
      </c>
      <c r="D857" s="200">
        <v>0</v>
      </c>
      <c r="E857" s="200">
        <v>0</v>
      </c>
      <c r="F857" s="200">
        <v>0</v>
      </c>
      <c r="G857" s="200">
        <v>0</v>
      </c>
      <c r="H857" s="200">
        <v>0</v>
      </c>
      <c r="I857" s="348">
        <f t="shared" si="18"/>
        <v>127690550</v>
      </c>
      <c r="J857" s="192" t="s">
        <v>1934</v>
      </c>
    </row>
    <row r="858" spans="1:10" hidden="1" outlineLevel="1">
      <c r="A858" s="381" t="s">
        <v>1935</v>
      </c>
      <c r="B858" s="199">
        <v>189017344</v>
      </c>
      <c r="C858" s="200">
        <v>734381</v>
      </c>
      <c r="D858" s="200">
        <v>0</v>
      </c>
      <c r="E858" s="200">
        <v>0</v>
      </c>
      <c r="F858" s="200">
        <v>0</v>
      </c>
      <c r="G858" s="200">
        <v>0</v>
      </c>
      <c r="H858" s="200">
        <v>0</v>
      </c>
      <c r="I858" s="348">
        <f t="shared" si="18"/>
        <v>189751725</v>
      </c>
      <c r="J858" s="192" t="s">
        <v>1936</v>
      </c>
    </row>
    <row r="859" spans="1:10" hidden="1" outlineLevel="1">
      <c r="A859" s="381" t="s">
        <v>1937</v>
      </c>
      <c r="B859" s="199">
        <v>120800162</v>
      </c>
      <c r="C859" s="200">
        <v>0</v>
      </c>
      <c r="D859" s="200">
        <v>0</v>
      </c>
      <c r="E859" s="200">
        <v>0</v>
      </c>
      <c r="F859" s="200">
        <v>0</v>
      </c>
      <c r="G859" s="200">
        <v>0</v>
      </c>
      <c r="H859" s="200">
        <v>0</v>
      </c>
      <c r="I859" s="348">
        <f t="shared" si="18"/>
        <v>120800162</v>
      </c>
      <c r="J859" s="192" t="s">
        <v>1938</v>
      </c>
    </row>
    <row r="860" spans="1:10" hidden="1" outlineLevel="1">
      <c r="A860" s="381" t="s">
        <v>1939</v>
      </c>
      <c r="B860" s="199">
        <v>50634666</v>
      </c>
      <c r="C860" s="200">
        <v>1715926</v>
      </c>
      <c r="D860" s="200">
        <v>0</v>
      </c>
      <c r="E860" s="200">
        <v>0</v>
      </c>
      <c r="F860" s="200">
        <v>0</v>
      </c>
      <c r="G860" s="200">
        <v>0</v>
      </c>
      <c r="H860" s="200">
        <v>0</v>
      </c>
      <c r="I860" s="348">
        <f t="shared" si="18"/>
        <v>52350592</v>
      </c>
      <c r="J860" s="192" t="s">
        <v>1940</v>
      </c>
    </row>
    <row r="861" spans="1:10" hidden="1" outlineLevel="1">
      <c r="A861" s="381" t="s">
        <v>1941</v>
      </c>
      <c r="B861" s="199">
        <v>125059058</v>
      </c>
      <c r="C861" s="200">
        <v>0</v>
      </c>
      <c r="D861" s="200">
        <v>0</v>
      </c>
      <c r="E861" s="200">
        <v>0</v>
      </c>
      <c r="F861" s="200">
        <v>0</v>
      </c>
      <c r="G861" s="200">
        <v>0</v>
      </c>
      <c r="H861" s="200">
        <v>0</v>
      </c>
      <c r="I861" s="348">
        <f t="shared" si="18"/>
        <v>125059058</v>
      </c>
      <c r="J861" s="192" t="s">
        <v>1942</v>
      </c>
    </row>
    <row r="862" spans="1:10" hidden="1" outlineLevel="1">
      <c r="A862" s="381" t="s">
        <v>1943</v>
      </c>
      <c r="B862" s="199">
        <v>202647665</v>
      </c>
      <c r="C862" s="200">
        <v>0</v>
      </c>
      <c r="D862" s="200">
        <v>0</v>
      </c>
      <c r="E862" s="200">
        <v>0</v>
      </c>
      <c r="F862" s="200">
        <v>0</v>
      </c>
      <c r="G862" s="200">
        <v>0</v>
      </c>
      <c r="H862" s="200">
        <v>0</v>
      </c>
      <c r="I862" s="348">
        <f t="shared" si="18"/>
        <v>202647665</v>
      </c>
      <c r="J862" s="192" t="s">
        <v>1944</v>
      </c>
    </row>
    <row r="863" spans="1:10" hidden="1" outlineLevel="1">
      <c r="A863" s="381" t="s">
        <v>1945</v>
      </c>
      <c r="B863" s="199">
        <v>135981873</v>
      </c>
      <c r="C863" s="200">
        <v>0</v>
      </c>
      <c r="D863" s="200">
        <v>0</v>
      </c>
      <c r="E863" s="200">
        <v>0</v>
      </c>
      <c r="F863" s="200">
        <v>0</v>
      </c>
      <c r="G863" s="200">
        <v>0</v>
      </c>
      <c r="H863" s="200">
        <v>0</v>
      </c>
      <c r="I863" s="348">
        <f t="shared" si="18"/>
        <v>135981873</v>
      </c>
      <c r="J863" s="192" t="s">
        <v>1946</v>
      </c>
    </row>
    <row r="864" spans="1:10" hidden="1" outlineLevel="1">
      <c r="A864" s="381" t="s">
        <v>1947</v>
      </c>
      <c r="B864" s="199">
        <v>34546431</v>
      </c>
      <c r="C864" s="200">
        <v>709188</v>
      </c>
      <c r="D864" s="200">
        <v>0</v>
      </c>
      <c r="E864" s="200">
        <v>0</v>
      </c>
      <c r="F864" s="200">
        <v>0</v>
      </c>
      <c r="G864" s="200">
        <v>0</v>
      </c>
      <c r="H864" s="200">
        <v>0</v>
      </c>
      <c r="I864" s="348">
        <f t="shared" si="18"/>
        <v>35255619</v>
      </c>
      <c r="J864" s="192" t="s">
        <v>1948</v>
      </c>
    </row>
    <row r="865" spans="1:10" hidden="1" outlineLevel="1">
      <c r="A865" s="381" t="s">
        <v>1949</v>
      </c>
      <c r="B865" s="199">
        <v>110945116</v>
      </c>
      <c r="C865" s="200">
        <v>0</v>
      </c>
      <c r="D865" s="200">
        <v>0</v>
      </c>
      <c r="E865" s="200">
        <v>0</v>
      </c>
      <c r="F865" s="200">
        <v>0</v>
      </c>
      <c r="G865" s="200">
        <v>0</v>
      </c>
      <c r="H865" s="200">
        <v>0</v>
      </c>
      <c r="I865" s="348">
        <f t="shared" si="18"/>
        <v>110945116</v>
      </c>
      <c r="J865" s="192" t="s">
        <v>1950</v>
      </c>
    </row>
    <row r="866" spans="1:10" hidden="1" outlineLevel="1">
      <c r="A866" s="381" t="s">
        <v>1951</v>
      </c>
      <c r="B866" s="199">
        <v>33733875</v>
      </c>
      <c r="C866" s="200">
        <v>0</v>
      </c>
      <c r="D866" s="200">
        <v>0</v>
      </c>
      <c r="E866" s="200">
        <v>0</v>
      </c>
      <c r="F866" s="200">
        <v>0</v>
      </c>
      <c r="G866" s="200">
        <v>0</v>
      </c>
      <c r="H866" s="200">
        <v>0</v>
      </c>
      <c r="I866" s="348">
        <f t="shared" si="18"/>
        <v>33733875</v>
      </c>
      <c r="J866" s="192" t="s">
        <v>1952</v>
      </c>
    </row>
    <row r="867" spans="1:10" hidden="1" outlineLevel="1">
      <c r="A867" s="381" t="s">
        <v>1953</v>
      </c>
      <c r="B867" s="199">
        <v>157817563</v>
      </c>
      <c r="C867" s="200">
        <v>0</v>
      </c>
      <c r="D867" s="200">
        <v>0</v>
      </c>
      <c r="E867" s="200">
        <v>0</v>
      </c>
      <c r="F867" s="200">
        <v>1350412</v>
      </c>
      <c r="G867" s="200">
        <v>0</v>
      </c>
      <c r="H867" s="200">
        <v>0</v>
      </c>
      <c r="I867" s="348">
        <f t="shared" si="18"/>
        <v>159167975</v>
      </c>
      <c r="J867" s="192" t="s">
        <v>1954</v>
      </c>
    </row>
    <row r="868" spans="1:10" hidden="1" outlineLevel="1">
      <c r="A868" s="381" t="s">
        <v>1955</v>
      </c>
      <c r="B868" s="199">
        <v>123571455</v>
      </c>
      <c r="C868" s="200">
        <v>0</v>
      </c>
      <c r="D868" s="200">
        <v>0</v>
      </c>
      <c r="E868" s="200">
        <v>0</v>
      </c>
      <c r="F868" s="200">
        <v>0</v>
      </c>
      <c r="G868" s="200">
        <v>0</v>
      </c>
      <c r="H868" s="200">
        <v>0</v>
      </c>
      <c r="I868" s="348">
        <f t="shared" si="18"/>
        <v>123571455</v>
      </c>
      <c r="J868" s="192" t="s">
        <v>1956</v>
      </c>
    </row>
    <row r="869" spans="1:10" hidden="1" outlineLevel="1">
      <c r="A869" s="381" t="s">
        <v>1957</v>
      </c>
      <c r="B869" s="199">
        <v>92475346</v>
      </c>
      <c r="C869" s="200">
        <v>0</v>
      </c>
      <c r="D869" s="200">
        <v>0</v>
      </c>
      <c r="E869" s="200">
        <v>0</v>
      </c>
      <c r="F869" s="200">
        <v>0</v>
      </c>
      <c r="G869" s="200">
        <v>0</v>
      </c>
      <c r="H869" s="200">
        <v>0</v>
      </c>
      <c r="I869" s="348">
        <f t="shared" si="18"/>
        <v>92475346</v>
      </c>
      <c r="J869" s="192" t="s">
        <v>1958</v>
      </c>
    </row>
    <row r="870" spans="1:10" hidden="1" outlineLevel="1">
      <c r="A870" s="381" t="s">
        <v>1959</v>
      </c>
      <c r="B870" s="199">
        <v>26409727</v>
      </c>
      <c r="C870" s="200">
        <v>0</v>
      </c>
      <c r="D870" s="200">
        <v>0</v>
      </c>
      <c r="E870" s="200">
        <v>0</v>
      </c>
      <c r="F870" s="200">
        <v>0</v>
      </c>
      <c r="G870" s="200">
        <v>0</v>
      </c>
      <c r="H870" s="200">
        <v>0</v>
      </c>
      <c r="I870" s="348">
        <f t="shared" si="18"/>
        <v>26409727</v>
      </c>
      <c r="J870" s="192" t="s">
        <v>1960</v>
      </c>
    </row>
    <row r="871" spans="1:10" hidden="1" outlineLevel="1">
      <c r="A871" s="381" t="s">
        <v>1961</v>
      </c>
      <c r="B871" s="199">
        <v>34505456</v>
      </c>
      <c r="C871" s="200">
        <v>0</v>
      </c>
      <c r="D871" s="200">
        <v>0</v>
      </c>
      <c r="E871" s="200">
        <v>0</v>
      </c>
      <c r="F871" s="200">
        <v>0</v>
      </c>
      <c r="G871" s="200">
        <v>0</v>
      </c>
      <c r="H871" s="200">
        <v>0</v>
      </c>
      <c r="I871" s="348">
        <f t="shared" si="18"/>
        <v>34505456</v>
      </c>
      <c r="J871" s="192" t="s">
        <v>1962</v>
      </c>
    </row>
    <row r="872" spans="1:10" hidden="1" outlineLevel="1">
      <c r="A872" s="381" t="s">
        <v>1963</v>
      </c>
      <c r="B872" s="199">
        <v>743421897</v>
      </c>
      <c r="C872" s="200">
        <v>0</v>
      </c>
      <c r="D872" s="200">
        <v>0</v>
      </c>
      <c r="E872" s="200">
        <v>0</v>
      </c>
      <c r="F872" s="200">
        <v>12219553</v>
      </c>
      <c r="G872" s="200">
        <v>0</v>
      </c>
      <c r="H872" s="200">
        <v>0</v>
      </c>
      <c r="I872" s="348">
        <f t="shared" si="18"/>
        <v>755641450</v>
      </c>
      <c r="J872" s="192" t="s">
        <v>1964</v>
      </c>
    </row>
    <row r="873" spans="1:10" hidden="1" outlineLevel="1">
      <c r="A873" s="381" t="s">
        <v>1965</v>
      </c>
      <c r="B873" s="199">
        <v>81136293</v>
      </c>
      <c r="C873" s="200">
        <v>0</v>
      </c>
      <c r="D873" s="200">
        <v>0</v>
      </c>
      <c r="E873" s="200">
        <v>0</v>
      </c>
      <c r="F873" s="200">
        <v>0</v>
      </c>
      <c r="G873" s="200">
        <v>0</v>
      </c>
      <c r="H873" s="200">
        <v>0</v>
      </c>
      <c r="I873" s="348">
        <f t="shared" si="18"/>
        <v>81136293</v>
      </c>
      <c r="J873" s="192" t="s">
        <v>1966</v>
      </c>
    </row>
    <row r="874" spans="1:10" hidden="1" outlineLevel="1">
      <c r="A874" s="381" t="s">
        <v>1967</v>
      </c>
      <c r="B874" s="199">
        <v>1221577582</v>
      </c>
      <c r="C874" s="200">
        <v>0</v>
      </c>
      <c r="D874" s="200">
        <v>0</v>
      </c>
      <c r="E874" s="200">
        <v>0</v>
      </c>
      <c r="F874" s="200">
        <v>29669819</v>
      </c>
      <c r="G874" s="200">
        <v>0</v>
      </c>
      <c r="H874" s="200">
        <v>0</v>
      </c>
      <c r="I874" s="348">
        <f t="shared" si="18"/>
        <v>1251247401</v>
      </c>
      <c r="J874" s="192" t="s">
        <v>1968</v>
      </c>
    </row>
    <row r="875" spans="1:10" hidden="1" outlineLevel="1">
      <c r="A875" s="381" t="s">
        <v>1969</v>
      </c>
      <c r="B875" s="199">
        <v>257282290</v>
      </c>
      <c r="C875" s="200">
        <v>1024442</v>
      </c>
      <c r="D875" s="200">
        <v>0</v>
      </c>
      <c r="E875" s="200">
        <v>0</v>
      </c>
      <c r="F875" s="200">
        <v>0</v>
      </c>
      <c r="G875" s="200">
        <v>0</v>
      </c>
      <c r="H875" s="200">
        <v>0</v>
      </c>
      <c r="I875" s="348">
        <f t="shared" si="18"/>
        <v>258306732</v>
      </c>
      <c r="J875" s="192" t="s">
        <v>1970</v>
      </c>
    </row>
    <row r="876" spans="1:10" hidden="1" outlineLevel="1">
      <c r="A876" s="381" t="s">
        <v>1971</v>
      </c>
      <c r="B876" s="199">
        <v>138792526</v>
      </c>
      <c r="C876" s="200">
        <v>0</v>
      </c>
      <c r="D876" s="200">
        <v>0</v>
      </c>
      <c r="E876" s="200">
        <v>0</v>
      </c>
      <c r="F876" s="200">
        <v>0</v>
      </c>
      <c r="G876" s="200">
        <v>0</v>
      </c>
      <c r="H876" s="200">
        <v>0</v>
      </c>
      <c r="I876" s="348">
        <f t="shared" si="18"/>
        <v>138792526</v>
      </c>
      <c r="J876" s="192" t="s">
        <v>1972</v>
      </c>
    </row>
    <row r="877" spans="1:10" hidden="1" outlineLevel="1">
      <c r="A877" s="381" t="s">
        <v>1132</v>
      </c>
      <c r="B877" s="199">
        <v>363820814</v>
      </c>
      <c r="C877" s="200">
        <v>0</v>
      </c>
      <c r="D877" s="200">
        <v>0</v>
      </c>
      <c r="E877" s="200">
        <v>0</v>
      </c>
      <c r="F877" s="200">
        <v>0</v>
      </c>
      <c r="G877" s="200">
        <v>0</v>
      </c>
      <c r="H877" s="200">
        <v>0</v>
      </c>
      <c r="I877" s="348">
        <f t="shared" si="18"/>
        <v>363820814</v>
      </c>
      <c r="J877" s="192" t="s">
        <v>1133</v>
      </c>
    </row>
    <row r="878" spans="1:10" hidden="1" outlineLevel="1">
      <c r="A878" s="381" t="s">
        <v>1973</v>
      </c>
      <c r="B878" s="199">
        <v>36862506</v>
      </c>
      <c r="C878" s="200">
        <v>0</v>
      </c>
      <c r="D878" s="200">
        <v>0</v>
      </c>
      <c r="E878" s="200">
        <v>0</v>
      </c>
      <c r="F878" s="200">
        <v>0</v>
      </c>
      <c r="G878" s="200">
        <v>0</v>
      </c>
      <c r="H878" s="200">
        <v>0</v>
      </c>
      <c r="I878" s="348">
        <f t="shared" si="18"/>
        <v>36862506</v>
      </c>
      <c r="J878" s="192" t="s">
        <v>1974</v>
      </c>
    </row>
    <row r="879" spans="1:10" hidden="1" outlineLevel="1">
      <c r="A879" s="381" t="s">
        <v>1975</v>
      </c>
      <c r="B879" s="199">
        <v>84244933</v>
      </c>
      <c r="C879" s="200">
        <v>409238</v>
      </c>
      <c r="D879" s="200">
        <v>0</v>
      </c>
      <c r="E879" s="200">
        <v>0</v>
      </c>
      <c r="F879" s="200">
        <v>0</v>
      </c>
      <c r="G879" s="200">
        <v>0</v>
      </c>
      <c r="H879" s="200">
        <v>0</v>
      </c>
      <c r="I879" s="348">
        <f t="shared" si="18"/>
        <v>84654171</v>
      </c>
      <c r="J879" s="192" t="s">
        <v>1976</v>
      </c>
    </row>
    <row r="880" spans="1:10" hidden="1" outlineLevel="1">
      <c r="A880" s="381" t="s">
        <v>1977</v>
      </c>
      <c r="B880" s="199">
        <v>112902736</v>
      </c>
      <c r="C880" s="200">
        <v>0</v>
      </c>
      <c r="D880" s="200">
        <v>0</v>
      </c>
      <c r="E880" s="200">
        <v>0</v>
      </c>
      <c r="F880" s="200">
        <v>0</v>
      </c>
      <c r="G880" s="200">
        <v>0</v>
      </c>
      <c r="H880" s="200">
        <v>0</v>
      </c>
      <c r="I880" s="348">
        <f t="shared" si="18"/>
        <v>112902736</v>
      </c>
      <c r="J880" s="192" t="s">
        <v>1978</v>
      </c>
    </row>
    <row r="881" spans="1:10" hidden="1" outlineLevel="1">
      <c r="A881" s="381" t="s">
        <v>1979</v>
      </c>
      <c r="B881" s="199">
        <v>51293307</v>
      </c>
      <c r="C881" s="200">
        <v>1464484</v>
      </c>
      <c r="D881" s="200">
        <v>0</v>
      </c>
      <c r="E881" s="200">
        <v>0</v>
      </c>
      <c r="F881" s="200">
        <v>0</v>
      </c>
      <c r="G881" s="200">
        <v>0</v>
      </c>
      <c r="H881" s="200">
        <v>0</v>
      </c>
      <c r="I881" s="348">
        <f t="shared" si="18"/>
        <v>52757791</v>
      </c>
      <c r="J881" s="192" t="s">
        <v>1980</v>
      </c>
    </row>
    <row r="882" spans="1:10" hidden="1" outlineLevel="1">
      <c r="A882" s="381" t="s">
        <v>1981</v>
      </c>
      <c r="B882" s="199">
        <v>76339659</v>
      </c>
      <c r="C882" s="200">
        <v>0</v>
      </c>
      <c r="D882" s="200">
        <v>0</v>
      </c>
      <c r="E882" s="200">
        <v>0</v>
      </c>
      <c r="F882" s="200">
        <v>0</v>
      </c>
      <c r="G882" s="200">
        <v>0</v>
      </c>
      <c r="H882" s="200">
        <v>0</v>
      </c>
      <c r="I882" s="348">
        <f t="shared" si="18"/>
        <v>76339659</v>
      </c>
      <c r="J882" s="192" t="s">
        <v>1982</v>
      </c>
    </row>
    <row r="883" spans="1:10" hidden="1" outlineLevel="1">
      <c r="A883" s="381" t="s">
        <v>1983</v>
      </c>
      <c r="B883" s="199">
        <v>25842944</v>
      </c>
      <c r="C883" s="200">
        <v>73907</v>
      </c>
      <c r="D883" s="200">
        <v>0</v>
      </c>
      <c r="E883" s="200">
        <v>0</v>
      </c>
      <c r="F883" s="200">
        <v>0</v>
      </c>
      <c r="G883" s="200">
        <v>0</v>
      </c>
      <c r="H883" s="200">
        <v>0</v>
      </c>
      <c r="I883" s="348">
        <f t="shared" si="18"/>
        <v>25916851</v>
      </c>
      <c r="J883" s="192" t="s">
        <v>1984</v>
      </c>
    </row>
    <row r="884" spans="1:10" hidden="1" outlineLevel="1">
      <c r="A884" s="381" t="s">
        <v>1985</v>
      </c>
      <c r="B884" s="199">
        <v>119892406</v>
      </c>
      <c r="C884" s="200">
        <v>45310</v>
      </c>
      <c r="D884" s="200">
        <v>0</v>
      </c>
      <c r="E884" s="200">
        <v>0</v>
      </c>
      <c r="F884" s="200">
        <v>0</v>
      </c>
      <c r="G884" s="200">
        <v>0</v>
      </c>
      <c r="H884" s="200">
        <v>0</v>
      </c>
      <c r="I884" s="348">
        <f t="shared" si="18"/>
        <v>119937716</v>
      </c>
      <c r="J884" s="192" t="s">
        <v>1986</v>
      </c>
    </row>
    <row r="885" spans="1:10" hidden="1" outlineLevel="1">
      <c r="A885" s="381" t="s">
        <v>1987</v>
      </c>
      <c r="B885" s="199">
        <v>55011585</v>
      </c>
      <c r="C885" s="200">
        <v>0</v>
      </c>
      <c r="D885" s="200">
        <v>0</v>
      </c>
      <c r="E885" s="200">
        <v>0</v>
      </c>
      <c r="F885" s="200">
        <v>0</v>
      </c>
      <c r="G885" s="200">
        <v>0</v>
      </c>
      <c r="H885" s="200">
        <v>0</v>
      </c>
      <c r="I885" s="348">
        <f t="shared" si="18"/>
        <v>55011585</v>
      </c>
      <c r="J885" s="192" t="s">
        <v>1988</v>
      </c>
    </row>
    <row r="886" spans="1:10" hidden="1" outlineLevel="1">
      <c r="A886" s="381" t="s">
        <v>1989</v>
      </c>
      <c r="B886" s="199">
        <v>100035016</v>
      </c>
      <c r="C886" s="200">
        <v>340849</v>
      </c>
      <c r="D886" s="200">
        <v>0</v>
      </c>
      <c r="E886" s="200">
        <v>0</v>
      </c>
      <c r="F886" s="200">
        <v>0</v>
      </c>
      <c r="G886" s="200">
        <v>0</v>
      </c>
      <c r="H886" s="200">
        <v>0</v>
      </c>
      <c r="I886" s="348">
        <f t="shared" si="18"/>
        <v>100375865</v>
      </c>
      <c r="J886" s="192" t="s">
        <v>1990</v>
      </c>
    </row>
    <row r="887" spans="1:10" hidden="1" outlineLevel="1">
      <c r="A887" s="381" t="s">
        <v>1991</v>
      </c>
      <c r="B887" s="199">
        <v>147085935</v>
      </c>
      <c r="C887" s="200">
        <v>2443989</v>
      </c>
      <c r="D887" s="200">
        <v>0</v>
      </c>
      <c r="E887" s="200">
        <v>0</v>
      </c>
      <c r="F887" s="200">
        <v>0</v>
      </c>
      <c r="G887" s="200">
        <v>0</v>
      </c>
      <c r="H887" s="200">
        <v>0</v>
      </c>
      <c r="I887" s="348">
        <f t="shared" si="18"/>
        <v>149529924</v>
      </c>
      <c r="J887" s="192" t="s">
        <v>1992</v>
      </c>
    </row>
    <row r="888" spans="1:10" hidden="1" outlineLevel="1">
      <c r="A888" s="381" t="s">
        <v>1993</v>
      </c>
      <c r="B888" s="199">
        <v>107808687</v>
      </c>
      <c r="C888" s="200">
        <v>0</v>
      </c>
      <c r="D888" s="200">
        <v>0</v>
      </c>
      <c r="E888" s="200">
        <v>0</v>
      </c>
      <c r="F888" s="200">
        <v>0</v>
      </c>
      <c r="G888" s="200">
        <v>0</v>
      </c>
      <c r="H888" s="200">
        <v>0</v>
      </c>
      <c r="I888" s="348">
        <f t="shared" si="18"/>
        <v>107808687</v>
      </c>
      <c r="J888" s="192" t="s">
        <v>1994</v>
      </c>
    </row>
    <row r="889" spans="1:10" hidden="1" outlineLevel="1">
      <c r="A889" s="381" t="s">
        <v>1995</v>
      </c>
      <c r="B889" s="199">
        <v>98147746</v>
      </c>
      <c r="C889" s="200">
        <v>0</v>
      </c>
      <c r="D889" s="200">
        <v>0</v>
      </c>
      <c r="E889" s="200">
        <v>0</v>
      </c>
      <c r="F889" s="200">
        <v>0</v>
      </c>
      <c r="G889" s="200">
        <v>0</v>
      </c>
      <c r="H889" s="200">
        <v>0</v>
      </c>
      <c r="I889" s="348">
        <f t="shared" si="18"/>
        <v>98147746</v>
      </c>
      <c r="J889" s="192" t="s">
        <v>1996</v>
      </c>
    </row>
    <row r="890" spans="1:10" hidden="1" outlineLevel="1">
      <c r="A890" s="381" t="s">
        <v>2315</v>
      </c>
      <c r="B890" s="199">
        <v>188377326</v>
      </c>
      <c r="C890" s="200">
        <v>0</v>
      </c>
      <c r="D890" s="200">
        <v>0</v>
      </c>
      <c r="E890" s="200">
        <v>0</v>
      </c>
      <c r="F890" s="200">
        <v>0</v>
      </c>
      <c r="G890" s="200">
        <v>0</v>
      </c>
      <c r="H890" s="200">
        <v>0</v>
      </c>
      <c r="I890" s="348">
        <f t="shared" si="18"/>
        <v>188377326</v>
      </c>
      <c r="J890" s="192" t="s">
        <v>2316</v>
      </c>
    </row>
    <row r="891" spans="1:10" hidden="1" outlineLevel="1">
      <c r="A891" s="381" t="s">
        <v>1154</v>
      </c>
      <c r="B891" s="199">
        <v>247423192</v>
      </c>
      <c r="C891" s="200">
        <v>0</v>
      </c>
      <c r="D891" s="200">
        <v>0</v>
      </c>
      <c r="E891" s="200">
        <v>0</v>
      </c>
      <c r="F891" s="200">
        <v>0</v>
      </c>
      <c r="G891" s="200">
        <v>0</v>
      </c>
      <c r="H891" s="200">
        <v>0</v>
      </c>
      <c r="I891" s="348">
        <f t="shared" si="18"/>
        <v>247423192</v>
      </c>
      <c r="J891" s="192" t="s">
        <v>1155</v>
      </c>
    </row>
    <row r="892" spans="1:10" hidden="1" outlineLevel="1">
      <c r="A892" s="381" t="s">
        <v>1997</v>
      </c>
      <c r="B892" s="199">
        <v>71270922</v>
      </c>
      <c r="C892" s="200">
        <v>931892</v>
      </c>
      <c r="D892" s="200">
        <v>0</v>
      </c>
      <c r="E892" s="200">
        <v>0</v>
      </c>
      <c r="F892" s="200">
        <v>0</v>
      </c>
      <c r="G892" s="200">
        <v>0</v>
      </c>
      <c r="H892" s="200">
        <v>0</v>
      </c>
      <c r="I892" s="348">
        <f t="shared" si="18"/>
        <v>72202814</v>
      </c>
      <c r="J892" s="192" t="s">
        <v>1998</v>
      </c>
    </row>
    <row r="893" spans="1:10" hidden="1" outlineLevel="1">
      <c r="A893" s="381" t="s">
        <v>1999</v>
      </c>
      <c r="B893" s="199">
        <v>212700825</v>
      </c>
      <c r="C893" s="200">
        <v>0</v>
      </c>
      <c r="D893" s="200">
        <v>0</v>
      </c>
      <c r="E893" s="200">
        <v>0</v>
      </c>
      <c r="F893" s="200">
        <v>0</v>
      </c>
      <c r="G893" s="200">
        <v>0</v>
      </c>
      <c r="H893" s="200">
        <v>0</v>
      </c>
      <c r="I893" s="348">
        <f t="shared" si="18"/>
        <v>212700825</v>
      </c>
      <c r="J893" s="192" t="s">
        <v>2000</v>
      </c>
    </row>
    <row r="894" spans="1:10" hidden="1" outlineLevel="1">
      <c r="A894" s="381" t="s">
        <v>2001</v>
      </c>
      <c r="B894" s="199">
        <v>49269078</v>
      </c>
      <c r="C894" s="200">
        <v>0</v>
      </c>
      <c r="D894" s="200">
        <v>0</v>
      </c>
      <c r="E894" s="200">
        <v>0</v>
      </c>
      <c r="F894" s="200">
        <v>0</v>
      </c>
      <c r="G894" s="200">
        <v>0</v>
      </c>
      <c r="H894" s="200">
        <v>0</v>
      </c>
      <c r="I894" s="348">
        <f t="shared" si="18"/>
        <v>49269078</v>
      </c>
      <c r="J894" s="192" t="s">
        <v>2002</v>
      </c>
    </row>
    <row r="895" spans="1:10" hidden="1" outlineLevel="1">
      <c r="A895" s="381" t="s">
        <v>2003</v>
      </c>
      <c r="B895" s="199">
        <v>433864252</v>
      </c>
      <c r="C895" s="200">
        <v>4179843</v>
      </c>
      <c r="D895" s="200">
        <v>0</v>
      </c>
      <c r="E895" s="200">
        <v>0</v>
      </c>
      <c r="F895" s="200">
        <v>0</v>
      </c>
      <c r="G895" s="200">
        <v>0</v>
      </c>
      <c r="H895" s="200">
        <v>0</v>
      </c>
      <c r="I895" s="348">
        <f t="shared" si="18"/>
        <v>438044095</v>
      </c>
      <c r="J895" s="192" t="s">
        <v>2004</v>
      </c>
    </row>
    <row r="896" spans="1:10" hidden="1" outlineLevel="1">
      <c r="A896" s="381" t="s">
        <v>2005</v>
      </c>
      <c r="B896" s="199">
        <v>210167953</v>
      </c>
      <c r="C896" s="200">
        <v>443256</v>
      </c>
      <c r="D896" s="200">
        <v>0</v>
      </c>
      <c r="E896" s="200">
        <v>0</v>
      </c>
      <c r="F896" s="200">
        <v>0</v>
      </c>
      <c r="G896" s="200">
        <v>0</v>
      </c>
      <c r="H896" s="200">
        <v>0</v>
      </c>
      <c r="I896" s="348">
        <f t="shared" si="18"/>
        <v>210611209</v>
      </c>
      <c r="J896" s="192" t="s">
        <v>2006</v>
      </c>
    </row>
    <row r="897" spans="1:10" hidden="1" outlineLevel="1">
      <c r="A897" s="381" t="s">
        <v>911</v>
      </c>
      <c r="B897" s="199">
        <v>818420557</v>
      </c>
      <c r="C897" s="200">
        <v>1764236</v>
      </c>
      <c r="D897" s="200">
        <v>0</v>
      </c>
      <c r="E897" s="200">
        <v>0</v>
      </c>
      <c r="F897" s="200">
        <v>6024942</v>
      </c>
      <c r="G897" s="200">
        <v>0</v>
      </c>
      <c r="H897" s="200">
        <v>0</v>
      </c>
      <c r="I897" s="348">
        <f t="shared" si="18"/>
        <v>826209735</v>
      </c>
      <c r="J897" s="192" t="s">
        <v>912</v>
      </c>
    </row>
    <row r="898" spans="1:10" hidden="1" outlineLevel="1">
      <c r="A898" s="381" t="s">
        <v>2007</v>
      </c>
      <c r="B898" s="199">
        <v>98948575</v>
      </c>
      <c r="C898" s="200">
        <v>217920</v>
      </c>
      <c r="D898" s="200">
        <v>0</v>
      </c>
      <c r="E898" s="200">
        <v>0</v>
      </c>
      <c r="F898" s="200">
        <v>0</v>
      </c>
      <c r="G898" s="200">
        <v>0</v>
      </c>
      <c r="H898" s="200">
        <v>0</v>
      </c>
      <c r="I898" s="348">
        <f t="shared" si="18"/>
        <v>99166495</v>
      </c>
      <c r="J898" s="192" t="s">
        <v>2008</v>
      </c>
    </row>
    <row r="899" spans="1:10" hidden="1" outlineLevel="1">
      <c r="A899" s="381" t="s">
        <v>2009</v>
      </c>
      <c r="B899" s="199">
        <v>341443617</v>
      </c>
      <c r="C899" s="200">
        <v>0</v>
      </c>
      <c r="D899" s="200">
        <v>0</v>
      </c>
      <c r="E899" s="200">
        <v>0</v>
      </c>
      <c r="F899" s="200">
        <v>0</v>
      </c>
      <c r="G899" s="200">
        <v>0</v>
      </c>
      <c r="H899" s="200">
        <v>0</v>
      </c>
      <c r="I899" s="348">
        <f t="shared" si="18"/>
        <v>341443617</v>
      </c>
      <c r="J899" s="192" t="s">
        <v>2010</v>
      </c>
    </row>
    <row r="900" spans="1:10" hidden="1" outlineLevel="1">
      <c r="A900" s="381" t="s">
        <v>2011</v>
      </c>
      <c r="B900" s="199">
        <v>88810904</v>
      </c>
      <c r="C900" s="200">
        <v>0</v>
      </c>
      <c r="D900" s="200">
        <v>0</v>
      </c>
      <c r="E900" s="200">
        <v>0</v>
      </c>
      <c r="F900" s="200">
        <v>0</v>
      </c>
      <c r="G900" s="200">
        <v>0</v>
      </c>
      <c r="H900" s="200">
        <v>0</v>
      </c>
      <c r="I900" s="348">
        <f t="shared" si="18"/>
        <v>88810904</v>
      </c>
      <c r="J900" s="192" t="s">
        <v>2012</v>
      </c>
    </row>
    <row r="901" spans="1:10" hidden="1" outlineLevel="1">
      <c r="A901" s="381" t="s">
        <v>2013</v>
      </c>
      <c r="B901" s="199">
        <v>91451060</v>
      </c>
      <c r="C901" s="200">
        <v>0</v>
      </c>
      <c r="D901" s="200">
        <v>0</v>
      </c>
      <c r="E901" s="200">
        <v>0</v>
      </c>
      <c r="F901" s="200">
        <v>0</v>
      </c>
      <c r="G901" s="200">
        <v>0</v>
      </c>
      <c r="H901" s="200">
        <v>0</v>
      </c>
      <c r="I901" s="348">
        <f t="shared" si="18"/>
        <v>91451060</v>
      </c>
      <c r="J901" s="192" t="s">
        <v>2014</v>
      </c>
    </row>
    <row r="902" spans="1:10" hidden="1" outlineLevel="1">
      <c r="A902" s="381" t="s">
        <v>2015</v>
      </c>
      <c r="B902" s="199">
        <v>59048410</v>
      </c>
      <c r="C902" s="200">
        <v>0</v>
      </c>
      <c r="D902" s="200">
        <v>0</v>
      </c>
      <c r="E902" s="200">
        <v>0</v>
      </c>
      <c r="F902" s="200">
        <v>0</v>
      </c>
      <c r="G902" s="200">
        <v>0</v>
      </c>
      <c r="H902" s="200">
        <v>0</v>
      </c>
      <c r="I902" s="348">
        <f t="shared" si="18"/>
        <v>59048410</v>
      </c>
      <c r="J902" s="192" t="s">
        <v>2016</v>
      </c>
    </row>
    <row r="903" spans="1:10" hidden="1" outlineLevel="1">
      <c r="A903" s="381" t="s">
        <v>2017</v>
      </c>
      <c r="B903" s="199">
        <v>57642247</v>
      </c>
      <c r="C903" s="200">
        <v>0</v>
      </c>
      <c r="D903" s="200">
        <v>0</v>
      </c>
      <c r="E903" s="200">
        <v>0</v>
      </c>
      <c r="F903" s="200">
        <v>0</v>
      </c>
      <c r="G903" s="200">
        <v>0</v>
      </c>
      <c r="H903" s="200">
        <v>0</v>
      </c>
      <c r="I903" s="348">
        <f t="shared" si="18"/>
        <v>57642247</v>
      </c>
      <c r="J903" s="192" t="s">
        <v>2018</v>
      </c>
    </row>
    <row r="904" spans="1:10" hidden="1" outlineLevel="1">
      <c r="A904" s="381" t="s">
        <v>2019</v>
      </c>
      <c r="B904" s="199">
        <v>175537182</v>
      </c>
      <c r="C904" s="200">
        <v>0</v>
      </c>
      <c r="D904" s="200">
        <v>0</v>
      </c>
      <c r="E904" s="200">
        <v>0</v>
      </c>
      <c r="F904" s="200">
        <v>0</v>
      </c>
      <c r="G904" s="200">
        <v>0</v>
      </c>
      <c r="H904" s="200">
        <v>0</v>
      </c>
      <c r="I904" s="348">
        <f t="shared" si="18"/>
        <v>175537182</v>
      </c>
      <c r="J904" s="192" t="s">
        <v>2020</v>
      </c>
    </row>
    <row r="905" spans="1:10" hidden="1" outlineLevel="1">
      <c r="A905" s="381" t="s">
        <v>1314</v>
      </c>
      <c r="B905" s="199">
        <v>129967149</v>
      </c>
      <c r="C905" s="200">
        <v>16859</v>
      </c>
      <c r="D905" s="200">
        <v>0</v>
      </c>
      <c r="E905" s="200">
        <v>0</v>
      </c>
      <c r="F905" s="200">
        <v>0</v>
      </c>
      <c r="G905" s="200">
        <v>0</v>
      </c>
      <c r="H905" s="200">
        <v>0</v>
      </c>
      <c r="I905" s="348">
        <f t="shared" si="18"/>
        <v>129984008</v>
      </c>
      <c r="J905" s="192" t="s">
        <v>1315</v>
      </c>
    </row>
    <row r="906" spans="1:10" hidden="1" outlineLevel="1">
      <c r="A906" s="381" t="s">
        <v>2021</v>
      </c>
      <c r="B906" s="199">
        <v>93057579</v>
      </c>
      <c r="C906" s="200">
        <v>719203</v>
      </c>
      <c r="D906" s="200">
        <v>0</v>
      </c>
      <c r="E906" s="200">
        <v>0</v>
      </c>
      <c r="F906" s="200">
        <v>0</v>
      </c>
      <c r="G906" s="200">
        <v>0</v>
      </c>
      <c r="H906" s="200">
        <v>0</v>
      </c>
      <c r="I906" s="348">
        <f t="shared" si="18"/>
        <v>93776782</v>
      </c>
      <c r="J906" s="192" t="s">
        <v>2022</v>
      </c>
    </row>
    <row r="907" spans="1:10" hidden="1" outlineLevel="1">
      <c r="A907" s="381" t="s">
        <v>2023</v>
      </c>
      <c r="B907" s="199">
        <v>102001048</v>
      </c>
      <c r="C907" s="200">
        <v>0</v>
      </c>
      <c r="D907" s="200">
        <v>0</v>
      </c>
      <c r="E907" s="200">
        <v>0</v>
      </c>
      <c r="F907" s="200">
        <v>0</v>
      </c>
      <c r="G907" s="200">
        <v>0</v>
      </c>
      <c r="H907" s="200">
        <v>0</v>
      </c>
      <c r="I907" s="348">
        <f t="shared" si="18"/>
        <v>102001048</v>
      </c>
      <c r="J907" s="192" t="s">
        <v>2024</v>
      </c>
    </row>
    <row r="908" spans="1:10" hidden="1" outlineLevel="1">
      <c r="A908" s="381" t="s">
        <v>2025</v>
      </c>
      <c r="B908" s="199">
        <v>36682493</v>
      </c>
      <c r="C908" s="200">
        <v>0</v>
      </c>
      <c r="D908" s="200">
        <v>0</v>
      </c>
      <c r="E908" s="200">
        <v>0</v>
      </c>
      <c r="F908" s="200">
        <v>0</v>
      </c>
      <c r="G908" s="200">
        <v>0</v>
      </c>
      <c r="H908" s="200">
        <v>0</v>
      </c>
      <c r="I908" s="348">
        <f t="shared" si="18"/>
        <v>36682493</v>
      </c>
      <c r="J908" s="192" t="s">
        <v>2026</v>
      </c>
    </row>
    <row r="909" spans="1:10" hidden="1" outlineLevel="1">
      <c r="A909" s="381" t="s">
        <v>2027</v>
      </c>
      <c r="B909" s="199">
        <v>2751446755</v>
      </c>
      <c r="C909" s="200">
        <v>0</v>
      </c>
      <c r="D909" s="200">
        <v>0</v>
      </c>
      <c r="E909" s="200">
        <v>0</v>
      </c>
      <c r="F909" s="200">
        <v>87662098</v>
      </c>
      <c r="G909" s="200">
        <v>0</v>
      </c>
      <c r="H909" s="200">
        <v>0</v>
      </c>
      <c r="I909" s="348">
        <f t="shared" si="18"/>
        <v>2839108853</v>
      </c>
      <c r="J909" s="192" t="s">
        <v>2028</v>
      </c>
    </row>
    <row r="910" spans="1:10" hidden="1" outlineLevel="1">
      <c r="A910" s="381" t="s">
        <v>2029</v>
      </c>
      <c r="B910" s="199">
        <v>135653962</v>
      </c>
      <c r="C910" s="200">
        <v>1117346</v>
      </c>
      <c r="D910" s="200">
        <v>0</v>
      </c>
      <c r="E910" s="200">
        <v>0</v>
      </c>
      <c r="F910" s="200">
        <v>935759</v>
      </c>
      <c r="G910" s="200">
        <v>0</v>
      </c>
      <c r="H910" s="200">
        <v>0</v>
      </c>
      <c r="I910" s="348">
        <f t="shared" si="18"/>
        <v>137707067</v>
      </c>
      <c r="J910" s="192" t="s">
        <v>2030</v>
      </c>
    </row>
    <row r="911" spans="1:10" hidden="1" outlineLevel="1">
      <c r="A911" s="381" t="s">
        <v>2031</v>
      </c>
      <c r="B911" s="199">
        <v>558118437</v>
      </c>
      <c r="C911" s="200">
        <v>0</v>
      </c>
      <c r="D911" s="200">
        <v>0</v>
      </c>
      <c r="E911" s="200">
        <v>0</v>
      </c>
      <c r="F911" s="200">
        <v>0</v>
      </c>
      <c r="G911" s="200">
        <v>0</v>
      </c>
      <c r="H911" s="200">
        <v>0</v>
      </c>
      <c r="I911" s="348">
        <f t="shared" si="18"/>
        <v>558118437</v>
      </c>
      <c r="J911" s="192" t="s">
        <v>2032</v>
      </c>
    </row>
    <row r="912" spans="1:10" hidden="1" outlineLevel="1">
      <c r="A912" s="381" t="s">
        <v>819</v>
      </c>
      <c r="B912" s="199">
        <v>279597063</v>
      </c>
      <c r="C912" s="200">
        <v>0</v>
      </c>
      <c r="D912" s="200">
        <v>0</v>
      </c>
      <c r="E912" s="200">
        <v>0</v>
      </c>
      <c r="F912" s="200">
        <v>621903</v>
      </c>
      <c r="G912" s="200">
        <v>0</v>
      </c>
      <c r="H912" s="200">
        <v>0</v>
      </c>
      <c r="I912" s="348">
        <f t="shared" si="18"/>
        <v>280218966</v>
      </c>
      <c r="J912" s="192" t="s">
        <v>820</v>
      </c>
    </row>
    <row r="913" spans="1:10" hidden="1" outlineLevel="1">
      <c r="A913" s="381" t="s">
        <v>2033</v>
      </c>
      <c r="B913" s="199">
        <v>4268736</v>
      </c>
      <c r="C913" s="200">
        <v>0</v>
      </c>
      <c r="D913" s="200">
        <v>0</v>
      </c>
      <c r="E913" s="200">
        <v>0</v>
      </c>
      <c r="F913" s="200">
        <v>0</v>
      </c>
      <c r="G913" s="200">
        <v>0</v>
      </c>
      <c r="H913" s="200">
        <v>0</v>
      </c>
      <c r="I913" s="348">
        <f t="shared" si="18"/>
        <v>4268736</v>
      </c>
      <c r="J913" s="192" t="s">
        <v>2034</v>
      </c>
    </row>
    <row r="914" spans="1:10" hidden="1" outlineLevel="1">
      <c r="A914" s="381" t="s">
        <v>1202</v>
      </c>
      <c r="B914" s="199">
        <v>206066094</v>
      </c>
      <c r="C914" s="200">
        <v>0</v>
      </c>
      <c r="D914" s="200">
        <v>0</v>
      </c>
      <c r="E914" s="200">
        <v>0</v>
      </c>
      <c r="F914" s="200">
        <v>0</v>
      </c>
      <c r="G914" s="200">
        <v>0</v>
      </c>
      <c r="H914" s="200">
        <v>0</v>
      </c>
      <c r="I914" s="348">
        <f t="shared" si="18"/>
        <v>206066094</v>
      </c>
      <c r="J914" s="192" t="s">
        <v>1203</v>
      </c>
    </row>
    <row r="915" spans="1:10" hidden="1" outlineLevel="1">
      <c r="A915" s="381" t="s">
        <v>2035</v>
      </c>
      <c r="B915" s="199">
        <v>1120413190</v>
      </c>
      <c r="C915" s="200">
        <v>0</v>
      </c>
      <c r="D915" s="200">
        <v>0</v>
      </c>
      <c r="E915" s="200">
        <v>0</v>
      </c>
      <c r="F915" s="200">
        <v>0</v>
      </c>
      <c r="G915" s="200">
        <v>0</v>
      </c>
      <c r="H915" s="200">
        <v>0</v>
      </c>
      <c r="I915" s="348">
        <f t="shared" si="18"/>
        <v>1120413190</v>
      </c>
      <c r="J915" s="192" t="s">
        <v>2036</v>
      </c>
    </row>
    <row r="916" spans="1:10" hidden="1" outlineLevel="1">
      <c r="A916" s="381" t="s">
        <v>2037</v>
      </c>
      <c r="B916" s="199">
        <v>319095257</v>
      </c>
      <c r="C916" s="200">
        <v>2457790</v>
      </c>
      <c r="D916" s="200">
        <v>0</v>
      </c>
      <c r="E916" s="200">
        <v>0</v>
      </c>
      <c r="F916" s="200">
        <v>0</v>
      </c>
      <c r="G916" s="200">
        <v>0</v>
      </c>
      <c r="H916" s="200">
        <v>0</v>
      </c>
      <c r="I916" s="348">
        <f t="shared" ref="I916:I923" si="19">SUM(B916:H916)</f>
        <v>321553047</v>
      </c>
      <c r="J916" s="192" t="s">
        <v>2038</v>
      </c>
    </row>
    <row r="917" spans="1:10" hidden="1" outlineLevel="1">
      <c r="A917" s="381" t="s">
        <v>2039</v>
      </c>
      <c r="B917" s="199">
        <v>29224465</v>
      </c>
      <c r="C917" s="200">
        <v>0</v>
      </c>
      <c r="D917" s="200">
        <v>0</v>
      </c>
      <c r="E917" s="200">
        <v>0</v>
      </c>
      <c r="F917" s="200">
        <v>0</v>
      </c>
      <c r="G917" s="200">
        <v>0</v>
      </c>
      <c r="H917" s="200">
        <v>0</v>
      </c>
      <c r="I917" s="348">
        <f t="shared" si="19"/>
        <v>29224465</v>
      </c>
      <c r="J917" s="192" t="s">
        <v>2040</v>
      </c>
    </row>
    <row r="918" spans="1:10" hidden="1" outlineLevel="1">
      <c r="A918" s="381" t="s">
        <v>2041</v>
      </c>
      <c r="B918" s="199">
        <v>1531134171</v>
      </c>
      <c r="C918" s="200">
        <v>0</v>
      </c>
      <c r="D918" s="200">
        <v>0</v>
      </c>
      <c r="E918" s="200">
        <v>0</v>
      </c>
      <c r="F918" s="200">
        <v>0</v>
      </c>
      <c r="G918" s="200">
        <v>0</v>
      </c>
      <c r="H918" s="200">
        <v>0</v>
      </c>
      <c r="I918" s="348">
        <f t="shared" si="19"/>
        <v>1531134171</v>
      </c>
      <c r="J918" s="192" t="s">
        <v>2042</v>
      </c>
    </row>
    <row r="919" spans="1:10" hidden="1" outlineLevel="1">
      <c r="A919" s="381" t="s">
        <v>2317</v>
      </c>
      <c r="B919" s="199">
        <v>4286038</v>
      </c>
      <c r="C919" s="200">
        <v>105780</v>
      </c>
      <c r="D919" s="200">
        <v>0</v>
      </c>
      <c r="E919" s="200">
        <v>0</v>
      </c>
      <c r="F919" s="200">
        <v>0</v>
      </c>
      <c r="G919" s="200">
        <v>0</v>
      </c>
      <c r="H919" s="200">
        <v>0</v>
      </c>
      <c r="I919" s="348">
        <f t="shared" si="19"/>
        <v>4391818</v>
      </c>
      <c r="J919" s="192" t="s">
        <v>2318</v>
      </c>
    </row>
    <row r="920" spans="1:10" hidden="1" outlineLevel="1">
      <c r="A920" s="381" t="s">
        <v>2043</v>
      </c>
      <c r="B920" s="199">
        <v>42088237</v>
      </c>
      <c r="C920" s="200">
        <v>587390</v>
      </c>
      <c r="D920" s="200">
        <v>0</v>
      </c>
      <c r="E920" s="200">
        <v>0</v>
      </c>
      <c r="F920" s="200">
        <v>0</v>
      </c>
      <c r="G920" s="200">
        <v>0</v>
      </c>
      <c r="H920" s="200">
        <v>0</v>
      </c>
      <c r="I920" s="348">
        <f t="shared" si="19"/>
        <v>42675627</v>
      </c>
      <c r="J920" s="192" t="s">
        <v>2044</v>
      </c>
    </row>
    <row r="921" spans="1:10" hidden="1" outlineLevel="1">
      <c r="A921" s="381" t="s">
        <v>2045</v>
      </c>
      <c r="B921" s="199">
        <v>4283926</v>
      </c>
      <c r="C921" s="200">
        <v>0</v>
      </c>
      <c r="D921" s="200">
        <v>0</v>
      </c>
      <c r="E921" s="200">
        <v>0</v>
      </c>
      <c r="F921" s="200">
        <v>0</v>
      </c>
      <c r="G921" s="200">
        <v>0</v>
      </c>
      <c r="H921" s="200">
        <v>0</v>
      </c>
      <c r="I921" s="348">
        <f t="shared" si="19"/>
        <v>4283926</v>
      </c>
      <c r="J921" s="192" t="s">
        <v>2046</v>
      </c>
    </row>
    <row r="922" spans="1:10" hidden="1" outlineLevel="1">
      <c r="A922" s="381"/>
      <c r="B922" s="199"/>
      <c r="C922" s="200"/>
      <c r="D922" s="200"/>
      <c r="E922" s="200"/>
      <c r="F922" s="200"/>
      <c r="G922" s="200"/>
      <c r="H922" s="200"/>
      <c r="I922" s="348">
        <f>SUM(B922:H922)</f>
        <v>0</v>
      </c>
    </row>
    <row r="923" spans="1:10" ht="13.5" collapsed="1" thickBot="1">
      <c r="A923" s="383" t="s">
        <v>2047</v>
      </c>
      <c r="B923" s="203">
        <f t="shared" ref="B923:H923" si="20">B7+B180+B414+B784</f>
        <v>314564674192.909</v>
      </c>
      <c r="C923" s="204">
        <f t="shared" si="20"/>
        <v>390819368.88699996</v>
      </c>
      <c r="D923" s="204">
        <f t="shared" si="20"/>
        <v>843971895</v>
      </c>
      <c r="E923" s="218">
        <f t="shared" si="20"/>
        <v>0</v>
      </c>
      <c r="F923" s="218">
        <f t="shared" si="20"/>
        <v>14556187671</v>
      </c>
      <c r="G923" s="218">
        <f t="shared" si="20"/>
        <v>50122223</v>
      </c>
      <c r="H923" s="218">
        <f t="shared" si="20"/>
        <v>10323949</v>
      </c>
      <c r="I923" s="205">
        <f t="shared" si="19"/>
        <v>330416099299.79602</v>
      </c>
    </row>
    <row r="924" spans="1:10">
      <c r="A924" s="6"/>
      <c r="B924" s="176"/>
      <c r="C924" s="176"/>
      <c r="D924" s="176"/>
      <c r="E924" s="176"/>
      <c r="F924" s="176"/>
      <c r="G924" s="176"/>
      <c r="H924" s="176"/>
    </row>
    <row r="925" spans="1:10">
      <c r="A925" s="6"/>
      <c r="B925" s="176"/>
      <c r="C925" s="176"/>
      <c r="D925" s="176"/>
      <c r="E925" s="176"/>
      <c r="F925" s="176"/>
      <c r="G925" s="176"/>
      <c r="H925" s="176"/>
    </row>
    <row r="926" spans="1:10">
      <c r="A926" s="6"/>
      <c r="B926" s="176"/>
      <c r="C926" s="176"/>
      <c r="D926" s="176"/>
      <c r="E926" s="176"/>
      <c r="F926" s="176"/>
      <c r="G926" s="176"/>
      <c r="H926" s="176"/>
    </row>
    <row r="927" spans="1:10" ht="15">
      <c r="A927" s="1745" t="s">
        <v>2319</v>
      </c>
      <c r="B927" s="176"/>
      <c r="C927" s="176"/>
      <c r="D927" s="176"/>
      <c r="E927" s="176"/>
      <c r="F927" s="176"/>
      <c r="G927" s="176"/>
      <c r="H927" s="176"/>
    </row>
    <row r="928" spans="1:10" ht="13.5" thickBot="1">
      <c r="D928" s="25"/>
      <c r="G928" s="349"/>
    </row>
    <row r="929" spans="1:10" ht="69" customHeight="1" thickBot="1">
      <c r="A929" s="490"/>
      <c r="B929" s="193" t="s">
        <v>2320</v>
      </c>
      <c r="C929" s="194" t="s">
        <v>2321</v>
      </c>
      <c r="D929" s="194" t="s">
        <v>2322</v>
      </c>
      <c r="E929" s="194" t="s">
        <v>2323</v>
      </c>
      <c r="F929" s="194" t="s">
        <v>2324</v>
      </c>
      <c r="G929" s="194" t="s">
        <v>2325</v>
      </c>
      <c r="H929" s="194" t="s">
        <v>2326</v>
      </c>
      <c r="I929" s="533" t="s">
        <v>2327</v>
      </c>
    </row>
    <row r="930" spans="1:10" s="542" customFormat="1" ht="22.5" customHeight="1" thickBot="1">
      <c r="A930" s="550"/>
      <c r="B930" s="551" t="s">
        <v>2054</v>
      </c>
      <c r="C930" s="551" t="s">
        <v>2054</v>
      </c>
      <c r="D930" s="551" t="s">
        <v>2054</v>
      </c>
      <c r="E930" s="551" t="s">
        <v>2054</v>
      </c>
      <c r="F930" s="537" t="s">
        <v>2054</v>
      </c>
      <c r="G930" s="537" t="s">
        <v>2054</v>
      </c>
      <c r="H930" s="537" t="s">
        <v>2054</v>
      </c>
      <c r="I930" s="539" t="s">
        <v>2054</v>
      </c>
      <c r="J930" s="541"/>
    </row>
    <row r="931" spans="1:10" ht="13.9" customHeight="1">
      <c r="A931" s="385" t="str">
        <f>A7</f>
        <v>Regelzone 50Hertz (gesamt)</v>
      </c>
      <c r="B931" s="206">
        <f t="shared" ref="B931:H931" si="21">+SUM(B932:B1102)</f>
        <v>178478039.31813014</v>
      </c>
      <c r="C931" s="206">
        <f t="shared" si="21"/>
        <v>0</v>
      </c>
      <c r="D931" s="206">
        <f t="shared" si="21"/>
        <v>0</v>
      </c>
      <c r="E931" s="206">
        <f t="shared" si="21"/>
        <v>0</v>
      </c>
      <c r="F931" s="206">
        <f t="shared" si="21"/>
        <v>1006238.9227299999</v>
      </c>
      <c r="G931" s="206">
        <f t="shared" si="21"/>
        <v>3102.7645320000001</v>
      </c>
      <c r="H931" s="206">
        <f t="shared" si="21"/>
        <v>5657.3554820000008</v>
      </c>
      <c r="I931" s="348">
        <f>SUM(B931:H931)</f>
        <v>179493038.36087415</v>
      </c>
    </row>
    <row r="932" spans="1:10" ht="13.9" hidden="1" customHeight="1" outlineLevel="1">
      <c r="A932" s="380" t="s">
        <v>772</v>
      </c>
      <c r="B932" s="197">
        <v>13344446.316650001</v>
      </c>
      <c r="C932" s="197">
        <v>0</v>
      </c>
      <c r="D932" s="197">
        <v>0</v>
      </c>
      <c r="E932" s="197">
        <v>0</v>
      </c>
      <c r="F932" s="197">
        <v>0</v>
      </c>
      <c r="G932" s="197">
        <v>0</v>
      </c>
      <c r="H932" s="197">
        <v>0</v>
      </c>
      <c r="I932" s="348">
        <f>+SUM(B932:H932)</f>
        <v>13344446.316650001</v>
      </c>
      <c r="J932" s="192" t="s">
        <v>773</v>
      </c>
    </row>
    <row r="933" spans="1:10" ht="13.9" hidden="1" customHeight="1" outlineLevel="1">
      <c r="A933" s="380" t="s">
        <v>758</v>
      </c>
      <c r="B933" s="197">
        <v>5064835.7290400006</v>
      </c>
      <c r="C933" s="197">
        <v>0</v>
      </c>
      <c r="D933" s="197">
        <v>0</v>
      </c>
      <c r="E933" s="197">
        <v>0</v>
      </c>
      <c r="F933" s="197">
        <v>0</v>
      </c>
      <c r="G933" s="197">
        <v>0</v>
      </c>
      <c r="H933" s="197">
        <v>0</v>
      </c>
      <c r="I933" s="348">
        <f t="shared" ref="I933:I996" si="22">+SUM(B933:H933)</f>
        <v>5064835.7290400006</v>
      </c>
      <c r="J933" s="192" t="s">
        <v>759</v>
      </c>
    </row>
    <row r="934" spans="1:10" ht="13.9" hidden="1" customHeight="1" outlineLevel="1">
      <c r="A934" s="380" t="s">
        <v>460</v>
      </c>
      <c r="B934" s="197">
        <v>102264.87379000001</v>
      </c>
      <c r="C934" s="197">
        <v>0</v>
      </c>
      <c r="D934" s="197">
        <v>0</v>
      </c>
      <c r="E934" s="197">
        <v>0</v>
      </c>
      <c r="F934" s="197">
        <v>0</v>
      </c>
      <c r="G934" s="197">
        <v>0</v>
      </c>
      <c r="H934" s="197">
        <v>0</v>
      </c>
      <c r="I934" s="348">
        <f t="shared" si="22"/>
        <v>102264.87379000001</v>
      </c>
      <c r="J934" s="192" t="s">
        <v>2162</v>
      </c>
    </row>
    <row r="935" spans="1:10" ht="13.9" hidden="1" customHeight="1" outlineLevel="1">
      <c r="A935" s="380" t="s">
        <v>488</v>
      </c>
      <c r="B935" s="197">
        <v>247480.12108000004</v>
      </c>
      <c r="C935" s="197">
        <v>0</v>
      </c>
      <c r="D935" s="197">
        <v>0</v>
      </c>
      <c r="E935" s="197">
        <v>0</v>
      </c>
      <c r="F935" s="197">
        <v>0</v>
      </c>
      <c r="G935" s="197">
        <v>0</v>
      </c>
      <c r="H935" s="197">
        <v>0</v>
      </c>
      <c r="I935" s="348">
        <f t="shared" si="22"/>
        <v>247480.12108000004</v>
      </c>
      <c r="J935" s="192" t="s">
        <v>489</v>
      </c>
    </row>
    <row r="936" spans="1:10" ht="13.9" hidden="1" customHeight="1" outlineLevel="1">
      <c r="A936" s="380" t="s">
        <v>943</v>
      </c>
      <c r="B936" s="197">
        <v>313443.44683000003</v>
      </c>
      <c r="C936" s="197">
        <v>0</v>
      </c>
      <c r="D936" s="197">
        <v>0</v>
      </c>
      <c r="E936" s="197">
        <v>0</v>
      </c>
      <c r="F936" s="197">
        <v>617742.49431600003</v>
      </c>
      <c r="G936" s="197">
        <v>0</v>
      </c>
      <c r="H936" s="197">
        <v>0</v>
      </c>
      <c r="I936" s="348">
        <f t="shared" si="22"/>
        <v>931185.94114600006</v>
      </c>
      <c r="J936" s="192" t="s">
        <v>2163</v>
      </c>
    </row>
    <row r="937" spans="1:10" ht="13.9" hidden="1" customHeight="1" outlineLevel="1">
      <c r="A937" s="380" t="s">
        <v>943</v>
      </c>
      <c r="B937" s="197">
        <v>467769.99418000004</v>
      </c>
      <c r="C937" s="197">
        <v>0</v>
      </c>
      <c r="D937" s="197">
        <v>0</v>
      </c>
      <c r="E937" s="197">
        <v>0</v>
      </c>
      <c r="F937" s="197">
        <v>78109.940842000011</v>
      </c>
      <c r="G937" s="197">
        <v>0</v>
      </c>
      <c r="H937" s="197">
        <v>0</v>
      </c>
      <c r="I937" s="348">
        <f t="shared" si="22"/>
        <v>545879.93502199999</v>
      </c>
      <c r="J937" s="192" t="s">
        <v>2164</v>
      </c>
    </row>
    <row r="938" spans="1:10" ht="13.9" hidden="1" customHeight="1" outlineLevel="1">
      <c r="A938" s="380" t="s">
        <v>728</v>
      </c>
      <c r="B938" s="197">
        <v>5361302.9178600004</v>
      </c>
      <c r="C938" s="197">
        <v>0</v>
      </c>
      <c r="D938" s="197">
        <v>0</v>
      </c>
      <c r="E938" s="197">
        <v>0</v>
      </c>
      <c r="F938" s="197">
        <v>12200.507935000001</v>
      </c>
      <c r="G938" s="197">
        <v>1440.6371120000001</v>
      </c>
      <c r="H938" s="197">
        <v>0</v>
      </c>
      <c r="I938" s="348">
        <f t="shared" si="22"/>
        <v>5374944.0629070001</v>
      </c>
      <c r="J938" s="192" t="s">
        <v>729</v>
      </c>
    </row>
    <row r="939" spans="1:10" ht="13.9" hidden="1" customHeight="1" outlineLevel="1">
      <c r="A939" s="380" t="s">
        <v>598</v>
      </c>
      <c r="B939" s="197">
        <v>19344019.878060002</v>
      </c>
      <c r="C939" s="197">
        <v>0</v>
      </c>
      <c r="D939" s="197">
        <v>0</v>
      </c>
      <c r="E939" s="197">
        <v>0</v>
      </c>
      <c r="F939" s="197">
        <v>0</v>
      </c>
      <c r="G939" s="197">
        <v>1145.4299020000001</v>
      </c>
      <c r="H939" s="197">
        <v>0</v>
      </c>
      <c r="I939" s="348">
        <f t="shared" si="22"/>
        <v>19345165.307962</v>
      </c>
      <c r="J939" s="192" t="s">
        <v>599</v>
      </c>
    </row>
    <row r="940" spans="1:10" ht="13.9" hidden="1" customHeight="1" outlineLevel="1">
      <c r="A940" s="380" t="s">
        <v>799</v>
      </c>
      <c r="B940" s="197">
        <v>17790.987030000004</v>
      </c>
      <c r="C940" s="197">
        <v>0</v>
      </c>
      <c r="D940" s="197">
        <v>0</v>
      </c>
      <c r="E940" s="197">
        <v>0</v>
      </c>
      <c r="F940" s="197">
        <v>0</v>
      </c>
      <c r="G940" s="197">
        <v>0</v>
      </c>
      <c r="H940" s="197">
        <v>0</v>
      </c>
      <c r="I940" s="348">
        <f t="shared" si="22"/>
        <v>17790.987030000004</v>
      </c>
      <c r="J940" s="192" t="s">
        <v>2165</v>
      </c>
    </row>
    <row r="941" spans="1:10" ht="13.9" hidden="1" customHeight="1" outlineLevel="1">
      <c r="A941" s="380" t="s">
        <v>542</v>
      </c>
      <c r="B941" s="197">
        <v>6117.8801700000013</v>
      </c>
      <c r="C941" s="197">
        <v>0</v>
      </c>
      <c r="D941" s="197">
        <v>0</v>
      </c>
      <c r="E941" s="197">
        <v>0</v>
      </c>
      <c r="F941" s="197">
        <v>0</v>
      </c>
      <c r="G941" s="197">
        <v>0</v>
      </c>
      <c r="H941" s="197">
        <v>0</v>
      </c>
      <c r="I941" s="348">
        <f t="shared" si="22"/>
        <v>6117.8801700000013</v>
      </c>
      <c r="J941" s="192" t="s">
        <v>543</v>
      </c>
    </row>
    <row r="942" spans="1:10" ht="13.9" hidden="1" customHeight="1" outlineLevel="1">
      <c r="A942" s="380" t="s">
        <v>2166</v>
      </c>
      <c r="B942" s="197">
        <v>88873.03456</v>
      </c>
      <c r="C942" s="197">
        <v>0</v>
      </c>
      <c r="D942" s="197">
        <v>0</v>
      </c>
      <c r="E942" s="197">
        <v>0</v>
      </c>
      <c r="F942" s="197">
        <v>0</v>
      </c>
      <c r="G942" s="197">
        <v>0</v>
      </c>
      <c r="H942" s="197">
        <v>0</v>
      </c>
      <c r="I942" s="348">
        <f t="shared" si="22"/>
        <v>88873.03456</v>
      </c>
      <c r="J942" s="192" t="s">
        <v>2167</v>
      </c>
    </row>
    <row r="943" spans="1:10" ht="13.9" hidden="1" customHeight="1" outlineLevel="1">
      <c r="A943" s="380" t="s">
        <v>508</v>
      </c>
      <c r="B943" s="197">
        <v>16173.617270000002</v>
      </c>
      <c r="C943" s="197">
        <v>0</v>
      </c>
      <c r="D943" s="197">
        <v>0</v>
      </c>
      <c r="E943" s="197">
        <v>0</v>
      </c>
      <c r="F943" s="197">
        <v>0</v>
      </c>
      <c r="G943" s="197">
        <v>0</v>
      </c>
      <c r="H943" s="197">
        <v>0</v>
      </c>
      <c r="I943" s="348">
        <f t="shared" si="22"/>
        <v>16173.617270000002</v>
      </c>
      <c r="J943" s="192" t="s">
        <v>509</v>
      </c>
    </row>
    <row r="944" spans="1:10" ht="13.9" hidden="1" customHeight="1" outlineLevel="1">
      <c r="A944" s="380" t="s">
        <v>676</v>
      </c>
      <c r="B944" s="197">
        <v>113273.11694000001</v>
      </c>
      <c r="C944" s="197">
        <v>0</v>
      </c>
      <c r="D944" s="197">
        <v>0</v>
      </c>
      <c r="E944" s="197">
        <v>0</v>
      </c>
      <c r="F944" s="197">
        <v>0</v>
      </c>
      <c r="G944" s="197">
        <v>0</v>
      </c>
      <c r="H944" s="197">
        <v>0</v>
      </c>
      <c r="I944" s="348">
        <f t="shared" si="22"/>
        <v>113273.11694000001</v>
      </c>
      <c r="J944" s="192" t="s">
        <v>677</v>
      </c>
    </row>
    <row r="945" spans="1:10" ht="13.9" hidden="1" customHeight="1" outlineLevel="1">
      <c r="A945" s="380" t="s">
        <v>2168</v>
      </c>
      <c r="B945" s="197">
        <v>509424.11294000008</v>
      </c>
      <c r="C945" s="197">
        <v>0</v>
      </c>
      <c r="D945" s="197">
        <v>0</v>
      </c>
      <c r="E945" s="197">
        <v>0</v>
      </c>
      <c r="F945" s="197">
        <v>0</v>
      </c>
      <c r="G945" s="197">
        <v>0</v>
      </c>
      <c r="H945" s="197">
        <v>0</v>
      </c>
      <c r="I945" s="348">
        <f t="shared" si="22"/>
        <v>509424.11294000008</v>
      </c>
      <c r="J945" s="192" t="s">
        <v>2169</v>
      </c>
    </row>
    <row r="946" spans="1:10" ht="13.9" hidden="1" customHeight="1" outlineLevel="1">
      <c r="A946" s="380" t="s">
        <v>2170</v>
      </c>
      <c r="B946" s="197">
        <v>274857.81496000005</v>
      </c>
      <c r="C946" s="197">
        <v>0</v>
      </c>
      <c r="D946" s="197">
        <v>0</v>
      </c>
      <c r="E946" s="197">
        <v>0</v>
      </c>
      <c r="F946" s="197">
        <v>0</v>
      </c>
      <c r="G946" s="197">
        <v>0</v>
      </c>
      <c r="H946" s="197">
        <v>0</v>
      </c>
      <c r="I946" s="348">
        <f t="shared" si="22"/>
        <v>274857.81496000005</v>
      </c>
      <c r="J946" s="192" t="s">
        <v>2171</v>
      </c>
    </row>
    <row r="947" spans="1:10" ht="13.9" hidden="1" customHeight="1" outlineLevel="1">
      <c r="A947" s="380" t="s">
        <v>2172</v>
      </c>
      <c r="B947" s="197">
        <v>170140.06462000002</v>
      </c>
      <c r="C947" s="197">
        <v>0</v>
      </c>
      <c r="D947" s="197">
        <v>0</v>
      </c>
      <c r="E947" s="197">
        <v>0</v>
      </c>
      <c r="F947" s="197">
        <v>0</v>
      </c>
      <c r="G947" s="197">
        <v>0</v>
      </c>
      <c r="H947" s="197">
        <v>0</v>
      </c>
      <c r="I947" s="348">
        <f t="shared" si="22"/>
        <v>170140.06462000002</v>
      </c>
      <c r="J947" s="192" t="s">
        <v>2173</v>
      </c>
    </row>
    <row r="948" spans="1:10" ht="13.9" hidden="1" customHeight="1" outlineLevel="1">
      <c r="A948" s="380" t="s">
        <v>456</v>
      </c>
      <c r="B948" s="197">
        <v>193199.88804000002</v>
      </c>
      <c r="C948" s="197">
        <v>0</v>
      </c>
      <c r="D948" s="197">
        <v>0</v>
      </c>
      <c r="E948" s="197">
        <v>0</v>
      </c>
      <c r="F948" s="197">
        <v>0</v>
      </c>
      <c r="G948" s="197">
        <v>0</v>
      </c>
      <c r="H948" s="197">
        <v>0</v>
      </c>
      <c r="I948" s="348">
        <f t="shared" si="22"/>
        <v>193199.88804000002</v>
      </c>
      <c r="J948" s="192" t="s">
        <v>457</v>
      </c>
    </row>
    <row r="949" spans="1:10" ht="13.9" hidden="1" customHeight="1" outlineLevel="1">
      <c r="A949" s="380" t="s">
        <v>768</v>
      </c>
      <c r="B949" s="197">
        <v>200493.11245000002</v>
      </c>
      <c r="C949" s="197">
        <v>0</v>
      </c>
      <c r="D949" s="197">
        <v>0</v>
      </c>
      <c r="E949" s="197">
        <v>0</v>
      </c>
      <c r="F949" s="197">
        <v>0</v>
      </c>
      <c r="G949" s="197">
        <v>0</v>
      </c>
      <c r="H949" s="197">
        <v>0</v>
      </c>
      <c r="I949" s="348">
        <f t="shared" si="22"/>
        <v>200493.11245000002</v>
      </c>
      <c r="J949" s="192" t="s">
        <v>769</v>
      </c>
    </row>
    <row r="950" spans="1:10" ht="13.9" hidden="1" customHeight="1" outlineLevel="1">
      <c r="A950" s="380" t="s">
        <v>2174</v>
      </c>
      <c r="B950" s="197">
        <v>46824.262820000004</v>
      </c>
      <c r="C950" s="197">
        <v>0</v>
      </c>
      <c r="D950" s="197">
        <v>0</v>
      </c>
      <c r="E950" s="197">
        <v>0</v>
      </c>
      <c r="F950" s="197">
        <v>0</v>
      </c>
      <c r="G950" s="197">
        <v>0</v>
      </c>
      <c r="H950" s="197">
        <v>0</v>
      </c>
      <c r="I950" s="348">
        <f t="shared" si="22"/>
        <v>46824.262820000004</v>
      </c>
      <c r="J950" s="192" t="s">
        <v>2175</v>
      </c>
    </row>
    <row r="951" spans="1:10" ht="13.9" hidden="1" customHeight="1" outlineLevel="1">
      <c r="A951" s="380" t="s">
        <v>738</v>
      </c>
      <c r="B951" s="197">
        <v>785965.04361000005</v>
      </c>
      <c r="C951" s="197">
        <v>0</v>
      </c>
      <c r="D951" s="197">
        <v>0</v>
      </c>
      <c r="E951" s="197">
        <v>0</v>
      </c>
      <c r="F951" s="197">
        <v>0</v>
      </c>
      <c r="G951" s="197">
        <v>0</v>
      </c>
      <c r="H951" s="197">
        <v>0</v>
      </c>
      <c r="I951" s="348">
        <f t="shared" si="22"/>
        <v>785965.04361000005</v>
      </c>
      <c r="J951" s="192" t="s">
        <v>739</v>
      </c>
    </row>
    <row r="952" spans="1:10" ht="13.9" hidden="1" customHeight="1" outlineLevel="1">
      <c r="A952" s="380" t="s">
        <v>484</v>
      </c>
      <c r="B952" s="197">
        <v>21509679.529589999</v>
      </c>
      <c r="C952" s="197">
        <v>0</v>
      </c>
      <c r="D952" s="197">
        <v>0</v>
      </c>
      <c r="E952" s="197">
        <v>0</v>
      </c>
      <c r="F952" s="197">
        <v>216.47827000000001</v>
      </c>
      <c r="G952" s="197">
        <v>0</v>
      </c>
      <c r="H952" s="197">
        <v>0</v>
      </c>
      <c r="I952" s="348">
        <f t="shared" si="22"/>
        <v>21509896.007860001</v>
      </c>
      <c r="J952" s="192" t="s">
        <v>485</v>
      </c>
    </row>
    <row r="953" spans="1:10" ht="13.9" hidden="1" customHeight="1" outlineLevel="1">
      <c r="A953" s="380" t="s">
        <v>564</v>
      </c>
      <c r="B953" s="197">
        <v>49002.57420000001</v>
      </c>
      <c r="C953" s="197">
        <v>0</v>
      </c>
      <c r="D953" s="197">
        <v>0</v>
      </c>
      <c r="E953" s="197">
        <v>0</v>
      </c>
      <c r="F953" s="197">
        <v>0</v>
      </c>
      <c r="G953" s="197">
        <v>0</v>
      </c>
      <c r="H953" s="197">
        <v>0</v>
      </c>
      <c r="I953" s="348">
        <f t="shared" si="22"/>
        <v>49002.57420000001</v>
      </c>
      <c r="J953" s="192" t="s">
        <v>565</v>
      </c>
    </row>
    <row r="954" spans="1:10" ht="13.9" hidden="1" customHeight="1" outlineLevel="1">
      <c r="A954" s="380" t="s">
        <v>682</v>
      </c>
      <c r="B954" s="197">
        <v>5663521.9950600006</v>
      </c>
      <c r="C954" s="197">
        <v>0</v>
      </c>
      <c r="D954" s="197">
        <v>0</v>
      </c>
      <c r="E954" s="197">
        <v>0</v>
      </c>
      <c r="F954" s="197">
        <v>0</v>
      </c>
      <c r="G954" s="197">
        <v>0</v>
      </c>
      <c r="H954" s="197">
        <v>0</v>
      </c>
      <c r="I954" s="348">
        <f t="shared" si="22"/>
        <v>5663521.9950600006</v>
      </c>
      <c r="J954" s="192" t="s">
        <v>683</v>
      </c>
    </row>
    <row r="955" spans="1:10" ht="13.9" hidden="1" customHeight="1" outlineLevel="1">
      <c r="A955" s="380" t="s">
        <v>722</v>
      </c>
      <c r="B955" s="197">
        <v>29174677.184950005</v>
      </c>
      <c r="C955" s="197">
        <v>0</v>
      </c>
      <c r="D955" s="197">
        <v>0</v>
      </c>
      <c r="E955" s="197">
        <v>0</v>
      </c>
      <c r="F955" s="197">
        <v>217461.23967899999</v>
      </c>
      <c r="G955" s="197">
        <v>0</v>
      </c>
      <c r="H955" s="197">
        <v>0</v>
      </c>
      <c r="I955" s="348">
        <f t="shared" si="22"/>
        <v>29392138.424629007</v>
      </c>
      <c r="J955" s="192" t="s">
        <v>723</v>
      </c>
    </row>
    <row r="956" spans="1:10" ht="13.9" hidden="1" customHeight="1" outlineLevel="1">
      <c r="A956" s="380" t="s">
        <v>680</v>
      </c>
      <c r="B956" s="197">
        <v>18624345.128230002</v>
      </c>
      <c r="C956" s="197">
        <v>0</v>
      </c>
      <c r="D956" s="197">
        <v>0</v>
      </c>
      <c r="E956" s="197">
        <v>0</v>
      </c>
      <c r="F956" s="197">
        <v>34003.859355000001</v>
      </c>
      <c r="G956" s="197">
        <v>0</v>
      </c>
      <c r="H956" s="197">
        <v>5657.3554820000008</v>
      </c>
      <c r="I956" s="348">
        <f t="shared" si="22"/>
        <v>18664006.343067002</v>
      </c>
      <c r="J956" s="192" t="s">
        <v>2176</v>
      </c>
    </row>
    <row r="957" spans="1:10" ht="13.9" hidden="1" customHeight="1" outlineLevel="1">
      <c r="A957" s="380" t="s">
        <v>726</v>
      </c>
      <c r="B957" s="197">
        <v>24874.142950000005</v>
      </c>
      <c r="C957" s="197">
        <v>0</v>
      </c>
      <c r="D957" s="197">
        <v>0</v>
      </c>
      <c r="E957" s="197">
        <v>0</v>
      </c>
      <c r="F957" s="197">
        <v>0</v>
      </c>
      <c r="G957" s="197">
        <v>0</v>
      </c>
      <c r="H957" s="197">
        <v>0</v>
      </c>
      <c r="I957" s="348">
        <f t="shared" si="22"/>
        <v>24874.142950000005</v>
      </c>
      <c r="J957" s="192" t="s">
        <v>727</v>
      </c>
    </row>
    <row r="958" spans="1:10" ht="13.9" hidden="1" customHeight="1" outlineLevel="1">
      <c r="A958" s="380" t="s">
        <v>568</v>
      </c>
      <c r="B958" s="197">
        <v>230592.14574000001</v>
      </c>
      <c r="C958" s="197">
        <v>0</v>
      </c>
      <c r="D958" s="197">
        <v>0</v>
      </c>
      <c r="E958" s="197">
        <v>0</v>
      </c>
      <c r="F958" s="197">
        <v>0</v>
      </c>
      <c r="G958" s="197">
        <v>0</v>
      </c>
      <c r="H958" s="197">
        <v>0</v>
      </c>
      <c r="I958" s="348">
        <f t="shared" si="22"/>
        <v>230592.14574000001</v>
      </c>
      <c r="J958" s="192" t="s">
        <v>569</v>
      </c>
    </row>
    <row r="959" spans="1:10" ht="13.9" hidden="1" customHeight="1" outlineLevel="1">
      <c r="A959" s="380" t="s">
        <v>732</v>
      </c>
      <c r="B959" s="197">
        <v>65029.07677</v>
      </c>
      <c r="C959" s="197">
        <v>0</v>
      </c>
      <c r="D959" s="197">
        <v>0</v>
      </c>
      <c r="E959" s="197">
        <v>0</v>
      </c>
      <c r="F959" s="197">
        <v>0</v>
      </c>
      <c r="G959" s="197">
        <v>0</v>
      </c>
      <c r="H959" s="197">
        <v>0</v>
      </c>
      <c r="I959" s="348">
        <f t="shared" si="22"/>
        <v>65029.07677</v>
      </c>
      <c r="J959" s="192" t="s">
        <v>733</v>
      </c>
    </row>
    <row r="960" spans="1:10" ht="13.9" hidden="1" customHeight="1" outlineLevel="1">
      <c r="A960" s="380" t="s">
        <v>578</v>
      </c>
      <c r="B960" s="197">
        <v>250161.82456000004</v>
      </c>
      <c r="C960" s="197">
        <v>0</v>
      </c>
      <c r="D960" s="197">
        <v>0</v>
      </c>
      <c r="E960" s="197">
        <v>0</v>
      </c>
      <c r="F960" s="197">
        <v>0</v>
      </c>
      <c r="G960" s="197">
        <v>0</v>
      </c>
      <c r="H960" s="197">
        <v>0</v>
      </c>
      <c r="I960" s="348">
        <f t="shared" si="22"/>
        <v>250161.82456000004</v>
      </c>
      <c r="J960" s="192" t="s">
        <v>579</v>
      </c>
    </row>
    <row r="961" spans="1:10" ht="13.9" hidden="1" customHeight="1" outlineLevel="1">
      <c r="A961" s="380" t="s">
        <v>470</v>
      </c>
      <c r="B961" s="197">
        <v>265158.10042000003</v>
      </c>
      <c r="C961" s="197">
        <v>0</v>
      </c>
      <c r="D961" s="197">
        <v>0</v>
      </c>
      <c r="E961" s="197">
        <v>0</v>
      </c>
      <c r="F961" s="197">
        <v>0</v>
      </c>
      <c r="G961" s="197">
        <v>0</v>
      </c>
      <c r="H961" s="197">
        <v>0</v>
      </c>
      <c r="I961" s="348">
        <f t="shared" si="22"/>
        <v>265158.10042000003</v>
      </c>
      <c r="J961" s="192" t="s">
        <v>471</v>
      </c>
    </row>
    <row r="962" spans="1:10" ht="13.9" hidden="1" customHeight="1" outlineLevel="1">
      <c r="A962" s="380" t="s">
        <v>694</v>
      </c>
      <c r="B962" s="197">
        <v>204136.17490000001</v>
      </c>
      <c r="C962" s="197">
        <v>0</v>
      </c>
      <c r="D962" s="197">
        <v>0</v>
      </c>
      <c r="E962" s="197">
        <v>0</v>
      </c>
      <c r="F962" s="197">
        <v>0</v>
      </c>
      <c r="G962" s="197">
        <v>0</v>
      </c>
      <c r="H962" s="197">
        <v>0</v>
      </c>
      <c r="I962" s="348">
        <f t="shared" si="22"/>
        <v>204136.17490000001</v>
      </c>
      <c r="J962" s="192" t="s">
        <v>2177</v>
      </c>
    </row>
    <row r="963" spans="1:10" ht="13.9" hidden="1" customHeight="1" outlineLevel="1">
      <c r="A963" s="380" t="s">
        <v>748</v>
      </c>
      <c r="B963" s="197">
        <v>304465.53058000002</v>
      </c>
      <c r="C963" s="197">
        <v>0</v>
      </c>
      <c r="D963" s="197">
        <v>0</v>
      </c>
      <c r="E963" s="197">
        <v>0</v>
      </c>
      <c r="F963" s="197">
        <v>0</v>
      </c>
      <c r="G963" s="197">
        <v>0</v>
      </c>
      <c r="H963" s="197">
        <v>0</v>
      </c>
      <c r="I963" s="348">
        <f t="shared" si="22"/>
        <v>304465.53058000002</v>
      </c>
      <c r="J963" s="192" t="s">
        <v>749</v>
      </c>
    </row>
    <row r="964" spans="1:10" ht="13.9" hidden="1" customHeight="1" outlineLevel="1">
      <c r="A964" s="380" t="s">
        <v>498</v>
      </c>
      <c r="B964" s="197">
        <v>168513.03587000002</v>
      </c>
      <c r="C964" s="197">
        <v>0</v>
      </c>
      <c r="D964" s="197">
        <v>0</v>
      </c>
      <c r="E964" s="197">
        <v>0</v>
      </c>
      <c r="F964" s="197">
        <v>0</v>
      </c>
      <c r="G964" s="197">
        <v>0</v>
      </c>
      <c r="H964" s="197">
        <v>0</v>
      </c>
      <c r="I964" s="348">
        <f t="shared" si="22"/>
        <v>168513.03587000002</v>
      </c>
      <c r="J964" s="192" t="s">
        <v>499</v>
      </c>
    </row>
    <row r="965" spans="1:10" ht="13.9" hidden="1" customHeight="1" outlineLevel="1">
      <c r="A965" s="380" t="s">
        <v>644</v>
      </c>
      <c r="B965" s="197">
        <v>136880.05691000001</v>
      </c>
      <c r="C965" s="197">
        <v>0</v>
      </c>
      <c r="D965" s="197">
        <v>0</v>
      </c>
      <c r="E965" s="197">
        <v>0</v>
      </c>
      <c r="F965" s="197">
        <v>0</v>
      </c>
      <c r="G965" s="197">
        <v>0</v>
      </c>
      <c r="H965" s="197">
        <v>0</v>
      </c>
      <c r="I965" s="348">
        <f t="shared" si="22"/>
        <v>136880.05691000001</v>
      </c>
      <c r="J965" s="192" t="s">
        <v>645</v>
      </c>
    </row>
    <row r="966" spans="1:10" ht="13.9" hidden="1" customHeight="1" outlineLevel="1">
      <c r="A966" s="380" t="s">
        <v>586</v>
      </c>
      <c r="B966" s="197">
        <v>143331.43954000002</v>
      </c>
      <c r="C966" s="197">
        <v>0</v>
      </c>
      <c r="D966" s="197">
        <v>0</v>
      </c>
      <c r="E966" s="197">
        <v>0</v>
      </c>
      <c r="F966" s="197">
        <v>0</v>
      </c>
      <c r="G966" s="197">
        <v>0</v>
      </c>
      <c r="H966" s="197">
        <v>0</v>
      </c>
      <c r="I966" s="348">
        <f t="shared" si="22"/>
        <v>143331.43954000002</v>
      </c>
      <c r="J966" s="192" t="s">
        <v>587</v>
      </c>
    </row>
    <row r="967" spans="1:10" ht="13.9" hidden="1" customHeight="1" outlineLevel="1">
      <c r="A967" s="380" t="s">
        <v>604</v>
      </c>
      <c r="B967" s="197">
        <v>331433.75752000004</v>
      </c>
      <c r="C967" s="197">
        <v>0</v>
      </c>
      <c r="D967" s="197">
        <v>0</v>
      </c>
      <c r="E967" s="197">
        <v>0</v>
      </c>
      <c r="F967" s="197">
        <v>0</v>
      </c>
      <c r="G967" s="197">
        <v>0</v>
      </c>
      <c r="H967" s="197">
        <v>0</v>
      </c>
      <c r="I967" s="348">
        <f t="shared" si="22"/>
        <v>331433.75752000004</v>
      </c>
      <c r="J967" s="192" t="s">
        <v>2178</v>
      </c>
    </row>
    <row r="968" spans="1:10" ht="13.9" hidden="1" customHeight="1" outlineLevel="1">
      <c r="A968" s="380" t="s">
        <v>666</v>
      </c>
      <c r="B968" s="197">
        <v>262406.46552000003</v>
      </c>
      <c r="C968" s="197">
        <v>0</v>
      </c>
      <c r="D968" s="197">
        <v>0</v>
      </c>
      <c r="E968" s="197">
        <v>0</v>
      </c>
      <c r="F968" s="197">
        <v>0</v>
      </c>
      <c r="G968" s="197">
        <v>0</v>
      </c>
      <c r="H968" s="197">
        <v>0</v>
      </c>
      <c r="I968" s="348">
        <f t="shared" si="22"/>
        <v>262406.46552000003</v>
      </c>
      <c r="J968" s="192" t="s">
        <v>667</v>
      </c>
    </row>
    <row r="969" spans="1:10" ht="13.9" hidden="1" customHeight="1" outlineLevel="1">
      <c r="A969" s="380" t="s">
        <v>632</v>
      </c>
      <c r="B969" s="197">
        <v>265435.92865000002</v>
      </c>
      <c r="C969" s="197">
        <v>0</v>
      </c>
      <c r="D969" s="197">
        <v>0</v>
      </c>
      <c r="E969" s="197">
        <v>0</v>
      </c>
      <c r="F969" s="197">
        <v>0</v>
      </c>
      <c r="G969" s="197">
        <v>0</v>
      </c>
      <c r="H969" s="197">
        <v>0</v>
      </c>
      <c r="I969" s="348">
        <f t="shared" si="22"/>
        <v>265435.92865000002</v>
      </c>
      <c r="J969" s="192" t="s">
        <v>633</v>
      </c>
    </row>
    <row r="970" spans="1:10" ht="13.9" hidden="1" customHeight="1" outlineLevel="1">
      <c r="A970" s="380" t="s">
        <v>500</v>
      </c>
      <c r="B970" s="197">
        <v>83320.552940000009</v>
      </c>
      <c r="C970" s="197">
        <v>0</v>
      </c>
      <c r="D970" s="197">
        <v>0</v>
      </c>
      <c r="E970" s="197">
        <v>0</v>
      </c>
      <c r="F970" s="197">
        <v>0</v>
      </c>
      <c r="G970" s="197">
        <v>0</v>
      </c>
      <c r="H970" s="197">
        <v>0</v>
      </c>
      <c r="I970" s="348">
        <f t="shared" si="22"/>
        <v>83320.552940000009</v>
      </c>
      <c r="J970" s="192" t="s">
        <v>501</v>
      </c>
    </row>
    <row r="971" spans="1:10" ht="13.9" hidden="1" customHeight="1" outlineLevel="1">
      <c r="A971" s="380" t="s">
        <v>610</v>
      </c>
      <c r="B971" s="197">
        <v>112670.35940000002</v>
      </c>
      <c r="C971" s="197">
        <v>0</v>
      </c>
      <c r="D971" s="197">
        <v>0</v>
      </c>
      <c r="E971" s="197">
        <v>0</v>
      </c>
      <c r="F971" s="197">
        <v>0</v>
      </c>
      <c r="G971" s="197">
        <v>0</v>
      </c>
      <c r="H971" s="197">
        <v>0</v>
      </c>
      <c r="I971" s="348">
        <f t="shared" si="22"/>
        <v>112670.35940000002</v>
      </c>
      <c r="J971" s="192" t="s">
        <v>611</v>
      </c>
    </row>
    <row r="972" spans="1:10" ht="13.9" hidden="1" customHeight="1" outlineLevel="1">
      <c r="A972" s="380" t="s">
        <v>688</v>
      </c>
      <c r="B972" s="197">
        <v>596437.96782000002</v>
      </c>
      <c r="C972" s="197">
        <v>0</v>
      </c>
      <c r="D972" s="197">
        <v>0</v>
      </c>
      <c r="E972" s="197">
        <v>0</v>
      </c>
      <c r="F972" s="197">
        <v>521.39183700000001</v>
      </c>
      <c r="G972" s="197">
        <v>0</v>
      </c>
      <c r="H972" s="197">
        <v>0</v>
      </c>
      <c r="I972" s="348">
        <f t="shared" si="22"/>
        <v>596959.35965700005</v>
      </c>
      <c r="J972" s="192" t="s">
        <v>689</v>
      </c>
    </row>
    <row r="973" spans="1:10" ht="13.9" hidden="1" customHeight="1" outlineLevel="1">
      <c r="A973" s="380" t="s">
        <v>528</v>
      </c>
      <c r="B973" s="197">
        <v>202420.09619000004</v>
      </c>
      <c r="C973" s="197">
        <v>0</v>
      </c>
      <c r="D973" s="197">
        <v>0</v>
      </c>
      <c r="E973" s="197">
        <v>0</v>
      </c>
      <c r="F973" s="197">
        <v>0</v>
      </c>
      <c r="G973" s="197">
        <v>0</v>
      </c>
      <c r="H973" s="197">
        <v>0</v>
      </c>
      <c r="I973" s="348">
        <f t="shared" si="22"/>
        <v>202420.09619000004</v>
      </c>
      <c r="J973" s="192" t="s">
        <v>529</v>
      </c>
    </row>
    <row r="974" spans="1:10" ht="13.9" hidden="1" customHeight="1" outlineLevel="1">
      <c r="A974" s="380" t="s">
        <v>486</v>
      </c>
      <c r="B974" s="197">
        <v>1828898.8876200002</v>
      </c>
      <c r="C974" s="197">
        <v>0</v>
      </c>
      <c r="D974" s="197">
        <v>0</v>
      </c>
      <c r="E974" s="197">
        <v>0</v>
      </c>
      <c r="F974" s="197">
        <v>3121.0099680000003</v>
      </c>
      <c r="G974" s="197">
        <v>0</v>
      </c>
      <c r="H974" s="197">
        <v>0</v>
      </c>
      <c r="I974" s="348">
        <f t="shared" si="22"/>
        <v>1832019.8975880002</v>
      </c>
      <c r="J974" s="192" t="s">
        <v>487</v>
      </c>
    </row>
    <row r="975" spans="1:10" ht="13.9" hidden="1" customHeight="1" outlineLevel="1">
      <c r="A975" s="380" t="s">
        <v>546</v>
      </c>
      <c r="B975" s="197">
        <v>596117.58685000008</v>
      </c>
      <c r="C975" s="197">
        <v>0</v>
      </c>
      <c r="D975" s="197">
        <v>0</v>
      </c>
      <c r="E975" s="197">
        <v>0</v>
      </c>
      <c r="F975" s="197">
        <v>929.04913600000009</v>
      </c>
      <c r="G975" s="197">
        <v>0</v>
      </c>
      <c r="H975" s="197">
        <v>0</v>
      </c>
      <c r="I975" s="348">
        <f t="shared" si="22"/>
        <v>597046.63598600007</v>
      </c>
      <c r="J975" s="192" t="s">
        <v>547</v>
      </c>
    </row>
    <row r="976" spans="1:10" ht="13.9" hidden="1" customHeight="1" outlineLevel="1">
      <c r="A976" s="380" t="s">
        <v>582</v>
      </c>
      <c r="B976" s="197">
        <v>164118.23143000001</v>
      </c>
      <c r="C976" s="197">
        <v>0</v>
      </c>
      <c r="D976" s="197">
        <v>0</v>
      </c>
      <c r="E976" s="197">
        <v>0</v>
      </c>
      <c r="F976" s="197">
        <v>0</v>
      </c>
      <c r="G976" s="197">
        <v>0</v>
      </c>
      <c r="H976" s="197">
        <v>0</v>
      </c>
      <c r="I976" s="348">
        <f t="shared" si="22"/>
        <v>164118.23143000001</v>
      </c>
      <c r="J976" s="192" t="s">
        <v>583</v>
      </c>
    </row>
    <row r="977" spans="1:10" ht="13.9" hidden="1" customHeight="1" outlineLevel="1">
      <c r="A977" s="380" t="s">
        <v>634</v>
      </c>
      <c r="B977" s="197">
        <v>699576.39989000012</v>
      </c>
      <c r="C977" s="197">
        <v>0</v>
      </c>
      <c r="D977" s="197">
        <v>0</v>
      </c>
      <c r="E977" s="197">
        <v>0</v>
      </c>
      <c r="F977" s="197">
        <v>0</v>
      </c>
      <c r="G977" s="197">
        <v>0</v>
      </c>
      <c r="H977" s="197">
        <v>0</v>
      </c>
      <c r="I977" s="348">
        <f t="shared" si="22"/>
        <v>699576.39989000012</v>
      </c>
      <c r="J977" s="192" t="s">
        <v>635</v>
      </c>
    </row>
    <row r="978" spans="1:10" ht="13.9" hidden="1" customHeight="1" outlineLevel="1">
      <c r="A978" s="380" t="s">
        <v>710</v>
      </c>
      <c r="B978" s="197">
        <v>233415.02781000003</v>
      </c>
      <c r="C978" s="197">
        <v>0</v>
      </c>
      <c r="D978" s="197">
        <v>0</v>
      </c>
      <c r="E978" s="197">
        <v>0</v>
      </c>
      <c r="F978" s="197">
        <v>0</v>
      </c>
      <c r="G978" s="197">
        <v>0</v>
      </c>
      <c r="H978" s="197">
        <v>0</v>
      </c>
      <c r="I978" s="348">
        <f t="shared" si="22"/>
        <v>233415.02781000003</v>
      </c>
      <c r="J978" s="192" t="s">
        <v>711</v>
      </c>
    </row>
    <row r="979" spans="1:10" ht="13.9" hidden="1" customHeight="1" outlineLevel="1">
      <c r="A979" s="380" t="s">
        <v>576</v>
      </c>
      <c r="B979" s="197">
        <v>2070.4143400000003</v>
      </c>
      <c r="C979" s="197">
        <v>0</v>
      </c>
      <c r="D979" s="197">
        <v>0</v>
      </c>
      <c r="E979" s="197">
        <v>0</v>
      </c>
      <c r="F979" s="197">
        <v>0</v>
      </c>
      <c r="G979" s="197">
        <v>0</v>
      </c>
      <c r="H979" s="197">
        <v>0</v>
      </c>
      <c r="I979" s="348">
        <f t="shared" si="22"/>
        <v>2070.4143400000003</v>
      </c>
      <c r="J979" s="192" t="s">
        <v>2179</v>
      </c>
    </row>
    <row r="980" spans="1:10" ht="13.9" hidden="1" customHeight="1" outlineLevel="1">
      <c r="A980" s="380" t="s">
        <v>712</v>
      </c>
      <c r="B980" s="197">
        <v>104501.97842</v>
      </c>
      <c r="C980" s="197">
        <v>0</v>
      </c>
      <c r="D980" s="197">
        <v>0</v>
      </c>
      <c r="E980" s="197">
        <v>0</v>
      </c>
      <c r="F980" s="197">
        <v>0</v>
      </c>
      <c r="G980" s="197">
        <v>0</v>
      </c>
      <c r="H980" s="197">
        <v>0</v>
      </c>
      <c r="I980" s="348">
        <f t="shared" si="22"/>
        <v>104501.97842</v>
      </c>
      <c r="J980" s="192" t="s">
        <v>713</v>
      </c>
    </row>
    <row r="981" spans="1:10" ht="13.9" hidden="1" customHeight="1" outlineLevel="1">
      <c r="A981" s="380" t="s">
        <v>756</v>
      </c>
      <c r="B981" s="197">
        <v>419610.13154000009</v>
      </c>
      <c r="C981" s="197">
        <v>0</v>
      </c>
      <c r="D981" s="197">
        <v>0</v>
      </c>
      <c r="E981" s="197">
        <v>0</v>
      </c>
      <c r="F981" s="197">
        <v>0</v>
      </c>
      <c r="G981" s="197">
        <v>0</v>
      </c>
      <c r="H981" s="197">
        <v>0</v>
      </c>
      <c r="I981" s="348">
        <f t="shared" si="22"/>
        <v>419610.13154000009</v>
      </c>
      <c r="J981" s="192" t="s">
        <v>757</v>
      </c>
    </row>
    <row r="982" spans="1:10" ht="13.9" hidden="1" customHeight="1" outlineLevel="1">
      <c r="A982" s="380" t="s">
        <v>490</v>
      </c>
      <c r="B982" s="197">
        <v>90556.72643000001</v>
      </c>
      <c r="C982" s="197">
        <v>0</v>
      </c>
      <c r="D982" s="197">
        <v>0</v>
      </c>
      <c r="E982" s="197">
        <v>0</v>
      </c>
      <c r="F982" s="197">
        <v>0</v>
      </c>
      <c r="G982" s="197">
        <v>0</v>
      </c>
      <c r="H982" s="197">
        <v>0</v>
      </c>
      <c r="I982" s="348">
        <f t="shared" si="22"/>
        <v>90556.72643000001</v>
      </c>
      <c r="J982" s="192" t="s">
        <v>491</v>
      </c>
    </row>
    <row r="983" spans="1:10" ht="13.9" hidden="1" customHeight="1" outlineLevel="1">
      <c r="A983" s="380" t="s">
        <v>462</v>
      </c>
      <c r="B983" s="197">
        <v>159939.94958000001</v>
      </c>
      <c r="C983" s="197">
        <v>0</v>
      </c>
      <c r="D983" s="197">
        <v>0</v>
      </c>
      <c r="E983" s="197">
        <v>0</v>
      </c>
      <c r="F983" s="197">
        <v>0</v>
      </c>
      <c r="G983" s="197">
        <v>0</v>
      </c>
      <c r="H983" s="197">
        <v>0</v>
      </c>
      <c r="I983" s="348">
        <f t="shared" si="22"/>
        <v>159939.94958000001</v>
      </c>
      <c r="J983" s="192" t="s">
        <v>463</v>
      </c>
    </row>
    <row r="984" spans="1:10" ht="13.9" hidden="1" customHeight="1" outlineLevel="1">
      <c r="A984" s="380" t="s">
        <v>692</v>
      </c>
      <c r="B984" s="197">
        <v>72985.544440000012</v>
      </c>
      <c r="C984" s="197">
        <v>0</v>
      </c>
      <c r="D984" s="197">
        <v>0</v>
      </c>
      <c r="E984" s="197">
        <v>0</v>
      </c>
      <c r="F984" s="197">
        <v>0</v>
      </c>
      <c r="G984" s="197">
        <v>0</v>
      </c>
      <c r="H984" s="197">
        <v>0</v>
      </c>
      <c r="I984" s="348">
        <f t="shared" si="22"/>
        <v>72985.544440000012</v>
      </c>
      <c r="J984" s="192" t="s">
        <v>693</v>
      </c>
    </row>
    <row r="985" spans="1:10" ht="13.9" hidden="1" customHeight="1" outlineLevel="1">
      <c r="A985" s="380" t="s">
        <v>506</v>
      </c>
      <c r="B985" s="197">
        <v>436085.21068000002</v>
      </c>
      <c r="C985" s="197">
        <v>0</v>
      </c>
      <c r="D985" s="197">
        <v>0</v>
      </c>
      <c r="E985" s="197">
        <v>0</v>
      </c>
      <c r="F985" s="197">
        <v>0</v>
      </c>
      <c r="G985" s="197">
        <v>0</v>
      </c>
      <c r="H985" s="197">
        <v>0</v>
      </c>
      <c r="I985" s="348">
        <f t="shared" si="22"/>
        <v>436085.21068000002</v>
      </c>
      <c r="J985" s="192" t="s">
        <v>507</v>
      </c>
    </row>
    <row r="986" spans="1:10" ht="13.9" hidden="1" customHeight="1" outlineLevel="1">
      <c r="A986" s="380" t="s">
        <v>622</v>
      </c>
      <c r="B986" s="197">
        <v>1696643.60886</v>
      </c>
      <c r="C986" s="197">
        <v>0</v>
      </c>
      <c r="D986" s="197">
        <v>0</v>
      </c>
      <c r="E986" s="197">
        <v>0</v>
      </c>
      <c r="F986" s="197">
        <v>4566.5253270000012</v>
      </c>
      <c r="G986" s="197">
        <v>0</v>
      </c>
      <c r="H986" s="197">
        <v>0</v>
      </c>
      <c r="I986" s="348">
        <f t="shared" si="22"/>
        <v>1701210.1341870001</v>
      </c>
      <c r="J986" s="192" t="s">
        <v>2030</v>
      </c>
    </row>
    <row r="987" spans="1:10" ht="13.9" hidden="1" customHeight="1" outlineLevel="1">
      <c r="A987" s="380" t="s">
        <v>642</v>
      </c>
      <c r="B987" s="197">
        <v>106292.35407000002</v>
      </c>
      <c r="C987" s="197">
        <v>0</v>
      </c>
      <c r="D987" s="197">
        <v>0</v>
      </c>
      <c r="E987" s="197">
        <v>0</v>
      </c>
      <c r="F987" s="197">
        <v>0</v>
      </c>
      <c r="G987" s="197">
        <v>0</v>
      </c>
      <c r="H987" s="197">
        <v>0</v>
      </c>
      <c r="I987" s="348">
        <f t="shared" si="22"/>
        <v>106292.35407000002</v>
      </c>
      <c r="J987" s="192" t="s">
        <v>643</v>
      </c>
    </row>
    <row r="988" spans="1:10" ht="13.9" hidden="1" customHeight="1" outlineLevel="1">
      <c r="A988" s="380" t="s">
        <v>510</v>
      </c>
      <c r="B988" s="197">
        <v>126389.42981</v>
      </c>
      <c r="C988" s="197">
        <v>0</v>
      </c>
      <c r="D988" s="197">
        <v>0</v>
      </c>
      <c r="E988" s="197">
        <v>0</v>
      </c>
      <c r="F988" s="197">
        <v>0</v>
      </c>
      <c r="G988" s="197">
        <v>0</v>
      </c>
      <c r="H988" s="197">
        <v>0</v>
      </c>
      <c r="I988" s="348">
        <f t="shared" si="22"/>
        <v>126389.42981</v>
      </c>
      <c r="J988" s="192" t="s">
        <v>511</v>
      </c>
    </row>
    <row r="989" spans="1:10" ht="13.9" hidden="1" customHeight="1" outlineLevel="1">
      <c r="A989" s="380" t="s">
        <v>636</v>
      </c>
      <c r="B989" s="197">
        <v>540493.30549000006</v>
      </c>
      <c r="C989" s="197">
        <v>0</v>
      </c>
      <c r="D989" s="197">
        <v>0</v>
      </c>
      <c r="E989" s="197">
        <v>0</v>
      </c>
      <c r="F989" s="197">
        <v>947.82419600000003</v>
      </c>
      <c r="G989" s="197">
        <v>0</v>
      </c>
      <c r="H989" s="197">
        <v>0</v>
      </c>
      <c r="I989" s="348">
        <f t="shared" si="22"/>
        <v>541441.12968600006</v>
      </c>
      <c r="J989" s="192" t="s">
        <v>637</v>
      </c>
    </row>
    <row r="990" spans="1:10" ht="13.9" hidden="1" customHeight="1" outlineLevel="1">
      <c r="A990" s="380" t="s">
        <v>760</v>
      </c>
      <c r="B990" s="197">
        <v>392528.22934000002</v>
      </c>
      <c r="C990" s="197">
        <v>0</v>
      </c>
      <c r="D990" s="197">
        <v>0</v>
      </c>
      <c r="E990" s="197">
        <v>0</v>
      </c>
      <c r="F990" s="197">
        <v>0</v>
      </c>
      <c r="G990" s="197">
        <v>0</v>
      </c>
      <c r="H990" s="197">
        <v>0</v>
      </c>
      <c r="I990" s="348">
        <f t="shared" si="22"/>
        <v>392528.22934000002</v>
      </c>
      <c r="J990" s="192" t="s">
        <v>761</v>
      </c>
    </row>
    <row r="991" spans="1:10" ht="13.9" hidden="1" customHeight="1" outlineLevel="1">
      <c r="A991" s="380" t="s">
        <v>736</v>
      </c>
      <c r="B991" s="197">
        <v>210895.19927000001</v>
      </c>
      <c r="C991" s="197">
        <v>0</v>
      </c>
      <c r="D991" s="197">
        <v>0</v>
      </c>
      <c r="E991" s="197">
        <v>0</v>
      </c>
      <c r="F991" s="197">
        <v>0</v>
      </c>
      <c r="G991" s="197">
        <v>0</v>
      </c>
      <c r="H991" s="197">
        <v>0</v>
      </c>
      <c r="I991" s="348">
        <f t="shared" si="22"/>
        <v>210895.19927000001</v>
      </c>
      <c r="J991" s="192" t="s">
        <v>737</v>
      </c>
    </row>
    <row r="992" spans="1:10" ht="13.9" hidden="1" customHeight="1" outlineLevel="1">
      <c r="A992" s="380" t="s">
        <v>618</v>
      </c>
      <c r="B992" s="197">
        <v>731626.42727999995</v>
      </c>
      <c r="C992" s="197">
        <v>0</v>
      </c>
      <c r="D992" s="197">
        <v>0</v>
      </c>
      <c r="E992" s="197">
        <v>0</v>
      </c>
      <c r="F992" s="197">
        <v>1291.4806450000001</v>
      </c>
      <c r="G992" s="197">
        <v>70.382376000000008</v>
      </c>
      <c r="H992" s="197">
        <v>0</v>
      </c>
      <c r="I992" s="348">
        <f t="shared" si="22"/>
        <v>732988.290301</v>
      </c>
      <c r="J992" s="192" t="s">
        <v>619</v>
      </c>
    </row>
    <row r="993" spans="1:10" ht="13.9" hidden="1" customHeight="1" outlineLevel="1">
      <c r="A993" s="380" t="s">
        <v>704</v>
      </c>
      <c r="B993" s="197">
        <v>4562.8215600000003</v>
      </c>
      <c r="C993" s="197">
        <v>0</v>
      </c>
      <c r="D993" s="197">
        <v>0</v>
      </c>
      <c r="E993" s="197">
        <v>0</v>
      </c>
      <c r="F993" s="197">
        <v>0</v>
      </c>
      <c r="G993" s="197">
        <v>0</v>
      </c>
      <c r="H993" s="197">
        <v>0</v>
      </c>
      <c r="I993" s="348">
        <f t="shared" si="22"/>
        <v>4562.8215600000003</v>
      </c>
      <c r="J993" s="192" t="s">
        <v>705</v>
      </c>
    </row>
    <row r="994" spans="1:10" ht="13.9" hidden="1" customHeight="1" outlineLevel="1">
      <c r="A994" s="380" t="s">
        <v>668</v>
      </c>
      <c r="B994" s="197">
        <v>167911.68549000003</v>
      </c>
      <c r="C994" s="197">
        <v>0</v>
      </c>
      <c r="D994" s="197">
        <v>0</v>
      </c>
      <c r="E994" s="197">
        <v>0</v>
      </c>
      <c r="F994" s="197">
        <v>0</v>
      </c>
      <c r="G994" s="197">
        <v>0</v>
      </c>
      <c r="H994" s="197">
        <v>0</v>
      </c>
      <c r="I994" s="348">
        <f t="shared" si="22"/>
        <v>167911.68549000003</v>
      </c>
      <c r="J994" s="192" t="s">
        <v>669</v>
      </c>
    </row>
    <row r="995" spans="1:10" ht="13.9" hidden="1" customHeight="1" outlineLevel="1">
      <c r="A995" s="380" t="s">
        <v>584</v>
      </c>
      <c r="B995" s="197">
        <v>318772.09306000004</v>
      </c>
      <c r="C995" s="197">
        <v>0</v>
      </c>
      <c r="D995" s="197">
        <v>0</v>
      </c>
      <c r="E995" s="197">
        <v>0</v>
      </c>
      <c r="F995" s="197">
        <v>0</v>
      </c>
      <c r="G995" s="197">
        <v>0</v>
      </c>
      <c r="H995" s="197">
        <v>0</v>
      </c>
      <c r="I995" s="348">
        <f t="shared" si="22"/>
        <v>318772.09306000004</v>
      </c>
      <c r="J995" s="192" t="s">
        <v>585</v>
      </c>
    </row>
    <row r="996" spans="1:10" ht="13.9" hidden="1" customHeight="1" outlineLevel="1">
      <c r="A996" s="380" t="s">
        <v>658</v>
      </c>
      <c r="B996" s="197">
        <v>399506.51306000003</v>
      </c>
      <c r="C996" s="197">
        <v>0</v>
      </c>
      <c r="D996" s="197">
        <v>0</v>
      </c>
      <c r="E996" s="197">
        <v>0</v>
      </c>
      <c r="F996" s="197">
        <v>0</v>
      </c>
      <c r="G996" s="197">
        <v>0</v>
      </c>
      <c r="H996" s="197">
        <v>0</v>
      </c>
      <c r="I996" s="348">
        <f t="shared" si="22"/>
        <v>399506.51306000003</v>
      </c>
      <c r="J996" s="192" t="s">
        <v>2180</v>
      </c>
    </row>
    <row r="997" spans="1:10" ht="13.9" hidden="1" customHeight="1" outlineLevel="1">
      <c r="A997" s="380" t="s">
        <v>524</v>
      </c>
      <c r="B997" s="197">
        <v>512300.66930000007</v>
      </c>
      <c r="C997" s="197">
        <v>0</v>
      </c>
      <c r="D997" s="197">
        <v>0</v>
      </c>
      <c r="E997" s="197">
        <v>0</v>
      </c>
      <c r="F997" s="197">
        <v>0</v>
      </c>
      <c r="G997" s="197">
        <v>0</v>
      </c>
      <c r="H997" s="197">
        <v>0</v>
      </c>
      <c r="I997" s="348">
        <f t="shared" ref="I997:I1060" si="23">+SUM(B997:H997)</f>
        <v>512300.66930000007</v>
      </c>
      <c r="J997" s="192" t="s">
        <v>525</v>
      </c>
    </row>
    <row r="998" spans="1:10" ht="13.9" hidden="1" customHeight="1" outlineLevel="1">
      <c r="A998" s="380" t="s">
        <v>540</v>
      </c>
      <c r="B998" s="197">
        <v>139455.51149999999</v>
      </c>
      <c r="C998" s="197">
        <v>0</v>
      </c>
      <c r="D998" s="197">
        <v>0</v>
      </c>
      <c r="E998" s="197">
        <v>0</v>
      </c>
      <c r="F998" s="197">
        <v>0</v>
      </c>
      <c r="G998" s="197">
        <v>0</v>
      </c>
      <c r="H998" s="197">
        <v>0</v>
      </c>
      <c r="I998" s="348">
        <f t="shared" si="23"/>
        <v>139455.51149999999</v>
      </c>
      <c r="J998" s="192" t="s">
        <v>541</v>
      </c>
    </row>
    <row r="999" spans="1:10" ht="13.9" hidden="1" customHeight="1" outlineLevel="1">
      <c r="A999" s="380" t="s">
        <v>762</v>
      </c>
      <c r="B999" s="197">
        <v>72844.792430000001</v>
      </c>
      <c r="C999" s="197">
        <v>0</v>
      </c>
      <c r="D999" s="197">
        <v>0</v>
      </c>
      <c r="E999" s="197">
        <v>0</v>
      </c>
      <c r="F999" s="197">
        <v>0</v>
      </c>
      <c r="G999" s="197">
        <v>0</v>
      </c>
      <c r="H999" s="197">
        <v>0</v>
      </c>
      <c r="I999" s="348">
        <f t="shared" si="23"/>
        <v>72844.792430000001</v>
      </c>
      <c r="J999" s="192" t="s">
        <v>763</v>
      </c>
    </row>
    <row r="1000" spans="1:10" ht="13.9" hidden="1" customHeight="1" outlineLevel="1">
      <c r="A1000" s="380" t="s">
        <v>478</v>
      </c>
      <c r="B1000" s="197">
        <v>116314.98690000002</v>
      </c>
      <c r="C1000" s="197">
        <v>0</v>
      </c>
      <c r="D1000" s="197">
        <v>0</v>
      </c>
      <c r="E1000" s="197">
        <v>0</v>
      </c>
      <c r="F1000" s="197">
        <v>0</v>
      </c>
      <c r="G1000" s="197">
        <v>0</v>
      </c>
      <c r="H1000" s="197">
        <v>0</v>
      </c>
      <c r="I1000" s="348">
        <f t="shared" si="23"/>
        <v>116314.98690000002</v>
      </c>
      <c r="J1000" s="192" t="s">
        <v>479</v>
      </c>
    </row>
    <row r="1001" spans="1:10" ht="13.9" hidden="1" customHeight="1" outlineLevel="1">
      <c r="A1001" s="380" t="s">
        <v>742</v>
      </c>
      <c r="B1001" s="197">
        <v>211741.81376000002</v>
      </c>
      <c r="C1001" s="197">
        <v>0</v>
      </c>
      <c r="D1001" s="197">
        <v>0</v>
      </c>
      <c r="E1001" s="197">
        <v>0</v>
      </c>
      <c r="F1001" s="197">
        <v>0</v>
      </c>
      <c r="G1001" s="197">
        <v>0</v>
      </c>
      <c r="H1001" s="197">
        <v>0</v>
      </c>
      <c r="I1001" s="348">
        <f t="shared" si="23"/>
        <v>211741.81376000002</v>
      </c>
      <c r="J1001" s="192" t="s">
        <v>743</v>
      </c>
    </row>
    <row r="1002" spans="1:10" ht="13.9" hidden="1" customHeight="1" outlineLevel="1">
      <c r="A1002" s="380" t="s">
        <v>534</v>
      </c>
      <c r="B1002" s="197">
        <v>116578.07042000002</v>
      </c>
      <c r="C1002" s="197">
        <v>0</v>
      </c>
      <c r="D1002" s="197">
        <v>0</v>
      </c>
      <c r="E1002" s="197">
        <v>0</v>
      </c>
      <c r="F1002" s="197">
        <v>0</v>
      </c>
      <c r="G1002" s="197">
        <v>0</v>
      </c>
      <c r="H1002" s="197">
        <v>0</v>
      </c>
      <c r="I1002" s="348">
        <f t="shared" si="23"/>
        <v>116578.07042000002</v>
      </c>
      <c r="J1002" s="192" t="s">
        <v>535</v>
      </c>
    </row>
    <row r="1003" spans="1:10" ht="13.9" hidden="1" customHeight="1" outlineLevel="1">
      <c r="A1003" s="380" t="s">
        <v>714</v>
      </c>
      <c r="B1003" s="197">
        <v>350147.78057000006</v>
      </c>
      <c r="C1003" s="197">
        <v>0</v>
      </c>
      <c r="D1003" s="197">
        <v>0</v>
      </c>
      <c r="E1003" s="197">
        <v>0</v>
      </c>
      <c r="F1003" s="197">
        <v>0</v>
      </c>
      <c r="G1003" s="197">
        <v>0</v>
      </c>
      <c r="H1003" s="197">
        <v>0</v>
      </c>
      <c r="I1003" s="348">
        <f t="shared" si="23"/>
        <v>350147.78057000006</v>
      </c>
      <c r="J1003" s="192" t="s">
        <v>2181</v>
      </c>
    </row>
    <row r="1004" spans="1:10" ht="13.9" hidden="1" customHeight="1" outlineLevel="1">
      <c r="A1004" s="380" t="s">
        <v>648</v>
      </c>
      <c r="B1004" s="197">
        <v>310514.44052</v>
      </c>
      <c r="C1004" s="197">
        <v>0</v>
      </c>
      <c r="D1004" s="197">
        <v>0</v>
      </c>
      <c r="E1004" s="197">
        <v>0</v>
      </c>
      <c r="F1004" s="197">
        <v>0</v>
      </c>
      <c r="G1004" s="197">
        <v>0</v>
      </c>
      <c r="H1004" s="197">
        <v>0</v>
      </c>
      <c r="I1004" s="348">
        <f t="shared" si="23"/>
        <v>310514.44052</v>
      </c>
      <c r="J1004" s="192" t="s">
        <v>649</v>
      </c>
    </row>
    <row r="1005" spans="1:10" ht="13.9" hidden="1" customHeight="1" outlineLevel="1">
      <c r="A1005" s="380" t="s">
        <v>740</v>
      </c>
      <c r="B1005" s="197">
        <v>1763275.0170600002</v>
      </c>
      <c r="C1005" s="197">
        <v>0</v>
      </c>
      <c r="D1005" s="197">
        <v>0</v>
      </c>
      <c r="E1005" s="197">
        <v>0</v>
      </c>
      <c r="F1005" s="197">
        <v>5222.1967920000006</v>
      </c>
      <c r="G1005" s="197">
        <v>71.244399999999999</v>
      </c>
      <c r="H1005" s="197">
        <v>0</v>
      </c>
      <c r="I1005" s="348">
        <f t="shared" si="23"/>
        <v>1768568.4582520002</v>
      </c>
      <c r="J1005" s="192" t="s">
        <v>741</v>
      </c>
    </row>
    <row r="1006" spans="1:10" ht="13.9" hidden="1" customHeight="1" outlineLevel="1">
      <c r="A1006" s="380" t="s">
        <v>656</v>
      </c>
      <c r="B1006" s="197">
        <v>39703.634340000004</v>
      </c>
      <c r="C1006" s="197">
        <v>0</v>
      </c>
      <c r="D1006" s="197">
        <v>0</v>
      </c>
      <c r="E1006" s="197">
        <v>0</v>
      </c>
      <c r="F1006" s="197">
        <v>0</v>
      </c>
      <c r="G1006" s="197">
        <v>0</v>
      </c>
      <c r="H1006" s="197">
        <v>0</v>
      </c>
      <c r="I1006" s="348">
        <f t="shared" si="23"/>
        <v>39703.634340000004</v>
      </c>
      <c r="J1006" s="192" t="s">
        <v>657</v>
      </c>
    </row>
    <row r="1007" spans="1:10" ht="13.9" hidden="1" customHeight="1" outlineLevel="1">
      <c r="A1007" s="380" t="s">
        <v>628</v>
      </c>
      <c r="B1007" s="197">
        <v>236796.58287000001</v>
      </c>
      <c r="C1007" s="197">
        <v>0</v>
      </c>
      <c r="D1007" s="197">
        <v>0</v>
      </c>
      <c r="E1007" s="197">
        <v>0</v>
      </c>
      <c r="F1007" s="197">
        <v>0</v>
      </c>
      <c r="G1007" s="197">
        <v>0</v>
      </c>
      <c r="H1007" s="197">
        <v>0</v>
      </c>
      <c r="I1007" s="348">
        <f t="shared" si="23"/>
        <v>236796.58287000001</v>
      </c>
      <c r="J1007" s="192" t="s">
        <v>629</v>
      </c>
    </row>
    <row r="1008" spans="1:10" ht="13.9" hidden="1" customHeight="1" outlineLevel="1">
      <c r="A1008" s="380" t="s">
        <v>606</v>
      </c>
      <c r="B1008" s="197">
        <v>77635.784430000014</v>
      </c>
      <c r="C1008" s="197">
        <v>0</v>
      </c>
      <c r="D1008" s="197">
        <v>0</v>
      </c>
      <c r="E1008" s="197">
        <v>0</v>
      </c>
      <c r="F1008" s="197">
        <v>0</v>
      </c>
      <c r="G1008" s="197">
        <v>0</v>
      </c>
      <c r="H1008" s="197">
        <v>0</v>
      </c>
      <c r="I1008" s="348">
        <f t="shared" si="23"/>
        <v>77635.784430000014</v>
      </c>
      <c r="J1008" s="192" t="s">
        <v>607</v>
      </c>
    </row>
    <row r="1009" spans="1:10" ht="13.9" hidden="1" customHeight="1" outlineLevel="1">
      <c r="A1009" s="380" t="s">
        <v>614</v>
      </c>
      <c r="B1009" s="197">
        <v>209780.96400000004</v>
      </c>
      <c r="C1009" s="197">
        <v>0</v>
      </c>
      <c r="D1009" s="197">
        <v>0</v>
      </c>
      <c r="E1009" s="197">
        <v>0</v>
      </c>
      <c r="F1009" s="197">
        <v>0</v>
      </c>
      <c r="G1009" s="197">
        <v>0</v>
      </c>
      <c r="H1009" s="197">
        <v>0</v>
      </c>
      <c r="I1009" s="348">
        <f t="shared" si="23"/>
        <v>209780.96400000004</v>
      </c>
      <c r="J1009" s="192" t="s">
        <v>615</v>
      </c>
    </row>
    <row r="1010" spans="1:10" ht="13.9" hidden="1" customHeight="1" outlineLevel="1">
      <c r="A1010" s="380" t="s">
        <v>678</v>
      </c>
      <c r="B1010" s="197">
        <v>223619.68455999999</v>
      </c>
      <c r="C1010" s="197">
        <v>0</v>
      </c>
      <c r="D1010" s="197">
        <v>0</v>
      </c>
      <c r="E1010" s="197">
        <v>0</v>
      </c>
      <c r="F1010" s="197">
        <v>0</v>
      </c>
      <c r="G1010" s="197">
        <v>0</v>
      </c>
      <c r="H1010" s="197">
        <v>0</v>
      </c>
      <c r="I1010" s="348">
        <f t="shared" si="23"/>
        <v>223619.68455999999</v>
      </c>
      <c r="J1010" s="192" t="s">
        <v>679</v>
      </c>
    </row>
    <row r="1011" spans="1:10" ht="13.9" hidden="1" customHeight="1" outlineLevel="1">
      <c r="A1011" s="380" t="s">
        <v>702</v>
      </c>
      <c r="B1011" s="197">
        <v>95373.241210000007</v>
      </c>
      <c r="C1011" s="197">
        <v>0</v>
      </c>
      <c r="D1011" s="197">
        <v>0</v>
      </c>
      <c r="E1011" s="197">
        <v>0</v>
      </c>
      <c r="F1011" s="197">
        <v>0</v>
      </c>
      <c r="G1011" s="197">
        <v>0</v>
      </c>
      <c r="H1011" s="197">
        <v>0</v>
      </c>
      <c r="I1011" s="348">
        <f t="shared" si="23"/>
        <v>95373.241210000007</v>
      </c>
      <c r="J1011" s="192" t="s">
        <v>703</v>
      </c>
    </row>
    <row r="1012" spans="1:10" ht="13.9" hidden="1" customHeight="1" outlineLevel="1">
      <c r="A1012" s="380" t="s">
        <v>608</v>
      </c>
      <c r="B1012" s="197">
        <v>1659402.0086900003</v>
      </c>
      <c r="C1012" s="197">
        <v>0</v>
      </c>
      <c r="D1012" s="197">
        <v>0</v>
      </c>
      <c r="E1012" s="197">
        <v>0</v>
      </c>
      <c r="F1012" s="197">
        <v>2333.7299860000003</v>
      </c>
      <c r="G1012" s="197">
        <v>0</v>
      </c>
      <c r="H1012" s="197">
        <v>0</v>
      </c>
      <c r="I1012" s="348">
        <f t="shared" si="23"/>
        <v>1661735.7386760004</v>
      </c>
      <c r="J1012" s="192" t="s">
        <v>609</v>
      </c>
    </row>
    <row r="1013" spans="1:10" ht="13.9" hidden="1" customHeight="1" outlineLevel="1">
      <c r="A1013" s="380" t="s">
        <v>570</v>
      </c>
      <c r="B1013" s="197">
        <v>108721.67731</v>
      </c>
      <c r="C1013" s="197">
        <v>0</v>
      </c>
      <c r="D1013" s="197">
        <v>0</v>
      </c>
      <c r="E1013" s="197">
        <v>0</v>
      </c>
      <c r="F1013" s="197">
        <v>0</v>
      </c>
      <c r="G1013" s="197">
        <v>0</v>
      </c>
      <c r="H1013" s="197">
        <v>0</v>
      </c>
      <c r="I1013" s="348">
        <f t="shared" si="23"/>
        <v>108721.67731</v>
      </c>
      <c r="J1013" s="192" t="s">
        <v>571</v>
      </c>
    </row>
    <row r="1014" spans="1:10" ht="13.9" hidden="1" customHeight="1" outlineLevel="1">
      <c r="A1014" s="380" t="s">
        <v>620</v>
      </c>
      <c r="B1014" s="197">
        <v>4428343.6637100009</v>
      </c>
      <c r="C1014" s="197">
        <v>0</v>
      </c>
      <c r="D1014" s="197">
        <v>0</v>
      </c>
      <c r="E1014" s="197">
        <v>0</v>
      </c>
      <c r="F1014" s="197">
        <v>15489.110659</v>
      </c>
      <c r="G1014" s="197">
        <v>0</v>
      </c>
      <c r="H1014" s="197">
        <v>0</v>
      </c>
      <c r="I1014" s="348">
        <f t="shared" si="23"/>
        <v>4443832.7743690014</v>
      </c>
      <c r="J1014" s="192" t="s">
        <v>621</v>
      </c>
    </row>
    <row r="1015" spans="1:10" ht="13.9" hidden="1" customHeight="1" outlineLevel="1">
      <c r="A1015" s="380" t="s">
        <v>526</v>
      </c>
      <c r="B1015" s="197">
        <v>111761.49193000002</v>
      </c>
      <c r="C1015" s="197">
        <v>0</v>
      </c>
      <c r="D1015" s="197">
        <v>0</v>
      </c>
      <c r="E1015" s="197">
        <v>0</v>
      </c>
      <c r="F1015" s="197">
        <v>0</v>
      </c>
      <c r="G1015" s="197">
        <v>0</v>
      </c>
      <c r="H1015" s="197">
        <v>0</v>
      </c>
      <c r="I1015" s="348">
        <f t="shared" si="23"/>
        <v>111761.49193000002</v>
      </c>
      <c r="J1015" s="192" t="s">
        <v>527</v>
      </c>
    </row>
    <row r="1016" spans="1:10" ht="13.9" hidden="1" customHeight="1" outlineLevel="1">
      <c r="A1016" s="380" t="s">
        <v>480</v>
      </c>
      <c r="B1016" s="197">
        <v>66882.622270000007</v>
      </c>
      <c r="C1016" s="197">
        <v>0</v>
      </c>
      <c r="D1016" s="197">
        <v>0</v>
      </c>
      <c r="E1016" s="197">
        <v>0</v>
      </c>
      <c r="F1016" s="197">
        <v>0</v>
      </c>
      <c r="G1016" s="197">
        <v>0</v>
      </c>
      <c r="H1016" s="197">
        <v>0</v>
      </c>
      <c r="I1016" s="348">
        <f t="shared" si="23"/>
        <v>66882.622270000007</v>
      </c>
      <c r="J1016" s="192" t="s">
        <v>481</v>
      </c>
    </row>
    <row r="1017" spans="1:10" ht="13.9" hidden="1" customHeight="1" outlineLevel="1">
      <c r="A1017" s="380" t="s">
        <v>514</v>
      </c>
      <c r="B1017" s="197">
        <v>272812.71842000005</v>
      </c>
      <c r="C1017" s="197">
        <v>0</v>
      </c>
      <c r="D1017" s="197">
        <v>0</v>
      </c>
      <c r="E1017" s="197">
        <v>0</v>
      </c>
      <c r="F1017" s="197">
        <v>0</v>
      </c>
      <c r="G1017" s="197">
        <v>0</v>
      </c>
      <c r="H1017" s="197">
        <v>0</v>
      </c>
      <c r="I1017" s="348">
        <f t="shared" si="23"/>
        <v>272812.71842000005</v>
      </c>
      <c r="J1017" s="192" t="s">
        <v>2182</v>
      </c>
    </row>
    <row r="1018" spans="1:10" ht="13.9" hidden="1" customHeight="1" outlineLevel="1">
      <c r="A1018" s="380" t="s">
        <v>602</v>
      </c>
      <c r="B1018" s="197">
        <v>170588.58579000001</v>
      </c>
      <c r="C1018" s="197">
        <v>0</v>
      </c>
      <c r="D1018" s="197">
        <v>0</v>
      </c>
      <c r="E1018" s="197">
        <v>0</v>
      </c>
      <c r="F1018" s="197">
        <v>0</v>
      </c>
      <c r="G1018" s="197">
        <v>0</v>
      </c>
      <c r="H1018" s="197">
        <v>0</v>
      </c>
      <c r="I1018" s="348">
        <f t="shared" si="23"/>
        <v>170588.58579000001</v>
      </c>
      <c r="J1018" s="192" t="s">
        <v>603</v>
      </c>
    </row>
    <row r="1019" spans="1:10" ht="13.9" hidden="1" customHeight="1" outlineLevel="1">
      <c r="A1019" s="380" t="s">
        <v>744</v>
      </c>
      <c r="B1019" s="197">
        <v>145615.37379000001</v>
      </c>
      <c r="C1019" s="197">
        <v>0</v>
      </c>
      <c r="D1019" s="197">
        <v>0</v>
      </c>
      <c r="E1019" s="197">
        <v>0</v>
      </c>
      <c r="F1019" s="197">
        <v>0</v>
      </c>
      <c r="G1019" s="197">
        <v>0</v>
      </c>
      <c r="H1019" s="197">
        <v>0</v>
      </c>
      <c r="I1019" s="348">
        <f t="shared" si="23"/>
        <v>145615.37379000001</v>
      </c>
      <c r="J1019" s="192" t="s">
        <v>745</v>
      </c>
    </row>
    <row r="1020" spans="1:10" ht="13.9" hidden="1" customHeight="1" outlineLevel="1">
      <c r="A1020" s="380" t="s">
        <v>532</v>
      </c>
      <c r="B1020" s="197">
        <v>101562.81729000001</v>
      </c>
      <c r="C1020" s="197">
        <v>0</v>
      </c>
      <c r="D1020" s="197">
        <v>0</v>
      </c>
      <c r="E1020" s="197">
        <v>0</v>
      </c>
      <c r="F1020" s="197">
        <v>0</v>
      </c>
      <c r="G1020" s="197">
        <v>0</v>
      </c>
      <c r="H1020" s="197">
        <v>0</v>
      </c>
      <c r="I1020" s="348">
        <f t="shared" si="23"/>
        <v>101562.81729000001</v>
      </c>
      <c r="J1020" s="192" t="s">
        <v>533</v>
      </c>
    </row>
    <row r="1021" spans="1:10" ht="13.9" hidden="1" customHeight="1" outlineLevel="1">
      <c r="A1021" s="380" t="s">
        <v>612</v>
      </c>
      <c r="B1021" s="197">
        <v>347643.58422999998</v>
      </c>
      <c r="C1021" s="197">
        <v>0</v>
      </c>
      <c r="D1021" s="197">
        <v>0</v>
      </c>
      <c r="E1021" s="197">
        <v>0</v>
      </c>
      <c r="F1021" s="197">
        <v>0</v>
      </c>
      <c r="G1021" s="197">
        <v>0</v>
      </c>
      <c r="H1021" s="197">
        <v>0</v>
      </c>
      <c r="I1021" s="348">
        <f t="shared" si="23"/>
        <v>347643.58422999998</v>
      </c>
      <c r="J1021" s="192" t="s">
        <v>613</v>
      </c>
    </row>
    <row r="1022" spans="1:10" ht="13.9" hidden="1" customHeight="1" outlineLevel="1">
      <c r="A1022" s="380" t="s">
        <v>552</v>
      </c>
      <c r="B1022" s="197">
        <v>687414.69827000005</v>
      </c>
      <c r="C1022" s="197">
        <v>0</v>
      </c>
      <c r="D1022" s="197">
        <v>0</v>
      </c>
      <c r="E1022" s="197">
        <v>0</v>
      </c>
      <c r="F1022" s="197">
        <v>0</v>
      </c>
      <c r="G1022" s="197">
        <v>0</v>
      </c>
      <c r="H1022" s="197">
        <v>0</v>
      </c>
      <c r="I1022" s="348">
        <f t="shared" si="23"/>
        <v>687414.69827000005</v>
      </c>
      <c r="J1022" s="192" t="s">
        <v>553</v>
      </c>
    </row>
    <row r="1023" spans="1:10" ht="13.9" hidden="1" customHeight="1" outlineLevel="1">
      <c r="A1023" s="380" t="s">
        <v>560</v>
      </c>
      <c r="B1023" s="197">
        <v>2019292.40833</v>
      </c>
      <c r="C1023" s="197">
        <v>0</v>
      </c>
      <c r="D1023" s="197">
        <v>0</v>
      </c>
      <c r="E1023" s="197">
        <v>0</v>
      </c>
      <c r="F1023" s="197">
        <v>5982.581459</v>
      </c>
      <c r="G1023" s="197">
        <v>0</v>
      </c>
      <c r="H1023" s="197">
        <v>0</v>
      </c>
      <c r="I1023" s="348">
        <f t="shared" si="23"/>
        <v>2025274.989789</v>
      </c>
      <c r="J1023" s="192" t="s">
        <v>561</v>
      </c>
    </row>
    <row r="1024" spans="1:10" ht="13.9" hidden="1" customHeight="1" outlineLevel="1">
      <c r="A1024" s="380" t="s">
        <v>616</v>
      </c>
      <c r="B1024" s="197">
        <v>53626.413320000007</v>
      </c>
      <c r="C1024" s="197">
        <v>0</v>
      </c>
      <c r="D1024" s="197">
        <v>0</v>
      </c>
      <c r="E1024" s="197">
        <v>0</v>
      </c>
      <c r="F1024" s="197">
        <v>0</v>
      </c>
      <c r="G1024" s="197">
        <v>0</v>
      </c>
      <c r="H1024" s="197">
        <v>0</v>
      </c>
      <c r="I1024" s="348">
        <f t="shared" si="23"/>
        <v>53626.413320000007</v>
      </c>
      <c r="J1024" s="192" t="s">
        <v>617</v>
      </c>
    </row>
    <row r="1025" spans="1:10" ht="13.9" hidden="1" customHeight="1" outlineLevel="1">
      <c r="A1025" s="380" t="s">
        <v>492</v>
      </c>
      <c r="B1025" s="197">
        <v>178554.58780000001</v>
      </c>
      <c r="C1025" s="197">
        <v>0</v>
      </c>
      <c r="D1025" s="197">
        <v>0</v>
      </c>
      <c r="E1025" s="197">
        <v>0</v>
      </c>
      <c r="F1025" s="197">
        <v>0</v>
      </c>
      <c r="G1025" s="197">
        <v>0</v>
      </c>
      <c r="H1025" s="197">
        <v>0</v>
      </c>
      <c r="I1025" s="348">
        <f t="shared" si="23"/>
        <v>178554.58780000001</v>
      </c>
      <c r="J1025" s="192" t="s">
        <v>493</v>
      </c>
    </row>
    <row r="1026" spans="1:10" ht="13.9" hidden="1" customHeight="1" outlineLevel="1">
      <c r="A1026" s="380" t="s">
        <v>520</v>
      </c>
      <c r="B1026" s="197">
        <v>224116.42312000002</v>
      </c>
      <c r="C1026" s="197">
        <v>0</v>
      </c>
      <c r="D1026" s="197">
        <v>0</v>
      </c>
      <c r="E1026" s="197">
        <v>0</v>
      </c>
      <c r="F1026" s="197">
        <v>0</v>
      </c>
      <c r="G1026" s="197">
        <v>0</v>
      </c>
      <c r="H1026" s="197">
        <v>0</v>
      </c>
      <c r="I1026" s="348">
        <f t="shared" si="23"/>
        <v>224116.42312000002</v>
      </c>
      <c r="J1026" s="192" t="s">
        <v>521</v>
      </c>
    </row>
    <row r="1027" spans="1:10" ht="13.9" hidden="1" customHeight="1" outlineLevel="1">
      <c r="A1027" s="380" t="s">
        <v>472</v>
      </c>
      <c r="B1027" s="197">
        <v>242798.44435999999</v>
      </c>
      <c r="C1027" s="197">
        <v>0</v>
      </c>
      <c r="D1027" s="197">
        <v>0</v>
      </c>
      <c r="E1027" s="197">
        <v>0</v>
      </c>
      <c r="F1027" s="197">
        <v>0</v>
      </c>
      <c r="G1027" s="197">
        <v>0</v>
      </c>
      <c r="H1027" s="197">
        <v>0</v>
      </c>
      <c r="I1027" s="348">
        <f t="shared" si="23"/>
        <v>242798.44435999999</v>
      </c>
      <c r="J1027" s="192" t="s">
        <v>473</v>
      </c>
    </row>
    <row r="1028" spans="1:10" ht="13.9" hidden="1" customHeight="1" outlineLevel="1">
      <c r="A1028" s="380" t="s">
        <v>464</v>
      </c>
      <c r="B1028" s="197">
        <v>228609.76200000002</v>
      </c>
      <c r="C1028" s="197">
        <v>0</v>
      </c>
      <c r="D1028" s="197">
        <v>0</v>
      </c>
      <c r="E1028" s="197">
        <v>0</v>
      </c>
      <c r="F1028" s="197">
        <v>84.689149000000015</v>
      </c>
      <c r="G1028" s="197">
        <v>0</v>
      </c>
      <c r="H1028" s="197">
        <v>0</v>
      </c>
      <c r="I1028" s="348">
        <f t="shared" si="23"/>
        <v>228694.45114900003</v>
      </c>
      <c r="J1028" s="192" t="s">
        <v>465</v>
      </c>
    </row>
    <row r="1029" spans="1:10" ht="13.9" hidden="1" customHeight="1" outlineLevel="1">
      <c r="A1029" s="380" t="s">
        <v>548</v>
      </c>
      <c r="B1029" s="197">
        <v>264542.78093000001</v>
      </c>
      <c r="C1029" s="197">
        <v>0</v>
      </c>
      <c r="D1029" s="197">
        <v>0</v>
      </c>
      <c r="E1029" s="197">
        <v>0</v>
      </c>
      <c r="F1029" s="197">
        <v>0</v>
      </c>
      <c r="G1029" s="197">
        <v>0</v>
      </c>
      <c r="H1029" s="197">
        <v>0</v>
      </c>
      <c r="I1029" s="348">
        <f t="shared" si="23"/>
        <v>264542.78093000001</v>
      </c>
      <c r="J1029" s="192" t="s">
        <v>549</v>
      </c>
    </row>
    <row r="1030" spans="1:10" ht="13.9" hidden="1" customHeight="1" outlineLevel="1">
      <c r="A1030" s="380" t="s">
        <v>720</v>
      </c>
      <c r="B1030" s="197">
        <v>185851.21377000003</v>
      </c>
      <c r="C1030" s="197">
        <v>0</v>
      </c>
      <c r="D1030" s="197">
        <v>0</v>
      </c>
      <c r="E1030" s="197">
        <v>0</v>
      </c>
      <c r="F1030" s="197">
        <v>0</v>
      </c>
      <c r="G1030" s="197">
        <v>0</v>
      </c>
      <c r="H1030" s="197">
        <v>0</v>
      </c>
      <c r="I1030" s="348">
        <f t="shared" si="23"/>
        <v>185851.21377000003</v>
      </c>
      <c r="J1030" s="192" t="s">
        <v>721</v>
      </c>
    </row>
    <row r="1031" spans="1:10" ht="13.9" hidden="1" customHeight="1" outlineLevel="1">
      <c r="A1031" s="380" t="s">
        <v>588</v>
      </c>
      <c r="B1031" s="197">
        <v>488991.35752000002</v>
      </c>
      <c r="C1031" s="197">
        <v>0</v>
      </c>
      <c r="D1031" s="197">
        <v>0</v>
      </c>
      <c r="E1031" s="197">
        <v>0</v>
      </c>
      <c r="F1031" s="197">
        <v>0</v>
      </c>
      <c r="G1031" s="197">
        <v>0</v>
      </c>
      <c r="H1031" s="197">
        <v>0</v>
      </c>
      <c r="I1031" s="348">
        <f t="shared" si="23"/>
        <v>488991.35752000002</v>
      </c>
      <c r="J1031" s="192" t="s">
        <v>589</v>
      </c>
    </row>
    <row r="1032" spans="1:10" ht="13.9" hidden="1" customHeight="1" outlineLevel="1">
      <c r="A1032" s="380" t="s">
        <v>504</v>
      </c>
      <c r="B1032" s="197">
        <v>314686.37353000004</v>
      </c>
      <c r="C1032" s="197">
        <v>0</v>
      </c>
      <c r="D1032" s="197">
        <v>0</v>
      </c>
      <c r="E1032" s="197">
        <v>0</v>
      </c>
      <c r="F1032" s="197">
        <v>0</v>
      </c>
      <c r="G1032" s="197">
        <v>0</v>
      </c>
      <c r="H1032" s="197">
        <v>0</v>
      </c>
      <c r="I1032" s="348">
        <f t="shared" si="23"/>
        <v>314686.37353000004</v>
      </c>
      <c r="J1032" s="192" t="s">
        <v>505</v>
      </c>
    </row>
    <row r="1033" spans="1:10" ht="13.9" hidden="1" customHeight="1" outlineLevel="1">
      <c r="A1033" s="380" t="s">
        <v>544</v>
      </c>
      <c r="B1033" s="197">
        <v>76531.008710000009</v>
      </c>
      <c r="C1033" s="197">
        <v>0</v>
      </c>
      <c r="D1033" s="197">
        <v>0</v>
      </c>
      <c r="E1033" s="197">
        <v>0</v>
      </c>
      <c r="F1033" s="197">
        <v>0</v>
      </c>
      <c r="G1033" s="197">
        <v>0</v>
      </c>
      <c r="H1033" s="197">
        <v>0</v>
      </c>
      <c r="I1033" s="348">
        <f t="shared" si="23"/>
        <v>76531.008710000009</v>
      </c>
      <c r="J1033" s="192" t="s">
        <v>545</v>
      </c>
    </row>
    <row r="1034" spans="1:10" ht="13.9" hidden="1" customHeight="1" outlineLevel="1">
      <c r="A1034" s="380" t="s">
        <v>474</v>
      </c>
      <c r="B1034" s="197">
        <v>146278.77771000002</v>
      </c>
      <c r="C1034" s="197">
        <v>0</v>
      </c>
      <c r="D1034" s="197">
        <v>0</v>
      </c>
      <c r="E1034" s="197">
        <v>0</v>
      </c>
      <c r="F1034" s="197">
        <v>0</v>
      </c>
      <c r="G1034" s="197">
        <v>0</v>
      </c>
      <c r="H1034" s="197">
        <v>0</v>
      </c>
      <c r="I1034" s="348">
        <f t="shared" si="23"/>
        <v>146278.77771000002</v>
      </c>
      <c r="J1034" s="192" t="s">
        <v>475</v>
      </c>
    </row>
    <row r="1035" spans="1:10" ht="13.9" hidden="1" customHeight="1" outlineLevel="1">
      <c r="A1035" s="380" t="s">
        <v>662</v>
      </c>
      <c r="B1035" s="197">
        <v>94026.331479999993</v>
      </c>
      <c r="C1035" s="197">
        <v>0</v>
      </c>
      <c r="D1035" s="197">
        <v>0</v>
      </c>
      <c r="E1035" s="197">
        <v>0</v>
      </c>
      <c r="F1035" s="197">
        <v>0</v>
      </c>
      <c r="G1035" s="197">
        <v>0</v>
      </c>
      <c r="H1035" s="197">
        <v>0</v>
      </c>
      <c r="I1035" s="348">
        <f t="shared" si="23"/>
        <v>94026.331479999993</v>
      </c>
      <c r="J1035" s="192" t="s">
        <v>663</v>
      </c>
    </row>
    <row r="1036" spans="1:10" ht="13.9" hidden="1" customHeight="1" outlineLevel="1">
      <c r="A1036" s="380" t="s">
        <v>650</v>
      </c>
      <c r="B1036" s="197">
        <v>396891.21479</v>
      </c>
      <c r="C1036" s="197">
        <v>0</v>
      </c>
      <c r="D1036" s="197">
        <v>0</v>
      </c>
      <c r="E1036" s="197">
        <v>0</v>
      </c>
      <c r="F1036" s="197">
        <v>0</v>
      </c>
      <c r="G1036" s="197">
        <v>0</v>
      </c>
      <c r="H1036" s="197">
        <v>0</v>
      </c>
      <c r="I1036" s="348">
        <f t="shared" si="23"/>
        <v>396891.21479</v>
      </c>
      <c r="J1036" s="192" t="s">
        <v>651</v>
      </c>
    </row>
    <row r="1037" spans="1:10" ht="13.9" hidden="1" customHeight="1" outlineLevel="1">
      <c r="A1037" s="380" t="s">
        <v>596</v>
      </c>
      <c r="B1037" s="197">
        <v>90639.430320000014</v>
      </c>
      <c r="C1037" s="197">
        <v>0</v>
      </c>
      <c r="D1037" s="197">
        <v>0</v>
      </c>
      <c r="E1037" s="197">
        <v>0</v>
      </c>
      <c r="F1037" s="197">
        <v>0</v>
      </c>
      <c r="G1037" s="197">
        <v>0</v>
      </c>
      <c r="H1037" s="197">
        <v>0</v>
      </c>
      <c r="I1037" s="348">
        <f t="shared" si="23"/>
        <v>90639.430320000014</v>
      </c>
      <c r="J1037" s="192" t="s">
        <v>597</v>
      </c>
    </row>
    <row r="1038" spans="1:10" ht="13.9" hidden="1" customHeight="1" outlineLevel="1">
      <c r="A1038" s="380" t="s">
        <v>764</v>
      </c>
      <c r="B1038" s="197">
        <v>100781.21193</v>
      </c>
      <c r="C1038" s="197">
        <v>0</v>
      </c>
      <c r="D1038" s="197">
        <v>0</v>
      </c>
      <c r="E1038" s="197">
        <v>0</v>
      </c>
      <c r="F1038" s="197">
        <v>0</v>
      </c>
      <c r="G1038" s="197">
        <v>0</v>
      </c>
      <c r="H1038" s="197">
        <v>0</v>
      </c>
      <c r="I1038" s="348">
        <f t="shared" si="23"/>
        <v>100781.21193</v>
      </c>
      <c r="J1038" s="192" t="s">
        <v>765</v>
      </c>
    </row>
    <row r="1039" spans="1:10" ht="13.9" hidden="1" customHeight="1" outlineLevel="1">
      <c r="A1039" s="380" t="s">
        <v>624</v>
      </c>
      <c r="B1039" s="197">
        <v>544171.33919000009</v>
      </c>
      <c r="C1039" s="197">
        <v>0</v>
      </c>
      <c r="D1039" s="197">
        <v>0</v>
      </c>
      <c r="E1039" s="197">
        <v>0</v>
      </c>
      <c r="F1039" s="197">
        <v>0</v>
      </c>
      <c r="G1039" s="197">
        <v>0</v>
      </c>
      <c r="H1039" s="197">
        <v>0</v>
      </c>
      <c r="I1039" s="348">
        <f t="shared" si="23"/>
        <v>544171.33919000009</v>
      </c>
      <c r="J1039" s="192" t="s">
        <v>625</v>
      </c>
    </row>
    <row r="1040" spans="1:10" ht="13.9" hidden="1" customHeight="1" outlineLevel="1">
      <c r="A1040" s="380" t="s">
        <v>750</v>
      </c>
      <c r="B1040" s="197">
        <v>111285.06578000002</v>
      </c>
      <c r="C1040" s="197">
        <v>0</v>
      </c>
      <c r="D1040" s="197">
        <v>0</v>
      </c>
      <c r="E1040" s="197">
        <v>0</v>
      </c>
      <c r="F1040" s="197">
        <v>0</v>
      </c>
      <c r="G1040" s="197">
        <v>0</v>
      </c>
      <c r="H1040" s="197">
        <v>0</v>
      </c>
      <c r="I1040" s="348">
        <f t="shared" si="23"/>
        <v>111285.06578000002</v>
      </c>
      <c r="J1040" s="192" t="s">
        <v>751</v>
      </c>
    </row>
    <row r="1041" spans="1:10" ht="13.9" hidden="1" customHeight="1" outlineLevel="1">
      <c r="A1041" s="380" t="s">
        <v>770</v>
      </c>
      <c r="B1041" s="197">
        <v>144939.17247000002</v>
      </c>
      <c r="C1041" s="197">
        <v>0</v>
      </c>
      <c r="D1041" s="197">
        <v>0</v>
      </c>
      <c r="E1041" s="197">
        <v>0</v>
      </c>
      <c r="F1041" s="197">
        <v>0</v>
      </c>
      <c r="G1041" s="197">
        <v>0</v>
      </c>
      <c r="H1041" s="197">
        <v>0</v>
      </c>
      <c r="I1041" s="348">
        <f t="shared" si="23"/>
        <v>144939.17247000002</v>
      </c>
      <c r="J1041" s="192" t="s">
        <v>771</v>
      </c>
    </row>
    <row r="1042" spans="1:10" ht="13.9" hidden="1" customHeight="1" outlineLevel="1">
      <c r="A1042" s="380" t="s">
        <v>660</v>
      </c>
      <c r="B1042" s="197">
        <v>100776.41152000001</v>
      </c>
      <c r="C1042" s="197">
        <v>0</v>
      </c>
      <c r="D1042" s="197">
        <v>0</v>
      </c>
      <c r="E1042" s="197">
        <v>0</v>
      </c>
      <c r="F1042" s="197">
        <v>0</v>
      </c>
      <c r="G1042" s="197">
        <v>0</v>
      </c>
      <c r="H1042" s="197">
        <v>0</v>
      </c>
      <c r="I1042" s="348">
        <f t="shared" si="23"/>
        <v>100776.41152000001</v>
      </c>
      <c r="J1042" s="192" t="s">
        <v>661</v>
      </c>
    </row>
    <row r="1043" spans="1:10" ht="13.9" hidden="1" customHeight="1" outlineLevel="1">
      <c r="A1043" s="380" t="s">
        <v>530</v>
      </c>
      <c r="B1043" s="197">
        <v>315210.20546000003</v>
      </c>
      <c r="C1043" s="197">
        <v>0</v>
      </c>
      <c r="D1043" s="197">
        <v>0</v>
      </c>
      <c r="E1043" s="197">
        <v>0</v>
      </c>
      <c r="F1043" s="197">
        <v>0</v>
      </c>
      <c r="G1043" s="197">
        <v>0</v>
      </c>
      <c r="H1043" s="197">
        <v>0</v>
      </c>
      <c r="I1043" s="348">
        <f t="shared" si="23"/>
        <v>315210.20546000003</v>
      </c>
      <c r="J1043" s="192" t="s">
        <v>531</v>
      </c>
    </row>
    <row r="1044" spans="1:10" ht="13.9" hidden="1" customHeight="1" outlineLevel="1">
      <c r="A1044" s="380" t="s">
        <v>716</v>
      </c>
      <c r="B1044" s="197">
        <v>518258.06121000007</v>
      </c>
      <c r="C1044" s="197">
        <v>0</v>
      </c>
      <c r="D1044" s="197">
        <v>0</v>
      </c>
      <c r="E1044" s="197">
        <v>0</v>
      </c>
      <c r="F1044" s="197">
        <v>396.92493400000006</v>
      </c>
      <c r="G1044" s="197">
        <v>0</v>
      </c>
      <c r="H1044" s="197">
        <v>0</v>
      </c>
      <c r="I1044" s="348">
        <f t="shared" si="23"/>
        <v>518654.98614400008</v>
      </c>
      <c r="J1044" s="192" t="s">
        <v>717</v>
      </c>
    </row>
    <row r="1045" spans="1:10" ht="13.9" hidden="1" customHeight="1" outlineLevel="1">
      <c r="A1045" s="380" t="s">
        <v>538</v>
      </c>
      <c r="B1045" s="197">
        <v>1437530.0002300001</v>
      </c>
      <c r="C1045" s="197">
        <v>0</v>
      </c>
      <c r="D1045" s="197">
        <v>0</v>
      </c>
      <c r="E1045" s="197">
        <v>0</v>
      </c>
      <c r="F1045" s="197">
        <v>3391.4863410000003</v>
      </c>
      <c r="G1045" s="197">
        <v>0</v>
      </c>
      <c r="H1045" s="197">
        <v>0</v>
      </c>
      <c r="I1045" s="348">
        <f t="shared" si="23"/>
        <v>1440921.4865710002</v>
      </c>
      <c r="J1045" s="192" t="s">
        <v>539</v>
      </c>
    </row>
    <row r="1046" spans="1:10" ht="13.9" hidden="1" customHeight="1" outlineLevel="1">
      <c r="A1046" s="380" t="s">
        <v>594</v>
      </c>
      <c r="B1046" s="197">
        <v>166236.25376000002</v>
      </c>
      <c r="C1046" s="197">
        <v>0</v>
      </c>
      <c r="D1046" s="197">
        <v>0</v>
      </c>
      <c r="E1046" s="197">
        <v>0</v>
      </c>
      <c r="F1046" s="197">
        <v>0</v>
      </c>
      <c r="G1046" s="197">
        <v>0</v>
      </c>
      <c r="H1046" s="197">
        <v>0</v>
      </c>
      <c r="I1046" s="348">
        <f t="shared" si="23"/>
        <v>166236.25376000002</v>
      </c>
      <c r="J1046" s="192" t="s">
        <v>595</v>
      </c>
    </row>
    <row r="1047" spans="1:10" ht="13.9" hidden="1" customHeight="1" outlineLevel="1">
      <c r="A1047" s="380" t="s">
        <v>754</v>
      </c>
      <c r="B1047" s="197">
        <v>81789.701360000006</v>
      </c>
      <c r="C1047" s="197">
        <v>0</v>
      </c>
      <c r="D1047" s="197">
        <v>0</v>
      </c>
      <c r="E1047" s="197">
        <v>0</v>
      </c>
      <c r="F1047" s="197">
        <v>0</v>
      </c>
      <c r="G1047" s="197">
        <v>0</v>
      </c>
      <c r="H1047" s="197">
        <v>0</v>
      </c>
      <c r="I1047" s="348">
        <f t="shared" si="23"/>
        <v>81789.701360000006</v>
      </c>
      <c r="J1047" s="192" t="s">
        <v>755</v>
      </c>
    </row>
    <row r="1048" spans="1:10" ht="13.9" hidden="1" customHeight="1" outlineLevel="1">
      <c r="A1048" s="380" t="s">
        <v>512</v>
      </c>
      <c r="B1048" s="197">
        <v>76840.575600000011</v>
      </c>
      <c r="C1048" s="197">
        <v>0</v>
      </c>
      <c r="D1048" s="197">
        <v>0</v>
      </c>
      <c r="E1048" s="197">
        <v>0</v>
      </c>
      <c r="F1048" s="197">
        <v>0</v>
      </c>
      <c r="G1048" s="197">
        <v>0</v>
      </c>
      <c r="H1048" s="197">
        <v>0</v>
      </c>
      <c r="I1048" s="348">
        <f t="shared" si="23"/>
        <v>76840.575600000011</v>
      </c>
      <c r="J1048" s="192" t="s">
        <v>513</v>
      </c>
    </row>
    <row r="1049" spans="1:10" ht="13.9" hidden="1" customHeight="1" outlineLevel="1">
      <c r="A1049" s="380" t="s">
        <v>684</v>
      </c>
      <c r="B1049" s="197">
        <v>232284.85396000001</v>
      </c>
      <c r="C1049" s="197">
        <v>0</v>
      </c>
      <c r="D1049" s="197">
        <v>0</v>
      </c>
      <c r="E1049" s="197">
        <v>0</v>
      </c>
      <c r="F1049" s="197">
        <v>0</v>
      </c>
      <c r="G1049" s="197">
        <v>0</v>
      </c>
      <c r="H1049" s="197">
        <v>0</v>
      </c>
      <c r="I1049" s="348">
        <f t="shared" si="23"/>
        <v>232284.85396000001</v>
      </c>
      <c r="J1049" s="192" t="s">
        <v>685</v>
      </c>
    </row>
    <row r="1050" spans="1:10" ht="13.9" hidden="1" customHeight="1" outlineLevel="1">
      <c r="A1050" s="380" t="s">
        <v>652</v>
      </c>
      <c r="B1050" s="197">
        <v>145350.63381</v>
      </c>
      <c r="C1050" s="197">
        <v>0</v>
      </c>
      <c r="D1050" s="197">
        <v>0</v>
      </c>
      <c r="E1050" s="197">
        <v>0</v>
      </c>
      <c r="F1050" s="197">
        <v>0</v>
      </c>
      <c r="G1050" s="197">
        <v>0</v>
      </c>
      <c r="H1050" s="197">
        <v>0</v>
      </c>
      <c r="I1050" s="348">
        <f t="shared" si="23"/>
        <v>145350.63381</v>
      </c>
      <c r="J1050" s="192" t="s">
        <v>2183</v>
      </c>
    </row>
    <row r="1051" spans="1:10" ht="13.9" hidden="1" customHeight="1" outlineLevel="1">
      <c r="A1051" s="380" t="s">
        <v>580</v>
      </c>
      <c r="B1051" s="197">
        <v>152603.07828000002</v>
      </c>
      <c r="C1051" s="197">
        <v>0</v>
      </c>
      <c r="D1051" s="197">
        <v>0</v>
      </c>
      <c r="E1051" s="197">
        <v>0</v>
      </c>
      <c r="F1051" s="197">
        <v>0</v>
      </c>
      <c r="G1051" s="197">
        <v>0</v>
      </c>
      <c r="H1051" s="197">
        <v>0</v>
      </c>
      <c r="I1051" s="348">
        <f t="shared" si="23"/>
        <v>152603.07828000002</v>
      </c>
      <c r="J1051" s="192" t="s">
        <v>581</v>
      </c>
    </row>
    <row r="1052" spans="1:10" ht="13.9" hidden="1" customHeight="1" outlineLevel="1">
      <c r="A1052" s="380" t="s">
        <v>626</v>
      </c>
      <c r="B1052" s="197">
        <v>226147.68074000001</v>
      </c>
      <c r="C1052" s="197">
        <v>0</v>
      </c>
      <c r="D1052" s="197">
        <v>0</v>
      </c>
      <c r="E1052" s="197">
        <v>0</v>
      </c>
      <c r="F1052" s="197">
        <v>0</v>
      </c>
      <c r="G1052" s="197">
        <v>0</v>
      </c>
      <c r="H1052" s="197">
        <v>0</v>
      </c>
      <c r="I1052" s="348">
        <f t="shared" si="23"/>
        <v>226147.68074000001</v>
      </c>
      <c r="J1052" s="192" t="s">
        <v>627</v>
      </c>
    </row>
    <row r="1053" spans="1:10" ht="13.9" hidden="1" customHeight="1" outlineLevel="1">
      <c r="A1053" s="380" t="s">
        <v>590</v>
      </c>
      <c r="B1053" s="197">
        <v>1823445.4390400001</v>
      </c>
      <c r="C1053" s="197">
        <v>0</v>
      </c>
      <c r="D1053" s="197">
        <v>0</v>
      </c>
      <c r="E1053" s="197">
        <v>0</v>
      </c>
      <c r="F1053" s="197">
        <v>0</v>
      </c>
      <c r="G1053" s="197">
        <v>0</v>
      </c>
      <c r="H1053" s="197">
        <v>0</v>
      </c>
      <c r="I1053" s="348">
        <f t="shared" si="23"/>
        <v>1823445.4390400001</v>
      </c>
      <c r="J1053" s="192" t="s">
        <v>591</v>
      </c>
    </row>
    <row r="1054" spans="1:10" ht="13.9" hidden="1" customHeight="1" outlineLevel="1">
      <c r="A1054" s="380" t="s">
        <v>630</v>
      </c>
      <c r="B1054" s="197">
        <v>208212.72850000003</v>
      </c>
      <c r="C1054" s="197">
        <v>0</v>
      </c>
      <c r="D1054" s="197">
        <v>0</v>
      </c>
      <c r="E1054" s="197">
        <v>0</v>
      </c>
      <c r="F1054" s="197">
        <v>0</v>
      </c>
      <c r="G1054" s="197">
        <v>0</v>
      </c>
      <c r="H1054" s="197">
        <v>0</v>
      </c>
      <c r="I1054" s="348">
        <f t="shared" si="23"/>
        <v>208212.72850000003</v>
      </c>
      <c r="J1054" s="192" t="s">
        <v>631</v>
      </c>
    </row>
    <row r="1055" spans="1:10" ht="13.9" hidden="1" customHeight="1" outlineLevel="1">
      <c r="A1055" s="380" t="s">
        <v>646</v>
      </c>
      <c r="B1055" s="197">
        <v>203373.77118000001</v>
      </c>
      <c r="C1055" s="197">
        <v>0</v>
      </c>
      <c r="D1055" s="197">
        <v>0</v>
      </c>
      <c r="E1055" s="197">
        <v>0</v>
      </c>
      <c r="F1055" s="197">
        <v>0</v>
      </c>
      <c r="G1055" s="197">
        <v>0</v>
      </c>
      <c r="H1055" s="197">
        <v>0</v>
      </c>
      <c r="I1055" s="348">
        <f t="shared" si="23"/>
        <v>203373.77118000001</v>
      </c>
      <c r="J1055" s="192" t="s">
        <v>647</v>
      </c>
    </row>
    <row r="1056" spans="1:10" ht="13.9" hidden="1" customHeight="1" outlineLevel="1">
      <c r="A1056" s="380" t="s">
        <v>516</v>
      </c>
      <c r="B1056" s="197">
        <v>217936.53927000001</v>
      </c>
      <c r="C1056" s="197">
        <v>0</v>
      </c>
      <c r="D1056" s="197">
        <v>0</v>
      </c>
      <c r="E1056" s="197">
        <v>0</v>
      </c>
      <c r="F1056" s="197">
        <v>0</v>
      </c>
      <c r="G1056" s="197">
        <v>0</v>
      </c>
      <c r="H1056" s="197">
        <v>0</v>
      </c>
      <c r="I1056" s="348">
        <f t="shared" si="23"/>
        <v>217936.53927000001</v>
      </c>
      <c r="J1056" s="192" t="s">
        <v>517</v>
      </c>
    </row>
    <row r="1057" spans="1:10" ht="13.9" hidden="1" customHeight="1" outlineLevel="1">
      <c r="A1057" s="380" t="s">
        <v>734</v>
      </c>
      <c r="B1057" s="197">
        <v>12344.036870000002</v>
      </c>
      <c r="C1057" s="197">
        <v>0</v>
      </c>
      <c r="D1057" s="197">
        <v>0</v>
      </c>
      <c r="E1057" s="197">
        <v>0</v>
      </c>
      <c r="F1057" s="197">
        <v>0</v>
      </c>
      <c r="G1057" s="197">
        <v>0</v>
      </c>
      <c r="H1057" s="197">
        <v>0</v>
      </c>
      <c r="I1057" s="348">
        <f t="shared" si="23"/>
        <v>12344.036870000002</v>
      </c>
      <c r="J1057" s="192" t="s">
        <v>735</v>
      </c>
    </row>
    <row r="1058" spans="1:10" ht="13.9" hidden="1" customHeight="1" outlineLevel="1">
      <c r="A1058" s="380" t="s">
        <v>600</v>
      </c>
      <c r="B1058" s="197">
        <v>239390.08124000003</v>
      </c>
      <c r="C1058" s="197">
        <v>0</v>
      </c>
      <c r="D1058" s="197">
        <v>0</v>
      </c>
      <c r="E1058" s="197">
        <v>0</v>
      </c>
      <c r="F1058" s="197">
        <v>0</v>
      </c>
      <c r="G1058" s="197">
        <v>0</v>
      </c>
      <c r="H1058" s="197">
        <v>0</v>
      </c>
      <c r="I1058" s="348">
        <f t="shared" si="23"/>
        <v>239390.08124000003</v>
      </c>
      <c r="J1058" s="192" t="s">
        <v>601</v>
      </c>
    </row>
    <row r="1059" spans="1:10" ht="13.9" hidden="1" customHeight="1" outlineLevel="1">
      <c r="A1059" s="380" t="s">
        <v>2184</v>
      </c>
      <c r="B1059" s="197">
        <v>63507.022710000005</v>
      </c>
      <c r="C1059" s="197">
        <v>0</v>
      </c>
      <c r="D1059" s="197">
        <v>0</v>
      </c>
      <c r="E1059" s="197">
        <v>0</v>
      </c>
      <c r="F1059" s="197">
        <v>0</v>
      </c>
      <c r="G1059" s="197">
        <v>0</v>
      </c>
      <c r="H1059" s="197">
        <v>0</v>
      </c>
      <c r="I1059" s="348">
        <f t="shared" si="23"/>
        <v>63507.022710000005</v>
      </c>
      <c r="J1059" s="192" t="s">
        <v>2185</v>
      </c>
    </row>
    <row r="1060" spans="1:10" ht="13.9" hidden="1" customHeight="1" outlineLevel="1">
      <c r="A1060" s="380" t="s">
        <v>724</v>
      </c>
      <c r="B1060" s="197">
        <v>163247.58718999999</v>
      </c>
      <c r="C1060" s="197">
        <v>0</v>
      </c>
      <c r="D1060" s="197">
        <v>0</v>
      </c>
      <c r="E1060" s="197">
        <v>0</v>
      </c>
      <c r="F1060" s="197">
        <v>0</v>
      </c>
      <c r="G1060" s="197">
        <v>0</v>
      </c>
      <c r="H1060" s="197">
        <v>0</v>
      </c>
      <c r="I1060" s="348">
        <f t="shared" si="23"/>
        <v>163247.58718999999</v>
      </c>
      <c r="J1060" s="192" t="s">
        <v>725</v>
      </c>
    </row>
    <row r="1061" spans="1:10" ht="13.9" hidden="1" customHeight="1" outlineLevel="1">
      <c r="A1061" s="380" t="s">
        <v>574</v>
      </c>
      <c r="B1061" s="197">
        <v>330800.71280000004</v>
      </c>
      <c r="C1061" s="197">
        <v>0</v>
      </c>
      <c r="D1061" s="197">
        <v>0</v>
      </c>
      <c r="E1061" s="197">
        <v>0</v>
      </c>
      <c r="F1061" s="197">
        <v>0</v>
      </c>
      <c r="G1061" s="197">
        <v>0</v>
      </c>
      <c r="H1061" s="197">
        <v>0</v>
      </c>
      <c r="I1061" s="348">
        <f t="shared" ref="I1061:I1102" si="24">+SUM(B1061:H1061)</f>
        <v>330800.71280000004</v>
      </c>
      <c r="J1061" s="192" t="s">
        <v>2186</v>
      </c>
    </row>
    <row r="1062" spans="1:10" ht="13.9" hidden="1" customHeight="1" outlineLevel="1">
      <c r="A1062" s="380" t="s">
        <v>746</v>
      </c>
      <c r="B1062" s="197">
        <v>114207.63184</v>
      </c>
      <c r="C1062" s="197">
        <v>0</v>
      </c>
      <c r="D1062" s="197">
        <v>0</v>
      </c>
      <c r="E1062" s="197">
        <v>0</v>
      </c>
      <c r="F1062" s="197">
        <v>0</v>
      </c>
      <c r="G1062" s="197">
        <v>0</v>
      </c>
      <c r="H1062" s="197">
        <v>0</v>
      </c>
      <c r="I1062" s="348">
        <f t="shared" si="24"/>
        <v>114207.63184</v>
      </c>
      <c r="J1062" s="192" t="s">
        <v>747</v>
      </c>
    </row>
    <row r="1063" spans="1:10" ht="13.9" hidden="1" customHeight="1" outlineLevel="1">
      <c r="A1063" s="380" t="s">
        <v>468</v>
      </c>
      <c r="B1063" s="197">
        <v>236555.12474000003</v>
      </c>
      <c r="C1063" s="197">
        <v>0</v>
      </c>
      <c r="D1063" s="197">
        <v>0</v>
      </c>
      <c r="E1063" s="197">
        <v>0</v>
      </c>
      <c r="F1063" s="197">
        <v>0</v>
      </c>
      <c r="G1063" s="197">
        <v>0</v>
      </c>
      <c r="H1063" s="197">
        <v>0</v>
      </c>
      <c r="I1063" s="348">
        <f t="shared" si="24"/>
        <v>236555.12474000003</v>
      </c>
      <c r="J1063" s="192" t="s">
        <v>469</v>
      </c>
    </row>
    <row r="1064" spans="1:10" ht="13.9" hidden="1" customHeight="1" outlineLevel="1">
      <c r="A1064" s="380" t="s">
        <v>466</v>
      </c>
      <c r="B1064" s="197">
        <v>842707.08368000004</v>
      </c>
      <c r="C1064" s="197">
        <v>0</v>
      </c>
      <c r="D1064" s="197">
        <v>0</v>
      </c>
      <c r="E1064" s="197">
        <v>0</v>
      </c>
      <c r="F1064" s="197">
        <v>1486.7623210000002</v>
      </c>
      <c r="G1064" s="197">
        <v>375.07074200000005</v>
      </c>
      <c r="H1064" s="197">
        <v>0</v>
      </c>
      <c r="I1064" s="348">
        <f t="shared" si="24"/>
        <v>844568.91674300004</v>
      </c>
      <c r="J1064" s="192" t="s">
        <v>467</v>
      </c>
    </row>
    <row r="1065" spans="1:10" ht="13.9" hidden="1" customHeight="1" outlineLevel="1">
      <c r="A1065" s="380" t="s">
        <v>766</v>
      </c>
      <c r="B1065" s="197">
        <v>191549.00405000002</v>
      </c>
      <c r="C1065" s="197">
        <v>0</v>
      </c>
      <c r="D1065" s="197">
        <v>0</v>
      </c>
      <c r="E1065" s="197">
        <v>0</v>
      </c>
      <c r="F1065" s="197">
        <v>0</v>
      </c>
      <c r="G1065" s="197">
        <v>0</v>
      </c>
      <c r="H1065" s="197">
        <v>0</v>
      </c>
      <c r="I1065" s="348">
        <f t="shared" si="24"/>
        <v>191549.00405000002</v>
      </c>
      <c r="J1065" s="192" t="s">
        <v>767</v>
      </c>
    </row>
    <row r="1066" spans="1:10" ht="13.9" hidden="1" customHeight="1" outlineLevel="1">
      <c r="A1066" s="380" t="s">
        <v>550</v>
      </c>
      <c r="B1066" s="197">
        <v>125689.53391000001</v>
      </c>
      <c r="C1066" s="197">
        <v>0</v>
      </c>
      <c r="D1066" s="197">
        <v>0</v>
      </c>
      <c r="E1066" s="197">
        <v>0</v>
      </c>
      <c r="F1066" s="197">
        <v>0</v>
      </c>
      <c r="G1066" s="197">
        <v>0</v>
      </c>
      <c r="H1066" s="197">
        <v>0</v>
      </c>
      <c r="I1066" s="348">
        <f t="shared" si="24"/>
        <v>125689.53391000001</v>
      </c>
      <c r="J1066" s="192" t="s">
        <v>551</v>
      </c>
    </row>
    <row r="1067" spans="1:10" ht="13.9" hidden="1" customHeight="1" outlineLevel="1">
      <c r="A1067" s="380" t="s">
        <v>752</v>
      </c>
      <c r="B1067" s="197">
        <v>197170.76891000001</v>
      </c>
      <c r="C1067" s="197">
        <v>0</v>
      </c>
      <c r="D1067" s="197">
        <v>0</v>
      </c>
      <c r="E1067" s="197">
        <v>0</v>
      </c>
      <c r="F1067" s="197">
        <v>0</v>
      </c>
      <c r="G1067" s="197">
        <v>0</v>
      </c>
      <c r="H1067" s="197">
        <v>0</v>
      </c>
      <c r="I1067" s="348">
        <f t="shared" si="24"/>
        <v>197170.76891000001</v>
      </c>
      <c r="J1067" s="192" t="s">
        <v>753</v>
      </c>
    </row>
    <row r="1068" spans="1:10" ht="13.9" hidden="1" customHeight="1" outlineLevel="1">
      <c r="A1068" s="380" t="s">
        <v>502</v>
      </c>
      <c r="B1068" s="197">
        <v>238026.60137000002</v>
      </c>
      <c r="C1068" s="197">
        <v>0</v>
      </c>
      <c r="D1068" s="197">
        <v>0</v>
      </c>
      <c r="E1068" s="197">
        <v>0</v>
      </c>
      <c r="F1068" s="197">
        <v>0</v>
      </c>
      <c r="G1068" s="197">
        <v>0</v>
      </c>
      <c r="H1068" s="197">
        <v>0</v>
      </c>
      <c r="I1068" s="348">
        <f t="shared" si="24"/>
        <v>238026.60137000002</v>
      </c>
      <c r="J1068" s="192" t="s">
        <v>503</v>
      </c>
    </row>
    <row r="1069" spans="1:10" ht="13.9" hidden="1" customHeight="1" outlineLevel="1">
      <c r="A1069" s="380" t="s">
        <v>522</v>
      </c>
      <c r="B1069" s="197">
        <v>164326.85952000003</v>
      </c>
      <c r="C1069" s="197">
        <v>0</v>
      </c>
      <c r="D1069" s="197">
        <v>0</v>
      </c>
      <c r="E1069" s="197">
        <v>0</v>
      </c>
      <c r="F1069" s="197">
        <v>0</v>
      </c>
      <c r="G1069" s="197">
        <v>0</v>
      </c>
      <c r="H1069" s="197">
        <v>0</v>
      </c>
      <c r="I1069" s="348">
        <f t="shared" si="24"/>
        <v>164326.85952000003</v>
      </c>
      <c r="J1069" s="192" t="s">
        <v>523</v>
      </c>
    </row>
    <row r="1070" spans="1:10" ht="13.9" hidden="1" customHeight="1" outlineLevel="1">
      <c r="A1070" s="380" t="s">
        <v>708</v>
      </c>
      <c r="B1070" s="197">
        <v>51230.931170000003</v>
      </c>
      <c r="C1070" s="197">
        <v>0</v>
      </c>
      <c r="D1070" s="197">
        <v>0</v>
      </c>
      <c r="E1070" s="197">
        <v>0</v>
      </c>
      <c r="F1070" s="197">
        <v>0</v>
      </c>
      <c r="G1070" s="197">
        <v>0</v>
      </c>
      <c r="H1070" s="197">
        <v>0</v>
      </c>
      <c r="I1070" s="348">
        <f t="shared" si="24"/>
        <v>51230.931170000003</v>
      </c>
      <c r="J1070" s="192" t="s">
        <v>709</v>
      </c>
    </row>
    <row r="1071" spans="1:10" ht="13.9" hidden="1" customHeight="1" outlineLevel="1">
      <c r="A1071" s="380" t="s">
        <v>458</v>
      </c>
      <c r="B1071" s="197">
        <v>220734.72125000003</v>
      </c>
      <c r="C1071" s="197">
        <v>0</v>
      </c>
      <c r="D1071" s="197">
        <v>0</v>
      </c>
      <c r="E1071" s="197">
        <v>0</v>
      </c>
      <c r="F1071" s="197">
        <v>0</v>
      </c>
      <c r="G1071" s="197">
        <v>0</v>
      </c>
      <c r="H1071" s="197">
        <v>0</v>
      </c>
      <c r="I1071" s="348">
        <f t="shared" si="24"/>
        <v>220734.72125000003</v>
      </c>
      <c r="J1071" s="192" t="s">
        <v>459</v>
      </c>
    </row>
    <row r="1072" spans="1:10" ht="13.9" hidden="1" customHeight="1" outlineLevel="1">
      <c r="A1072" s="380" t="s">
        <v>638</v>
      </c>
      <c r="B1072" s="197">
        <v>244712.92432000005</v>
      </c>
      <c r="C1072" s="197">
        <v>0</v>
      </c>
      <c r="D1072" s="197">
        <v>0</v>
      </c>
      <c r="E1072" s="197">
        <v>0</v>
      </c>
      <c r="F1072" s="197">
        <v>0</v>
      </c>
      <c r="G1072" s="197">
        <v>0</v>
      </c>
      <c r="H1072" s="197">
        <v>0</v>
      </c>
      <c r="I1072" s="348">
        <f t="shared" si="24"/>
        <v>244712.92432000005</v>
      </c>
      <c r="J1072" s="192" t="s">
        <v>2187</v>
      </c>
    </row>
    <row r="1073" spans="1:10" ht="13.9" hidden="1" customHeight="1" outlineLevel="1">
      <c r="A1073" s="380" t="s">
        <v>482</v>
      </c>
      <c r="B1073" s="197">
        <v>57472.444750000002</v>
      </c>
      <c r="C1073" s="197">
        <v>0</v>
      </c>
      <c r="D1073" s="197">
        <v>0</v>
      </c>
      <c r="E1073" s="197">
        <v>0</v>
      </c>
      <c r="F1073" s="197">
        <v>0</v>
      </c>
      <c r="G1073" s="197">
        <v>0</v>
      </c>
      <c r="H1073" s="197">
        <v>0</v>
      </c>
      <c r="I1073" s="348">
        <f t="shared" si="24"/>
        <v>57472.444750000002</v>
      </c>
      <c r="J1073" s="192" t="s">
        <v>2188</v>
      </c>
    </row>
    <row r="1074" spans="1:10" ht="13.9" hidden="1" customHeight="1" outlineLevel="1">
      <c r="A1074" s="380" t="s">
        <v>482</v>
      </c>
      <c r="B1074" s="197">
        <v>425609.15932000004</v>
      </c>
      <c r="C1074" s="197">
        <v>0</v>
      </c>
      <c r="D1074" s="197">
        <v>0</v>
      </c>
      <c r="E1074" s="197">
        <v>0</v>
      </c>
      <c r="F1074" s="197">
        <v>0</v>
      </c>
      <c r="G1074" s="197">
        <v>0</v>
      </c>
      <c r="H1074" s="197">
        <v>0</v>
      </c>
      <c r="I1074" s="348">
        <f t="shared" si="24"/>
        <v>425609.15932000004</v>
      </c>
      <c r="J1074" s="192" t="s">
        <v>2189</v>
      </c>
    </row>
    <row r="1075" spans="1:10" ht="13.9" hidden="1" customHeight="1" outlineLevel="1">
      <c r="A1075" s="380" t="s">
        <v>706</v>
      </c>
      <c r="B1075" s="197">
        <v>189444.25279000003</v>
      </c>
      <c r="C1075" s="197">
        <v>0</v>
      </c>
      <c r="D1075" s="197">
        <v>0</v>
      </c>
      <c r="E1075" s="197">
        <v>0</v>
      </c>
      <c r="F1075" s="197">
        <v>0</v>
      </c>
      <c r="G1075" s="197">
        <v>0</v>
      </c>
      <c r="H1075" s="197">
        <v>0</v>
      </c>
      <c r="I1075" s="348">
        <f t="shared" si="24"/>
        <v>189444.25279000003</v>
      </c>
      <c r="J1075" s="192" t="s">
        <v>707</v>
      </c>
    </row>
    <row r="1076" spans="1:10" ht="13.9" hidden="1" customHeight="1" outlineLevel="1">
      <c r="A1076" s="380" t="s">
        <v>730</v>
      </c>
      <c r="B1076" s="197">
        <v>2449.4362100000003</v>
      </c>
      <c r="C1076" s="197">
        <v>0</v>
      </c>
      <c r="D1076" s="197">
        <v>0</v>
      </c>
      <c r="E1076" s="197">
        <v>0</v>
      </c>
      <c r="F1076" s="197">
        <v>0</v>
      </c>
      <c r="G1076" s="197">
        <v>0</v>
      </c>
      <c r="H1076" s="197">
        <v>0</v>
      </c>
      <c r="I1076" s="348">
        <f t="shared" si="24"/>
        <v>2449.4362100000003</v>
      </c>
      <c r="J1076" s="192" t="s">
        <v>731</v>
      </c>
    </row>
    <row r="1077" spans="1:10" ht="13.9" hidden="1" customHeight="1" outlineLevel="1">
      <c r="A1077" s="380" t="s">
        <v>562</v>
      </c>
      <c r="B1077" s="197">
        <v>147205.92718000003</v>
      </c>
      <c r="C1077" s="197">
        <v>0</v>
      </c>
      <c r="D1077" s="197">
        <v>0</v>
      </c>
      <c r="E1077" s="197">
        <v>0</v>
      </c>
      <c r="F1077" s="197">
        <v>0</v>
      </c>
      <c r="G1077" s="197">
        <v>0</v>
      </c>
      <c r="H1077" s="197">
        <v>0</v>
      </c>
      <c r="I1077" s="348">
        <f t="shared" si="24"/>
        <v>147205.92718000003</v>
      </c>
      <c r="J1077" s="192" t="s">
        <v>563</v>
      </c>
    </row>
    <row r="1078" spans="1:10" ht="13.9" hidden="1" customHeight="1" outlineLevel="1">
      <c r="A1078" s="380" t="s">
        <v>572</v>
      </c>
      <c r="B1078" s="197">
        <v>426052.25683000009</v>
      </c>
      <c r="C1078" s="197">
        <v>0</v>
      </c>
      <c r="D1078" s="197">
        <v>0</v>
      </c>
      <c r="E1078" s="197">
        <v>0</v>
      </c>
      <c r="F1078" s="197">
        <v>0</v>
      </c>
      <c r="G1078" s="197">
        <v>0</v>
      </c>
      <c r="H1078" s="197">
        <v>0</v>
      </c>
      <c r="I1078" s="348">
        <f t="shared" si="24"/>
        <v>426052.25683000009</v>
      </c>
      <c r="J1078" s="192" t="s">
        <v>573</v>
      </c>
    </row>
    <row r="1079" spans="1:10" ht="13.9" hidden="1" customHeight="1" outlineLevel="1">
      <c r="A1079" s="380" t="s">
        <v>554</v>
      </c>
      <c r="B1079" s="197">
        <v>104009.59430000001</v>
      </c>
      <c r="C1079" s="197">
        <v>0</v>
      </c>
      <c r="D1079" s="197">
        <v>0</v>
      </c>
      <c r="E1079" s="197">
        <v>0</v>
      </c>
      <c r="F1079" s="197">
        <v>0</v>
      </c>
      <c r="G1079" s="197">
        <v>0</v>
      </c>
      <c r="H1079" s="197">
        <v>0</v>
      </c>
      <c r="I1079" s="348">
        <f t="shared" si="24"/>
        <v>104009.59430000001</v>
      </c>
      <c r="J1079" s="192" t="s">
        <v>555</v>
      </c>
    </row>
    <row r="1080" spans="1:10" ht="13.9" hidden="1" customHeight="1" outlineLevel="1">
      <c r="A1080" s="380" t="s">
        <v>556</v>
      </c>
      <c r="B1080" s="197">
        <v>362330.81673000002</v>
      </c>
      <c r="C1080" s="197">
        <v>0</v>
      </c>
      <c r="D1080" s="197">
        <v>0</v>
      </c>
      <c r="E1080" s="197">
        <v>0</v>
      </c>
      <c r="F1080" s="197">
        <v>0</v>
      </c>
      <c r="G1080" s="197">
        <v>0</v>
      </c>
      <c r="H1080" s="197">
        <v>0</v>
      </c>
      <c r="I1080" s="348">
        <f t="shared" si="24"/>
        <v>362330.81673000002</v>
      </c>
      <c r="J1080" s="192" t="s">
        <v>557</v>
      </c>
    </row>
    <row r="1081" spans="1:10" ht="13.9" hidden="1" customHeight="1" outlineLevel="1">
      <c r="A1081" s="380" t="s">
        <v>640</v>
      </c>
      <c r="B1081" s="197">
        <v>125949.11338000001</v>
      </c>
      <c r="C1081" s="197">
        <v>0</v>
      </c>
      <c r="D1081" s="197">
        <v>0</v>
      </c>
      <c r="E1081" s="197">
        <v>0</v>
      </c>
      <c r="F1081" s="197">
        <v>0</v>
      </c>
      <c r="G1081" s="197">
        <v>0</v>
      </c>
      <c r="H1081" s="197">
        <v>0</v>
      </c>
      <c r="I1081" s="348">
        <f t="shared" si="24"/>
        <v>125949.11338000001</v>
      </c>
      <c r="J1081" s="192" t="s">
        <v>641</v>
      </c>
    </row>
    <row r="1082" spans="1:10" ht="13.9" hidden="1" customHeight="1" outlineLevel="1">
      <c r="A1082" s="380" t="s">
        <v>698</v>
      </c>
      <c r="B1082" s="197">
        <v>190237.80793000001</v>
      </c>
      <c r="C1082" s="197">
        <v>0</v>
      </c>
      <c r="D1082" s="197">
        <v>0</v>
      </c>
      <c r="E1082" s="197">
        <v>0</v>
      </c>
      <c r="F1082" s="197">
        <v>0</v>
      </c>
      <c r="G1082" s="197">
        <v>0</v>
      </c>
      <c r="H1082" s="197">
        <v>0</v>
      </c>
      <c r="I1082" s="348">
        <f t="shared" si="24"/>
        <v>190237.80793000001</v>
      </c>
      <c r="J1082" s="192" t="s">
        <v>699</v>
      </c>
    </row>
    <row r="1083" spans="1:10" ht="13.9" hidden="1" customHeight="1" outlineLevel="1">
      <c r="A1083" s="380" t="s">
        <v>670</v>
      </c>
      <c r="B1083" s="197">
        <v>481535.34852000006</v>
      </c>
      <c r="C1083" s="197">
        <v>0</v>
      </c>
      <c r="D1083" s="197">
        <v>0</v>
      </c>
      <c r="E1083" s="197">
        <v>0</v>
      </c>
      <c r="F1083" s="197">
        <v>0</v>
      </c>
      <c r="G1083" s="197">
        <v>0</v>
      </c>
      <c r="H1083" s="197">
        <v>0</v>
      </c>
      <c r="I1083" s="348">
        <f t="shared" si="24"/>
        <v>481535.34852000006</v>
      </c>
      <c r="J1083" s="192" t="s">
        <v>671</v>
      </c>
    </row>
    <row r="1084" spans="1:10" ht="13.9" hidden="1" customHeight="1" outlineLevel="1">
      <c r="A1084" s="380" t="s">
        <v>558</v>
      </c>
      <c r="B1084" s="197">
        <v>256238.5453</v>
      </c>
      <c r="C1084" s="197">
        <v>0</v>
      </c>
      <c r="D1084" s="197">
        <v>0</v>
      </c>
      <c r="E1084" s="197">
        <v>0</v>
      </c>
      <c r="F1084" s="197">
        <v>0</v>
      </c>
      <c r="G1084" s="197">
        <v>0</v>
      </c>
      <c r="H1084" s="197">
        <v>0</v>
      </c>
      <c r="I1084" s="348">
        <f t="shared" si="24"/>
        <v>256238.5453</v>
      </c>
      <c r="J1084" s="192" t="s">
        <v>559</v>
      </c>
    </row>
    <row r="1085" spans="1:10" ht="13.9" hidden="1" customHeight="1" outlineLevel="1">
      <c r="A1085" s="380" t="s">
        <v>494</v>
      </c>
      <c r="B1085" s="197">
        <v>95497.988160000008</v>
      </c>
      <c r="C1085" s="197">
        <v>0</v>
      </c>
      <c r="D1085" s="197">
        <v>0</v>
      </c>
      <c r="E1085" s="197">
        <v>0</v>
      </c>
      <c r="F1085" s="197">
        <v>0</v>
      </c>
      <c r="G1085" s="197">
        <v>0</v>
      </c>
      <c r="H1085" s="197">
        <v>0</v>
      </c>
      <c r="I1085" s="348">
        <f t="shared" si="24"/>
        <v>95497.988160000008</v>
      </c>
      <c r="J1085" s="192" t="s">
        <v>495</v>
      </c>
    </row>
    <row r="1086" spans="1:10" ht="13.9" hidden="1" customHeight="1" outlineLevel="1">
      <c r="A1086" s="380" t="s">
        <v>664</v>
      </c>
      <c r="B1086" s="197">
        <v>142264.95353000003</v>
      </c>
      <c r="C1086" s="197">
        <v>0</v>
      </c>
      <c r="D1086" s="197">
        <v>0</v>
      </c>
      <c r="E1086" s="197">
        <v>0</v>
      </c>
      <c r="F1086" s="197">
        <v>0</v>
      </c>
      <c r="G1086" s="197">
        <v>0</v>
      </c>
      <c r="H1086" s="197">
        <v>0</v>
      </c>
      <c r="I1086" s="348">
        <f t="shared" si="24"/>
        <v>142264.95353000003</v>
      </c>
      <c r="J1086" s="192" t="s">
        <v>665</v>
      </c>
    </row>
    <row r="1087" spans="1:10" ht="13.9" hidden="1" customHeight="1" outlineLevel="1">
      <c r="A1087" s="380" t="s">
        <v>476</v>
      </c>
      <c r="B1087" s="197">
        <v>373003.05611</v>
      </c>
      <c r="C1087" s="197">
        <v>0</v>
      </c>
      <c r="D1087" s="197">
        <v>0</v>
      </c>
      <c r="E1087" s="197">
        <v>0</v>
      </c>
      <c r="F1087" s="197">
        <v>0</v>
      </c>
      <c r="G1087" s="197">
        <v>0</v>
      </c>
      <c r="H1087" s="197">
        <v>0</v>
      </c>
      <c r="I1087" s="348">
        <f t="shared" si="24"/>
        <v>373003.05611</v>
      </c>
      <c r="J1087" s="192" t="s">
        <v>477</v>
      </c>
    </row>
    <row r="1088" spans="1:10" ht="13.9" hidden="1" customHeight="1" outlineLevel="1">
      <c r="A1088" s="380" t="s">
        <v>696</v>
      </c>
      <c r="B1088" s="197">
        <v>254688.32034000001</v>
      </c>
      <c r="C1088" s="197">
        <v>0</v>
      </c>
      <c r="D1088" s="197">
        <v>0</v>
      </c>
      <c r="E1088" s="197">
        <v>0</v>
      </c>
      <c r="F1088" s="197">
        <v>0</v>
      </c>
      <c r="G1088" s="197">
        <v>0</v>
      </c>
      <c r="H1088" s="197">
        <v>0</v>
      </c>
      <c r="I1088" s="348">
        <f t="shared" si="24"/>
        <v>254688.32034000001</v>
      </c>
      <c r="J1088" s="192" t="s">
        <v>697</v>
      </c>
    </row>
    <row r="1089" spans="1:10" ht="13.9" hidden="1" customHeight="1" outlineLevel="1">
      <c r="A1089" s="380" t="s">
        <v>674</v>
      </c>
      <c r="B1089" s="197">
        <v>380222.24119000003</v>
      </c>
      <c r="C1089" s="197">
        <v>0</v>
      </c>
      <c r="D1089" s="197">
        <v>0</v>
      </c>
      <c r="E1089" s="197">
        <v>0</v>
      </c>
      <c r="F1089" s="197">
        <v>0</v>
      </c>
      <c r="G1089" s="197">
        <v>0</v>
      </c>
      <c r="H1089" s="197">
        <v>0</v>
      </c>
      <c r="I1089" s="348">
        <f t="shared" si="24"/>
        <v>380222.24119000003</v>
      </c>
      <c r="J1089" s="192" t="s">
        <v>2190</v>
      </c>
    </row>
    <row r="1090" spans="1:10" ht="13.9" hidden="1" customHeight="1" outlineLevel="1">
      <c r="A1090" s="380" t="s">
        <v>592</v>
      </c>
      <c r="B1090" s="197">
        <v>150068.22081000003</v>
      </c>
      <c r="C1090" s="197">
        <v>0</v>
      </c>
      <c r="D1090" s="197">
        <v>0</v>
      </c>
      <c r="E1090" s="197">
        <v>0</v>
      </c>
      <c r="F1090" s="197">
        <v>0</v>
      </c>
      <c r="G1090" s="197">
        <v>0</v>
      </c>
      <c r="H1090" s="197">
        <v>0</v>
      </c>
      <c r="I1090" s="348">
        <f t="shared" si="24"/>
        <v>150068.22081000003</v>
      </c>
      <c r="J1090" s="192" t="s">
        <v>593</v>
      </c>
    </row>
    <row r="1091" spans="1:10" ht="13.9" hidden="1" customHeight="1" outlineLevel="1">
      <c r="A1091" s="380" t="s">
        <v>718</v>
      </c>
      <c r="B1091" s="197">
        <v>74828.95451000001</v>
      </c>
      <c r="C1091" s="197">
        <v>0</v>
      </c>
      <c r="D1091" s="197">
        <v>0</v>
      </c>
      <c r="E1091" s="197">
        <v>0</v>
      </c>
      <c r="F1091" s="197">
        <v>0</v>
      </c>
      <c r="G1091" s="197">
        <v>0</v>
      </c>
      <c r="H1091" s="197">
        <v>0</v>
      </c>
      <c r="I1091" s="348">
        <f t="shared" si="24"/>
        <v>74828.95451000001</v>
      </c>
      <c r="J1091" s="192" t="s">
        <v>719</v>
      </c>
    </row>
    <row r="1092" spans="1:10" ht="13.9" hidden="1" customHeight="1" outlineLevel="1">
      <c r="A1092" s="380" t="s">
        <v>690</v>
      </c>
      <c r="B1092" s="197">
        <v>97792.132630000007</v>
      </c>
      <c r="C1092" s="197">
        <v>0</v>
      </c>
      <c r="D1092" s="197">
        <v>0</v>
      </c>
      <c r="E1092" s="197">
        <v>0</v>
      </c>
      <c r="F1092" s="197">
        <v>0</v>
      </c>
      <c r="G1092" s="197">
        <v>0</v>
      </c>
      <c r="H1092" s="197">
        <v>0</v>
      </c>
      <c r="I1092" s="348">
        <f t="shared" si="24"/>
        <v>97792.132630000007</v>
      </c>
      <c r="J1092" s="192" t="s">
        <v>691</v>
      </c>
    </row>
    <row r="1093" spans="1:10" ht="13.9" hidden="1" customHeight="1" outlineLevel="1">
      <c r="A1093" s="380" t="s">
        <v>566</v>
      </c>
      <c r="B1093" s="197">
        <v>67963.312840000013</v>
      </c>
      <c r="C1093" s="197">
        <v>0</v>
      </c>
      <c r="D1093" s="197">
        <v>0</v>
      </c>
      <c r="E1093" s="197">
        <v>0</v>
      </c>
      <c r="F1093" s="197">
        <v>0</v>
      </c>
      <c r="G1093" s="197">
        <v>0</v>
      </c>
      <c r="H1093" s="197">
        <v>0</v>
      </c>
      <c r="I1093" s="348">
        <f t="shared" si="24"/>
        <v>67963.312840000013</v>
      </c>
      <c r="J1093" s="192" t="s">
        <v>567</v>
      </c>
    </row>
    <row r="1094" spans="1:10" ht="13.9" hidden="1" customHeight="1" outlineLevel="1">
      <c r="A1094" s="380" t="s">
        <v>672</v>
      </c>
      <c r="B1094" s="197">
        <v>159117.84127999999</v>
      </c>
      <c r="C1094" s="197">
        <v>0</v>
      </c>
      <c r="D1094" s="197">
        <v>0</v>
      </c>
      <c r="E1094" s="197">
        <v>0</v>
      </c>
      <c r="F1094" s="197">
        <v>0</v>
      </c>
      <c r="G1094" s="197">
        <v>0</v>
      </c>
      <c r="H1094" s="197">
        <v>0</v>
      </c>
      <c r="I1094" s="348">
        <f t="shared" si="24"/>
        <v>159117.84127999999</v>
      </c>
      <c r="J1094" s="192" t="s">
        <v>673</v>
      </c>
    </row>
    <row r="1095" spans="1:10" ht="13.9" hidden="1" customHeight="1" outlineLevel="1">
      <c r="A1095" s="380" t="s">
        <v>496</v>
      </c>
      <c r="B1095" s="197">
        <v>176406.16472000003</v>
      </c>
      <c r="C1095" s="197">
        <v>0</v>
      </c>
      <c r="D1095" s="197">
        <v>0</v>
      </c>
      <c r="E1095" s="197">
        <v>0</v>
      </c>
      <c r="F1095" s="197">
        <v>0</v>
      </c>
      <c r="G1095" s="197">
        <v>0</v>
      </c>
      <c r="H1095" s="197">
        <v>0</v>
      </c>
      <c r="I1095" s="348">
        <f t="shared" si="24"/>
        <v>176406.16472000003</v>
      </c>
      <c r="J1095" s="192" t="s">
        <v>497</v>
      </c>
    </row>
    <row r="1096" spans="1:10" ht="13.9" hidden="1" customHeight="1" outlineLevel="1">
      <c r="A1096" s="380" t="s">
        <v>700</v>
      </c>
      <c r="B1096" s="197">
        <v>123258.84783000001</v>
      </c>
      <c r="C1096" s="197">
        <v>0</v>
      </c>
      <c r="D1096" s="197">
        <v>0</v>
      </c>
      <c r="E1096" s="197">
        <v>0</v>
      </c>
      <c r="F1096" s="197">
        <v>0</v>
      </c>
      <c r="G1096" s="197">
        <v>0</v>
      </c>
      <c r="H1096" s="197">
        <v>0</v>
      </c>
      <c r="I1096" s="348">
        <f t="shared" si="24"/>
        <v>123258.84783000001</v>
      </c>
      <c r="J1096" s="192" t="s">
        <v>701</v>
      </c>
    </row>
    <row r="1097" spans="1:10" ht="13.9" hidden="1" customHeight="1" outlineLevel="1">
      <c r="A1097" s="380" t="s">
        <v>654</v>
      </c>
      <c r="B1097" s="197">
        <v>174265.66107</v>
      </c>
      <c r="C1097" s="197">
        <v>0</v>
      </c>
      <c r="D1097" s="197">
        <v>0</v>
      </c>
      <c r="E1097" s="197">
        <v>0</v>
      </c>
      <c r="F1097" s="197">
        <v>0</v>
      </c>
      <c r="G1097" s="197">
        <v>0</v>
      </c>
      <c r="H1097" s="197">
        <v>0</v>
      </c>
      <c r="I1097" s="348">
        <f t="shared" si="24"/>
        <v>174265.66107</v>
      </c>
      <c r="J1097" s="192" t="s">
        <v>655</v>
      </c>
    </row>
    <row r="1098" spans="1:10" ht="13.9" hidden="1" customHeight="1" outlineLevel="1">
      <c r="A1098" s="380" t="s">
        <v>518</v>
      </c>
      <c r="B1098" s="197">
        <v>676383.62755000009</v>
      </c>
      <c r="C1098" s="197">
        <v>0</v>
      </c>
      <c r="D1098" s="197">
        <v>0</v>
      </c>
      <c r="E1098" s="197">
        <v>0</v>
      </c>
      <c r="F1098" s="197">
        <v>739.63958300000013</v>
      </c>
      <c r="G1098" s="197">
        <v>0</v>
      </c>
      <c r="H1098" s="197">
        <v>0</v>
      </c>
      <c r="I1098" s="348">
        <f t="shared" si="24"/>
        <v>677123.26713300007</v>
      </c>
      <c r="J1098" s="192" t="s">
        <v>519</v>
      </c>
    </row>
    <row r="1099" spans="1:10" ht="13.9" hidden="1" customHeight="1" outlineLevel="1">
      <c r="A1099" s="380" t="s">
        <v>686</v>
      </c>
      <c r="B1099" s="197">
        <v>7750806.0200900007</v>
      </c>
      <c r="C1099" s="197">
        <v>0</v>
      </c>
      <c r="D1099" s="197">
        <v>0</v>
      </c>
      <c r="E1099" s="197">
        <v>0</v>
      </c>
      <c r="F1099" s="197">
        <v>0</v>
      </c>
      <c r="G1099" s="197">
        <v>0</v>
      </c>
      <c r="H1099" s="197">
        <v>0</v>
      </c>
      <c r="I1099" s="348">
        <f t="shared" si="24"/>
        <v>7750806.0200900007</v>
      </c>
      <c r="J1099" s="192" t="s">
        <v>687</v>
      </c>
    </row>
    <row r="1100" spans="1:10" ht="13.9" hidden="1" customHeight="1" outlineLevel="1">
      <c r="A1100" s="380" t="s">
        <v>2191</v>
      </c>
      <c r="B1100" s="197">
        <v>21863.997800000001</v>
      </c>
      <c r="C1100" s="197">
        <v>0</v>
      </c>
      <c r="D1100" s="197">
        <v>0</v>
      </c>
      <c r="E1100" s="197">
        <v>0</v>
      </c>
      <c r="F1100" s="197">
        <v>0</v>
      </c>
      <c r="G1100" s="197">
        <v>0</v>
      </c>
      <c r="H1100" s="197">
        <v>0</v>
      </c>
      <c r="I1100" s="348">
        <f t="shared" si="24"/>
        <v>21863.997800000001</v>
      </c>
      <c r="J1100" s="192" t="s">
        <v>2192</v>
      </c>
    </row>
    <row r="1101" spans="1:10" ht="13.9" hidden="1" customHeight="1" outlineLevel="1">
      <c r="A1101" s="380" t="s">
        <v>536</v>
      </c>
      <c r="B1101" s="197">
        <v>2226169.4345200001</v>
      </c>
      <c r="C1101" s="197">
        <v>0</v>
      </c>
      <c r="D1101" s="197">
        <v>0</v>
      </c>
      <c r="E1101" s="197">
        <v>0</v>
      </c>
      <c r="F1101" s="197">
        <v>0</v>
      </c>
      <c r="G1101" s="197">
        <v>0</v>
      </c>
      <c r="H1101" s="197">
        <v>0</v>
      </c>
      <c r="I1101" s="348">
        <f t="shared" si="24"/>
        <v>2226169.4345200001</v>
      </c>
      <c r="J1101" s="192" t="s">
        <v>537</v>
      </c>
    </row>
    <row r="1102" spans="1:10" ht="13.9" hidden="1" customHeight="1" outlineLevel="1">
      <c r="A1102" s="380" t="s">
        <v>1196</v>
      </c>
      <c r="B1102" s="197">
        <v>98574.710260000007</v>
      </c>
      <c r="C1102" s="197">
        <v>0</v>
      </c>
      <c r="D1102" s="197">
        <v>0</v>
      </c>
      <c r="E1102" s="197">
        <v>0</v>
      </c>
      <c r="F1102" s="197">
        <v>0</v>
      </c>
      <c r="G1102" s="197">
        <v>0</v>
      </c>
      <c r="H1102" s="197">
        <v>0</v>
      </c>
      <c r="I1102" s="348">
        <f t="shared" si="24"/>
        <v>98574.710260000007</v>
      </c>
      <c r="J1102" s="192" t="s">
        <v>1197</v>
      </c>
    </row>
    <row r="1103" spans="1:10" collapsed="1">
      <c r="A1103" s="386" t="str">
        <f>A180</f>
        <v>Regelzone Amprion (gesamt)</v>
      </c>
      <c r="B1103" s="195">
        <f>SUM(B1104:B1336)</f>
        <v>288062212.55999994</v>
      </c>
      <c r="C1103" s="195">
        <v>0</v>
      </c>
      <c r="D1103" s="195">
        <f>SUM(D1104:D1336)</f>
        <v>347133.06</v>
      </c>
      <c r="E1103" s="195">
        <f>SUM(E1104:E1336)</f>
        <v>0</v>
      </c>
      <c r="F1103" s="195">
        <f>SUM(F1104:F1336)</f>
        <v>1111130.24</v>
      </c>
      <c r="G1103" s="195">
        <f>SUM(G1104:G1336)</f>
        <v>9144.86</v>
      </c>
      <c r="H1103" s="195">
        <f>H180*0.0055/100</f>
        <v>0</v>
      </c>
      <c r="I1103" s="348">
        <f>SUM(B1103:H1103)</f>
        <v>289529620.71999997</v>
      </c>
    </row>
    <row r="1104" spans="1:10" hidden="1" outlineLevel="1">
      <c r="A1104" s="380" t="s">
        <v>775</v>
      </c>
      <c r="B1104" s="199">
        <v>252347.06</v>
      </c>
      <c r="C1104" s="200">
        <v>0</v>
      </c>
      <c r="D1104" s="200">
        <v>0</v>
      </c>
      <c r="E1104" s="200">
        <v>0</v>
      </c>
      <c r="F1104" s="200">
        <v>0</v>
      </c>
      <c r="G1104" s="200">
        <v>0</v>
      </c>
      <c r="H1104" s="200">
        <v>0</v>
      </c>
      <c r="I1104" s="348">
        <f t="shared" ref="I1104:I1166" si="25">SUM(B1104:H1104)</f>
        <v>252347.06</v>
      </c>
      <c r="J1104" s="192" t="s">
        <v>776</v>
      </c>
    </row>
    <row r="1105" spans="1:10" hidden="1" outlineLevel="1">
      <c r="A1105" s="380" t="s">
        <v>456</v>
      </c>
      <c r="B1105" s="199">
        <v>287529.63</v>
      </c>
      <c r="C1105" s="200">
        <v>0</v>
      </c>
      <c r="D1105" s="200">
        <v>0</v>
      </c>
      <c r="E1105" s="200">
        <v>0</v>
      </c>
      <c r="F1105" s="200">
        <v>0</v>
      </c>
      <c r="G1105" s="200">
        <v>0</v>
      </c>
      <c r="H1105" s="200">
        <v>0</v>
      </c>
      <c r="I1105" s="348">
        <f t="shared" si="25"/>
        <v>287529.63</v>
      </c>
      <c r="J1105" s="192" t="s">
        <v>457</v>
      </c>
    </row>
    <row r="1106" spans="1:10" hidden="1" outlineLevel="1">
      <c r="A1106" s="380" t="s">
        <v>777</v>
      </c>
      <c r="B1106" s="199">
        <v>333153.63</v>
      </c>
      <c r="C1106" s="200">
        <v>0</v>
      </c>
      <c r="D1106" s="200">
        <v>0</v>
      </c>
      <c r="E1106" s="200">
        <v>0</v>
      </c>
      <c r="F1106" s="200">
        <v>0</v>
      </c>
      <c r="G1106" s="200">
        <v>0</v>
      </c>
      <c r="H1106" s="200">
        <v>0</v>
      </c>
      <c r="I1106" s="348">
        <f t="shared" si="25"/>
        <v>333153.63</v>
      </c>
      <c r="J1106" s="192" t="s">
        <v>778</v>
      </c>
    </row>
    <row r="1107" spans="1:10" hidden="1" outlineLevel="1">
      <c r="A1107" s="380" t="s">
        <v>779</v>
      </c>
      <c r="B1107" s="199">
        <v>825354.64</v>
      </c>
      <c r="C1107" s="200">
        <v>0</v>
      </c>
      <c r="D1107" s="200">
        <v>0</v>
      </c>
      <c r="E1107" s="200">
        <v>0</v>
      </c>
      <c r="F1107" s="200">
        <v>0</v>
      </c>
      <c r="G1107" s="200">
        <v>0</v>
      </c>
      <c r="H1107" s="200">
        <v>0</v>
      </c>
      <c r="I1107" s="348">
        <f t="shared" si="25"/>
        <v>825354.64</v>
      </c>
      <c r="J1107" s="192" t="s">
        <v>780</v>
      </c>
    </row>
    <row r="1108" spans="1:10" hidden="1" outlineLevel="1">
      <c r="A1108" s="380" t="s">
        <v>781</v>
      </c>
      <c r="B1108" s="199">
        <v>2556782.89</v>
      </c>
      <c r="C1108" s="200">
        <v>0</v>
      </c>
      <c r="D1108" s="200">
        <v>0</v>
      </c>
      <c r="E1108" s="200">
        <v>0</v>
      </c>
      <c r="F1108" s="200">
        <v>2215.33</v>
      </c>
      <c r="G1108" s="200">
        <v>0</v>
      </c>
      <c r="H1108" s="200">
        <v>0</v>
      </c>
      <c r="I1108" s="348">
        <f t="shared" si="25"/>
        <v>2558998.2200000002</v>
      </c>
      <c r="J1108" s="192" t="s">
        <v>782</v>
      </c>
    </row>
    <row r="1109" spans="1:10" hidden="1" outlineLevel="1">
      <c r="A1109" s="380" t="s">
        <v>783</v>
      </c>
      <c r="B1109" s="199">
        <v>464743.18</v>
      </c>
      <c r="C1109" s="200">
        <v>0</v>
      </c>
      <c r="D1109" s="200">
        <v>0</v>
      </c>
      <c r="E1109" s="200">
        <v>0</v>
      </c>
      <c r="F1109" s="200">
        <v>0</v>
      </c>
      <c r="G1109" s="200">
        <v>0</v>
      </c>
      <c r="H1109" s="200">
        <v>0</v>
      </c>
      <c r="I1109" s="348">
        <f t="shared" si="25"/>
        <v>464743.18</v>
      </c>
      <c r="J1109" s="192" t="s">
        <v>784</v>
      </c>
    </row>
    <row r="1110" spans="1:10" hidden="1" outlineLevel="1">
      <c r="A1110" s="380" t="s">
        <v>785</v>
      </c>
      <c r="B1110" s="199">
        <v>343291.93</v>
      </c>
      <c r="C1110" s="200">
        <v>0</v>
      </c>
      <c r="D1110" s="200">
        <v>0</v>
      </c>
      <c r="E1110" s="200">
        <v>0</v>
      </c>
      <c r="F1110" s="200">
        <v>0</v>
      </c>
      <c r="G1110" s="200">
        <v>0</v>
      </c>
      <c r="H1110" s="200">
        <v>0</v>
      </c>
      <c r="I1110" s="348">
        <f t="shared" si="25"/>
        <v>343291.93</v>
      </c>
      <c r="J1110" s="192" t="s">
        <v>786</v>
      </c>
    </row>
    <row r="1111" spans="1:10" hidden="1" outlineLevel="1">
      <c r="A1111" s="380" t="s">
        <v>787</v>
      </c>
      <c r="B1111" s="199">
        <v>6604603.29</v>
      </c>
      <c r="C1111" s="200">
        <v>0</v>
      </c>
      <c r="D1111" s="200">
        <v>0</v>
      </c>
      <c r="E1111" s="200">
        <v>0</v>
      </c>
      <c r="F1111" s="200">
        <v>0</v>
      </c>
      <c r="G1111" s="200">
        <v>1978.13</v>
      </c>
      <c r="H1111" s="200">
        <v>0</v>
      </c>
      <c r="I1111" s="348">
        <f t="shared" si="25"/>
        <v>6606581.4199999999</v>
      </c>
      <c r="J1111" s="192" t="s">
        <v>788</v>
      </c>
    </row>
    <row r="1112" spans="1:10" hidden="1" outlineLevel="1">
      <c r="A1112" s="380" t="s">
        <v>789</v>
      </c>
      <c r="B1112" s="199">
        <v>9880678.9199999999</v>
      </c>
      <c r="C1112" s="200">
        <v>0</v>
      </c>
      <c r="D1112" s="200">
        <v>0</v>
      </c>
      <c r="E1112" s="200">
        <v>0</v>
      </c>
      <c r="F1112" s="200">
        <v>363.19</v>
      </c>
      <c r="G1112" s="200">
        <v>0</v>
      </c>
      <c r="H1112" s="200">
        <v>0</v>
      </c>
      <c r="I1112" s="348">
        <f t="shared" si="25"/>
        <v>9881042.1099999994</v>
      </c>
      <c r="J1112" s="192" t="s">
        <v>790</v>
      </c>
    </row>
    <row r="1113" spans="1:10" hidden="1" outlineLevel="1">
      <c r="A1113" s="380" t="s">
        <v>791</v>
      </c>
      <c r="B1113" s="199">
        <v>338913.23</v>
      </c>
      <c r="C1113" s="200">
        <v>0</v>
      </c>
      <c r="D1113" s="200">
        <v>0</v>
      </c>
      <c r="E1113" s="200">
        <v>0</v>
      </c>
      <c r="F1113" s="200">
        <v>0</v>
      </c>
      <c r="G1113" s="200">
        <v>0</v>
      </c>
      <c r="H1113" s="200">
        <v>0</v>
      </c>
      <c r="I1113" s="348">
        <f t="shared" si="25"/>
        <v>338913.23</v>
      </c>
      <c r="J1113" s="192" t="s">
        <v>792</v>
      </c>
    </row>
    <row r="1114" spans="1:10" hidden="1" outlineLevel="1">
      <c r="A1114" s="380" t="s">
        <v>793</v>
      </c>
      <c r="B1114" s="199">
        <v>411277.36</v>
      </c>
      <c r="C1114" s="200">
        <v>0</v>
      </c>
      <c r="D1114" s="200">
        <v>0</v>
      </c>
      <c r="E1114" s="200">
        <v>0</v>
      </c>
      <c r="F1114" s="200">
        <v>0</v>
      </c>
      <c r="G1114" s="200">
        <v>0</v>
      </c>
      <c r="H1114" s="200">
        <v>0</v>
      </c>
      <c r="I1114" s="348">
        <f t="shared" si="25"/>
        <v>411277.36</v>
      </c>
      <c r="J1114" s="192" t="s">
        <v>794</v>
      </c>
    </row>
    <row r="1115" spans="1:10" hidden="1" outlineLevel="1">
      <c r="A1115" s="380" t="s">
        <v>795</v>
      </c>
      <c r="B1115" s="199">
        <v>1589786.73</v>
      </c>
      <c r="C1115" s="200">
        <v>0</v>
      </c>
      <c r="D1115" s="200">
        <v>0</v>
      </c>
      <c r="E1115" s="200">
        <v>0</v>
      </c>
      <c r="F1115" s="200">
        <v>0</v>
      </c>
      <c r="G1115" s="200">
        <v>0</v>
      </c>
      <c r="H1115" s="200">
        <v>0</v>
      </c>
      <c r="I1115" s="348">
        <f t="shared" si="25"/>
        <v>1589786.73</v>
      </c>
      <c r="J1115" s="192" t="s">
        <v>796</v>
      </c>
    </row>
    <row r="1116" spans="1:10" hidden="1" outlineLevel="1">
      <c r="A1116" s="380" t="s">
        <v>797</v>
      </c>
      <c r="B1116" s="199">
        <v>976554.66</v>
      </c>
      <c r="C1116" s="200">
        <v>0</v>
      </c>
      <c r="D1116" s="200">
        <v>0</v>
      </c>
      <c r="E1116" s="200">
        <v>0</v>
      </c>
      <c r="F1116" s="200">
        <v>0</v>
      </c>
      <c r="G1116" s="200">
        <v>0</v>
      </c>
      <c r="H1116" s="200">
        <v>0</v>
      </c>
      <c r="I1116" s="348">
        <f t="shared" si="25"/>
        <v>976554.66</v>
      </c>
      <c r="J1116" s="192" t="s">
        <v>798</v>
      </c>
    </row>
    <row r="1117" spans="1:10" hidden="1" outlineLevel="1">
      <c r="A1117" s="380" t="s">
        <v>799</v>
      </c>
      <c r="B1117" s="199">
        <v>140726.5</v>
      </c>
      <c r="C1117" s="200">
        <v>0</v>
      </c>
      <c r="D1117" s="200">
        <v>0</v>
      </c>
      <c r="E1117" s="200">
        <v>0</v>
      </c>
      <c r="F1117" s="200">
        <v>0</v>
      </c>
      <c r="G1117" s="200">
        <v>0</v>
      </c>
      <c r="H1117" s="200">
        <v>0</v>
      </c>
      <c r="I1117" s="348">
        <f t="shared" si="25"/>
        <v>140726.5</v>
      </c>
      <c r="J1117" s="192" t="s">
        <v>800</v>
      </c>
    </row>
    <row r="1118" spans="1:10" hidden="1" outlineLevel="1">
      <c r="A1118" s="380" t="s">
        <v>801</v>
      </c>
      <c r="B1118" s="199">
        <v>90654.7</v>
      </c>
      <c r="C1118" s="200">
        <v>0</v>
      </c>
      <c r="D1118" s="200">
        <v>0</v>
      </c>
      <c r="E1118" s="200">
        <v>0</v>
      </c>
      <c r="F1118" s="200">
        <v>0</v>
      </c>
      <c r="G1118" s="200">
        <v>0</v>
      </c>
      <c r="H1118" s="200">
        <v>0</v>
      </c>
      <c r="I1118" s="348">
        <f t="shared" si="25"/>
        <v>90654.7</v>
      </c>
      <c r="J1118" s="192" t="s">
        <v>802</v>
      </c>
    </row>
    <row r="1119" spans="1:10" hidden="1" outlineLevel="1">
      <c r="A1119" s="380" t="s">
        <v>803</v>
      </c>
      <c r="B1119" s="199">
        <v>3388221.62</v>
      </c>
      <c r="C1119" s="200">
        <v>0</v>
      </c>
      <c r="D1119" s="200">
        <v>0</v>
      </c>
      <c r="E1119" s="200">
        <v>0</v>
      </c>
      <c r="F1119" s="200">
        <v>777.94</v>
      </c>
      <c r="G1119" s="200">
        <v>0</v>
      </c>
      <c r="H1119" s="200">
        <v>0</v>
      </c>
      <c r="I1119" s="348">
        <f t="shared" si="25"/>
        <v>3388999.56</v>
      </c>
      <c r="J1119" s="192" t="s">
        <v>804</v>
      </c>
    </row>
    <row r="1120" spans="1:10" hidden="1" outlineLevel="1">
      <c r="A1120" s="380" t="s">
        <v>805</v>
      </c>
      <c r="B1120" s="199">
        <v>339715.46</v>
      </c>
      <c r="C1120" s="200">
        <v>0</v>
      </c>
      <c r="D1120" s="200">
        <v>0</v>
      </c>
      <c r="E1120" s="200">
        <v>0</v>
      </c>
      <c r="F1120" s="200">
        <v>0</v>
      </c>
      <c r="G1120" s="200">
        <v>0</v>
      </c>
      <c r="H1120" s="200">
        <v>0</v>
      </c>
      <c r="I1120" s="348">
        <f t="shared" si="25"/>
        <v>339715.46</v>
      </c>
      <c r="J1120" s="192" t="s">
        <v>806</v>
      </c>
    </row>
    <row r="1121" spans="1:10" hidden="1" outlineLevel="1">
      <c r="A1121" s="380" t="s">
        <v>807</v>
      </c>
      <c r="B1121" s="199">
        <v>2654504.2200000002</v>
      </c>
      <c r="C1121" s="200">
        <v>0</v>
      </c>
      <c r="D1121" s="200">
        <v>0</v>
      </c>
      <c r="E1121" s="200">
        <v>0</v>
      </c>
      <c r="F1121" s="200">
        <v>0</v>
      </c>
      <c r="G1121" s="200">
        <v>0</v>
      </c>
      <c r="H1121" s="200">
        <v>0</v>
      </c>
      <c r="I1121" s="348">
        <f t="shared" si="25"/>
        <v>2654504.2200000002</v>
      </c>
      <c r="J1121" s="192" t="s">
        <v>808</v>
      </c>
    </row>
    <row r="1122" spans="1:10" hidden="1" outlineLevel="1">
      <c r="A1122" s="380" t="s">
        <v>809</v>
      </c>
      <c r="B1122" s="199">
        <v>502609.18</v>
      </c>
      <c r="C1122" s="200">
        <v>0</v>
      </c>
      <c r="D1122" s="200">
        <v>0</v>
      </c>
      <c r="E1122" s="200">
        <v>0</v>
      </c>
      <c r="F1122" s="200">
        <v>0</v>
      </c>
      <c r="G1122" s="200">
        <v>0</v>
      </c>
      <c r="H1122" s="200">
        <v>0</v>
      </c>
      <c r="I1122" s="348">
        <f t="shared" si="25"/>
        <v>502609.18</v>
      </c>
      <c r="J1122" s="192" t="s">
        <v>810</v>
      </c>
    </row>
    <row r="1123" spans="1:10" hidden="1" outlineLevel="1">
      <c r="A1123" s="380" t="s">
        <v>811</v>
      </c>
      <c r="B1123" s="199">
        <v>3861687.16</v>
      </c>
      <c r="C1123" s="200">
        <v>0</v>
      </c>
      <c r="D1123" s="200">
        <v>0</v>
      </c>
      <c r="E1123" s="200">
        <v>0</v>
      </c>
      <c r="F1123" s="200">
        <v>1193.57</v>
      </c>
      <c r="G1123" s="200">
        <v>0</v>
      </c>
      <c r="H1123" s="200">
        <v>0</v>
      </c>
      <c r="I1123" s="348">
        <f t="shared" si="25"/>
        <v>3862880.73</v>
      </c>
      <c r="J1123" s="192" t="s">
        <v>812</v>
      </c>
    </row>
    <row r="1124" spans="1:10" hidden="1" outlineLevel="1">
      <c r="A1124" s="380" t="s">
        <v>813</v>
      </c>
      <c r="B1124" s="199">
        <v>27405.119999999999</v>
      </c>
      <c r="C1124" s="200">
        <v>0</v>
      </c>
      <c r="D1124" s="200">
        <v>0</v>
      </c>
      <c r="E1124" s="200">
        <v>0</v>
      </c>
      <c r="F1124" s="200">
        <v>0</v>
      </c>
      <c r="G1124" s="200">
        <v>0</v>
      </c>
      <c r="H1124" s="200">
        <v>0</v>
      </c>
      <c r="I1124" s="348">
        <f t="shared" si="25"/>
        <v>27405.119999999999</v>
      </c>
      <c r="J1124" s="192" t="s">
        <v>814</v>
      </c>
    </row>
    <row r="1125" spans="1:10" hidden="1" outlineLevel="1">
      <c r="A1125" s="380" t="s">
        <v>815</v>
      </c>
      <c r="B1125" s="199">
        <v>620651.43000000005</v>
      </c>
      <c r="C1125" s="200">
        <v>0</v>
      </c>
      <c r="D1125" s="200">
        <v>0</v>
      </c>
      <c r="E1125" s="200">
        <v>0</v>
      </c>
      <c r="F1125" s="200">
        <v>0</v>
      </c>
      <c r="G1125" s="200">
        <v>0</v>
      </c>
      <c r="H1125" s="200">
        <v>0</v>
      </c>
      <c r="I1125" s="348">
        <f t="shared" si="25"/>
        <v>620651.43000000005</v>
      </c>
      <c r="J1125" s="192" t="s">
        <v>816</v>
      </c>
    </row>
    <row r="1126" spans="1:10" hidden="1" outlineLevel="1">
      <c r="A1126" s="380" t="s">
        <v>817</v>
      </c>
      <c r="B1126" s="199">
        <v>297417.57</v>
      </c>
      <c r="C1126" s="200">
        <v>0</v>
      </c>
      <c r="D1126" s="200">
        <v>0</v>
      </c>
      <c r="E1126" s="200">
        <v>0</v>
      </c>
      <c r="F1126" s="200">
        <v>0</v>
      </c>
      <c r="G1126" s="200">
        <v>0</v>
      </c>
      <c r="H1126" s="200">
        <v>0</v>
      </c>
      <c r="I1126" s="348">
        <f t="shared" si="25"/>
        <v>297417.57</v>
      </c>
      <c r="J1126" s="192" t="s">
        <v>818</v>
      </c>
    </row>
    <row r="1127" spans="1:10" hidden="1" outlineLevel="1">
      <c r="A1127" s="380" t="s">
        <v>819</v>
      </c>
      <c r="B1127" s="199">
        <v>15066045.789999999</v>
      </c>
      <c r="C1127" s="200">
        <v>0</v>
      </c>
      <c r="D1127" s="200">
        <v>0</v>
      </c>
      <c r="E1127" s="200">
        <v>0</v>
      </c>
      <c r="F1127" s="200">
        <v>1724.75</v>
      </c>
      <c r="G1127" s="200">
        <v>0</v>
      </c>
      <c r="H1127" s="200">
        <v>0</v>
      </c>
      <c r="I1127" s="348">
        <f t="shared" si="25"/>
        <v>15067770.539999999</v>
      </c>
      <c r="J1127" s="192" t="s">
        <v>820</v>
      </c>
    </row>
    <row r="1128" spans="1:10" hidden="1" outlineLevel="1">
      <c r="A1128" s="380" t="s">
        <v>821</v>
      </c>
      <c r="B1128" s="199">
        <v>195903.93</v>
      </c>
      <c r="C1128" s="200">
        <v>0</v>
      </c>
      <c r="D1128" s="200">
        <v>0</v>
      </c>
      <c r="E1128" s="200">
        <v>0</v>
      </c>
      <c r="F1128" s="200">
        <v>0</v>
      </c>
      <c r="G1128" s="200">
        <v>0</v>
      </c>
      <c r="H1128" s="200">
        <v>0</v>
      </c>
      <c r="I1128" s="348">
        <f t="shared" si="25"/>
        <v>195903.93</v>
      </c>
      <c r="J1128" s="192" t="s">
        <v>822</v>
      </c>
    </row>
    <row r="1129" spans="1:10" hidden="1" outlineLevel="1">
      <c r="A1129" s="380" t="s">
        <v>823</v>
      </c>
      <c r="B1129" s="199">
        <v>709212.97</v>
      </c>
      <c r="C1129" s="200">
        <v>0</v>
      </c>
      <c r="D1129" s="200">
        <v>0</v>
      </c>
      <c r="E1129" s="200">
        <v>0</v>
      </c>
      <c r="F1129" s="200">
        <v>0</v>
      </c>
      <c r="G1129" s="200">
        <v>0</v>
      </c>
      <c r="H1129" s="200">
        <v>0</v>
      </c>
      <c r="I1129" s="348">
        <f t="shared" si="25"/>
        <v>709212.97</v>
      </c>
      <c r="J1129" s="192" t="s">
        <v>824</v>
      </c>
    </row>
    <row r="1130" spans="1:10" hidden="1" outlineLevel="1">
      <c r="A1130" s="380" t="s">
        <v>825</v>
      </c>
      <c r="B1130" s="199">
        <v>78303.97</v>
      </c>
      <c r="C1130" s="200">
        <v>0</v>
      </c>
      <c r="D1130" s="200">
        <v>0</v>
      </c>
      <c r="E1130" s="200">
        <v>0</v>
      </c>
      <c r="F1130" s="200">
        <v>0</v>
      </c>
      <c r="G1130" s="200">
        <v>0</v>
      </c>
      <c r="H1130" s="200">
        <v>0</v>
      </c>
      <c r="I1130" s="348">
        <f t="shared" si="25"/>
        <v>78303.97</v>
      </c>
      <c r="J1130" s="192" t="s">
        <v>826</v>
      </c>
    </row>
    <row r="1131" spans="1:10" hidden="1" outlineLevel="1">
      <c r="A1131" s="380" t="s">
        <v>827</v>
      </c>
      <c r="B1131" s="199">
        <v>13208</v>
      </c>
      <c r="C1131" s="200">
        <v>0</v>
      </c>
      <c r="D1131" s="200">
        <v>0</v>
      </c>
      <c r="E1131" s="200">
        <v>0</v>
      </c>
      <c r="F1131" s="200">
        <v>0</v>
      </c>
      <c r="G1131" s="200">
        <v>0</v>
      </c>
      <c r="H1131" s="200">
        <v>0</v>
      </c>
      <c r="I1131" s="348">
        <f t="shared" si="25"/>
        <v>13208</v>
      </c>
      <c r="J1131" s="192" t="s">
        <v>828</v>
      </c>
    </row>
    <row r="1132" spans="1:10" hidden="1" outlineLevel="1">
      <c r="A1132" s="380" t="s">
        <v>829</v>
      </c>
      <c r="B1132" s="199">
        <v>804284.93</v>
      </c>
      <c r="C1132" s="200">
        <v>0</v>
      </c>
      <c r="D1132" s="200">
        <v>0</v>
      </c>
      <c r="E1132" s="200">
        <v>0</v>
      </c>
      <c r="F1132" s="200">
        <v>0</v>
      </c>
      <c r="G1132" s="200">
        <v>0</v>
      </c>
      <c r="H1132" s="200">
        <v>0</v>
      </c>
      <c r="I1132" s="348">
        <f t="shared" si="25"/>
        <v>804284.93</v>
      </c>
      <c r="J1132" s="192" t="s">
        <v>830</v>
      </c>
    </row>
    <row r="1133" spans="1:10" hidden="1" outlineLevel="1">
      <c r="A1133" s="380" t="s">
        <v>831</v>
      </c>
      <c r="B1133" s="199">
        <v>82815.179999999993</v>
      </c>
      <c r="C1133" s="200">
        <v>0</v>
      </c>
      <c r="D1133" s="200">
        <v>0</v>
      </c>
      <c r="E1133" s="200">
        <v>0</v>
      </c>
      <c r="F1133" s="200">
        <v>0</v>
      </c>
      <c r="G1133" s="200">
        <v>0</v>
      </c>
      <c r="H1133" s="200">
        <v>0</v>
      </c>
      <c r="I1133" s="348">
        <f t="shared" si="25"/>
        <v>82815.179999999993</v>
      </c>
      <c r="J1133" s="192" t="s">
        <v>832</v>
      </c>
    </row>
    <row r="1134" spans="1:10" hidden="1" outlineLevel="1">
      <c r="A1134" s="380" t="s">
        <v>833</v>
      </c>
      <c r="B1134" s="199">
        <v>5764935.6399999997</v>
      </c>
      <c r="C1134" s="200">
        <v>0</v>
      </c>
      <c r="D1134" s="200">
        <v>0</v>
      </c>
      <c r="E1134" s="200">
        <v>0</v>
      </c>
      <c r="F1134" s="200">
        <v>0</v>
      </c>
      <c r="G1134" s="200">
        <v>0</v>
      </c>
      <c r="H1134" s="200">
        <v>0</v>
      </c>
      <c r="I1134" s="348">
        <f t="shared" si="25"/>
        <v>5764935.6399999997</v>
      </c>
      <c r="J1134" s="192" t="s">
        <v>834</v>
      </c>
    </row>
    <row r="1135" spans="1:10" hidden="1" outlineLevel="1">
      <c r="A1135" s="380" t="s">
        <v>835</v>
      </c>
      <c r="B1135" s="199">
        <v>16365.38</v>
      </c>
      <c r="C1135" s="200">
        <v>0</v>
      </c>
      <c r="D1135" s="200">
        <v>0</v>
      </c>
      <c r="E1135" s="200">
        <v>0</v>
      </c>
      <c r="F1135" s="200">
        <v>0</v>
      </c>
      <c r="G1135" s="200">
        <v>0</v>
      </c>
      <c r="H1135" s="200">
        <v>0</v>
      </c>
      <c r="I1135" s="348">
        <f t="shared" si="25"/>
        <v>16365.38</v>
      </c>
      <c r="J1135" s="192" t="s">
        <v>836</v>
      </c>
    </row>
    <row r="1136" spans="1:10" hidden="1" outlineLevel="1">
      <c r="A1136" s="380" t="s">
        <v>837</v>
      </c>
      <c r="B1136" s="199">
        <v>297430.44</v>
      </c>
      <c r="C1136" s="200">
        <v>0</v>
      </c>
      <c r="D1136" s="200">
        <v>0</v>
      </c>
      <c r="E1136" s="200">
        <v>0</v>
      </c>
      <c r="F1136" s="200">
        <v>0</v>
      </c>
      <c r="G1136" s="200">
        <v>0</v>
      </c>
      <c r="H1136" s="200">
        <v>0</v>
      </c>
      <c r="I1136" s="348">
        <f t="shared" si="25"/>
        <v>297430.44</v>
      </c>
      <c r="J1136" s="192" t="s">
        <v>838</v>
      </c>
    </row>
    <row r="1137" spans="1:10" hidden="1" outlineLevel="1">
      <c r="A1137" s="380" t="s">
        <v>839</v>
      </c>
      <c r="B1137" s="199">
        <v>61476238.130000003</v>
      </c>
      <c r="C1137" s="200">
        <v>0</v>
      </c>
      <c r="D1137" s="200">
        <v>31318.74</v>
      </c>
      <c r="E1137" s="200">
        <v>0</v>
      </c>
      <c r="F1137" s="200">
        <v>12907.32</v>
      </c>
      <c r="G1137" s="200">
        <v>0</v>
      </c>
      <c r="H1137" s="200">
        <v>0</v>
      </c>
      <c r="I1137" s="348">
        <f t="shared" si="25"/>
        <v>61520464.190000005</v>
      </c>
      <c r="J1137" s="192" t="s">
        <v>840</v>
      </c>
    </row>
    <row r="1138" spans="1:10" hidden="1" outlineLevel="1">
      <c r="A1138" s="380" t="s">
        <v>841</v>
      </c>
      <c r="B1138" s="199">
        <v>378994.17</v>
      </c>
      <c r="C1138" s="200">
        <v>0</v>
      </c>
      <c r="D1138" s="200">
        <v>0</v>
      </c>
      <c r="E1138" s="200">
        <v>0</v>
      </c>
      <c r="F1138" s="200">
        <v>0</v>
      </c>
      <c r="G1138" s="200">
        <v>0</v>
      </c>
      <c r="H1138" s="200">
        <v>0</v>
      </c>
      <c r="I1138" s="348">
        <f t="shared" si="25"/>
        <v>378994.17</v>
      </c>
      <c r="J1138" s="192" t="s">
        <v>842</v>
      </c>
    </row>
    <row r="1139" spans="1:10" hidden="1" outlineLevel="1">
      <c r="A1139" s="380" t="s">
        <v>843</v>
      </c>
      <c r="B1139" s="199">
        <v>45888.5</v>
      </c>
      <c r="C1139" s="200">
        <v>0</v>
      </c>
      <c r="D1139" s="200">
        <v>0</v>
      </c>
      <c r="E1139" s="200">
        <v>0</v>
      </c>
      <c r="F1139" s="200">
        <v>0</v>
      </c>
      <c r="G1139" s="200">
        <v>0</v>
      </c>
      <c r="H1139" s="200">
        <v>0</v>
      </c>
      <c r="I1139" s="348">
        <f t="shared" si="25"/>
        <v>45888.5</v>
      </c>
      <c r="J1139" s="192" t="s">
        <v>844</v>
      </c>
    </row>
    <row r="1140" spans="1:10" hidden="1" outlineLevel="1">
      <c r="A1140" s="380" t="s">
        <v>845</v>
      </c>
      <c r="B1140" s="199">
        <v>162477.25</v>
      </c>
      <c r="C1140" s="200">
        <v>0</v>
      </c>
      <c r="D1140" s="200">
        <v>0</v>
      </c>
      <c r="E1140" s="200">
        <v>0</v>
      </c>
      <c r="F1140" s="200">
        <v>0</v>
      </c>
      <c r="G1140" s="200">
        <v>0</v>
      </c>
      <c r="H1140" s="200">
        <v>0</v>
      </c>
      <c r="I1140" s="348">
        <f t="shared" si="25"/>
        <v>162477.25</v>
      </c>
      <c r="J1140" s="192" t="s">
        <v>846</v>
      </c>
    </row>
    <row r="1141" spans="1:10" hidden="1" outlineLevel="1">
      <c r="A1141" s="380" t="s">
        <v>847</v>
      </c>
      <c r="B1141" s="199">
        <v>3325288.45</v>
      </c>
      <c r="C1141" s="200">
        <v>0</v>
      </c>
      <c r="D1141" s="200">
        <v>10487.36</v>
      </c>
      <c r="E1141" s="200">
        <v>0</v>
      </c>
      <c r="F1141" s="200">
        <v>7238.89</v>
      </c>
      <c r="G1141" s="200">
        <v>0</v>
      </c>
      <c r="H1141" s="200">
        <v>0</v>
      </c>
      <c r="I1141" s="348">
        <f t="shared" si="25"/>
        <v>3343014.7</v>
      </c>
      <c r="J1141" s="192" t="s">
        <v>848</v>
      </c>
    </row>
    <row r="1142" spans="1:10" hidden="1" outlineLevel="1">
      <c r="A1142" s="380" t="s">
        <v>849</v>
      </c>
      <c r="B1142" s="199">
        <v>500738.72</v>
      </c>
      <c r="C1142" s="200">
        <v>0</v>
      </c>
      <c r="D1142" s="200">
        <v>0</v>
      </c>
      <c r="E1142" s="200">
        <v>0</v>
      </c>
      <c r="F1142" s="200">
        <v>0</v>
      </c>
      <c r="G1142" s="200">
        <v>0</v>
      </c>
      <c r="H1142" s="200">
        <v>0</v>
      </c>
      <c r="I1142" s="348">
        <f t="shared" si="25"/>
        <v>500738.72</v>
      </c>
      <c r="J1142" s="192" t="s">
        <v>850</v>
      </c>
    </row>
    <row r="1143" spans="1:10" hidden="1" outlineLevel="1">
      <c r="A1143" s="380" t="s">
        <v>851</v>
      </c>
      <c r="B1143" s="199">
        <v>325534.39</v>
      </c>
      <c r="C1143" s="200">
        <v>0</v>
      </c>
      <c r="D1143" s="200">
        <v>0</v>
      </c>
      <c r="E1143" s="200">
        <v>0</v>
      </c>
      <c r="F1143" s="200">
        <v>0</v>
      </c>
      <c r="G1143" s="200">
        <v>0</v>
      </c>
      <c r="H1143" s="200">
        <v>0</v>
      </c>
      <c r="I1143" s="348">
        <f t="shared" si="25"/>
        <v>325534.39</v>
      </c>
      <c r="J1143" s="192" t="s">
        <v>852</v>
      </c>
    </row>
    <row r="1144" spans="1:10" hidden="1" outlineLevel="1">
      <c r="A1144" s="380" t="s">
        <v>853</v>
      </c>
      <c r="B1144" s="199">
        <v>17975346.260000002</v>
      </c>
      <c r="C1144" s="200">
        <v>0</v>
      </c>
      <c r="D1144" s="200">
        <v>0</v>
      </c>
      <c r="E1144" s="200">
        <v>0</v>
      </c>
      <c r="F1144" s="200">
        <v>30144.17</v>
      </c>
      <c r="G1144" s="200">
        <v>787.01</v>
      </c>
      <c r="H1144" s="200">
        <v>0</v>
      </c>
      <c r="I1144" s="348">
        <f t="shared" si="25"/>
        <v>18006277.440000005</v>
      </c>
      <c r="J1144" s="192" t="s">
        <v>854</v>
      </c>
    </row>
    <row r="1145" spans="1:10" hidden="1" outlineLevel="1">
      <c r="A1145" s="380" t="s">
        <v>855</v>
      </c>
      <c r="B1145" s="199">
        <v>940514.44</v>
      </c>
      <c r="C1145" s="200">
        <v>0</v>
      </c>
      <c r="D1145" s="200">
        <v>0</v>
      </c>
      <c r="E1145" s="200">
        <v>0</v>
      </c>
      <c r="F1145" s="200">
        <v>0</v>
      </c>
      <c r="G1145" s="200">
        <v>0</v>
      </c>
      <c r="H1145" s="200">
        <v>0</v>
      </c>
      <c r="I1145" s="348">
        <f t="shared" si="25"/>
        <v>940514.44</v>
      </c>
      <c r="J1145" s="192" t="s">
        <v>856</v>
      </c>
    </row>
    <row r="1146" spans="1:10" hidden="1" outlineLevel="1">
      <c r="A1146" s="380" t="s">
        <v>857</v>
      </c>
      <c r="B1146" s="199">
        <v>190088.85</v>
      </c>
      <c r="C1146" s="200">
        <v>0</v>
      </c>
      <c r="D1146" s="200">
        <v>0</v>
      </c>
      <c r="E1146" s="200">
        <v>0</v>
      </c>
      <c r="F1146" s="200">
        <v>0</v>
      </c>
      <c r="G1146" s="200">
        <v>0</v>
      </c>
      <c r="H1146" s="200">
        <v>0</v>
      </c>
      <c r="I1146" s="348">
        <f t="shared" si="25"/>
        <v>190088.85</v>
      </c>
      <c r="J1146" s="192" t="s">
        <v>858</v>
      </c>
    </row>
    <row r="1147" spans="1:10" hidden="1" outlineLevel="1">
      <c r="A1147" s="380" t="s">
        <v>859</v>
      </c>
      <c r="B1147" s="199">
        <v>1215910.28</v>
      </c>
      <c r="C1147" s="200">
        <v>0</v>
      </c>
      <c r="D1147" s="200">
        <v>0</v>
      </c>
      <c r="E1147" s="200">
        <v>0</v>
      </c>
      <c r="F1147" s="200">
        <v>0</v>
      </c>
      <c r="G1147" s="200">
        <v>0</v>
      </c>
      <c r="H1147" s="200">
        <v>0</v>
      </c>
      <c r="I1147" s="348">
        <f t="shared" si="25"/>
        <v>1215910.28</v>
      </c>
      <c r="J1147" s="192" t="s">
        <v>860</v>
      </c>
    </row>
    <row r="1148" spans="1:10" hidden="1" outlineLevel="1">
      <c r="A1148" s="380" t="s">
        <v>861</v>
      </c>
      <c r="B1148" s="199">
        <v>52412.83</v>
      </c>
      <c r="C1148" s="200">
        <v>0</v>
      </c>
      <c r="D1148" s="200">
        <v>0</v>
      </c>
      <c r="E1148" s="200">
        <v>0</v>
      </c>
      <c r="F1148" s="200">
        <v>0</v>
      </c>
      <c r="G1148" s="200">
        <v>0</v>
      </c>
      <c r="H1148" s="200">
        <v>0</v>
      </c>
      <c r="I1148" s="348">
        <f t="shared" si="25"/>
        <v>52412.83</v>
      </c>
      <c r="J1148" s="192" t="s">
        <v>862</v>
      </c>
    </row>
    <row r="1149" spans="1:10" hidden="1" outlineLevel="1">
      <c r="A1149" s="380" t="s">
        <v>863</v>
      </c>
      <c r="B1149" s="199">
        <v>585429.18999999994</v>
      </c>
      <c r="C1149" s="200">
        <v>0</v>
      </c>
      <c r="D1149" s="200">
        <v>0</v>
      </c>
      <c r="E1149" s="200">
        <v>0</v>
      </c>
      <c r="F1149" s="200">
        <v>0</v>
      </c>
      <c r="G1149" s="200">
        <v>0</v>
      </c>
      <c r="H1149" s="200">
        <v>0</v>
      </c>
      <c r="I1149" s="348">
        <f t="shared" si="25"/>
        <v>585429.18999999994</v>
      </c>
      <c r="J1149" s="192" t="s">
        <v>864</v>
      </c>
    </row>
    <row r="1150" spans="1:10" hidden="1" outlineLevel="1">
      <c r="A1150" s="380" t="s">
        <v>865</v>
      </c>
      <c r="B1150" s="199">
        <v>2080260.56</v>
      </c>
      <c r="C1150" s="200">
        <v>0</v>
      </c>
      <c r="D1150" s="200">
        <v>0</v>
      </c>
      <c r="E1150" s="200">
        <v>0</v>
      </c>
      <c r="F1150" s="200">
        <v>0</v>
      </c>
      <c r="G1150" s="200">
        <v>0</v>
      </c>
      <c r="H1150" s="200">
        <v>0</v>
      </c>
      <c r="I1150" s="348">
        <f t="shared" si="25"/>
        <v>2080260.56</v>
      </c>
      <c r="J1150" s="192" t="s">
        <v>866</v>
      </c>
    </row>
    <row r="1151" spans="1:10" hidden="1" outlineLevel="1">
      <c r="A1151" s="380" t="s">
        <v>867</v>
      </c>
      <c r="B1151" s="199">
        <v>466714.27</v>
      </c>
      <c r="C1151" s="200">
        <v>0</v>
      </c>
      <c r="D1151" s="200">
        <v>0</v>
      </c>
      <c r="E1151" s="200">
        <v>0</v>
      </c>
      <c r="F1151" s="200">
        <v>0</v>
      </c>
      <c r="G1151" s="200">
        <v>0</v>
      </c>
      <c r="H1151" s="200">
        <v>0</v>
      </c>
      <c r="I1151" s="348">
        <f t="shared" si="25"/>
        <v>466714.27</v>
      </c>
      <c r="J1151" s="192" t="s">
        <v>868</v>
      </c>
    </row>
    <row r="1152" spans="1:10" hidden="1" outlineLevel="1">
      <c r="A1152" s="380" t="s">
        <v>869</v>
      </c>
      <c r="B1152" s="199">
        <v>40545.18</v>
      </c>
      <c r="C1152" s="200">
        <v>0</v>
      </c>
      <c r="D1152" s="200">
        <v>0</v>
      </c>
      <c r="E1152" s="200">
        <v>0</v>
      </c>
      <c r="F1152" s="200">
        <v>0</v>
      </c>
      <c r="G1152" s="200">
        <v>0</v>
      </c>
      <c r="H1152" s="200">
        <v>0</v>
      </c>
      <c r="I1152" s="348">
        <f t="shared" si="25"/>
        <v>40545.18</v>
      </c>
      <c r="J1152" s="192" t="s">
        <v>870</v>
      </c>
    </row>
    <row r="1153" spans="1:10" hidden="1" outlineLevel="1">
      <c r="A1153" s="380" t="s">
        <v>871</v>
      </c>
      <c r="B1153" s="199">
        <v>391561.06</v>
      </c>
      <c r="C1153" s="200">
        <v>0</v>
      </c>
      <c r="D1153" s="200">
        <v>0</v>
      </c>
      <c r="E1153" s="200">
        <v>0</v>
      </c>
      <c r="F1153" s="200">
        <v>0</v>
      </c>
      <c r="G1153" s="200">
        <v>0</v>
      </c>
      <c r="H1153" s="200">
        <v>0</v>
      </c>
      <c r="I1153" s="348">
        <f t="shared" si="25"/>
        <v>391561.06</v>
      </c>
      <c r="J1153" s="192" t="s">
        <v>872</v>
      </c>
    </row>
    <row r="1154" spans="1:10" hidden="1" outlineLevel="1">
      <c r="A1154" s="380" t="s">
        <v>873</v>
      </c>
      <c r="B1154" s="199">
        <v>3373274.9</v>
      </c>
      <c r="C1154" s="200">
        <v>0</v>
      </c>
      <c r="D1154" s="200">
        <v>0</v>
      </c>
      <c r="E1154" s="200">
        <v>0</v>
      </c>
      <c r="F1154" s="200">
        <v>7621.02</v>
      </c>
      <c r="G1154" s="200">
        <v>284.55</v>
      </c>
      <c r="H1154" s="200">
        <v>0</v>
      </c>
      <c r="I1154" s="348">
        <f t="shared" si="25"/>
        <v>3381180.4699999997</v>
      </c>
      <c r="J1154" s="192" t="s">
        <v>874</v>
      </c>
    </row>
    <row r="1155" spans="1:10" hidden="1" outlineLevel="1">
      <c r="A1155" s="380" t="s">
        <v>875</v>
      </c>
      <c r="B1155" s="199">
        <v>296773.14</v>
      </c>
      <c r="C1155" s="200">
        <v>0</v>
      </c>
      <c r="D1155" s="200">
        <v>0</v>
      </c>
      <c r="E1155" s="200">
        <v>0</v>
      </c>
      <c r="F1155" s="200">
        <v>0</v>
      </c>
      <c r="G1155" s="200">
        <v>0</v>
      </c>
      <c r="H1155" s="200">
        <v>0</v>
      </c>
      <c r="I1155" s="348">
        <f t="shared" si="25"/>
        <v>296773.14</v>
      </c>
      <c r="J1155" s="192" t="s">
        <v>876</v>
      </c>
    </row>
    <row r="1156" spans="1:10" hidden="1" outlineLevel="1">
      <c r="A1156" s="380" t="s">
        <v>877</v>
      </c>
      <c r="B1156" s="199">
        <v>340403.93</v>
      </c>
      <c r="C1156" s="200">
        <v>0</v>
      </c>
      <c r="D1156" s="200">
        <v>0</v>
      </c>
      <c r="E1156" s="200">
        <v>0</v>
      </c>
      <c r="F1156" s="200">
        <v>0</v>
      </c>
      <c r="G1156" s="200">
        <v>0</v>
      </c>
      <c r="H1156" s="200">
        <v>0</v>
      </c>
      <c r="I1156" s="348">
        <f t="shared" si="25"/>
        <v>340403.93</v>
      </c>
      <c r="J1156" s="192" t="s">
        <v>878</v>
      </c>
    </row>
    <row r="1157" spans="1:10" hidden="1" outlineLevel="1">
      <c r="A1157" s="380" t="s">
        <v>879</v>
      </c>
      <c r="B1157" s="199">
        <v>330443.74</v>
      </c>
      <c r="C1157" s="200">
        <v>0</v>
      </c>
      <c r="D1157" s="200">
        <v>0</v>
      </c>
      <c r="E1157" s="200">
        <v>0</v>
      </c>
      <c r="F1157" s="200">
        <v>0</v>
      </c>
      <c r="G1157" s="200">
        <v>0</v>
      </c>
      <c r="H1157" s="200">
        <v>0</v>
      </c>
      <c r="I1157" s="348">
        <f t="shared" si="25"/>
        <v>330443.74</v>
      </c>
      <c r="J1157" s="192" t="s">
        <v>880</v>
      </c>
    </row>
    <row r="1158" spans="1:10" hidden="1" outlineLevel="1">
      <c r="A1158" s="380" t="s">
        <v>881</v>
      </c>
      <c r="B1158" s="199">
        <v>191.36</v>
      </c>
      <c r="C1158" s="200">
        <v>0</v>
      </c>
      <c r="D1158" s="200">
        <v>0</v>
      </c>
      <c r="E1158" s="200">
        <v>0</v>
      </c>
      <c r="F1158" s="200">
        <v>0</v>
      </c>
      <c r="G1158" s="200">
        <v>0</v>
      </c>
      <c r="H1158" s="200">
        <v>0</v>
      </c>
      <c r="I1158" s="348">
        <f t="shared" si="25"/>
        <v>191.36</v>
      </c>
      <c r="J1158" s="192" t="s">
        <v>882</v>
      </c>
    </row>
    <row r="1159" spans="1:10" hidden="1" outlineLevel="1">
      <c r="A1159" s="380" t="s">
        <v>542</v>
      </c>
      <c r="B1159" s="199">
        <v>29966.94</v>
      </c>
      <c r="C1159" s="200">
        <v>0</v>
      </c>
      <c r="D1159" s="200">
        <v>0</v>
      </c>
      <c r="E1159" s="200">
        <v>0</v>
      </c>
      <c r="F1159" s="200">
        <v>0</v>
      </c>
      <c r="G1159" s="200">
        <v>0</v>
      </c>
      <c r="H1159" s="200">
        <v>0</v>
      </c>
      <c r="I1159" s="348">
        <f t="shared" si="25"/>
        <v>29966.94</v>
      </c>
      <c r="J1159" s="192" t="s">
        <v>543</v>
      </c>
    </row>
    <row r="1160" spans="1:10" hidden="1" outlineLevel="1">
      <c r="A1160" s="380" t="s">
        <v>883</v>
      </c>
      <c r="B1160" s="199">
        <v>224719.53</v>
      </c>
      <c r="C1160" s="200">
        <v>0</v>
      </c>
      <c r="D1160" s="200">
        <v>0</v>
      </c>
      <c r="E1160" s="200">
        <v>0</v>
      </c>
      <c r="F1160" s="200">
        <v>0</v>
      </c>
      <c r="G1160" s="200">
        <v>0</v>
      </c>
      <c r="H1160" s="200">
        <v>0</v>
      </c>
      <c r="I1160" s="348">
        <f t="shared" si="25"/>
        <v>224719.53</v>
      </c>
      <c r="J1160" s="192" t="s">
        <v>884</v>
      </c>
    </row>
    <row r="1161" spans="1:10" hidden="1" outlineLevel="1">
      <c r="A1161" s="380" t="s">
        <v>885</v>
      </c>
      <c r="B1161" s="199">
        <v>9820.74</v>
      </c>
      <c r="C1161" s="200">
        <v>0</v>
      </c>
      <c r="D1161" s="200">
        <v>0</v>
      </c>
      <c r="E1161" s="200">
        <v>0</v>
      </c>
      <c r="F1161" s="200">
        <v>0</v>
      </c>
      <c r="G1161" s="200">
        <v>0</v>
      </c>
      <c r="H1161" s="200">
        <v>0</v>
      </c>
      <c r="I1161" s="348">
        <f t="shared" si="25"/>
        <v>9820.74</v>
      </c>
      <c r="J1161" s="192" t="s">
        <v>886</v>
      </c>
    </row>
    <row r="1162" spans="1:10" hidden="1" outlineLevel="1">
      <c r="A1162" s="380" t="s">
        <v>887</v>
      </c>
      <c r="B1162" s="199">
        <v>383346.5</v>
      </c>
      <c r="C1162" s="200">
        <v>0</v>
      </c>
      <c r="D1162" s="200">
        <v>0</v>
      </c>
      <c r="E1162" s="200">
        <v>0</v>
      </c>
      <c r="F1162" s="200">
        <v>0</v>
      </c>
      <c r="G1162" s="200">
        <v>0</v>
      </c>
      <c r="H1162" s="200">
        <v>0</v>
      </c>
      <c r="I1162" s="348">
        <f t="shared" si="25"/>
        <v>383346.5</v>
      </c>
      <c r="J1162" s="192" t="s">
        <v>888</v>
      </c>
    </row>
    <row r="1163" spans="1:10" hidden="1" outlineLevel="1">
      <c r="A1163" s="380" t="s">
        <v>889</v>
      </c>
      <c r="B1163" s="199">
        <v>257520.16</v>
      </c>
      <c r="C1163" s="200">
        <v>0</v>
      </c>
      <c r="D1163" s="200">
        <v>0</v>
      </c>
      <c r="E1163" s="200">
        <v>0</v>
      </c>
      <c r="F1163" s="200">
        <v>0</v>
      </c>
      <c r="G1163" s="200">
        <v>0</v>
      </c>
      <c r="H1163" s="200">
        <v>0</v>
      </c>
      <c r="I1163" s="348">
        <f t="shared" si="25"/>
        <v>257520.16</v>
      </c>
      <c r="J1163" s="192" t="s">
        <v>890</v>
      </c>
    </row>
    <row r="1164" spans="1:10" hidden="1" outlineLevel="1">
      <c r="A1164" s="380" t="s">
        <v>891</v>
      </c>
      <c r="B1164" s="199">
        <v>842622.02</v>
      </c>
      <c r="C1164" s="200">
        <v>0</v>
      </c>
      <c r="D1164" s="200">
        <v>0</v>
      </c>
      <c r="E1164" s="200">
        <v>0</v>
      </c>
      <c r="F1164" s="200">
        <v>0</v>
      </c>
      <c r="G1164" s="200">
        <v>0</v>
      </c>
      <c r="H1164" s="200">
        <v>0</v>
      </c>
      <c r="I1164" s="348">
        <f t="shared" si="25"/>
        <v>842622.02</v>
      </c>
      <c r="J1164" s="192" t="s">
        <v>892</v>
      </c>
    </row>
    <row r="1165" spans="1:10" hidden="1" outlineLevel="1">
      <c r="A1165" s="380" t="s">
        <v>893</v>
      </c>
      <c r="B1165" s="199">
        <v>53332.19</v>
      </c>
      <c r="C1165" s="200">
        <v>0</v>
      </c>
      <c r="D1165" s="200">
        <v>0</v>
      </c>
      <c r="E1165" s="200">
        <v>0</v>
      </c>
      <c r="F1165" s="200">
        <v>0</v>
      </c>
      <c r="G1165" s="200">
        <v>0</v>
      </c>
      <c r="H1165" s="200">
        <v>0</v>
      </c>
      <c r="I1165" s="348">
        <f t="shared" si="25"/>
        <v>53332.19</v>
      </c>
      <c r="J1165" s="192" t="s">
        <v>894</v>
      </c>
    </row>
    <row r="1166" spans="1:10" hidden="1" outlineLevel="1">
      <c r="A1166" s="380" t="s">
        <v>895</v>
      </c>
      <c r="B1166" s="199">
        <v>495286.92</v>
      </c>
      <c r="C1166" s="200">
        <v>0</v>
      </c>
      <c r="D1166" s="200">
        <v>0</v>
      </c>
      <c r="E1166" s="200">
        <v>0</v>
      </c>
      <c r="F1166" s="200">
        <v>0</v>
      </c>
      <c r="G1166" s="200">
        <v>0</v>
      </c>
      <c r="H1166" s="200">
        <v>0</v>
      </c>
      <c r="I1166" s="348">
        <f t="shared" si="25"/>
        <v>495286.92</v>
      </c>
      <c r="J1166" s="192" t="s">
        <v>896</v>
      </c>
    </row>
    <row r="1167" spans="1:10" hidden="1" outlineLevel="1">
      <c r="A1167" s="380" t="s">
        <v>897</v>
      </c>
      <c r="B1167" s="199">
        <v>30698.12</v>
      </c>
      <c r="C1167" s="200">
        <v>0</v>
      </c>
      <c r="D1167" s="200">
        <v>0</v>
      </c>
      <c r="E1167" s="200">
        <v>0</v>
      </c>
      <c r="F1167" s="200">
        <v>0</v>
      </c>
      <c r="G1167" s="200">
        <v>0</v>
      </c>
      <c r="H1167" s="200">
        <v>0</v>
      </c>
      <c r="I1167" s="348">
        <f t="shared" ref="I1167:I1230" si="26">SUM(B1167:H1167)</f>
        <v>30698.12</v>
      </c>
      <c r="J1167" s="192" t="s">
        <v>898</v>
      </c>
    </row>
    <row r="1168" spans="1:10" hidden="1" outlineLevel="1">
      <c r="A1168" s="380" t="s">
        <v>899</v>
      </c>
      <c r="B1168" s="199">
        <v>929537.76</v>
      </c>
      <c r="C1168" s="200">
        <v>0</v>
      </c>
      <c r="D1168" s="200">
        <v>0</v>
      </c>
      <c r="E1168" s="200">
        <v>0</v>
      </c>
      <c r="F1168" s="200">
        <v>0</v>
      </c>
      <c r="G1168" s="200">
        <v>0</v>
      </c>
      <c r="H1168" s="200">
        <v>0</v>
      </c>
      <c r="I1168" s="348">
        <f t="shared" si="26"/>
        <v>929537.76</v>
      </c>
      <c r="J1168" s="192" t="s">
        <v>900</v>
      </c>
    </row>
    <row r="1169" spans="1:10" hidden="1" outlineLevel="1">
      <c r="A1169" s="380" t="s">
        <v>901</v>
      </c>
      <c r="B1169" s="199">
        <v>682236.29</v>
      </c>
      <c r="C1169" s="200">
        <v>0</v>
      </c>
      <c r="D1169" s="200">
        <v>0</v>
      </c>
      <c r="E1169" s="200">
        <v>0</v>
      </c>
      <c r="F1169" s="200">
        <v>0</v>
      </c>
      <c r="G1169" s="200">
        <v>0</v>
      </c>
      <c r="H1169" s="200">
        <v>0</v>
      </c>
      <c r="I1169" s="348">
        <f t="shared" si="26"/>
        <v>682236.29</v>
      </c>
      <c r="J1169" s="192" t="s">
        <v>902</v>
      </c>
    </row>
    <row r="1170" spans="1:10" hidden="1" outlineLevel="1">
      <c r="A1170" s="380" t="s">
        <v>903</v>
      </c>
      <c r="B1170" s="199">
        <v>375061.76000000001</v>
      </c>
      <c r="C1170" s="200">
        <v>0</v>
      </c>
      <c r="D1170" s="200">
        <v>0</v>
      </c>
      <c r="E1170" s="200">
        <v>0</v>
      </c>
      <c r="F1170" s="200">
        <v>0</v>
      </c>
      <c r="G1170" s="200">
        <v>0</v>
      </c>
      <c r="H1170" s="200">
        <v>0</v>
      </c>
      <c r="I1170" s="348">
        <f t="shared" si="26"/>
        <v>375061.76000000001</v>
      </c>
      <c r="J1170" s="192" t="s">
        <v>904</v>
      </c>
    </row>
    <row r="1171" spans="1:10" hidden="1" outlineLevel="1">
      <c r="A1171" s="380" t="s">
        <v>905</v>
      </c>
      <c r="B1171" s="199">
        <v>84559.21</v>
      </c>
      <c r="C1171" s="200">
        <v>0</v>
      </c>
      <c r="D1171" s="200">
        <v>0</v>
      </c>
      <c r="E1171" s="200">
        <v>0</v>
      </c>
      <c r="F1171" s="200">
        <v>0</v>
      </c>
      <c r="G1171" s="200">
        <v>0</v>
      </c>
      <c r="H1171" s="200">
        <v>0</v>
      </c>
      <c r="I1171" s="348">
        <f t="shared" si="26"/>
        <v>84559.21</v>
      </c>
      <c r="J1171" s="192" t="s">
        <v>906</v>
      </c>
    </row>
    <row r="1172" spans="1:10" hidden="1" outlineLevel="1">
      <c r="A1172" s="380" t="s">
        <v>907</v>
      </c>
      <c r="B1172" s="199">
        <v>362156.31</v>
      </c>
      <c r="C1172" s="200">
        <v>0</v>
      </c>
      <c r="D1172" s="200">
        <v>0</v>
      </c>
      <c r="E1172" s="200">
        <v>0</v>
      </c>
      <c r="F1172" s="200">
        <v>0</v>
      </c>
      <c r="G1172" s="200">
        <v>0</v>
      </c>
      <c r="H1172" s="200">
        <v>0</v>
      </c>
      <c r="I1172" s="348">
        <f t="shared" si="26"/>
        <v>362156.31</v>
      </c>
      <c r="J1172" s="192" t="s">
        <v>908</v>
      </c>
    </row>
    <row r="1173" spans="1:10" hidden="1" outlineLevel="1">
      <c r="A1173" s="380" t="s">
        <v>909</v>
      </c>
      <c r="B1173" s="199">
        <v>7043227.4800000004</v>
      </c>
      <c r="C1173" s="200">
        <v>0</v>
      </c>
      <c r="D1173" s="200">
        <v>0</v>
      </c>
      <c r="E1173" s="200">
        <v>0</v>
      </c>
      <c r="F1173" s="200">
        <v>13654.4</v>
      </c>
      <c r="G1173" s="200">
        <v>0</v>
      </c>
      <c r="H1173" s="200">
        <v>0</v>
      </c>
      <c r="I1173" s="348">
        <f t="shared" si="26"/>
        <v>7056881.8800000008</v>
      </c>
      <c r="J1173" s="192" t="s">
        <v>910</v>
      </c>
    </row>
    <row r="1174" spans="1:10" hidden="1" outlineLevel="1">
      <c r="A1174" s="380" t="s">
        <v>911</v>
      </c>
      <c r="B1174" s="199">
        <v>785232.26</v>
      </c>
      <c r="C1174" s="200">
        <v>0</v>
      </c>
      <c r="D1174" s="200">
        <v>0</v>
      </c>
      <c r="E1174" s="200">
        <v>0</v>
      </c>
      <c r="F1174" s="200">
        <v>0</v>
      </c>
      <c r="G1174" s="200">
        <v>0</v>
      </c>
      <c r="H1174" s="200">
        <v>0</v>
      </c>
      <c r="I1174" s="348">
        <f t="shared" si="26"/>
        <v>785232.26</v>
      </c>
      <c r="J1174" s="192" t="s">
        <v>912</v>
      </c>
    </row>
    <row r="1175" spans="1:10" hidden="1" outlineLevel="1">
      <c r="A1175" s="380" t="s">
        <v>913</v>
      </c>
      <c r="B1175" s="199">
        <v>232062.1</v>
      </c>
      <c r="C1175" s="200">
        <v>0</v>
      </c>
      <c r="D1175" s="200">
        <v>0</v>
      </c>
      <c r="E1175" s="200">
        <v>0</v>
      </c>
      <c r="F1175" s="200">
        <v>0</v>
      </c>
      <c r="G1175" s="200">
        <v>0</v>
      </c>
      <c r="H1175" s="200">
        <v>0</v>
      </c>
      <c r="I1175" s="348">
        <f t="shared" si="26"/>
        <v>232062.1</v>
      </c>
      <c r="J1175" s="192" t="s">
        <v>914</v>
      </c>
    </row>
    <row r="1176" spans="1:10" hidden="1" outlineLevel="1">
      <c r="A1176" s="380" t="s">
        <v>915</v>
      </c>
      <c r="B1176" s="199">
        <v>433512.82</v>
      </c>
      <c r="C1176" s="200">
        <v>0</v>
      </c>
      <c r="D1176" s="200">
        <v>0</v>
      </c>
      <c r="E1176" s="200">
        <v>0</v>
      </c>
      <c r="F1176" s="200">
        <v>0</v>
      </c>
      <c r="G1176" s="200">
        <v>0</v>
      </c>
      <c r="H1176" s="200">
        <v>0</v>
      </c>
      <c r="I1176" s="348">
        <f t="shared" si="26"/>
        <v>433512.82</v>
      </c>
      <c r="J1176" s="192" t="s">
        <v>916</v>
      </c>
    </row>
    <row r="1177" spans="1:10" hidden="1" outlineLevel="1">
      <c r="A1177" s="380" t="s">
        <v>917</v>
      </c>
      <c r="B1177" s="199">
        <v>208013.75</v>
      </c>
      <c r="C1177" s="200">
        <v>0</v>
      </c>
      <c r="D1177" s="200">
        <v>0</v>
      </c>
      <c r="E1177" s="200">
        <v>0</v>
      </c>
      <c r="F1177" s="200">
        <v>0</v>
      </c>
      <c r="G1177" s="200">
        <v>0</v>
      </c>
      <c r="H1177" s="200">
        <v>0</v>
      </c>
      <c r="I1177" s="348">
        <f t="shared" si="26"/>
        <v>208013.75</v>
      </c>
      <c r="J1177" s="192" t="s">
        <v>918</v>
      </c>
    </row>
    <row r="1178" spans="1:10" hidden="1" outlineLevel="1">
      <c r="A1178" s="380" t="s">
        <v>919</v>
      </c>
      <c r="B1178" s="199">
        <v>1251649.6000000001</v>
      </c>
      <c r="C1178" s="200">
        <v>0</v>
      </c>
      <c r="D1178" s="200">
        <v>0</v>
      </c>
      <c r="E1178" s="200">
        <v>0</v>
      </c>
      <c r="F1178" s="200">
        <v>2318.13</v>
      </c>
      <c r="G1178" s="200">
        <v>0</v>
      </c>
      <c r="H1178" s="200">
        <v>0</v>
      </c>
      <c r="I1178" s="348">
        <f t="shared" si="26"/>
        <v>1253967.73</v>
      </c>
      <c r="J1178" s="192" t="s">
        <v>920</v>
      </c>
    </row>
    <row r="1179" spans="1:10" hidden="1" outlineLevel="1">
      <c r="A1179" s="380" t="s">
        <v>921</v>
      </c>
      <c r="B1179" s="199">
        <v>937436.03</v>
      </c>
      <c r="C1179" s="200">
        <v>0</v>
      </c>
      <c r="D1179" s="200">
        <v>0</v>
      </c>
      <c r="E1179" s="200">
        <v>0</v>
      </c>
      <c r="F1179" s="200">
        <v>0</v>
      </c>
      <c r="G1179" s="200">
        <v>0</v>
      </c>
      <c r="H1179" s="200">
        <v>0</v>
      </c>
      <c r="I1179" s="348">
        <f t="shared" si="26"/>
        <v>937436.03</v>
      </c>
      <c r="J1179" s="192" t="s">
        <v>922</v>
      </c>
    </row>
    <row r="1180" spans="1:10" hidden="1" outlineLevel="1">
      <c r="A1180" s="380" t="s">
        <v>923</v>
      </c>
      <c r="B1180" s="199">
        <v>464595.26</v>
      </c>
      <c r="C1180" s="200">
        <v>0</v>
      </c>
      <c r="D1180" s="200">
        <v>0</v>
      </c>
      <c r="E1180" s="200">
        <v>0</v>
      </c>
      <c r="F1180" s="200">
        <v>0</v>
      </c>
      <c r="G1180" s="200">
        <v>0</v>
      </c>
      <c r="H1180" s="200">
        <v>0</v>
      </c>
      <c r="I1180" s="348">
        <f t="shared" si="26"/>
        <v>464595.26</v>
      </c>
      <c r="J1180" s="192" t="s">
        <v>924</v>
      </c>
    </row>
    <row r="1181" spans="1:10" hidden="1" outlineLevel="1">
      <c r="A1181" s="380" t="s">
        <v>925</v>
      </c>
      <c r="B1181" s="199">
        <v>39599.230000000003</v>
      </c>
      <c r="C1181" s="200">
        <v>0</v>
      </c>
      <c r="D1181" s="200">
        <v>0</v>
      </c>
      <c r="E1181" s="200">
        <v>0</v>
      </c>
      <c r="F1181" s="200">
        <v>0</v>
      </c>
      <c r="G1181" s="200">
        <v>0</v>
      </c>
      <c r="H1181" s="200">
        <v>0</v>
      </c>
      <c r="I1181" s="348">
        <f t="shared" si="26"/>
        <v>39599.230000000003</v>
      </c>
      <c r="J1181" s="192" t="s">
        <v>926</v>
      </c>
    </row>
    <row r="1182" spans="1:10" hidden="1" outlineLevel="1">
      <c r="A1182" s="380" t="s">
        <v>927</v>
      </c>
      <c r="B1182" s="199">
        <v>29243.78</v>
      </c>
      <c r="C1182" s="200">
        <v>0</v>
      </c>
      <c r="D1182" s="200">
        <v>0</v>
      </c>
      <c r="E1182" s="200">
        <v>0</v>
      </c>
      <c r="F1182" s="200">
        <v>0</v>
      </c>
      <c r="G1182" s="200">
        <v>0</v>
      </c>
      <c r="H1182" s="200">
        <v>0</v>
      </c>
      <c r="I1182" s="348">
        <f t="shared" si="26"/>
        <v>29243.78</v>
      </c>
      <c r="J1182" s="192" t="s">
        <v>928</v>
      </c>
    </row>
    <row r="1183" spans="1:10" hidden="1" outlineLevel="1">
      <c r="A1183" s="380" t="s">
        <v>929</v>
      </c>
      <c r="B1183" s="199">
        <v>206984.06</v>
      </c>
      <c r="C1183" s="200">
        <v>0</v>
      </c>
      <c r="D1183" s="200">
        <v>0</v>
      </c>
      <c r="E1183" s="200">
        <v>0</v>
      </c>
      <c r="F1183" s="200">
        <v>0</v>
      </c>
      <c r="G1183" s="200">
        <v>0</v>
      </c>
      <c r="H1183" s="200">
        <v>0</v>
      </c>
      <c r="I1183" s="348">
        <f t="shared" si="26"/>
        <v>206984.06</v>
      </c>
      <c r="J1183" s="192" t="s">
        <v>930</v>
      </c>
    </row>
    <row r="1184" spans="1:10" hidden="1" outlineLevel="1">
      <c r="A1184" s="380" t="s">
        <v>931</v>
      </c>
      <c r="B1184" s="199">
        <v>280568.55</v>
      </c>
      <c r="C1184" s="200">
        <v>0</v>
      </c>
      <c r="D1184" s="200">
        <v>0</v>
      </c>
      <c r="E1184" s="200">
        <v>0</v>
      </c>
      <c r="F1184" s="200">
        <v>0</v>
      </c>
      <c r="G1184" s="200">
        <v>0</v>
      </c>
      <c r="H1184" s="200">
        <v>0</v>
      </c>
      <c r="I1184" s="348">
        <f t="shared" si="26"/>
        <v>280568.55</v>
      </c>
      <c r="J1184" s="192" t="s">
        <v>932</v>
      </c>
    </row>
    <row r="1185" spans="1:10" hidden="1" outlineLevel="1">
      <c r="A1185" s="380" t="s">
        <v>933</v>
      </c>
      <c r="B1185" s="199">
        <v>6437301.8099999996</v>
      </c>
      <c r="C1185" s="200">
        <v>0</v>
      </c>
      <c r="D1185" s="200">
        <v>0</v>
      </c>
      <c r="E1185" s="200">
        <v>0</v>
      </c>
      <c r="F1185" s="200">
        <v>129.30000000000001</v>
      </c>
      <c r="G1185" s="200">
        <v>276.04000000000002</v>
      </c>
      <c r="H1185" s="200">
        <v>0</v>
      </c>
      <c r="I1185" s="348">
        <f t="shared" si="26"/>
        <v>6437707.1499999994</v>
      </c>
      <c r="J1185" s="192" t="s">
        <v>934</v>
      </c>
    </row>
    <row r="1186" spans="1:10" hidden="1" outlineLevel="1">
      <c r="A1186" s="380" t="s">
        <v>935</v>
      </c>
      <c r="B1186" s="199">
        <v>128692.53</v>
      </c>
      <c r="C1186" s="200">
        <v>0</v>
      </c>
      <c r="D1186" s="200">
        <v>0</v>
      </c>
      <c r="E1186" s="200">
        <v>0</v>
      </c>
      <c r="F1186" s="200">
        <v>0</v>
      </c>
      <c r="G1186" s="200">
        <v>0</v>
      </c>
      <c r="H1186" s="200">
        <v>0</v>
      </c>
      <c r="I1186" s="348">
        <f t="shared" si="26"/>
        <v>128692.53</v>
      </c>
      <c r="J1186" s="192" t="s">
        <v>936</v>
      </c>
    </row>
    <row r="1187" spans="1:10" hidden="1" outlineLevel="1">
      <c r="A1187" s="380" t="s">
        <v>937</v>
      </c>
      <c r="B1187" s="199">
        <v>111080.97</v>
      </c>
      <c r="C1187" s="200">
        <v>0</v>
      </c>
      <c r="D1187" s="200">
        <v>0</v>
      </c>
      <c r="E1187" s="200">
        <v>0</v>
      </c>
      <c r="F1187" s="200">
        <v>0</v>
      </c>
      <c r="G1187" s="200">
        <v>0</v>
      </c>
      <c r="H1187" s="200">
        <v>0</v>
      </c>
      <c r="I1187" s="348">
        <f t="shared" si="26"/>
        <v>111080.97</v>
      </c>
      <c r="J1187" s="192" t="s">
        <v>938</v>
      </c>
    </row>
    <row r="1188" spans="1:10" hidden="1" outlineLevel="1">
      <c r="A1188" s="380" t="s">
        <v>939</v>
      </c>
      <c r="B1188" s="199">
        <v>703238.23</v>
      </c>
      <c r="C1188" s="200">
        <v>0</v>
      </c>
      <c r="D1188" s="200">
        <v>0</v>
      </c>
      <c r="E1188" s="200">
        <v>0</v>
      </c>
      <c r="F1188" s="200">
        <v>0</v>
      </c>
      <c r="G1188" s="200">
        <v>0</v>
      </c>
      <c r="H1188" s="200">
        <v>0</v>
      </c>
      <c r="I1188" s="348">
        <f t="shared" si="26"/>
        <v>703238.23</v>
      </c>
      <c r="J1188" s="192" t="s">
        <v>940</v>
      </c>
    </row>
    <row r="1189" spans="1:10" hidden="1" outlineLevel="1">
      <c r="A1189" s="380" t="s">
        <v>941</v>
      </c>
      <c r="B1189" s="199">
        <v>286235.74</v>
      </c>
      <c r="C1189" s="200">
        <v>0</v>
      </c>
      <c r="D1189" s="200">
        <v>0</v>
      </c>
      <c r="E1189" s="200">
        <v>0</v>
      </c>
      <c r="F1189" s="200">
        <v>0</v>
      </c>
      <c r="G1189" s="200">
        <v>0</v>
      </c>
      <c r="H1189" s="200">
        <v>0</v>
      </c>
      <c r="I1189" s="348">
        <f t="shared" si="26"/>
        <v>286235.74</v>
      </c>
      <c r="J1189" s="192" t="s">
        <v>942</v>
      </c>
    </row>
    <row r="1190" spans="1:10" hidden="1" outlineLevel="1">
      <c r="A1190" s="380" t="s">
        <v>943</v>
      </c>
      <c r="B1190" s="199">
        <v>495442.39</v>
      </c>
      <c r="C1190" s="200">
        <v>0</v>
      </c>
      <c r="D1190" s="200">
        <v>0</v>
      </c>
      <c r="E1190" s="200">
        <v>0</v>
      </c>
      <c r="F1190" s="200">
        <v>979182.58</v>
      </c>
      <c r="G1190" s="200">
        <v>0</v>
      </c>
      <c r="H1190" s="200">
        <v>0</v>
      </c>
      <c r="I1190" s="348">
        <f t="shared" si="26"/>
        <v>1474624.97</v>
      </c>
      <c r="J1190" s="192" t="s">
        <v>944</v>
      </c>
    </row>
    <row r="1191" spans="1:10" hidden="1" outlineLevel="1">
      <c r="A1191" s="380" t="s">
        <v>945</v>
      </c>
      <c r="B1191" s="199">
        <v>383352.47</v>
      </c>
      <c r="C1191" s="200">
        <v>0</v>
      </c>
      <c r="D1191" s="200">
        <v>0</v>
      </c>
      <c r="E1191" s="200">
        <v>0</v>
      </c>
      <c r="F1191" s="200">
        <v>0</v>
      </c>
      <c r="G1191" s="200">
        <v>0</v>
      </c>
      <c r="H1191" s="200">
        <v>0</v>
      </c>
      <c r="I1191" s="348">
        <f t="shared" si="26"/>
        <v>383352.47</v>
      </c>
      <c r="J1191" s="192" t="s">
        <v>946</v>
      </c>
    </row>
    <row r="1192" spans="1:10" hidden="1" outlineLevel="1">
      <c r="A1192" s="380" t="s">
        <v>947</v>
      </c>
      <c r="B1192" s="199">
        <v>84608.19</v>
      </c>
      <c r="C1192" s="200">
        <v>0</v>
      </c>
      <c r="D1192" s="200">
        <v>0</v>
      </c>
      <c r="E1192" s="200">
        <v>0</v>
      </c>
      <c r="F1192" s="200">
        <v>0</v>
      </c>
      <c r="G1192" s="200">
        <v>0</v>
      </c>
      <c r="H1192" s="200">
        <v>0</v>
      </c>
      <c r="I1192" s="348">
        <f t="shared" si="26"/>
        <v>84608.19</v>
      </c>
      <c r="J1192" s="192" t="s">
        <v>948</v>
      </c>
    </row>
    <row r="1193" spans="1:10" hidden="1" outlineLevel="1">
      <c r="A1193" s="380" t="s">
        <v>949</v>
      </c>
      <c r="B1193" s="199">
        <v>319874.48</v>
      </c>
      <c r="C1193" s="200">
        <v>0</v>
      </c>
      <c r="D1193" s="200">
        <v>0</v>
      </c>
      <c r="E1193" s="200">
        <v>0</v>
      </c>
      <c r="F1193" s="200">
        <v>0</v>
      </c>
      <c r="G1193" s="200">
        <v>0</v>
      </c>
      <c r="H1193" s="200">
        <v>0</v>
      </c>
      <c r="I1193" s="348">
        <f t="shared" si="26"/>
        <v>319874.48</v>
      </c>
      <c r="J1193" s="192" t="s">
        <v>950</v>
      </c>
    </row>
    <row r="1194" spans="1:10" hidden="1" outlineLevel="1">
      <c r="A1194" s="380" t="s">
        <v>951</v>
      </c>
      <c r="B1194" s="199">
        <v>5748.41</v>
      </c>
      <c r="C1194" s="200">
        <v>0</v>
      </c>
      <c r="D1194" s="200">
        <v>0</v>
      </c>
      <c r="E1194" s="200">
        <v>0</v>
      </c>
      <c r="F1194" s="200">
        <v>0</v>
      </c>
      <c r="G1194" s="200">
        <v>0</v>
      </c>
      <c r="H1194" s="200">
        <v>0</v>
      </c>
      <c r="I1194" s="348">
        <f t="shared" si="26"/>
        <v>5748.41</v>
      </c>
      <c r="J1194" s="192" t="s">
        <v>952</v>
      </c>
    </row>
    <row r="1195" spans="1:10" hidden="1" outlineLevel="1">
      <c r="A1195" s="380" t="s">
        <v>951</v>
      </c>
      <c r="B1195" s="199">
        <v>105152.63</v>
      </c>
      <c r="C1195" s="200">
        <v>0</v>
      </c>
      <c r="D1195" s="200">
        <v>0</v>
      </c>
      <c r="E1195" s="200">
        <v>0</v>
      </c>
      <c r="F1195" s="200">
        <v>0</v>
      </c>
      <c r="G1195" s="200">
        <v>0</v>
      </c>
      <c r="H1195" s="200">
        <v>0</v>
      </c>
      <c r="I1195" s="348">
        <f t="shared" si="26"/>
        <v>105152.63</v>
      </c>
      <c r="J1195" s="192" t="s">
        <v>952</v>
      </c>
    </row>
    <row r="1196" spans="1:10" hidden="1" outlineLevel="1">
      <c r="A1196" s="380" t="s">
        <v>953</v>
      </c>
      <c r="B1196" s="199">
        <v>190172.33</v>
      </c>
      <c r="C1196" s="200">
        <v>0</v>
      </c>
      <c r="D1196" s="200">
        <v>0</v>
      </c>
      <c r="E1196" s="200">
        <v>0</v>
      </c>
      <c r="F1196" s="200">
        <v>0</v>
      </c>
      <c r="G1196" s="200">
        <v>0</v>
      </c>
      <c r="H1196" s="200">
        <v>0</v>
      </c>
      <c r="I1196" s="348">
        <f t="shared" si="26"/>
        <v>190172.33</v>
      </c>
      <c r="J1196" s="192" t="s">
        <v>954</v>
      </c>
    </row>
    <row r="1197" spans="1:10" hidden="1" outlineLevel="1">
      <c r="A1197" s="380" t="s">
        <v>955</v>
      </c>
      <c r="B1197" s="199">
        <v>395660.93</v>
      </c>
      <c r="C1197" s="200">
        <v>0</v>
      </c>
      <c r="D1197" s="200">
        <v>0</v>
      </c>
      <c r="E1197" s="200">
        <v>0</v>
      </c>
      <c r="F1197" s="200">
        <v>0</v>
      </c>
      <c r="G1197" s="200">
        <v>0</v>
      </c>
      <c r="H1197" s="200">
        <v>0</v>
      </c>
      <c r="I1197" s="348">
        <f t="shared" si="26"/>
        <v>395660.93</v>
      </c>
      <c r="J1197" s="192" t="s">
        <v>956</v>
      </c>
    </row>
    <row r="1198" spans="1:10" hidden="1" outlineLevel="1">
      <c r="A1198" s="380" t="s">
        <v>957</v>
      </c>
      <c r="B1198" s="199">
        <v>1680699.67</v>
      </c>
      <c r="C1198" s="200">
        <v>0</v>
      </c>
      <c r="D1198" s="200">
        <v>0</v>
      </c>
      <c r="E1198" s="200">
        <v>0</v>
      </c>
      <c r="F1198" s="200">
        <v>0</v>
      </c>
      <c r="G1198" s="200">
        <v>0</v>
      </c>
      <c r="H1198" s="200">
        <v>0</v>
      </c>
      <c r="I1198" s="348">
        <f t="shared" si="26"/>
        <v>1680699.67</v>
      </c>
      <c r="J1198" s="192" t="s">
        <v>958</v>
      </c>
    </row>
    <row r="1199" spans="1:10" hidden="1" outlineLevel="1">
      <c r="A1199" s="380" t="s">
        <v>959</v>
      </c>
      <c r="B1199" s="199">
        <v>736951.6</v>
      </c>
      <c r="C1199" s="200">
        <v>0</v>
      </c>
      <c r="D1199" s="200">
        <v>0</v>
      </c>
      <c r="E1199" s="200">
        <v>0</v>
      </c>
      <c r="F1199" s="200">
        <v>0</v>
      </c>
      <c r="G1199" s="200">
        <v>0</v>
      </c>
      <c r="H1199" s="200">
        <v>0</v>
      </c>
      <c r="I1199" s="348">
        <f t="shared" si="26"/>
        <v>736951.6</v>
      </c>
      <c r="J1199" s="192" t="s">
        <v>960</v>
      </c>
    </row>
    <row r="1200" spans="1:10" hidden="1" outlineLevel="1">
      <c r="A1200" s="380" t="s">
        <v>961</v>
      </c>
      <c r="B1200" s="199">
        <v>762492.94</v>
      </c>
      <c r="C1200" s="200">
        <v>0</v>
      </c>
      <c r="D1200" s="200">
        <v>0</v>
      </c>
      <c r="E1200" s="200">
        <v>0</v>
      </c>
      <c r="F1200" s="200">
        <v>0</v>
      </c>
      <c r="G1200" s="200">
        <v>0</v>
      </c>
      <c r="H1200" s="200">
        <v>0</v>
      </c>
      <c r="I1200" s="348">
        <f t="shared" si="26"/>
        <v>762492.94</v>
      </c>
      <c r="J1200" s="192" t="s">
        <v>962</v>
      </c>
    </row>
    <row r="1201" spans="1:10" hidden="1" outlineLevel="1">
      <c r="A1201" s="380" t="s">
        <v>963</v>
      </c>
      <c r="B1201" s="199">
        <v>454257.86</v>
      </c>
      <c r="C1201" s="200">
        <v>0</v>
      </c>
      <c r="D1201" s="200">
        <v>0</v>
      </c>
      <c r="E1201" s="200">
        <v>0</v>
      </c>
      <c r="F1201" s="200">
        <v>0</v>
      </c>
      <c r="G1201" s="200">
        <v>0</v>
      </c>
      <c r="H1201" s="200">
        <v>0</v>
      </c>
      <c r="I1201" s="348">
        <f t="shared" si="26"/>
        <v>454257.86</v>
      </c>
      <c r="J1201" s="192" t="s">
        <v>964</v>
      </c>
    </row>
    <row r="1202" spans="1:10" hidden="1" outlineLevel="1">
      <c r="A1202" s="380" t="s">
        <v>965</v>
      </c>
      <c r="B1202" s="199">
        <v>268159.63</v>
      </c>
      <c r="C1202" s="200">
        <v>0</v>
      </c>
      <c r="D1202" s="200">
        <v>0</v>
      </c>
      <c r="E1202" s="200">
        <v>0</v>
      </c>
      <c r="F1202" s="200">
        <v>0</v>
      </c>
      <c r="G1202" s="200">
        <v>0</v>
      </c>
      <c r="H1202" s="200">
        <v>0</v>
      </c>
      <c r="I1202" s="348">
        <f t="shared" si="26"/>
        <v>268159.63</v>
      </c>
      <c r="J1202" s="192" t="s">
        <v>966</v>
      </c>
    </row>
    <row r="1203" spans="1:10" hidden="1" outlineLevel="1">
      <c r="A1203" s="380" t="s">
        <v>967</v>
      </c>
      <c r="B1203" s="199">
        <v>42251.31</v>
      </c>
      <c r="C1203" s="200">
        <v>0</v>
      </c>
      <c r="D1203" s="200">
        <v>0</v>
      </c>
      <c r="E1203" s="200">
        <v>0</v>
      </c>
      <c r="F1203" s="200">
        <v>0</v>
      </c>
      <c r="G1203" s="200">
        <v>0</v>
      </c>
      <c r="H1203" s="200">
        <v>0</v>
      </c>
      <c r="I1203" s="348">
        <f t="shared" si="26"/>
        <v>42251.31</v>
      </c>
      <c r="J1203" s="192" t="s">
        <v>968</v>
      </c>
    </row>
    <row r="1204" spans="1:10" hidden="1" outlineLevel="1">
      <c r="A1204" s="380" t="s">
        <v>969</v>
      </c>
      <c r="B1204" s="199">
        <v>329469.82</v>
      </c>
      <c r="C1204" s="200">
        <v>0</v>
      </c>
      <c r="D1204" s="200">
        <v>0</v>
      </c>
      <c r="E1204" s="200">
        <v>0</v>
      </c>
      <c r="F1204" s="200">
        <v>0</v>
      </c>
      <c r="G1204" s="200">
        <v>0</v>
      </c>
      <c r="H1204" s="200">
        <v>0</v>
      </c>
      <c r="I1204" s="348">
        <f t="shared" si="26"/>
        <v>329469.82</v>
      </c>
      <c r="J1204" s="192" t="s">
        <v>970</v>
      </c>
    </row>
    <row r="1205" spans="1:10" hidden="1" outlineLevel="1">
      <c r="A1205" s="380" t="s">
        <v>971</v>
      </c>
      <c r="B1205" s="199">
        <v>747424.51</v>
      </c>
      <c r="C1205" s="200">
        <v>0</v>
      </c>
      <c r="D1205" s="200">
        <v>0</v>
      </c>
      <c r="E1205" s="200">
        <v>0</v>
      </c>
      <c r="F1205" s="200">
        <v>0</v>
      </c>
      <c r="G1205" s="200">
        <v>0</v>
      </c>
      <c r="H1205" s="200">
        <v>0</v>
      </c>
      <c r="I1205" s="348">
        <f t="shared" si="26"/>
        <v>747424.51</v>
      </c>
      <c r="J1205" s="192" t="s">
        <v>972</v>
      </c>
    </row>
    <row r="1206" spans="1:10" hidden="1" outlineLevel="1">
      <c r="A1206" s="380" t="s">
        <v>973</v>
      </c>
      <c r="B1206" s="199">
        <v>47186.43</v>
      </c>
      <c r="C1206" s="200">
        <v>0</v>
      </c>
      <c r="D1206" s="200">
        <v>0</v>
      </c>
      <c r="E1206" s="200">
        <v>0</v>
      </c>
      <c r="F1206" s="200">
        <v>0</v>
      </c>
      <c r="G1206" s="200">
        <v>0</v>
      </c>
      <c r="H1206" s="200">
        <v>0</v>
      </c>
      <c r="I1206" s="348">
        <f t="shared" si="26"/>
        <v>47186.43</v>
      </c>
      <c r="J1206" s="192" t="s">
        <v>974</v>
      </c>
    </row>
    <row r="1207" spans="1:10" hidden="1" outlineLevel="1">
      <c r="A1207" s="380" t="s">
        <v>975</v>
      </c>
      <c r="B1207" s="199">
        <v>468817.23</v>
      </c>
      <c r="C1207" s="200">
        <v>0</v>
      </c>
      <c r="D1207" s="200">
        <v>0</v>
      </c>
      <c r="E1207" s="200">
        <v>0</v>
      </c>
      <c r="F1207" s="200">
        <v>0</v>
      </c>
      <c r="G1207" s="200">
        <v>0</v>
      </c>
      <c r="H1207" s="200">
        <v>0</v>
      </c>
      <c r="I1207" s="348">
        <f t="shared" si="26"/>
        <v>468817.23</v>
      </c>
      <c r="J1207" s="192" t="s">
        <v>976</v>
      </c>
    </row>
    <row r="1208" spans="1:10" hidden="1" outlineLevel="1">
      <c r="A1208" s="380" t="s">
        <v>977</v>
      </c>
      <c r="B1208" s="199">
        <v>16371.54</v>
      </c>
      <c r="C1208" s="200">
        <v>0</v>
      </c>
      <c r="D1208" s="200">
        <v>0</v>
      </c>
      <c r="E1208" s="200">
        <v>0</v>
      </c>
      <c r="F1208" s="200">
        <v>0</v>
      </c>
      <c r="G1208" s="200">
        <v>0</v>
      </c>
      <c r="H1208" s="200">
        <v>0</v>
      </c>
      <c r="I1208" s="348">
        <f t="shared" si="26"/>
        <v>16371.54</v>
      </c>
      <c r="J1208" s="192" t="s">
        <v>978</v>
      </c>
    </row>
    <row r="1209" spans="1:10" hidden="1" outlineLevel="1">
      <c r="A1209" s="380" t="s">
        <v>979</v>
      </c>
      <c r="B1209" s="199">
        <v>254950.07</v>
      </c>
      <c r="C1209" s="200">
        <v>0</v>
      </c>
      <c r="D1209" s="200">
        <v>0</v>
      </c>
      <c r="E1209" s="200">
        <v>0</v>
      </c>
      <c r="F1209" s="200">
        <v>0</v>
      </c>
      <c r="G1209" s="200">
        <v>0</v>
      </c>
      <c r="H1209" s="200">
        <v>0</v>
      </c>
      <c r="I1209" s="348">
        <f t="shared" si="26"/>
        <v>254950.07</v>
      </c>
      <c r="J1209" s="192" t="s">
        <v>980</v>
      </c>
    </row>
    <row r="1210" spans="1:10" hidden="1" outlineLevel="1">
      <c r="A1210" s="380" t="s">
        <v>981</v>
      </c>
      <c r="B1210" s="199">
        <v>164980.17000000001</v>
      </c>
      <c r="C1210" s="200">
        <v>0</v>
      </c>
      <c r="D1210" s="200">
        <v>0</v>
      </c>
      <c r="E1210" s="200">
        <v>0</v>
      </c>
      <c r="F1210" s="200">
        <v>0</v>
      </c>
      <c r="G1210" s="200">
        <v>0</v>
      </c>
      <c r="H1210" s="200">
        <v>0</v>
      </c>
      <c r="I1210" s="348">
        <f t="shared" si="26"/>
        <v>164980.17000000001</v>
      </c>
      <c r="J1210" s="192" t="s">
        <v>982</v>
      </c>
    </row>
    <row r="1211" spans="1:10" hidden="1" outlineLevel="1">
      <c r="A1211" s="380" t="s">
        <v>983</v>
      </c>
      <c r="B1211" s="199">
        <v>1099890.96</v>
      </c>
      <c r="C1211" s="200">
        <v>0</v>
      </c>
      <c r="D1211" s="200">
        <v>0</v>
      </c>
      <c r="E1211" s="200">
        <v>0</v>
      </c>
      <c r="F1211" s="200">
        <v>0</v>
      </c>
      <c r="G1211" s="200">
        <v>0</v>
      </c>
      <c r="H1211" s="200">
        <v>0</v>
      </c>
      <c r="I1211" s="348">
        <f t="shared" si="26"/>
        <v>1099890.96</v>
      </c>
      <c r="J1211" s="192" t="s">
        <v>984</v>
      </c>
    </row>
    <row r="1212" spans="1:10" hidden="1" outlineLevel="1">
      <c r="A1212" s="380" t="s">
        <v>985</v>
      </c>
      <c r="B1212" s="199">
        <v>2703872.13</v>
      </c>
      <c r="C1212" s="200">
        <v>0</v>
      </c>
      <c r="D1212" s="200">
        <v>0</v>
      </c>
      <c r="E1212" s="200">
        <v>0</v>
      </c>
      <c r="F1212" s="200">
        <v>0</v>
      </c>
      <c r="G1212" s="200">
        <v>0</v>
      </c>
      <c r="H1212" s="200">
        <v>0</v>
      </c>
      <c r="I1212" s="348">
        <f t="shared" si="26"/>
        <v>2703872.13</v>
      </c>
      <c r="J1212" s="192" t="s">
        <v>986</v>
      </c>
    </row>
    <row r="1213" spans="1:10" hidden="1" outlineLevel="1">
      <c r="A1213" s="380" t="s">
        <v>987</v>
      </c>
      <c r="B1213" s="199">
        <v>28411.97</v>
      </c>
      <c r="C1213" s="200">
        <v>0</v>
      </c>
      <c r="D1213" s="200">
        <v>0</v>
      </c>
      <c r="E1213" s="200">
        <v>0</v>
      </c>
      <c r="F1213" s="200">
        <v>0</v>
      </c>
      <c r="G1213" s="200">
        <v>0</v>
      </c>
      <c r="H1213" s="200">
        <v>0</v>
      </c>
      <c r="I1213" s="348">
        <f t="shared" si="26"/>
        <v>28411.97</v>
      </c>
      <c r="J1213" s="192" t="s">
        <v>988</v>
      </c>
    </row>
    <row r="1214" spans="1:10" hidden="1" outlineLevel="1">
      <c r="A1214" s="380" t="s">
        <v>989</v>
      </c>
      <c r="B1214" s="199">
        <v>20040.009999999998</v>
      </c>
      <c r="C1214" s="200">
        <v>0</v>
      </c>
      <c r="D1214" s="200">
        <v>0</v>
      </c>
      <c r="E1214" s="200">
        <v>0</v>
      </c>
      <c r="F1214" s="200">
        <v>0</v>
      </c>
      <c r="G1214" s="200">
        <v>0</v>
      </c>
      <c r="H1214" s="200">
        <v>0</v>
      </c>
      <c r="I1214" s="348">
        <f t="shared" si="26"/>
        <v>20040.009999999998</v>
      </c>
      <c r="J1214" s="192" t="s">
        <v>990</v>
      </c>
    </row>
    <row r="1215" spans="1:10" hidden="1" outlineLevel="1">
      <c r="A1215" s="380" t="s">
        <v>991</v>
      </c>
      <c r="B1215" s="199">
        <v>129529.7</v>
      </c>
      <c r="C1215" s="200">
        <v>0</v>
      </c>
      <c r="D1215" s="200">
        <v>0</v>
      </c>
      <c r="E1215" s="200">
        <v>0</v>
      </c>
      <c r="F1215" s="200">
        <v>0</v>
      </c>
      <c r="G1215" s="200">
        <v>0</v>
      </c>
      <c r="H1215" s="200">
        <v>0</v>
      </c>
      <c r="I1215" s="348">
        <f t="shared" si="26"/>
        <v>129529.7</v>
      </c>
      <c r="J1215" s="192" t="s">
        <v>992</v>
      </c>
    </row>
    <row r="1216" spans="1:10" hidden="1" outlineLevel="1">
      <c r="A1216" s="380" t="s">
        <v>993</v>
      </c>
      <c r="B1216" s="199">
        <v>981918.15</v>
      </c>
      <c r="C1216" s="200">
        <v>0</v>
      </c>
      <c r="D1216" s="200">
        <v>0</v>
      </c>
      <c r="E1216" s="200">
        <v>0</v>
      </c>
      <c r="F1216" s="200">
        <v>407.42</v>
      </c>
      <c r="G1216" s="200">
        <v>0</v>
      </c>
      <c r="H1216" s="200">
        <v>0</v>
      </c>
      <c r="I1216" s="348">
        <f t="shared" si="26"/>
        <v>982325.57000000007</v>
      </c>
      <c r="J1216" s="192" t="s">
        <v>994</v>
      </c>
    </row>
    <row r="1217" spans="1:10" hidden="1" outlineLevel="1">
      <c r="A1217" s="380" t="s">
        <v>995</v>
      </c>
      <c r="B1217" s="199">
        <v>299316.19</v>
      </c>
      <c r="C1217" s="200">
        <v>0</v>
      </c>
      <c r="D1217" s="200">
        <v>0</v>
      </c>
      <c r="E1217" s="200">
        <v>0</v>
      </c>
      <c r="F1217" s="200">
        <v>0</v>
      </c>
      <c r="G1217" s="200">
        <v>0</v>
      </c>
      <c r="H1217" s="200">
        <v>0</v>
      </c>
      <c r="I1217" s="348">
        <f t="shared" si="26"/>
        <v>299316.19</v>
      </c>
      <c r="J1217" s="192" t="s">
        <v>996</v>
      </c>
    </row>
    <row r="1218" spans="1:10" hidden="1" outlineLevel="1">
      <c r="A1218" s="380" t="s">
        <v>997</v>
      </c>
      <c r="B1218" s="199">
        <v>395918.94</v>
      </c>
      <c r="C1218" s="200">
        <v>0</v>
      </c>
      <c r="D1218" s="200">
        <v>0</v>
      </c>
      <c r="E1218" s="200">
        <v>0</v>
      </c>
      <c r="F1218" s="200">
        <v>0</v>
      </c>
      <c r="G1218" s="200">
        <v>0</v>
      </c>
      <c r="H1218" s="200">
        <v>0</v>
      </c>
      <c r="I1218" s="348">
        <f t="shared" si="26"/>
        <v>395918.94</v>
      </c>
      <c r="J1218" s="192" t="s">
        <v>998</v>
      </c>
    </row>
    <row r="1219" spans="1:10" hidden="1" outlineLevel="1">
      <c r="A1219" s="380" t="s">
        <v>999</v>
      </c>
      <c r="B1219" s="199">
        <v>81356.289999999994</v>
      </c>
      <c r="C1219" s="200">
        <v>0</v>
      </c>
      <c r="D1219" s="200">
        <v>0</v>
      </c>
      <c r="E1219" s="200">
        <v>0</v>
      </c>
      <c r="F1219" s="200">
        <v>0</v>
      </c>
      <c r="G1219" s="200">
        <v>0</v>
      </c>
      <c r="H1219" s="200">
        <v>0</v>
      </c>
      <c r="I1219" s="348">
        <f t="shared" si="26"/>
        <v>81356.289999999994</v>
      </c>
      <c r="J1219" s="192" t="s">
        <v>1000</v>
      </c>
    </row>
    <row r="1220" spans="1:10" hidden="1" outlineLevel="1">
      <c r="A1220" s="380" t="s">
        <v>1001</v>
      </c>
      <c r="B1220" s="199">
        <v>143929</v>
      </c>
      <c r="C1220" s="200">
        <v>0</v>
      </c>
      <c r="D1220" s="200">
        <v>0</v>
      </c>
      <c r="E1220" s="200">
        <v>0</v>
      </c>
      <c r="F1220" s="200">
        <v>0</v>
      </c>
      <c r="G1220" s="200">
        <v>0</v>
      </c>
      <c r="H1220" s="200">
        <v>0</v>
      </c>
      <c r="I1220" s="348">
        <f t="shared" si="26"/>
        <v>143929</v>
      </c>
      <c r="J1220" s="192" t="s">
        <v>1002</v>
      </c>
    </row>
    <row r="1221" spans="1:10" hidden="1" outlineLevel="1">
      <c r="A1221" s="380" t="s">
        <v>1003</v>
      </c>
      <c r="B1221" s="199">
        <v>152976.76999999999</v>
      </c>
      <c r="C1221" s="200">
        <v>0</v>
      </c>
      <c r="D1221" s="200">
        <v>0</v>
      </c>
      <c r="E1221" s="200">
        <v>0</v>
      </c>
      <c r="F1221" s="200">
        <v>0</v>
      </c>
      <c r="G1221" s="200">
        <v>0</v>
      </c>
      <c r="H1221" s="200">
        <v>0</v>
      </c>
      <c r="I1221" s="348">
        <f t="shared" si="26"/>
        <v>152976.76999999999</v>
      </c>
      <c r="J1221" s="192" t="s">
        <v>1004</v>
      </c>
    </row>
    <row r="1222" spans="1:10" hidden="1" outlineLevel="1">
      <c r="A1222" s="380" t="s">
        <v>1005</v>
      </c>
      <c r="B1222" s="199">
        <v>6543044.2000000002</v>
      </c>
      <c r="C1222" s="200">
        <v>0</v>
      </c>
      <c r="D1222" s="200">
        <v>0</v>
      </c>
      <c r="E1222" s="200">
        <v>0</v>
      </c>
      <c r="F1222" s="200">
        <v>317.62</v>
      </c>
      <c r="G1222" s="200">
        <v>2668.29</v>
      </c>
      <c r="H1222" s="200">
        <v>0</v>
      </c>
      <c r="I1222" s="348">
        <f t="shared" si="26"/>
        <v>6546030.1100000003</v>
      </c>
      <c r="J1222" s="192" t="s">
        <v>1006</v>
      </c>
    </row>
    <row r="1223" spans="1:10" hidden="1" outlineLevel="1">
      <c r="A1223" s="380" t="s">
        <v>1007</v>
      </c>
      <c r="B1223" s="199">
        <v>72223.28</v>
      </c>
      <c r="C1223" s="200">
        <v>0</v>
      </c>
      <c r="D1223" s="200">
        <v>0</v>
      </c>
      <c r="E1223" s="200">
        <v>0</v>
      </c>
      <c r="F1223" s="200">
        <v>0</v>
      </c>
      <c r="G1223" s="200">
        <v>0</v>
      </c>
      <c r="H1223" s="200">
        <v>0</v>
      </c>
      <c r="I1223" s="348">
        <f t="shared" si="26"/>
        <v>72223.28</v>
      </c>
      <c r="J1223" s="192" t="s">
        <v>1008</v>
      </c>
    </row>
    <row r="1224" spans="1:10" hidden="1" outlineLevel="1">
      <c r="A1224" s="380" t="s">
        <v>1009</v>
      </c>
      <c r="B1224" s="199">
        <v>251554.51</v>
      </c>
      <c r="C1224" s="200">
        <v>0</v>
      </c>
      <c r="D1224" s="200">
        <v>0</v>
      </c>
      <c r="E1224" s="200">
        <v>0</v>
      </c>
      <c r="F1224" s="200">
        <v>0</v>
      </c>
      <c r="G1224" s="200">
        <v>0</v>
      </c>
      <c r="H1224" s="200">
        <v>0</v>
      </c>
      <c r="I1224" s="348">
        <f t="shared" si="26"/>
        <v>251554.51</v>
      </c>
      <c r="J1224" s="192" t="s">
        <v>1010</v>
      </c>
    </row>
    <row r="1225" spans="1:10" hidden="1" outlineLevel="1">
      <c r="A1225" s="380" t="s">
        <v>1011</v>
      </c>
      <c r="B1225" s="199">
        <v>2794974.32</v>
      </c>
      <c r="C1225" s="200">
        <v>0</v>
      </c>
      <c r="D1225" s="200">
        <v>0</v>
      </c>
      <c r="E1225" s="200">
        <v>0</v>
      </c>
      <c r="F1225" s="200">
        <v>0</v>
      </c>
      <c r="G1225" s="200">
        <v>0</v>
      </c>
      <c r="H1225" s="200">
        <v>0</v>
      </c>
      <c r="I1225" s="348">
        <f t="shared" si="26"/>
        <v>2794974.32</v>
      </c>
      <c r="J1225" s="192" t="s">
        <v>1012</v>
      </c>
    </row>
    <row r="1226" spans="1:10" hidden="1" outlineLevel="1">
      <c r="A1226" s="380" t="s">
        <v>1013</v>
      </c>
      <c r="B1226" s="199">
        <v>246676.49</v>
      </c>
      <c r="C1226" s="200">
        <v>0</v>
      </c>
      <c r="D1226" s="200">
        <v>0</v>
      </c>
      <c r="E1226" s="200">
        <v>0</v>
      </c>
      <c r="F1226" s="200">
        <v>0</v>
      </c>
      <c r="G1226" s="200">
        <v>0</v>
      </c>
      <c r="H1226" s="200">
        <v>0</v>
      </c>
      <c r="I1226" s="348">
        <f t="shared" si="26"/>
        <v>246676.49</v>
      </c>
      <c r="J1226" s="192" t="s">
        <v>1014</v>
      </c>
    </row>
    <row r="1227" spans="1:10" hidden="1" outlineLevel="1">
      <c r="A1227" s="380" t="s">
        <v>1015</v>
      </c>
      <c r="B1227" s="199">
        <v>321381.76000000001</v>
      </c>
      <c r="C1227" s="200">
        <v>0</v>
      </c>
      <c r="D1227" s="200">
        <v>0</v>
      </c>
      <c r="E1227" s="200">
        <v>0</v>
      </c>
      <c r="F1227" s="200">
        <v>0</v>
      </c>
      <c r="G1227" s="200">
        <v>0</v>
      </c>
      <c r="H1227" s="200">
        <v>0</v>
      </c>
      <c r="I1227" s="348">
        <f t="shared" si="26"/>
        <v>321381.76000000001</v>
      </c>
      <c r="J1227" s="192" t="s">
        <v>1016</v>
      </c>
    </row>
    <row r="1228" spans="1:10" hidden="1" outlineLevel="1">
      <c r="A1228" s="380" t="s">
        <v>1017</v>
      </c>
      <c r="B1228" s="199">
        <v>3604751.22</v>
      </c>
      <c r="C1228" s="200">
        <v>0</v>
      </c>
      <c r="D1228" s="200">
        <v>0</v>
      </c>
      <c r="E1228" s="200">
        <v>0</v>
      </c>
      <c r="F1228" s="200">
        <v>1996.82</v>
      </c>
      <c r="G1228" s="200">
        <v>1256</v>
      </c>
      <c r="H1228" s="200">
        <v>0</v>
      </c>
      <c r="I1228" s="348">
        <f t="shared" si="26"/>
        <v>3608004.04</v>
      </c>
      <c r="J1228" s="192" t="s">
        <v>1018</v>
      </c>
    </row>
    <row r="1229" spans="1:10" hidden="1" outlineLevel="1">
      <c r="A1229" s="380" t="s">
        <v>1019</v>
      </c>
      <c r="B1229" s="199">
        <v>32149.91</v>
      </c>
      <c r="C1229" s="200">
        <v>0</v>
      </c>
      <c r="D1229" s="200">
        <v>0</v>
      </c>
      <c r="E1229" s="200">
        <v>0</v>
      </c>
      <c r="F1229" s="200">
        <v>0</v>
      </c>
      <c r="G1229" s="200">
        <v>0</v>
      </c>
      <c r="H1229" s="200">
        <v>0</v>
      </c>
      <c r="I1229" s="348">
        <f t="shared" si="26"/>
        <v>32149.91</v>
      </c>
      <c r="J1229" s="192" t="s">
        <v>1020</v>
      </c>
    </row>
    <row r="1230" spans="1:10" hidden="1" outlineLevel="1">
      <c r="A1230" s="380" t="s">
        <v>1021</v>
      </c>
      <c r="B1230" s="199">
        <v>178064.16</v>
      </c>
      <c r="C1230" s="200">
        <v>0</v>
      </c>
      <c r="D1230" s="200">
        <v>0</v>
      </c>
      <c r="E1230" s="200">
        <v>0</v>
      </c>
      <c r="F1230" s="200">
        <v>29723.78</v>
      </c>
      <c r="G1230" s="200">
        <v>0</v>
      </c>
      <c r="H1230" s="200">
        <v>0</v>
      </c>
      <c r="I1230" s="348">
        <f t="shared" si="26"/>
        <v>207787.94</v>
      </c>
      <c r="J1230" s="192" t="s">
        <v>944</v>
      </c>
    </row>
    <row r="1231" spans="1:10" hidden="1" outlineLevel="1">
      <c r="A1231" s="380" t="s">
        <v>1022</v>
      </c>
      <c r="B1231" s="199">
        <v>359613.8</v>
      </c>
      <c r="C1231" s="200">
        <v>0</v>
      </c>
      <c r="D1231" s="200">
        <v>0</v>
      </c>
      <c r="E1231" s="200">
        <v>0</v>
      </c>
      <c r="F1231" s="200">
        <v>0</v>
      </c>
      <c r="G1231" s="200">
        <v>0</v>
      </c>
      <c r="H1231" s="200">
        <v>0</v>
      </c>
      <c r="I1231" s="348">
        <f t="shared" ref="I1231:I1294" si="27">SUM(B1231:H1231)</f>
        <v>359613.8</v>
      </c>
      <c r="J1231" s="192" t="s">
        <v>1023</v>
      </c>
    </row>
    <row r="1232" spans="1:10" hidden="1" outlineLevel="1">
      <c r="A1232" s="380" t="s">
        <v>1024</v>
      </c>
      <c r="B1232" s="199">
        <v>239718.18</v>
      </c>
      <c r="C1232" s="200">
        <v>0</v>
      </c>
      <c r="D1232" s="200">
        <v>0</v>
      </c>
      <c r="E1232" s="200">
        <v>0</v>
      </c>
      <c r="F1232" s="200">
        <v>0</v>
      </c>
      <c r="G1232" s="200">
        <v>0</v>
      </c>
      <c r="H1232" s="200">
        <v>0</v>
      </c>
      <c r="I1232" s="348">
        <f t="shared" si="27"/>
        <v>239718.18</v>
      </c>
      <c r="J1232" s="192" t="s">
        <v>1025</v>
      </c>
    </row>
    <row r="1233" spans="1:10" hidden="1" outlineLevel="1">
      <c r="A1233" s="380" t="s">
        <v>1026</v>
      </c>
      <c r="B1233" s="199">
        <v>80637.3</v>
      </c>
      <c r="C1233" s="200">
        <v>0</v>
      </c>
      <c r="D1233" s="200">
        <v>0</v>
      </c>
      <c r="E1233" s="200">
        <v>0</v>
      </c>
      <c r="F1233" s="200">
        <v>0</v>
      </c>
      <c r="G1233" s="200">
        <v>0</v>
      </c>
      <c r="H1233" s="200">
        <v>0</v>
      </c>
      <c r="I1233" s="348">
        <f t="shared" si="27"/>
        <v>80637.3</v>
      </c>
      <c r="J1233" s="192" t="s">
        <v>1027</v>
      </c>
    </row>
    <row r="1234" spans="1:10" hidden="1" outlineLevel="1">
      <c r="A1234" s="380" t="s">
        <v>1028</v>
      </c>
      <c r="B1234" s="199">
        <v>5017396.53</v>
      </c>
      <c r="C1234" s="200">
        <v>0</v>
      </c>
      <c r="D1234" s="200">
        <v>0</v>
      </c>
      <c r="E1234" s="200">
        <v>0</v>
      </c>
      <c r="F1234" s="200">
        <v>401.73</v>
      </c>
      <c r="G1234" s="200">
        <v>0</v>
      </c>
      <c r="H1234" s="200">
        <v>0</v>
      </c>
      <c r="I1234" s="348">
        <f t="shared" si="27"/>
        <v>5017798.2600000007</v>
      </c>
      <c r="J1234" s="192" t="s">
        <v>1029</v>
      </c>
    </row>
    <row r="1235" spans="1:10" hidden="1" outlineLevel="1">
      <c r="A1235" s="380" t="s">
        <v>1030</v>
      </c>
      <c r="B1235" s="199">
        <v>1094066.67</v>
      </c>
      <c r="C1235" s="200">
        <v>0</v>
      </c>
      <c r="D1235" s="200">
        <v>0</v>
      </c>
      <c r="E1235" s="200">
        <v>0</v>
      </c>
      <c r="F1235" s="200">
        <v>0</v>
      </c>
      <c r="G1235" s="200">
        <v>0</v>
      </c>
      <c r="H1235" s="200">
        <v>0</v>
      </c>
      <c r="I1235" s="348">
        <f t="shared" si="27"/>
        <v>1094066.67</v>
      </c>
      <c r="J1235" s="192" t="s">
        <v>1031</v>
      </c>
    </row>
    <row r="1236" spans="1:10" hidden="1" outlineLevel="1">
      <c r="A1236" s="380" t="s">
        <v>1032</v>
      </c>
      <c r="B1236" s="199">
        <v>600500.34</v>
      </c>
      <c r="C1236" s="200">
        <v>0</v>
      </c>
      <c r="D1236" s="200">
        <v>0</v>
      </c>
      <c r="E1236" s="200">
        <v>0</v>
      </c>
      <c r="F1236" s="200">
        <v>0</v>
      </c>
      <c r="G1236" s="200">
        <v>0</v>
      </c>
      <c r="H1236" s="200">
        <v>0</v>
      </c>
      <c r="I1236" s="348">
        <f t="shared" si="27"/>
        <v>600500.34</v>
      </c>
      <c r="J1236" s="192" t="s">
        <v>1033</v>
      </c>
    </row>
    <row r="1237" spans="1:10" hidden="1" outlineLevel="1">
      <c r="A1237" s="380" t="s">
        <v>1034</v>
      </c>
      <c r="B1237" s="199">
        <v>42118.09</v>
      </c>
      <c r="C1237" s="200">
        <v>0</v>
      </c>
      <c r="D1237" s="200">
        <v>0</v>
      </c>
      <c r="E1237" s="200">
        <v>0</v>
      </c>
      <c r="F1237" s="200">
        <v>0</v>
      </c>
      <c r="G1237" s="200">
        <v>0</v>
      </c>
      <c r="H1237" s="200">
        <v>0</v>
      </c>
      <c r="I1237" s="348">
        <f t="shared" si="27"/>
        <v>42118.09</v>
      </c>
      <c r="J1237" s="192" t="s">
        <v>1035</v>
      </c>
    </row>
    <row r="1238" spans="1:10" hidden="1" outlineLevel="1">
      <c r="A1238" s="380" t="s">
        <v>1036</v>
      </c>
      <c r="B1238" s="199">
        <v>1172000.1299999999</v>
      </c>
      <c r="C1238" s="200">
        <v>0</v>
      </c>
      <c r="D1238" s="200">
        <v>0</v>
      </c>
      <c r="E1238" s="200">
        <v>0</v>
      </c>
      <c r="F1238" s="200">
        <v>1220.4100000000001</v>
      </c>
      <c r="G1238" s="200">
        <v>0</v>
      </c>
      <c r="H1238" s="200">
        <v>0</v>
      </c>
      <c r="I1238" s="348">
        <f t="shared" si="27"/>
        <v>1173220.5399999998</v>
      </c>
      <c r="J1238" s="192" t="s">
        <v>1037</v>
      </c>
    </row>
    <row r="1239" spans="1:10" hidden="1" outlineLevel="1">
      <c r="A1239" s="380" t="s">
        <v>1038</v>
      </c>
      <c r="B1239" s="199">
        <v>247486.47</v>
      </c>
      <c r="C1239" s="200">
        <v>0</v>
      </c>
      <c r="D1239" s="200">
        <v>0</v>
      </c>
      <c r="E1239" s="200">
        <v>0</v>
      </c>
      <c r="F1239" s="200">
        <v>0</v>
      </c>
      <c r="G1239" s="200">
        <v>0</v>
      </c>
      <c r="H1239" s="200">
        <v>0</v>
      </c>
      <c r="I1239" s="348">
        <f t="shared" si="27"/>
        <v>247486.47</v>
      </c>
      <c r="J1239" s="192" t="s">
        <v>1039</v>
      </c>
    </row>
    <row r="1240" spans="1:10" hidden="1" outlineLevel="1">
      <c r="A1240" s="380" t="s">
        <v>1040</v>
      </c>
      <c r="B1240" s="199">
        <v>480195.29</v>
      </c>
      <c r="C1240" s="200">
        <v>0</v>
      </c>
      <c r="D1240" s="200">
        <v>0</v>
      </c>
      <c r="E1240" s="200">
        <v>0</v>
      </c>
      <c r="F1240" s="200">
        <v>0</v>
      </c>
      <c r="G1240" s="200">
        <v>0</v>
      </c>
      <c r="H1240" s="200">
        <v>0</v>
      </c>
      <c r="I1240" s="348">
        <f t="shared" si="27"/>
        <v>480195.29</v>
      </c>
      <c r="J1240" s="192" t="s">
        <v>1041</v>
      </c>
    </row>
    <row r="1241" spans="1:10" hidden="1" outlineLevel="1">
      <c r="A1241" s="380" t="s">
        <v>1042</v>
      </c>
      <c r="B1241" s="199">
        <v>330863.15999999997</v>
      </c>
      <c r="C1241" s="200">
        <v>0</v>
      </c>
      <c r="D1241" s="200">
        <v>0</v>
      </c>
      <c r="E1241" s="200">
        <v>0</v>
      </c>
      <c r="F1241" s="200">
        <v>0</v>
      </c>
      <c r="G1241" s="200">
        <v>0</v>
      </c>
      <c r="H1241" s="200">
        <v>0</v>
      </c>
      <c r="I1241" s="348">
        <f t="shared" si="27"/>
        <v>330863.15999999997</v>
      </c>
      <c r="J1241" s="192" t="s">
        <v>1043</v>
      </c>
    </row>
    <row r="1242" spans="1:10" hidden="1" outlineLevel="1">
      <c r="A1242" s="380" t="s">
        <v>1044</v>
      </c>
      <c r="B1242" s="199">
        <v>449089.81</v>
      </c>
      <c r="C1242" s="200">
        <v>0</v>
      </c>
      <c r="D1242" s="200">
        <v>0</v>
      </c>
      <c r="E1242" s="200">
        <v>0</v>
      </c>
      <c r="F1242" s="200">
        <v>0</v>
      </c>
      <c r="G1242" s="200">
        <v>0</v>
      </c>
      <c r="H1242" s="200">
        <v>0</v>
      </c>
      <c r="I1242" s="348">
        <f t="shared" si="27"/>
        <v>449089.81</v>
      </c>
      <c r="J1242" s="192" t="s">
        <v>1045</v>
      </c>
    </row>
    <row r="1243" spans="1:10" hidden="1" outlineLevel="1">
      <c r="A1243" s="380" t="s">
        <v>1046</v>
      </c>
      <c r="B1243" s="199">
        <v>731323.96</v>
      </c>
      <c r="C1243" s="200">
        <v>0</v>
      </c>
      <c r="D1243" s="200">
        <v>0</v>
      </c>
      <c r="E1243" s="200">
        <v>0</v>
      </c>
      <c r="F1243" s="200">
        <v>0</v>
      </c>
      <c r="G1243" s="200">
        <v>0</v>
      </c>
      <c r="H1243" s="200">
        <v>0</v>
      </c>
      <c r="I1243" s="348">
        <f t="shared" si="27"/>
        <v>731323.96</v>
      </c>
      <c r="J1243" s="192" t="s">
        <v>1047</v>
      </c>
    </row>
    <row r="1244" spans="1:10" hidden="1" outlineLevel="1">
      <c r="A1244" s="380" t="s">
        <v>1048</v>
      </c>
      <c r="B1244" s="199">
        <v>644785.51</v>
      </c>
      <c r="C1244" s="200">
        <v>0</v>
      </c>
      <c r="D1244" s="200">
        <v>0</v>
      </c>
      <c r="E1244" s="200">
        <v>0</v>
      </c>
      <c r="F1244" s="200">
        <v>0</v>
      </c>
      <c r="G1244" s="200">
        <v>0</v>
      </c>
      <c r="H1244" s="200">
        <v>0</v>
      </c>
      <c r="I1244" s="348">
        <f t="shared" si="27"/>
        <v>644785.51</v>
      </c>
      <c r="J1244" s="192" t="s">
        <v>1049</v>
      </c>
    </row>
    <row r="1245" spans="1:10" hidden="1" outlineLevel="1">
      <c r="A1245" s="380" t="s">
        <v>1050</v>
      </c>
      <c r="B1245" s="199">
        <v>382787.96</v>
      </c>
      <c r="C1245" s="200">
        <v>0</v>
      </c>
      <c r="D1245" s="200">
        <v>0</v>
      </c>
      <c r="E1245" s="200">
        <v>0</v>
      </c>
      <c r="F1245" s="200">
        <v>0</v>
      </c>
      <c r="G1245" s="200">
        <v>0</v>
      </c>
      <c r="H1245" s="200">
        <v>0</v>
      </c>
      <c r="I1245" s="348">
        <f t="shared" si="27"/>
        <v>382787.96</v>
      </c>
      <c r="J1245" s="192" t="s">
        <v>1051</v>
      </c>
    </row>
    <row r="1246" spans="1:10" hidden="1" outlineLevel="1">
      <c r="A1246" s="380" t="s">
        <v>1054</v>
      </c>
      <c r="B1246" s="199">
        <v>963240.65</v>
      </c>
      <c r="C1246" s="200">
        <v>0</v>
      </c>
      <c r="D1246" s="200">
        <v>0</v>
      </c>
      <c r="E1246" s="200">
        <v>0</v>
      </c>
      <c r="F1246" s="200">
        <v>0</v>
      </c>
      <c r="G1246" s="200">
        <v>0</v>
      </c>
      <c r="H1246" s="200">
        <v>0</v>
      </c>
      <c r="I1246" s="348">
        <f t="shared" si="27"/>
        <v>963240.65</v>
      </c>
      <c r="J1246" s="192" t="s">
        <v>1055</v>
      </c>
    </row>
    <row r="1247" spans="1:10" hidden="1" outlineLevel="1">
      <c r="A1247" s="380" t="s">
        <v>1056</v>
      </c>
      <c r="B1247" s="199">
        <v>291793.36</v>
      </c>
      <c r="C1247" s="200">
        <v>0</v>
      </c>
      <c r="D1247" s="200">
        <v>0</v>
      </c>
      <c r="E1247" s="200">
        <v>0</v>
      </c>
      <c r="F1247" s="200">
        <v>0</v>
      </c>
      <c r="G1247" s="200">
        <v>0</v>
      </c>
      <c r="H1247" s="200">
        <v>0</v>
      </c>
      <c r="I1247" s="348">
        <f t="shared" si="27"/>
        <v>291793.36</v>
      </c>
      <c r="J1247" s="192" t="s">
        <v>1057</v>
      </c>
    </row>
    <row r="1248" spans="1:10" hidden="1" outlineLevel="1">
      <c r="A1248" s="380" t="s">
        <v>1058</v>
      </c>
      <c r="B1248" s="199">
        <v>1220060.26</v>
      </c>
      <c r="C1248" s="200">
        <v>0</v>
      </c>
      <c r="D1248" s="200">
        <v>0</v>
      </c>
      <c r="E1248" s="200">
        <v>0</v>
      </c>
      <c r="F1248" s="200">
        <v>0</v>
      </c>
      <c r="G1248" s="200">
        <v>0</v>
      </c>
      <c r="H1248" s="200">
        <v>0</v>
      </c>
      <c r="I1248" s="348">
        <f t="shared" si="27"/>
        <v>1220060.26</v>
      </c>
      <c r="J1248" s="192" t="s">
        <v>1059</v>
      </c>
    </row>
    <row r="1249" spans="1:10" hidden="1" outlineLevel="1">
      <c r="A1249" s="380" t="s">
        <v>1060</v>
      </c>
      <c r="B1249" s="199">
        <v>8380.92</v>
      </c>
      <c r="C1249" s="200">
        <v>0</v>
      </c>
      <c r="D1249" s="200">
        <v>0</v>
      </c>
      <c r="E1249" s="200">
        <v>0</v>
      </c>
      <c r="F1249" s="200">
        <v>0</v>
      </c>
      <c r="G1249" s="200">
        <v>0</v>
      </c>
      <c r="H1249" s="200">
        <v>0</v>
      </c>
      <c r="I1249" s="348">
        <f t="shared" si="27"/>
        <v>8380.92</v>
      </c>
      <c r="J1249" s="192" t="s">
        <v>1061</v>
      </c>
    </row>
    <row r="1250" spans="1:10" hidden="1" outlineLevel="1">
      <c r="A1250" s="380" t="s">
        <v>1062</v>
      </c>
      <c r="B1250" s="199">
        <v>324374.99</v>
      </c>
      <c r="C1250" s="200">
        <v>0</v>
      </c>
      <c r="D1250" s="200">
        <v>0</v>
      </c>
      <c r="E1250" s="200">
        <v>0</v>
      </c>
      <c r="F1250" s="200">
        <v>0</v>
      </c>
      <c r="G1250" s="200">
        <v>0</v>
      </c>
      <c r="H1250" s="200">
        <v>0</v>
      </c>
      <c r="I1250" s="348">
        <f t="shared" si="27"/>
        <v>324374.99</v>
      </c>
      <c r="J1250" s="192" t="s">
        <v>1063</v>
      </c>
    </row>
    <row r="1251" spans="1:10" hidden="1" outlineLevel="1">
      <c r="A1251" s="380" t="s">
        <v>1064</v>
      </c>
      <c r="B1251" s="199">
        <v>1897250.78</v>
      </c>
      <c r="C1251" s="200">
        <v>0</v>
      </c>
      <c r="D1251" s="200">
        <v>0</v>
      </c>
      <c r="E1251" s="200">
        <v>0</v>
      </c>
      <c r="F1251" s="200">
        <v>0</v>
      </c>
      <c r="G1251" s="200">
        <v>0</v>
      </c>
      <c r="H1251" s="200">
        <v>0</v>
      </c>
      <c r="I1251" s="348">
        <f t="shared" si="27"/>
        <v>1897250.78</v>
      </c>
      <c r="J1251" s="192" t="s">
        <v>1065</v>
      </c>
    </row>
    <row r="1252" spans="1:10" hidden="1" outlineLevel="1">
      <c r="A1252" s="380" t="s">
        <v>1066</v>
      </c>
      <c r="B1252" s="199">
        <v>29756.51</v>
      </c>
      <c r="C1252" s="200">
        <v>0</v>
      </c>
      <c r="D1252" s="200">
        <v>0</v>
      </c>
      <c r="E1252" s="200">
        <v>0</v>
      </c>
      <c r="F1252" s="200">
        <v>0</v>
      </c>
      <c r="G1252" s="200">
        <v>0</v>
      </c>
      <c r="H1252" s="200">
        <v>0</v>
      </c>
      <c r="I1252" s="348">
        <f t="shared" si="27"/>
        <v>29756.51</v>
      </c>
      <c r="J1252" s="192" t="s">
        <v>1067</v>
      </c>
    </row>
    <row r="1253" spans="1:10" hidden="1" outlineLevel="1">
      <c r="A1253" s="380" t="s">
        <v>1068</v>
      </c>
      <c r="B1253" s="199">
        <v>1357244.55</v>
      </c>
      <c r="C1253" s="200">
        <v>0</v>
      </c>
      <c r="D1253" s="200">
        <v>0</v>
      </c>
      <c r="E1253" s="200">
        <v>0</v>
      </c>
      <c r="F1253" s="200">
        <v>0</v>
      </c>
      <c r="G1253" s="200">
        <v>0</v>
      </c>
      <c r="H1253" s="200">
        <v>0</v>
      </c>
      <c r="I1253" s="348">
        <f t="shared" si="27"/>
        <v>1357244.55</v>
      </c>
      <c r="J1253" s="192" t="s">
        <v>1069</v>
      </c>
    </row>
    <row r="1254" spans="1:10" hidden="1" outlineLevel="1">
      <c r="A1254" s="380" t="s">
        <v>1070</v>
      </c>
      <c r="B1254" s="199">
        <v>252348.33</v>
      </c>
      <c r="C1254" s="200">
        <v>0</v>
      </c>
      <c r="D1254" s="200">
        <v>0</v>
      </c>
      <c r="E1254" s="200">
        <v>0</v>
      </c>
      <c r="F1254" s="200">
        <v>0</v>
      </c>
      <c r="G1254" s="200">
        <v>0</v>
      </c>
      <c r="H1254" s="200">
        <v>0</v>
      </c>
      <c r="I1254" s="348">
        <f t="shared" si="27"/>
        <v>252348.33</v>
      </c>
      <c r="J1254" s="192" t="s">
        <v>1071</v>
      </c>
    </row>
    <row r="1255" spans="1:10" hidden="1" outlineLevel="1">
      <c r="A1255" s="380" t="s">
        <v>1072</v>
      </c>
      <c r="B1255" s="199">
        <v>688227.97</v>
      </c>
      <c r="C1255" s="200">
        <v>0</v>
      </c>
      <c r="D1255" s="200">
        <v>0</v>
      </c>
      <c r="E1255" s="200">
        <v>0</v>
      </c>
      <c r="F1255" s="200">
        <v>0</v>
      </c>
      <c r="G1255" s="200">
        <v>0</v>
      </c>
      <c r="H1255" s="200">
        <v>0</v>
      </c>
      <c r="I1255" s="348">
        <f t="shared" si="27"/>
        <v>688227.97</v>
      </c>
      <c r="J1255" s="192" t="s">
        <v>1073</v>
      </c>
    </row>
    <row r="1256" spans="1:10" hidden="1" outlineLevel="1">
      <c r="A1256" s="380" t="s">
        <v>1074</v>
      </c>
      <c r="B1256" s="199">
        <v>3435017.79</v>
      </c>
      <c r="C1256" s="200">
        <v>0</v>
      </c>
      <c r="D1256" s="200">
        <v>0</v>
      </c>
      <c r="E1256" s="200">
        <v>0</v>
      </c>
      <c r="F1256" s="200">
        <v>0</v>
      </c>
      <c r="G1256" s="200">
        <v>0</v>
      </c>
      <c r="H1256" s="200">
        <v>0</v>
      </c>
      <c r="I1256" s="348">
        <f t="shared" si="27"/>
        <v>3435017.79</v>
      </c>
      <c r="J1256" s="192" t="s">
        <v>1075</v>
      </c>
    </row>
    <row r="1257" spans="1:10" hidden="1" outlineLevel="1">
      <c r="A1257" s="380" t="s">
        <v>1076</v>
      </c>
      <c r="B1257" s="199">
        <v>326550.24</v>
      </c>
      <c r="C1257" s="200">
        <v>0</v>
      </c>
      <c r="D1257" s="200">
        <v>0</v>
      </c>
      <c r="E1257" s="200">
        <v>0</v>
      </c>
      <c r="F1257" s="200">
        <v>0</v>
      </c>
      <c r="G1257" s="200">
        <v>0</v>
      </c>
      <c r="H1257" s="200">
        <v>0</v>
      </c>
      <c r="I1257" s="348">
        <f t="shared" si="27"/>
        <v>326550.24</v>
      </c>
      <c r="J1257" s="192" t="s">
        <v>1077</v>
      </c>
    </row>
    <row r="1258" spans="1:10" hidden="1" outlineLevel="1">
      <c r="A1258" s="380" t="s">
        <v>1078</v>
      </c>
      <c r="B1258" s="199">
        <v>1391342.76</v>
      </c>
      <c r="C1258" s="200">
        <v>0</v>
      </c>
      <c r="D1258" s="200">
        <v>0</v>
      </c>
      <c r="E1258" s="200">
        <v>0</v>
      </c>
      <c r="F1258" s="200">
        <v>0</v>
      </c>
      <c r="G1258" s="200">
        <v>0</v>
      </c>
      <c r="H1258" s="200">
        <v>0</v>
      </c>
      <c r="I1258" s="348">
        <f t="shared" si="27"/>
        <v>1391342.76</v>
      </c>
      <c r="J1258" s="192" t="s">
        <v>1079</v>
      </c>
    </row>
    <row r="1259" spans="1:10" hidden="1" outlineLevel="1">
      <c r="A1259" s="380" t="s">
        <v>1080</v>
      </c>
      <c r="B1259" s="199">
        <v>84781.43</v>
      </c>
      <c r="C1259" s="200">
        <v>0</v>
      </c>
      <c r="D1259" s="200">
        <v>0</v>
      </c>
      <c r="E1259" s="200">
        <v>0</v>
      </c>
      <c r="F1259" s="200">
        <v>0</v>
      </c>
      <c r="G1259" s="200">
        <v>0</v>
      </c>
      <c r="H1259" s="200">
        <v>0</v>
      </c>
      <c r="I1259" s="348">
        <f t="shared" si="27"/>
        <v>84781.43</v>
      </c>
      <c r="J1259" s="192" t="s">
        <v>1081</v>
      </c>
    </row>
    <row r="1260" spans="1:10" hidden="1" outlineLevel="1">
      <c r="A1260" s="380" t="s">
        <v>1082</v>
      </c>
      <c r="B1260" s="199">
        <v>590576.5</v>
      </c>
      <c r="C1260" s="200">
        <v>0</v>
      </c>
      <c r="D1260" s="200">
        <v>0</v>
      </c>
      <c r="E1260" s="200">
        <v>0</v>
      </c>
      <c r="F1260" s="200">
        <v>0</v>
      </c>
      <c r="G1260" s="200">
        <v>0</v>
      </c>
      <c r="H1260" s="200">
        <v>0</v>
      </c>
      <c r="I1260" s="348">
        <f t="shared" si="27"/>
        <v>590576.5</v>
      </c>
      <c r="J1260" s="192" t="s">
        <v>1083</v>
      </c>
    </row>
    <row r="1261" spans="1:10" hidden="1" outlineLevel="1">
      <c r="A1261" s="380" t="s">
        <v>1084</v>
      </c>
      <c r="B1261" s="199">
        <v>472812.47</v>
      </c>
      <c r="C1261" s="200">
        <v>0</v>
      </c>
      <c r="D1261" s="200">
        <v>0</v>
      </c>
      <c r="E1261" s="200">
        <v>0</v>
      </c>
      <c r="F1261" s="200">
        <v>0</v>
      </c>
      <c r="G1261" s="200">
        <v>0</v>
      </c>
      <c r="H1261" s="200">
        <v>0</v>
      </c>
      <c r="I1261" s="348">
        <f t="shared" si="27"/>
        <v>472812.47</v>
      </c>
      <c r="J1261" s="192" t="s">
        <v>1085</v>
      </c>
    </row>
    <row r="1262" spans="1:10" hidden="1" outlineLevel="1">
      <c r="A1262" s="380" t="s">
        <v>1086</v>
      </c>
      <c r="B1262" s="199">
        <v>227252.77</v>
      </c>
      <c r="C1262" s="200">
        <v>0</v>
      </c>
      <c r="D1262" s="200">
        <v>0</v>
      </c>
      <c r="E1262" s="200">
        <v>0</v>
      </c>
      <c r="F1262" s="200">
        <v>0</v>
      </c>
      <c r="G1262" s="200">
        <v>0</v>
      </c>
      <c r="H1262" s="200">
        <v>0</v>
      </c>
      <c r="I1262" s="348">
        <f t="shared" si="27"/>
        <v>227252.77</v>
      </c>
      <c r="J1262" s="192" t="s">
        <v>1087</v>
      </c>
    </row>
    <row r="1263" spans="1:10" hidden="1" outlineLevel="1">
      <c r="A1263" s="380" t="s">
        <v>1088</v>
      </c>
      <c r="B1263" s="199">
        <v>122473.81</v>
      </c>
      <c r="C1263" s="200">
        <v>0</v>
      </c>
      <c r="D1263" s="200">
        <v>0</v>
      </c>
      <c r="E1263" s="200">
        <v>0</v>
      </c>
      <c r="F1263" s="200">
        <v>0</v>
      </c>
      <c r="G1263" s="200">
        <v>0</v>
      </c>
      <c r="H1263" s="200">
        <v>0</v>
      </c>
      <c r="I1263" s="348">
        <f t="shared" si="27"/>
        <v>122473.81</v>
      </c>
      <c r="J1263" s="192" t="s">
        <v>1089</v>
      </c>
    </row>
    <row r="1264" spans="1:10" hidden="1" outlineLevel="1">
      <c r="A1264" s="380" t="s">
        <v>1090</v>
      </c>
      <c r="B1264" s="199">
        <v>802111.11</v>
      </c>
      <c r="C1264" s="200">
        <v>0</v>
      </c>
      <c r="D1264" s="200">
        <v>0</v>
      </c>
      <c r="E1264" s="200">
        <v>0</v>
      </c>
      <c r="F1264" s="200">
        <v>0</v>
      </c>
      <c r="G1264" s="200">
        <v>0</v>
      </c>
      <c r="H1264" s="200">
        <v>0</v>
      </c>
      <c r="I1264" s="348">
        <f t="shared" si="27"/>
        <v>802111.11</v>
      </c>
      <c r="J1264" s="192" t="s">
        <v>1091</v>
      </c>
    </row>
    <row r="1265" spans="1:10" hidden="1" outlineLevel="1">
      <c r="A1265" s="380" t="s">
        <v>1092</v>
      </c>
      <c r="B1265" s="199">
        <v>1038341.31</v>
      </c>
      <c r="C1265" s="200">
        <v>0</v>
      </c>
      <c r="D1265" s="200">
        <v>0</v>
      </c>
      <c r="E1265" s="200">
        <v>0</v>
      </c>
      <c r="F1265" s="200">
        <v>826.24</v>
      </c>
      <c r="G1265" s="200">
        <v>0</v>
      </c>
      <c r="H1265" s="200">
        <v>0</v>
      </c>
      <c r="I1265" s="348">
        <f t="shared" si="27"/>
        <v>1039167.55</v>
      </c>
      <c r="J1265" s="192" t="s">
        <v>1093</v>
      </c>
    </row>
    <row r="1266" spans="1:10" hidden="1" outlineLevel="1">
      <c r="A1266" s="380" t="s">
        <v>1094</v>
      </c>
      <c r="B1266" s="199">
        <v>79328.98</v>
      </c>
      <c r="C1266" s="200">
        <v>0</v>
      </c>
      <c r="D1266" s="200">
        <v>0</v>
      </c>
      <c r="E1266" s="200">
        <v>0</v>
      </c>
      <c r="F1266" s="200">
        <v>0</v>
      </c>
      <c r="G1266" s="200">
        <v>0</v>
      </c>
      <c r="H1266" s="200">
        <v>0</v>
      </c>
      <c r="I1266" s="348">
        <f t="shared" si="27"/>
        <v>79328.98</v>
      </c>
      <c r="J1266" s="192" t="s">
        <v>1095</v>
      </c>
    </row>
    <row r="1267" spans="1:10" hidden="1" outlineLevel="1">
      <c r="A1267" s="380" t="s">
        <v>1096</v>
      </c>
      <c r="B1267" s="199">
        <v>315789.87</v>
      </c>
      <c r="C1267" s="200">
        <v>0</v>
      </c>
      <c r="D1267" s="200">
        <v>0</v>
      </c>
      <c r="E1267" s="200">
        <v>0</v>
      </c>
      <c r="F1267" s="200">
        <v>0</v>
      </c>
      <c r="G1267" s="200">
        <v>0</v>
      </c>
      <c r="H1267" s="200">
        <v>0</v>
      </c>
      <c r="I1267" s="348">
        <f t="shared" si="27"/>
        <v>315789.87</v>
      </c>
      <c r="J1267" s="192" t="s">
        <v>1097</v>
      </c>
    </row>
    <row r="1268" spans="1:10" hidden="1" outlineLevel="1">
      <c r="A1268" s="380" t="s">
        <v>1098</v>
      </c>
      <c r="B1268" s="199">
        <v>25825.85</v>
      </c>
      <c r="C1268" s="200">
        <v>0</v>
      </c>
      <c r="D1268" s="200">
        <v>0</v>
      </c>
      <c r="E1268" s="200">
        <v>0</v>
      </c>
      <c r="F1268" s="200">
        <v>0</v>
      </c>
      <c r="G1268" s="200">
        <v>0</v>
      </c>
      <c r="H1268" s="200">
        <v>0</v>
      </c>
      <c r="I1268" s="348">
        <f t="shared" si="27"/>
        <v>25825.85</v>
      </c>
      <c r="J1268" s="192" t="s">
        <v>1099</v>
      </c>
    </row>
    <row r="1269" spans="1:10" hidden="1" outlineLevel="1">
      <c r="A1269" s="380" t="s">
        <v>1100</v>
      </c>
      <c r="B1269" s="199">
        <v>3308091.69</v>
      </c>
      <c r="C1269" s="200">
        <v>0</v>
      </c>
      <c r="D1269" s="200">
        <v>0</v>
      </c>
      <c r="E1269" s="200">
        <v>0</v>
      </c>
      <c r="F1269" s="200">
        <v>3697.32</v>
      </c>
      <c r="G1269" s="200">
        <v>0</v>
      </c>
      <c r="H1269" s="200">
        <v>0</v>
      </c>
      <c r="I1269" s="348">
        <f t="shared" si="27"/>
        <v>3311789.01</v>
      </c>
      <c r="J1269" s="192" t="s">
        <v>1101</v>
      </c>
    </row>
    <row r="1270" spans="1:10" hidden="1" outlineLevel="1">
      <c r="A1270" s="380" t="s">
        <v>1102</v>
      </c>
      <c r="B1270" s="199">
        <v>191014.15</v>
      </c>
      <c r="C1270" s="200">
        <v>0</v>
      </c>
      <c r="D1270" s="200">
        <v>0</v>
      </c>
      <c r="E1270" s="200">
        <v>0</v>
      </c>
      <c r="F1270" s="200">
        <v>0</v>
      </c>
      <c r="G1270" s="200">
        <v>0</v>
      </c>
      <c r="H1270" s="200">
        <v>0</v>
      </c>
      <c r="I1270" s="348">
        <f t="shared" si="27"/>
        <v>191014.15</v>
      </c>
      <c r="J1270" s="192" t="s">
        <v>1103</v>
      </c>
    </row>
    <row r="1271" spans="1:10" hidden="1" outlineLevel="1">
      <c r="A1271" s="380" t="s">
        <v>1104</v>
      </c>
      <c r="B1271" s="199">
        <v>221171.41</v>
      </c>
      <c r="C1271" s="200">
        <v>0</v>
      </c>
      <c r="D1271" s="200">
        <v>0</v>
      </c>
      <c r="E1271" s="200">
        <v>0</v>
      </c>
      <c r="F1271" s="200">
        <v>0</v>
      </c>
      <c r="G1271" s="200">
        <v>0</v>
      </c>
      <c r="H1271" s="200">
        <v>0</v>
      </c>
      <c r="I1271" s="348">
        <f t="shared" si="27"/>
        <v>221171.41</v>
      </c>
      <c r="J1271" s="192" t="s">
        <v>1105</v>
      </c>
    </row>
    <row r="1272" spans="1:10" hidden="1" outlineLevel="1">
      <c r="A1272" s="380" t="s">
        <v>1106</v>
      </c>
      <c r="B1272" s="199">
        <v>66527.289999999994</v>
      </c>
      <c r="C1272" s="200">
        <v>0</v>
      </c>
      <c r="D1272" s="200">
        <v>0</v>
      </c>
      <c r="E1272" s="200">
        <v>0</v>
      </c>
      <c r="F1272" s="200">
        <v>0</v>
      </c>
      <c r="G1272" s="200">
        <v>0</v>
      </c>
      <c r="H1272" s="200">
        <v>0</v>
      </c>
      <c r="I1272" s="348">
        <f t="shared" si="27"/>
        <v>66527.289999999994</v>
      </c>
      <c r="J1272" s="192" t="s">
        <v>1107</v>
      </c>
    </row>
    <row r="1273" spans="1:10" hidden="1" outlineLevel="1">
      <c r="A1273" s="380" t="s">
        <v>1108</v>
      </c>
      <c r="B1273" s="199">
        <v>941929.17</v>
      </c>
      <c r="C1273" s="200">
        <v>0</v>
      </c>
      <c r="D1273" s="200">
        <v>0</v>
      </c>
      <c r="E1273" s="200">
        <v>0</v>
      </c>
      <c r="F1273" s="200">
        <v>0</v>
      </c>
      <c r="G1273" s="200">
        <v>0</v>
      </c>
      <c r="H1273" s="200">
        <v>0</v>
      </c>
      <c r="I1273" s="348">
        <f t="shared" si="27"/>
        <v>941929.17</v>
      </c>
      <c r="J1273" s="192" t="s">
        <v>1109</v>
      </c>
    </row>
    <row r="1274" spans="1:10" hidden="1" outlineLevel="1">
      <c r="A1274" s="380" t="s">
        <v>1110</v>
      </c>
      <c r="B1274" s="199">
        <v>254763.87</v>
      </c>
      <c r="C1274" s="200">
        <v>0</v>
      </c>
      <c r="D1274" s="200">
        <v>0</v>
      </c>
      <c r="E1274" s="200">
        <v>0</v>
      </c>
      <c r="F1274" s="200">
        <v>0</v>
      </c>
      <c r="G1274" s="200">
        <v>0</v>
      </c>
      <c r="H1274" s="200">
        <v>0</v>
      </c>
      <c r="I1274" s="348">
        <f t="shared" si="27"/>
        <v>254763.87</v>
      </c>
      <c r="J1274" s="192" t="s">
        <v>1111</v>
      </c>
    </row>
    <row r="1275" spans="1:10" hidden="1" outlineLevel="1">
      <c r="A1275" s="380" t="s">
        <v>1112</v>
      </c>
      <c r="B1275" s="199">
        <v>2635891.87</v>
      </c>
      <c r="C1275" s="200">
        <v>0</v>
      </c>
      <c r="D1275" s="200">
        <v>0</v>
      </c>
      <c r="E1275" s="200">
        <v>0</v>
      </c>
      <c r="F1275" s="200">
        <v>0</v>
      </c>
      <c r="G1275" s="200">
        <v>0</v>
      </c>
      <c r="H1275" s="200">
        <v>0</v>
      </c>
      <c r="I1275" s="348">
        <f t="shared" si="27"/>
        <v>2635891.87</v>
      </c>
      <c r="J1275" s="192" t="s">
        <v>1113</v>
      </c>
    </row>
    <row r="1276" spans="1:10" hidden="1" outlineLevel="1">
      <c r="A1276" s="380" t="s">
        <v>1114</v>
      </c>
      <c r="B1276" s="199">
        <v>124378.6</v>
      </c>
      <c r="C1276" s="200">
        <v>0</v>
      </c>
      <c r="D1276" s="200">
        <v>0</v>
      </c>
      <c r="E1276" s="200">
        <v>0</v>
      </c>
      <c r="F1276" s="200">
        <v>0</v>
      </c>
      <c r="G1276" s="200">
        <v>0</v>
      </c>
      <c r="H1276" s="200">
        <v>0</v>
      </c>
      <c r="I1276" s="348">
        <f t="shared" si="27"/>
        <v>124378.6</v>
      </c>
      <c r="J1276" s="192" t="s">
        <v>1115</v>
      </c>
    </row>
    <row r="1277" spans="1:10" hidden="1" outlineLevel="1">
      <c r="A1277" s="380" t="s">
        <v>1116</v>
      </c>
      <c r="B1277" s="199">
        <v>344375.81</v>
      </c>
      <c r="C1277" s="200">
        <v>0</v>
      </c>
      <c r="D1277" s="200">
        <v>0</v>
      </c>
      <c r="E1277" s="200">
        <v>0</v>
      </c>
      <c r="F1277" s="200">
        <v>285.52999999999997</v>
      </c>
      <c r="G1277" s="200">
        <v>0</v>
      </c>
      <c r="H1277" s="200">
        <v>0</v>
      </c>
      <c r="I1277" s="348">
        <f t="shared" si="27"/>
        <v>344661.34</v>
      </c>
      <c r="J1277" s="192" t="s">
        <v>1117</v>
      </c>
    </row>
    <row r="1278" spans="1:10" hidden="1" outlineLevel="1">
      <c r="A1278" s="380" t="s">
        <v>1118</v>
      </c>
      <c r="B1278" s="199">
        <v>3247483.88</v>
      </c>
      <c r="C1278" s="200">
        <v>0</v>
      </c>
      <c r="D1278" s="200">
        <v>0</v>
      </c>
      <c r="E1278" s="200">
        <v>0</v>
      </c>
      <c r="F1278" s="200">
        <v>0</v>
      </c>
      <c r="G1278" s="200">
        <v>0</v>
      </c>
      <c r="H1278" s="200">
        <v>0</v>
      </c>
      <c r="I1278" s="348">
        <f t="shared" si="27"/>
        <v>3247483.88</v>
      </c>
      <c r="J1278" s="192" t="s">
        <v>1119</v>
      </c>
    </row>
    <row r="1279" spans="1:10" hidden="1" outlineLevel="1">
      <c r="A1279" s="380" t="s">
        <v>1120</v>
      </c>
      <c r="B1279" s="199">
        <v>8087128.4100000001</v>
      </c>
      <c r="C1279" s="200">
        <v>0</v>
      </c>
      <c r="D1279" s="200">
        <v>0</v>
      </c>
      <c r="E1279" s="200">
        <v>0</v>
      </c>
      <c r="F1279" s="200">
        <v>0</v>
      </c>
      <c r="G1279" s="200">
        <v>0</v>
      </c>
      <c r="H1279" s="200">
        <v>0</v>
      </c>
      <c r="I1279" s="348">
        <f t="shared" si="27"/>
        <v>8087128.4100000001</v>
      </c>
      <c r="J1279" s="192" t="s">
        <v>1121</v>
      </c>
    </row>
    <row r="1280" spans="1:10" hidden="1" outlineLevel="1">
      <c r="A1280" s="380" t="s">
        <v>1122</v>
      </c>
      <c r="B1280" s="199">
        <v>549820.56000000006</v>
      </c>
      <c r="C1280" s="200">
        <v>0</v>
      </c>
      <c r="D1280" s="200">
        <v>0</v>
      </c>
      <c r="E1280" s="200">
        <v>0</v>
      </c>
      <c r="F1280" s="200">
        <v>0</v>
      </c>
      <c r="G1280" s="200">
        <v>0</v>
      </c>
      <c r="H1280" s="200">
        <v>0</v>
      </c>
      <c r="I1280" s="348">
        <f t="shared" si="27"/>
        <v>549820.56000000006</v>
      </c>
      <c r="J1280" s="192" t="s">
        <v>1123</v>
      </c>
    </row>
    <row r="1281" spans="1:10" hidden="1" outlineLevel="1">
      <c r="A1281" s="380" t="s">
        <v>1122</v>
      </c>
      <c r="B1281" s="199">
        <v>441285.62</v>
      </c>
      <c r="C1281" s="200">
        <v>0</v>
      </c>
      <c r="D1281" s="200">
        <v>0</v>
      </c>
      <c r="E1281" s="200">
        <v>0</v>
      </c>
      <c r="F1281" s="200">
        <v>0</v>
      </c>
      <c r="G1281" s="200">
        <v>0</v>
      </c>
      <c r="H1281" s="200">
        <v>0</v>
      </c>
      <c r="I1281" s="348">
        <f t="shared" si="27"/>
        <v>441285.62</v>
      </c>
      <c r="J1281" s="192" t="s">
        <v>1123</v>
      </c>
    </row>
    <row r="1282" spans="1:10" hidden="1" outlineLevel="1">
      <c r="A1282" s="380" t="s">
        <v>1124</v>
      </c>
      <c r="B1282" s="199">
        <v>13738.78</v>
      </c>
      <c r="C1282" s="200">
        <v>0</v>
      </c>
      <c r="D1282" s="200">
        <v>0</v>
      </c>
      <c r="E1282" s="200">
        <v>0</v>
      </c>
      <c r="F1282" s="200">
        <v>0</v>
      </c>
      <c r="G1282" s="200">
        <v>0</v>
      </c>
      <c r="H1282" s="200">
        <v>0</v>
      </c>
      <c r="I1282" s="348">
        <f t="shared" si="27"/>
        <v>13738.78</v>
      </c>
      <c r="J1282" s="192" t="s">
        <v>1125</v>
      </c>
    </row>
    <row r="1283" spans="1:10" hidden="1" outlineLevel="1">
      <c r="A1283" s="380" t="s">
        <v>1126</v>
      </c>
      <c r="B1283" s="199">
        <v>269215.56</v>
      </c>
      <c r="C1283" s="200">
        <v>0</v>
      </c>
      <c r="D1283" s="200">
        <v>0</v>
      </c>
      <c r="E1283" s="200">
        <v>0</v>
      </c>
      <c r="F1283" s="200">
        <v>0</v>
      </c>
      <c r="G1283" s="200">
        <v>0</v>
      </c>
      <c r="H1283" s="200">
        <v>0</v>
      </c>
      <c r="I1283" s="348">
        <f t="shared" si="27"/>
        <v>269215.56</v>
      </c>
      <c r="J1283" s="192" t="s">
        <v>1127</v>
      </c>
    </row>
    <row r="1284" spans="1:10" hidden="1" outlineLevel="1">
      <c r="A1284" s="380" t="s">
        <v>1128</v>
      </c>
      <c r="B1284" s="199">
        <v>2538305.9900000002</v>
      </c>
      <c r="C1284" s="200">
        <v>0</v>
      </c>
      <c r="D1284" s="200">
        <v>0</v>
      </c>
      <c r="E1284" s="200">
        <v>0</v>
      </c>
      <c r="F1284" s="200">
        <v>0</v>
      </c>
      <c r="G1284" s="200">
        <v>0</v>
      </c>
      <c r="H1284" s="200">
        <v>0</v>
      </c>
      <c r="I1284" s="348">
        <f t="shared" si="27"/>
        <v>2538305.9900000002</v>
      </c>
      <c r="J1284" s="192" t="s">
        <v>1129</v>
      </c>
    </row>
    <row r="1285" spans="1:10" hidden="1" outlineLevel="1">
      <c r="A1285" s="380" t="s">
        <v>1130</v>
      </c>
      <c r="B1285" s="199">
        <v>259298.55</v>
      </c>
      <c r="C1285" s="200">
        <v>0</v>
      </c>
      <c r="D1285" s="200">
        <v>0</v>
      </c>
      <c r="E1285" s="200">
        <v>0</v>
      </c>
      <c r="F1285" s="200">
        <v>0</v>
      </c>
      <c r="G1285" s="200">
        <v>0</v>
      </c>
      <c r="H1285" s="200">
        <v>0</v>
      </c>
      <c r="I1285" s="348">
        <f t="shared" si="27"/>
        <v>259298.55</v>
      </c>
      <c r="J1285" s="192" t="s">
        <v>1131</v>
      </c>
    </row>
    <row r="1286" spans="1:10" hidden="1" outlineLevel="1">
      <c r="A1286" s="380" t="s">
        <v>1132</v>
      </c>
      <c r="B1286" s="199">
        <v>135483.97</v>
      </c>
      <c r="C1286" s="200">
        <v>0</v>
      </c>
      <c r="D1286" s="200">
        <v>0</v>
      </c>
      <c r="E1286" s="200">
        <v>0</v>
      </c>
      <c r="F1286" s="200">
        <v>0</v>
      </c>
      <c r="G1286" s="200">
        <v>0</v>
      </c>
      <c r="H1286" s="200">
        <v>0</v>
      </c>
      <c r="I1286" s="348">
        <f t="shared" si="27"/>
        <v>135483.97</v>
      </c>
      <c r="J1286" s="192" t="s">
        <v>1133</v>
      </c>
    </row>
    <row r="1287" spans="1:10" hidden="1" outlineLevel="1">
      <c r="A1287" s="380" t="s">
        <v>1134</v>
      </c>
      <c r="B1287" s="199">
        <v>158092.47</v>
      </c>
      <c r="C1287" s="200">
        <v>0</v>
      </c>
      <c r="D1287" s="200">
        <v>0</v>
      </c>
      <c r="E1287" s="200">
        <v>0</v>
      </c>
      <c r="F1287" s="200">
        <v>0</v>
      </c>
      <c r="G1287" s="200">
        <v>0</v>
      </c>
      <c r="H1287" s="200">
        <v>0</v>
      </c>
      <c r="I1287" s="348">
        <f t="shared" si="27"/>
        <v>158092.47</v>
      </c>
      <c r="J1287" s="192" t="s">
        <v>1135</v>
      </c>
    </row>
    <row r="1288" spans="1:10" hidden="1" outlineLevel="1">
      <c r="A1288" s="380" t="s">
        <v>1136</v>
      </c>
      <c r="B1288" s="199">
        <v>297293.14</v>
      </c>
      <c r="C1288" s="200">
        <v>0</v>
      </c>
      <c r="D1288" s="200">
        <v>0</v>
      </c>
      <c r="E1288" s="200">
        <v>0</v>
      </c>
      <c r="F1288" s="200">
        <v>0</v>
      </c>
      <c r="G1288" s="200">
        <v>0</v>
      </c>
      <c r="H1288" s="200">
        <v>0</v>
      </c>
      <c r="I1288" s="348">
        <f t="shared" si="27"/>
        <v>297293.14</v>
      </c>
      <c r="J1288" s="192" t="s">
        <v>1137</v>
      </c>
    </row>
    <row r="1289" spans="1:10" hidden="1" outlineLevel="1">
      <c r="A1289" s="380" t="s">
        <v>1138</v>
      </c>
      <c r="B1289" s="199">
        <v>4043234.66</v>
      </c>
      <c r="C1289" s="200">
        <v>0</v>
      </c>
      <c r="D1289" s="200">
        <v>0</v>
      </c>
      <c r="E1289" s="200">
        <v>0</v>
      </c>
      <c r="F1289" s="200">
        <v>0</v>
      </c>
      <c r="G1289" s="200">
        <v>0</v>
      </c>
      <c r="H1289" s="200">
        <v>0</v>
      </c>
      <c r="I1289" s="348">
        <f t="shared" si="27"/>
        <v>4043234.66</v>
      </c>
      <c r="J1289" s="192" t="s">
        <v>1139</v>
      </c>
    </row>
    <row r="1290" spans="1:10" hidden="1" outlineLevel="1">
      <c r="A1290" s="380" t="s">
        <v>726</v>
      </c>
      <c r="B1290" s="199">
        <v>2173.06</v>
      </c>
      <c r="C1290" s="200">
        <v>0</v>
      </c>
      <c r="D1290" s="200">
        <v>0</v>
      </c>
      <c r="E1290" s="200">
        <v>0</v>
      </c>
      <c r="F1290" s="200">
        <v>0</v>
      </c>
      <c r="G1290" s="200">
        <v>0</v>
      </c>
      <c r="H1290" s="200">
        <v>0</v>
      </c>
      <c r="I1290" s="348">
        <f t="shared" si="27"/>
        <v>2173.06</v>
      </c>
      <c r="J1290" s="192" t="s">
        <v>727</v>
      </c>
    </row>
    <row r="1291" spans="1:10" hidden="1" outlineLevel="1">
      <c r="A1291" s="380" t="s">
        <v>1140</v>
      </c>
      <c r="B1291" s="199">
        <v>3087880.86</v>
      </c>
      <c r="C1291" s="200">
        <v>0</v>
      </c>
      <c r="D1291" s="200">
        <v>0</v>
      </c>
      <c r="E1291" s="200">
        <v>0</v>
      </c>
      <c r="F1291" s="200">
        <v>0</v>
      </c>
      <c r="G1291" s="200">
        <v>0</v>
      </c>
      <c r="H1291" s="200">
        <v>0</v>
      </c>
      <c r="I1291" s="348">
        <f t="shared" si="27"/>
        <v>3087880.86</v>
      </c>
      <c r="J1291" s="192" t="s">
        <v>1141</v>
      </c>
    </row>
    <row r="1292" spans="1:10" hidden="1" outlineLevel="1">
      <c r="A1292" s="380" t="s">
        <v>1142</v>
      </c>
      <c r="B1292" s="199">
        <v>5034177.78</v>
      </c>
      <c r="C1292" s="200">
        <v>0</v>
      </c>
      <c r="D1292" s="200">
        <v>0</v>
      </c>
      <c r="E1292" s="200">
        <v>0</v>
      </c>
      <c r="F1292" s="200">
        <v>11436.05</v>
      </c>
      <c r="G1292" s="200">
        <v>1894.84</v>
      </c>
      <c r="H1292" s="200">
        <v>0</v>
      </c>
      <c r="I1292" s="348">
        <f t="shared" si="27"/>
        <v>5047508.67</v>
      </c>
      <c r="J1292" s="192" t="s">
        <v>1143</v>
      </c>
    </row>
    <row r="1293" spans="1:10" hidden="1" outlineLevel="1">
      <c r="A1293" s="380" t="s">
        <v>730</v>
      </c>
      <c r="B1293" s="199">
        <v>24846.31</v>
      </c>
      <c r="C1293" s="200">
        <v>0</v>
      </c>
      <c r="D1293" s="200">
        <v>0</v>
      </c>
      <c r="E1293" s="200">
        <v>0</v>
      </c>
      <c r="F1293" s="200">
        <v>0</v>
      </c>
      <c r="G1293" s="200">
        <v>0</v>
      </c>
      <c r="H1293" s="200">
        <v>0</v>
      </c>
      <c r="I1293" s="348">
        <f t="shared" si="27"/>
        <v>24846.31</v>
      </c>
      <c r="J1293" s="192" t="s">
        <v>731</v>
      </c>
    </row>
    <row r="1294" spans="1:10" hidden="1" outlineLevel="1">
      <c r="A1294" s="380" t="s">
        <v>1144</v>
      </c>
      <c r="B1294" s="199">
        <v>329075.13</v>
      </c>
      <c r="C1294" s="200">
        <v>0</v>
      </c>
      <c r="D1294" s="200">
        <v>0</v>
      </c>
      <c r="E1294" s="200">
        <v>0</v>
      </c>
      <c r="F1294" s="200">
        <v>0</v>
      </c>
      <c r="G1294" s="200">
        <v>0</v>
      </c>
      <c r="H1294" s="200">
        <v>0</v>
      </c>
      <c r="I1294" s="348">
        <f t="shared" si="27"/>
        <v>329075.13</v>
      </c>
      <c r="J1294" s="192" t="s">
        <v>1145</v>
      </c>
    </row>
    <row r="1295" spans="1:10" hidden="1" outlineLevel="1">
      <c r="A1295" s="380" t="s">
        <v>1146</v>
      </c>
      <c r="B1295" s="199">
        <v>583287.22</v>
      </c>
      <c r="C1295" s="200">
        <v>0</v>
      </c>
      <c r="D1295" s="200">
        <v>0</v>
      </c>
      <c r="E1295" s="200">
        <v>0</v>
      </c>
      <c r="F1295" s="200">
        <v>0</v>
      </c>
      <c r="G1295" s="200">
        <v>0</v>
      </c>
      <c r="H1295" s="200">
        <v>0</v>
      </c>
      <c r="I1295" s="348">
        <f t="shared" ref="I1295:I1337" si="28">SUM(B1295:H1295)</f>
        <v>583287.22</v>
      </c>
      <c r="J1295" s="192" t="s">
        <v>1147</v>
      </c>
    </row>
    <row r="1296" spans="1:10" hidden="1" outlineLevel="1">
      <c r="A1296" s="380" t="s">
        <v>1148</v>
      </c>
      <c r="B1296" s="199">
        <v>176278.64</v>
      </c>
      <c r="C1296" s="200">
        <v>0</v>
      </c>
      <c r="D1296" s="200">
        <v>0</v>
      </c>
      <c r="E1296" s="200">
        <v>0</v>
      </c>
      <c r="F1296" s="200">
        <v>0</v>
      </c>
      <c r="G1296" s="200">
        <v>0</v>
      </c>
      <c r="H1296" s="200">
        <v>0</v>
      </c>
      <c r="I1296" s="348">
        <f t="shared" si="28"/>
        <v>176278.64</v>
      </c>
      <c r="J1296" s="192" t="s">
        <v>1149</v>
      </c>
    </row>
    <row r="1297" spans="1:10" hidden="1" outlineLevel="1">
      <c r="A1297" s="380" t="s">
        <v>1150</v>
      </c>
      <c r="B1297" s="199">
        <v>1195409.3999999999</v>
      </c>
      <c r="C1297" s="200">
        <v>0</v>
      </c>
      <c r="D1297" s="200">
        <v>0</v>
      </c>
      <c r="E1297" s="200">
        <v>0</v>
      </c>
      <c r="F1297" s="200">
        <v>0</v>
      </c>
      <c r="G1297" s="200">
        <v>0</v>
      </c>
      <c r="H1297" s="200">
        <v>0</v>
      </c>
      <c r="I1297" s="348">
        <f t="shared" si="28"/>
        <v>1195409.3999999999</v>
      </c>
      <c r="J1297" s="192" t="s">
        <v>1151</v>
      </c>
    </row>
    <row r="1298" spans="1:10" hidden="1" outlineLevel="1">
      <c r="A1298" s="380" t="s">
        <v>1152</v>
      </c>
      <c r="B1298" s="199">
        <v>375592.1</v>
      </c>
      <c r="C1298" s="200">
        <v>0</v>
      </c>
      <c r="D1298" s="200">
        <v>0</v>
      </c>
      <c r="E1298" s="200">
        <v>0</v>
      </c>
      <c r="F1298" s="200">
        <v>0</v>
      </c>
      <c r="G1298" s="200">
        <v>0</v>
      </c>
      <c r="H1298" s="200">
        <v>0</v>
      </c>
      <c r="I1298" s="348">
        <f t="shared" si="28"/>
        <v>375592.1</v>
      </c>
      <c r="J1298" s="192" t="s">
        <v>1153</v>
      </c>
    </row>
    <row r="1299" spans="1:10" hidden="1" outlineLevel="1">
      <c r="A1299" s="380" t="s">
        <v>1154</v>
      </c>
      <c r="B1299" s="199">
        <v>5000.32</v>
      </c>
      <c r="C1299" s="200">
        <v>0</v>
      </c>
      <c r="D1299" s="200">
        <v>0</v>
      </c>
      <c r="E1299" s="200">
        <v>0</v>
      </c>
      <c r="F1299" s="200">
        <v>0</v>
      </c>
      <c r="G1299" s="200">
        <v>0</v>
      </c>
      <c r="H1299" s="200">
        <v>0</v>
      </c>
      <c r="I1299" s="348">
        <f t="shared" si="28"/>
        <v>5000.32</v>
      </c>
      <c r="J1299" s="192" t="s">
        <v>1155</v>
      </c>
    </row>
    <row r="1300" spans="1:10" hidden="1" outlineLevel="1">
      <c r="A1300" s="380" t="s">
        <v>1156</v>
      </c>
      <c r="B1300" s="199">
        <v>267529.28000000003</v>
      </c>
      <c r="C1300" s="200">
        <v>0</v>
      </c>
      <c r="D1300" s="200">
        <v>0</v>
      </c>
      <c r="E1300" s="200">
        <v>0</v>
      </c>
      <c r="F1300" s="200">
        <v>0</v>
      </c>
      <c r="G1300" s="200">
        <v>0</v>
      </c>
      <c r="H1300" s="200">
        <v>0</v>
      </c>
      <c r="I1300" s="348">
        <f t="shared" si="28"/>
        <v>267529.28000000003</v>
      </c>
      <c r="J1300" s="192" t="s">
        <v>1157</v>
      </c>
    </row>
    <row r="1301" spans="1:10" hidden="1" outlineLevel="1">
      <c r="A1301" s="380" t="s">
        <v>1158</v>
      </c>
      <c r="B1301" s="199">
        <v>391105.87</v>
      </c>
      <c r="C1301" s="200">
        <v>0</v>
      </c>
      <c r="D1301" s="200">
        <v>0</v>
      </c>
      <c r="E1301" s="200">
        <v>0</v>
      </c>
      <c r="F1301" s="200">
        <v>0</v>
      </c>
      <c r="G1301" s="200">
        <v>0</v>
      </c>
      <c r="H1301" s="200">
        <v>0</v>
      </c>
      <c r="I1301" s="348">
        <f t="shared" si="28"/>
        <v>391105.87</v>
      </c>
      <c r="J1301" s="192" t="s">
        <v>1159</v>
      </c>
    </row>
    <row r="1302" spans="1:10" hidden="1" outlineLevel="1">
      <c r="A1302" s="380" t="s">
        <v>1160</v>
      </c>
      <c r="B1302" s="199">
        <v>413411.28</v>
      </c>
      <c r="C1302" s="200">
        <v>0</v>
      </c>
      <c r="D1302" s="200">
        <v>0</v>
      </c>
      <c r="E1302" s="200">
        <v>0</v>
      </c>
      <c r="F1302" s="200">
        <v>0</v>
      </c>
      <c r="G1302" s="200">
        <v>0</v>
      </c>
      <c r="H1302" s="200">
        <v>0</v>
      </c>
      <c r="I1302" s="348">
        <f t="shared" si="28"/>
        <v>413411.28</v>
      </c>
      <c r="J1302" s="192" t="s">
        <v>1161</v>
      </c>
    </row>
    <row r="1303" spans="1:10" hidden="1" outlineLevel="1">
      <c r="A1303" s="380" t="s">
        <v>1162</v>
      </c>
      <c r="B1303" s="199">
        <v>100130.43</v>
      </c>
      <c r="C1303" s="200">
        <v>0</v>
      </c>
      <c r="D1303" s="200">
        <v>0</v>
      </c>
      <c r="E1303" s="200">
        <v>0</v>
      </c>
      <c r="F1303" s="200">
        <v>0</v>
      </c>
      <c r="G1303" s="200">
        <v>0</v>
      </c>
      <c r="H1303" s="200">
        <v>0</v>
      </c>
      <c r="I1303" s="348">
        <f t="shared" si="28"/>
        <v>100130.43</v>
      </c>
      <c r="J1303" s="192" t="s">
        <v>1163</v>
      </c>
    </row>
    <row r="1304" spans="1:10" hidden="1" outlineLevel="1">
      <c r="A1304" s="380" t="s">
        <v>1164</v>
      </c>
      <c r="B1304" s="199">
        <v>47219.54</v>
      </c>
      <c r="C1304" s="200">
        <v>0</v>
      </c>
      <c r="D1304" s="200">
        <v>0</v>
      </c>
      <c r="E1304" s="200">
        <v>0</v>
      </c>
      <c r="F1304" s="200">
        <v>0</v>
      </c>
      <c r="G1304" s="200">
        <v>0</v>
      </c>
      <c r="H1304" s="200">
        <v>0</v>
      </c>
      <c r="I1304" s="348">
        <f t="shared" si="28"/>
        <v>47219.54</v>
      </c>
      <c r="J1304" s="192" t="s">
        <v>1165</v>
      </c>
    </row>
    <row r="1305" spans="1:10" hidden="1" outlineLevel="1">
      <c r="A1305" s="380" t="s">
        <v>1166</v>
      </c>
      <c r="B1305" s="199">
        <v>62885.37</v>
      </c>
      <c r="C1305" s="200">
        <v>0</v>
      </c>
      <c r="D1305" s="200">
        <v>0</v>
      </c>
      <c r="E1305" s="200">
        <v>0</v>
      </c>
      <c r="F1305" s="200">
        <v>0</v>
      </c>
      <c r="G1305" s="200">
        <v>0</v>
      </c>
      <c r="H1305" s="200">
        <v>0</v>
      </c>
      <c r="I1305" s="348">
        <f t="shared" si="28"/>
        <v>62885.37</v>
      </c>
      <c r="J1305" s="192" t="s">
        <v>1167</v>
      </c>
    </row>
    <row r="1306" spans="1:10" hidden="1" outlineLevel="1">
      <c r="A1306" s="380" t="s">
        <v>1168</v>
      </c>
      <c r="B1306" s="199">
        <v>150784.29</v>
      </c>
      <c r="C1306" s="200">
        <v>0</v>
      </c>
      <c r="D1306" s="200">
        <v>0</v>
      </c>
      <c r="E1306" s="200">
        <v>0</v>
      </c>
      <c r="F1306" s="200">
        <v>0</v>
      </c>
      <c r="G1306" s="200">
        <v>0</v>
      </c>
      <c r="H1306" s="200">
        <v>0</v>
      </c>
      <c r="I1306" s="348">
        <f t="shared" si="28"/>
        <v>150784.29</v>
      </c>
      <c r="J1306" s="192" t="s">
        <v>1169</v>
      </c>
    </row>
    <row r="1307" spans="1:10" hidden="1" outlineLevel="1">
      <c r="A1307" s="380" t="s">
        <v>1170</v>
      </c>
      <c r="B1307" s="199">
        <v>680773.07</v>
      </c>
      <c r="C1307" s="200">
        <v>0</v>
      </c>
      <c r="D1307" s="200">
        <v>0</v>
      </c>
      <c r="E1307" s="200">
        <v>0</v>
      </c>
      <c r="F1307" s="200">
        <v>0</v>
      </c>
      <c r="G1307" s="200">
        <v>0</v>
      </c>
      <c r="H1307" s="200">
        <v>0</v>
      </c>
      <c r="I1307" s="348">
        <f t="shared" si="28"/>
        <v>680773.07</v>
      </c>
      <c r="J1307" s="192" t="s">
        <v>1171</v>
      </c>
    </row>
    <row r="1308" spans="1:10" hidden="1" outlineLevel="1">
      <c r="A1308" s="380" t="s">
        <v>1172</v>
      </c>
      <c r="B1308" s="199">
        <v>389557.64</v>
      </c>
      <c r="C1308" s="200">
        <v>0</v>
      </c>
      <c r="D1308" s="200">
        <v>0</v>
      </c>
      <c r="E1308" s="200">
        <v>0</v>
      </c>
      <c r="F1308" s="200">
        <v>0</v>
      </c>
      <c r="G1308" s="200">
        <v>0</v>
      </c>
      <c r="H1308" s="200">
        <v>0</v>
      </c>
      <c r="I1308" s="348">
        <f t="shared" si="28"/>
        <v>389557.64</v>
      </c>
      <c r="J1308" s="192" t="s">
        <v>1173</v>
      </c>
    </row>
    <row r="1309" spans="1:10" hidden="1" outlineLevel="1">
      <c r="A1309" s="380" t="s">
        <v>1174</v>
      </c>
      <c r="B1309" s="199">
        <v>2272198.06</v>
      </c>
      <c r="C1309" s="200">
        <v>0</v>
      </c>
      <c r="D1309" s="200">
        <v>0</v>
      </c>
      <c r="E1309" s="200">
        <v>0</v>
      </c>
      <c r="F1309" s="200">
        <v>1346.73</v>
      </c>
      <c r="G1309" s="200">
        <v>0</v>
      </c>
      <c r="H1309" s="200">
        <v>0</v>
      </c>
      <c r="I1309" s="348">
        <f t="shared" si="28"/>
        <v>2273544.79</v>
      </c>
      <c r="J1309" s="192" t="s">
        <v>1175</v>
      </c>
    </row>
    <row r="1310" spans="1:10" hidden="1" outlineLevel="1">
      <c r="A1310" s="380" t="s">
        <v>1176</v>
      </c>
      <c r="B1310" s="199">
        <v>540362.37</v>
      </c>
      <c r="C1310" s="200">
        <v>0</v>
      </c>
      <c r="D1310" s="200">
        <v>0</v>
      </c>
      <c r="E1310" s="200">
        <v>0</v>
      </c>
      <c r="F1310" s="200">
        <v>0</v>
      </c>
      <c r="G1310" s="200">
        <v>0</v>
      </c>
      <c r="H1310" s="200">
        <v>0</v>
      </c>
      <c r="I1310" s="348">
        <f t="shared" si="28"/>
        <v>540362.37</v>
      </c>
      <c r="J1310" s="192" t="s">
        <v>1177</v>
      </c>
    </row>
    <row r="1311" spans="1:10" hidden="1" outlineLevel="1">
      <c r="A1311" s="380" t="s">
        <v>1178</v>
      </c>
      <c r="B1311" s="199">
        <v>89037.6</v>
      </c>
      <c r="C1311" s="200">
        <v>0</v>
      </c>
      <c r="D1311" s="200">
        <v>0</v>
      </c>
      <c r="E1311" s="200">
        <v>0</v>
      </c>
      <c r="F1311" s="200">
        <v>0</v>
      </c>
      <c r="G1311" s="200">
        <v>0</v>
      </c>
      <c r="H1311" s="200">
        <v>0</v>
      </c>
      <c r="I1311" s="348">
        <f t="shared" si="28"/>
        <v>89037.6</v>
      </c>
      <c r="J1311" s="192" t="s">
        <v>1179</v>
      </c>
    </row>
    <row r="1312" spans="1:10" hidden="1" outlineLevel="1">
      <c r="A1312" s="380" t="s">
        <v>1180</v>
      </c>
      <c r="B1312" s="199">
        <v>226879.28</v>
      </c>
      <c r="C1312" s="200">
        <v>0</v>
      </c>
      <c r="D1312" s="200">
        <v>0</v>
      </c>
      <c r="E1312" s="200">
        <v>0</v>
      </c>
      <c r="F1312" s="200">
        <v>0</v>
      </c>
      <c r="G1312" s="200">
        <v>0</v>
      </c>
      <c r="H1312" s="200">
        <v>0</v>
      </c>
      <c r="I1312" s="348">
        <f t="shared" si="28"/>
        <v>226879.28</v>
      </c>
      <c r="J1312" s="192" t="s">
        <v>1181</v>
      </c>
    </row>
    <row r="1313" spans="1:10" hidden="1" outlineLevel="1">
      <c r="A1313" s="380" t="s">
        <v>1182</v>
      </c>
      <c r="B1313" s="199">
        <v>435061.94</v>
      </c>
      <c r="C1313" s="200">
        <v>0</v>
      </c>
      <c r="D1313" s="200">
        <v>0</v>
      </c>
      <c r="E1313" s="200">
        <v>0</v>
      </c>
      <c r="F1313" s="200">
        <v>0</v>
      </c>
      <c r="G1313" s="200">
        <v>0</v>
      </c>
      <c r="H1313" s="200">
        <v>0</v>
      </c>
      <c r="I1313" s="348">
        <f t="shared" si="28"/>
        <v>435061.94</v>
      </c>
      <c r="J1313" s="192" t="s">
        <v>1183</v>
      </c>
    </row>
    <row r="1314" spans="1:10" hidden="1" outlineLevel="1">
      <c r="A1314" s="380" t="s">
        <v>1184</v>
      </c>
      <c r="B1314" s="199">
        <v>27255.68</v>
      </c>
      <c r="C1314" s="200">
        <v>0</v>
      </c>
      <c r="D1314" s="200">
        <v>0</v>
      </c>
      <c r="E1314" s="200">
        <v>0</v>
      </c>
      <c r="F1314" s="200">
        <v>0</v>
      </c>
      <c r="G1314" s="200">
        <v>0</v>
      </c>
      <c r="H1314" s="200">
        <v>0</v>
      </c>
      <c r="I1314" s="348">
        <f t="shared" si="28"/>
        <v>27255.68</v>
      </c>
      <c r="J1314" s="192" t="s">
        <v>1185</v>
      </c>
    </row>
    <row r="1315" spans="1:10" hidden="1" outlineLevel="1">
      <c r="A1315" s="380" t="s">
        <v>1186</v>
      </c>
      <c r="B1315" s="199">
        <v>9732.65</v>
      </c>
      <c r="C1315" s="200">
        <v>0</v>
      </c>
      <c r="D1315" s="200">
        <v>171173.5</v>
      </c>
      <c r="E1315" s="200">
        <v>0</v>
      </c>
      <c r="F1315" s="200">
        <v>0</v>
      </c>
      <c r="G1315" s="200">
        <v>0</v>
      </c>
      <c r="H1315" s="200">
        <v>0</v>
      </c>
      <c r="I1315" s="348">
        <f t="shared" si="28"/>
        <v>180906.15</v>
      </c>
      <c r="J1315" s="192" t="s">
        <v>1187</v>
      </c>
    </row>
    <row r="1316" spans="1:10" hidden="1" outlineLevel="1">
      <c r="A1316" s="380" t="s">
        <v>1186</v>
      </c>
      <c r="B1316" s="199">
        <v>23593.85</v>
      </c>
      <c r="C1316" s="200">
        <v>0</v>
      </c>
      <c r="D1316" s="200">
        <v>7220.11</v>
      </c>
      <c r="E1316" s="200">
        <v>0</v>
      </c>
      <c r="F1316" s="200">
        <v>0</v>
      </c>
      <c r="G1316" s="200">
        <v>0</v>
      </c>
      <c r="H1316" s="200">
        <v>0</v>
      </c>
      <c r="I1316" s="348">
        <f t="shared" si="28"/>
        <v>30813.96</v>
      </c>
      <c r="J1316" s="192" t="s">
        <v>1187</v>
      </c>
    </row>
    <row r="1317" spans="1:10" hidden="1" outlineLevel="1">
      <c r="A1317" s="380" t="s">
        <v>1186</v>
      </c>
      <c r="B1317" s="199">
        <v>17497.7</v>
      </c>
      <c r="C1317" s="200">
        <v>0</v>
      </c>
      <c r="D1317" s="200">
        <v>126933.35</v>
      </c>
      <c r="E1317" s="200">
        <v>0</v>
      </c>
      <c r="F1317" s="200">
        <v>0</v>
      </c>
      <c r="G1317" s="200">
        <v>0</v>
      </c>
      <c r="H1317" s="200">
        <v>0</v>
      </c>
      <c r="I1317" s="348">
        <f t="shared" si="28"/>
        <v>144431.05000000002</v>
      </c>
      <c r="J1317" s="192" t="s">
        <v>1187</v>
      </c>
    </row>
    <row r="1318" spans="1:10" hidden="1" outlineLevel="1">
      <c r="A1318" s="380" t="s">
        <v>1188</v>
      </c>
      <c r="B1318" s="199">
        <v>53990.25</v>
      </c>
      <c r="C1318" s="200">
        <v>0</v>
      </c>
      <c r="D1318" s="200">
        <v>0</v>
      </c>
      <c r="E1318" s="200">
        <v>0</v>
      </c>
      <c r="F1318" s="200">
        <v>0</v>
      </c>
      <c r="G1318" s="200">
        <v>0</v>
      </c>
      <c r="H1318" s="200">
        <v>0</v>
      </c>
      <c r="I1318" s="348">
        <f t="shared" si="28"/>
        <v>53990.25</v>
      </c>
      <c r="J1318" s="192" t="s">
        <v>1189</v>
      </c>
    </row>
    <row r="1319" spans="1:10" hidden="1" outlineLevel="1">
      <c r="A1319" s="380" t="s">
        <v>1190</v>
      </c>
      <c r="B1319" s="199">
        <v>188148.7</v>
      </c>
      <c r="C1319" s="200">
        <v>0</v>
      </c>
      <c r="D1319" s="200">
        <v>0</v>
      </c>
      <c r="E1319" s="200">
        <v>0</v>
      </c>
      <c r="F1319" s="200">
        <v>0</v>
      </c>
      <c r="G1319" s="200">
        <v>0</v>
      </c>
      <c r="H1319" s="200">
        <v>0</v>
      </c>
      <c r="I1319" s="348">
        <f t="shared" si="28"/>
        <v>188148.7</v>
      </c>
      <c r="J1319" s="192" t="s">
        <v>1191</v>
      </c>
    </row>
    <row r="1320" spans="1:10" hidden="1" outlineLevel="1">
      <c r="A1320" s="380" t="s">
        <v>1192</v>
      </c>
      <c r="B1320" s="199">
        <v>90955.56</v>
      </c>
      <c r="C1320" s="200">
        <v>0</v>
      </c>
      <c r="D1320" s="200">
        <v>0</v>
      </c>
      <c r="E1320" s="200">
        <v>0</v>
      </c>
      <c r="F1320" s="200">
        <v>0</v>
      </c>
      <c r="G1320" s="200">
        <v>0</v>
      </c>
      <c r="H1320" s="200">
        <v>0</v>
      </c>
      <c r="I1320" s="348">
        <f t="shared" si="28"/>
        <v>90955.56</v>
      </c>
      <c r="J1320" s="192" t="s">
        <v>1193</v>
      </c>
    </row>
    <row r="1321" spans="1:10" hidden="1" outlineLevel="1">
      <c r="A1321" s="380" t="s">
        <v>1194</v>
      </c>
      <c r="B1321" s="199">
        <v>103928.13</v>
      </c>
      <c r="C1321" s="200">
        <v>0</v>
      </c>
      <c r="D1321" s="200">
        <v>0</v>
      </c>
      <c r="E1321" s="200">
        <v>0</v>
      </c>
      <c r="F1321" s="200">
        <v>0</v>
      </c>
      <c r="G1321" s="200">
        <v>0</v>
      </c>
      <c r="H1321" s="200">
        <v>0</v>
      </c>
      <c r="I1321" s="348">
        <f t="shared" si="28"/>
        <v>103928.13</v>
      </c>
      <c r="J1321" s="192" t="s">
        <v>1195</v>
      </c>
    </row>
    <row r="1322" spans="1:10" hidden="1" outlineLevel="1">
      <c r="A1322" s="380" t="s">
        <v>1196</v>
      </c>
      <c r="B1322" s="199">
        <v>3361993.9</v>
      </c>
      <c r="C1322" s="200">
        <v>0</v>
      </c>
      <c r="D1322" s="200">
        <v>0</v>
      </c>
      <c r="E1322" s="200">
        <v>0</v>
      </c>
      <c r="F1322" s="200">
        <v>0</v>
      </c>
      <c r="G1322" s="200">
        <v>0</v>
      </c>
      <c r="H1322" s="200">
        <v>0</v>
      </c>
      <c r="I1322" s="348">
        <f t="shared" si="28"/>
        <v>3361993.9</v>
      </c>
      <c r="J1322" s="192" t="s">
        <v>1197</v>
      </c>
    </row>
    <row r="1323" spans="1:10" hidden="1" outlineLevel="1">
      <c r="A1323" s="380" t="s">
        <v>1198</v>
      </c>
      <c r="B1323" s="199">
        <v>257280.55</v>
      </c>
      <c r="C1323" s="200">
        <v>0</v>
      </c>
      <c r="D1323" s="200">
        <v>0</v>
      </c>
      <c r="E1323" s="200">
        <v>0</v>
      </c>
      <c r="F1323" s="200">
        <v>0</v>
      </c>
      <c r="G1323" s="200">
        <v>0</v>
      </c>
      <c r="H1323" s="200">
        <v>0</v>
      </c>
      <c r="I1323" s="348">
        <f t="shared" si="28"/>
        <v>257280.55</v>
      </c>
      <c r="J1323" s="192" t="s">
        <v>1199</v>
      </c>
    </row>
    <row r="1324" spans="1:10" hidden="1" outlineLevel="1">
      <c r="A1324" s="380" t="s">
        <v>1200</v>
      </c>
      <c r="B1324" s="199">
        <v>1163467.05</v>
      </c>
      <c r="C1324" s="200">
        <v>0</v>
      </c>
      <c r="D1324" s="200">
        <v>0</v>
      </c>
      <c r="E1324" s="200">
        <v>0</v>
      </c>
      <c r="F1324" s="200">
        <v>0</v>
      </c>
      <c r="G1324" s="200">
        <v>0</v>
      </c>
      <c r="H1324" s="200">
        <v>0</v>
      </c>
      <c r="I1324" s="348">
        <f t="shared" si="28"/>
        <v>1163467.05</v>
      </c>
      <c r="J1324" s="192" t="s">
        <v>1201</v>
      </c>
    </row>
    <row r="1325" spans="1:10" hidden="1" outlineLevel="1">
      <c r="A1325" s="380" t="s">
        <v>1202</v>
      </c>
      <c r="B1325" s="199">
        <v>111022.98</v>
      </c>
      <c r="C1325" s="200">
        <v>0</v>
      </c>
      <c r="D1325" s="200">
        <v>0</v>
      </c>
      <c r="E1325" s="200">
        <v>0</v>
      </c>
      <c r="F1325" s="200">
        <v>0</v>
      </c>
      <c r="G1325" s="200">
        <v>0</v>
      </c>
      <c r="H1325" s="200">
        <v>0</v>
      </c>
      <c r="I1325" s="348">
        <f t="shared" si="28"/>
        <v>111022.98</v>
      </c>
      <c r="J1325" s="192" t="s">
        <v>1203</v>
      </c>
    </row>
    <row r="1326" spans="1:10" hidden="1" outlineLevel="1">
      <c r="A1326" s="380" t="s">
        <v>1202</v>
      </c>
      <c r="B1326" s="199">
        <v>13857.66</v>
      </c>
      <c r="C1326" s="200">
        <v>0</v>
      </c>
      <c r="D1326" s="200">
        <v>0</v>
      </c>
      <c r="E1326" s="200">
        <v>0</v>
      </c>
      <c r="F1326" s="200">
        <v>0</v>
      </c>
      <c r="G1326" s="200">
        <v>0</v>
      </c>
      <c r="H1326" s="200">
        <v>0</v>
      </c>
      <c r="I1326" s="348">
        <f t="shared" si="28"/>
        <v>13857.66</v>
      </c>
      <c r="J1326" s="192" t="s">
        <v>1203</v>
      </c>
    </row>
    <row r="1327" spans="1:10" hidden="1" outlineLevel="1">
      <c r="A1327" s="380" t="s">
        <v>1202</v>
      </c>
      <c r="B1327" s="199">
        <v>68973.67</v>
      </c>
      <c r="C1327" s="200">
        <v>0</v>
      </c>
      <c r="D1327" s="200">
        <v>0</v>
      </c>
      <c r="E1327" s="200">
        <v>0</v>
      </c>
      <c r="F1327" s="200">
        <v>0</v>
      </c>
      <c r="G1327" s="200">
        <v>0</v>
      </c>
      <c r="H1327" s="200">
        <v>0</v>
      </c>
      <c r="I1327" s="348">
        <f t="shared" si="28"/>
        <v>68973.67</v>
      </c>
      <c r="J1327" s="192" t="s">
        <v>1203</v>
      </c>
    </row>
    <row r="1328" spans="1:10" hidden="1" outlineLevel="1">
      <c r="A1328" s="380" t="s">
        <v>1204</v>
      </c>
      <c r="B1328" s="199">
        <v>11003.09</v>
      </c>
      <c r="C1328" s="200">
        <v>0</v>
      </c>
      <c r="D1328" s="200">
        <v>0</v>
      </c>
      <c r="E1328" s="200">
        <v>0</v>
      </c>
      <c r="F1328" s="200">
        <v>0</v>
      </c>
      <c r="G1328" s="200">
        <v>0</v>
      </c>
      <c r="H1328" s="200">
        <v>0</v>
      </c>
      <c r="I1328" s="348">
        <f t="shared" si="28"/>
        <v>11003.09</v>
      </c>
      <c r="J1328" s="192" t="s">
        <v>1205</v>
      </c>
    </row>
    <row r="1329" spans="1:10" hidden="1" outlineLevel="1">
      <c r="A1329" s="380" t="s">
        <v>1206</v>
      </c>
      <c r="B1329" s="199">
        <v>142405.32999999999</v>
      </c>
      <c r="C1329" s="200">
        <v>0</v>
      </c>
      <c r="D1329" s="200">
        <v>0</v>
      </c>
      <c r="E1329" s="200">
        <v>0</v>
      </c>
      <c r="F1329" s="200">
        <v>0</v>
      </c>
      <c r="G1329" s="200">
        <v>0</v>
      </c>
      <c r="H1329" s="200">
        <v>0</v>
      </c>
      <c r="I1329" s="348">
        <f t="shared" si="28"/>
        <v>142405.32999999999</v>
      </c>
      <c r="J1329" s="192" t="s">
        <v>1207</v>
      </c>
    </row>
    <row r="1330" spans="1:10" hidden="1" outlineLevel="1">
      <c r="A1330" s="380" t="s">
        <v>1208</v>
      </c>
      <c r="B1330" s="199">
        <v>168571.91</v>
      </c>
      <c r="C1330" s="200">
        <v>0</v>
      </c>
      <c r="D1330" s="200">
        <v>0</v>
      </c>
      <c r="E1330" s="200">
        <v>0</v>
      </c>
      <c r="F1330" s="200">
        <v>0</v>
      </c>
      <c r="G1330" s="200">
        <v>0</v>
      </c>
      <c r="H1330" s="200">
        <v>0</v>
      </c>
      <c r="I1330" s="348">
        <f t="shared" si="28"/>
        <v>168571.91</v>
      </c>
      <c r="J1330" s="192" t="s">
        <v>1209</v>
      </c>
    </row>
    <row r="1331" spans="1:10" hidden="1" outlineLevel="1">
      <c r="A1331" s="380" t="s">
        <v>1210</v>
      </c>
      <c r="B1331" s="199">
        <v>1768718.91</v>
      </c>
      <c r="C1331" s="200">
        <v>0</v>
      </c>
      <c r="D1331" s="200">
        <v>0</v>
      </c>
      <c r="E1331" s="200">
        <v>0</v>
      </c>
      <c r="F1331" s="200">
        <v>0</v>
      </c>
      <c r="G1331" s="200">
        <v>0</v>
      </c>
      <c r="H1331" s="200">
        <v>0</v>
      </c>
      <c r="I1331" s="348">
        <f t="shared" si="28"/>
        <v>1768718.91</v>
      </c>
      <c r="J1331" s="192" t="s">
        <v>1211</v>
      </c>
    </row>
    <row r="1332" spans="1:10" hidden="1" outlineLevel="1">
      <c r="A1332" s="380" t="s">
        <v>1212</v>
      </c>
      <c r="B1332" s="199">
        <v>128796.23</v>
      </c>
      <c r="C1332" s="200">
        <v>0</v>
      </c>
      <c r="D1332" s="200">
        <v>0</v>
      </c>
      <c r="E1332" s="200">
        <v>0</v>
      </c>
      <c r="F1332" s="200">
        <v>0</v>
      </c>
      <c r="G1332" s="200">
        <v>0</v>
      </c>
      <c r="H1332" s="200">
        <v>0</v>
      </c>
      <c r="I1332" s="348">
        <f t="shared" si="28"/>
        <v>128796.23</v>
      </c>
      <c r="J1332" s="192" t="s">
        <v>1213</v>
      </c>
    </row>
    <row r="1333" spans="1:10" hidden="1" outlineLevel="1">
      <c r="A1333" s="380" t="s">
        <v>1214</v>
      </c>
      <c r="B1333" s="199">
        <v>322317.33</v>
      </c>
      <c r="C1333" s="200">
        <v>0</v>
      </c>
      <c r="D1333" s="200">
        <v>0</v>
      </c>
      <c r="E1333" s="200">
        <v>0</v>
      </c>
      <c r="F1333" s="200">
        <v>0</v>
      </c>
      <c r="G1333" s="200">
        <v>0</v>
      </c>
      <c r="H1333" s="200">
        <v>0</v>
      </c>
      <c r="I1333" s="348">
        <f t="shared" si="28"/>
        <v>322317.33</v>
      </c>
      <c r="J1333" s="192" t="s">
        <v>1215</v>
      </c>
    </row>
    <row r="1334" spans="1:10" hidden="1" outlineLevel="1">
      <c r="A1334" s="380" t="s">
        <v>768</v>
      </c>
      <c r="B1334" s="199">
        <v>76353.62</v>
      </c>
      <c r="C1334" s="200">
        <v>0</v>
      </c>
      <c r="D1334" s="200">
        <v>0</v>
      </c>
      <c r="E1334" s="200">
        <v>0</v>
      </c>
      <c r="F1334" s="200">
        <v>0</v>
      </c>
      <c r="G1334" s="200">
        <v>0</v>
      </c>
      <c r="H1334" s="200">
        <v>0</v>
      </c>
      <c r="I1334" s="348">
        <f t="shared" si="28"/>
        <v>76353.62</v>
      </c>
      <c r="J1334" s="192" t="s">
        <v>769</v>
      </c>
    </row>
    <row r="1335" spans="1:10" hidden="1" outlineLevel="1">
      <c r="A1335" s="380" t="s">
        <v>1216</v>
      </c>
      <c r="B1335" s="199">
        <v>34664.19</v>
      </c>
      <c r="C1335" s="200">
        <v>0</v>
      </c>
      <c r="D1335" s="200">
        <v>0</v>
      </c>
      <c r="E1335" s="200">
        <v>0</v>
      </c>
      <c r="F1335" s="200">
        <v>0</v>
      </c>
      <c r="G1335" s="200">
        <v>0</v>
      </c>
      <c r="H1335" s="200">
        <v>0</v>
      </c>
      <c r="I1335" s="348">
        <f t="shared" si="28"/>
        <v>34664.19</v>
      </c>
      <c r="J1335" s="192" t="s">
        <v>1217</v>
      </c>
    </row>
    <row r="1336" spans="1:10" hidden="1" outlineLevel="1">
      <c r="A1336" s="380" t="s">
        <v>1218</v>
      </c>
      <c r="B1336" s="199">
        <v>403345.76</v>
      </c>
      <c r="C1336" s="200">
        <v>0</v>
      </c>
      <c r="D1336" s="200">
        <v>0</v>
      </c>
      <c r="E1336" s="200">
        <v>0</v>
      </c>
      <c r="F1336" s="200">
        <v>0</v>
      </c>
      <c r="G1336" s="200">
        <v>0</v>
      </c>
      <c r="H1336" s="200">
        <v>0</v>
      </c>
      <c r="I1336" s="348">
        <f t="shared" si="28"/>
        <v>403345.76</v>
      </c>
      <c r="J1336" s="192" t="s">
        <v>1219</v>
      </c>
    </row>
    <row r="1337" spans="1:10" collapsed="1">
      <c r="A1337" s="386" t="str">
        <f>A414</f>
        <v>Regelzone TenneT (gesamt)</v>
      </c>
      <c r="B1337" s="195">
        <f t="shared" ref="B1337:H1337" si="29">SUM(B1338:B1704)</f>
        <v>279845884.58863002</v>
      </c>
      <c r="C1337" s="196">
        <f t="shared" si="29"/>
        <v>0</v>
      </c>
      <c r="D1337" s="196">
        <f t="shared" si="29"/>
        <v>3537.26</v>
      </c>
      <c r="E1337" s="196">
        <f t="shared" si="29"/>
        <v>0</v>
      </c>
      <c r="F1337" s="212">
        <f t="shared" si="29"/>
        <v>1285162.9300000002</v>
      </c>
      <c r="G1337" s="212">
        <f t="shared" si="29"/>
        <v>14409.849999999999</v>
      </c>
      <c r="H1337" s="212">
        <f t="shared" si="29"/>
        <v>62.11</v>
      </c>
      <c r="I1337" s="348">
        <f t="shared" si="28"/>
        <v>281149056.73863006</v>
      </c>
    </row>
    <row r="1338" spans="1:10" hidden="1" outlineLevel="1">
      <c r="A1338" s="381" t="s">
        <v>2193</v>
      </c>
      <c r="B1338" s="207">
        <v>16342.85</v>
      </c>
      <c r="C1338" s="713">
        <v>0</v>
      </c>
      <c r="D1338" s="713">
        <v>0</v>
      </c>
      <c r="E1338" s="713">
        <v>0</v>
      </c>
      <c r="F1338" s="713">
        <v>0</v>
      </c>
      <c r="G1338" s="713">
        <v>0</v>
      </c>
      <c r="H1338" s="713">
        <v>0</v>
      </c>
      <c r="I1338" s="348">
        <f t="shared" ref="I1338:I1401" si="30">SUM(B1338:H1338)</f>
        <v>16342.85</v>
      </c>
      <c r="J1338" s="192" t="s">
        <v>2194</v>
      </c>
    </row>
    <row r="1339" spans="1:10" hidden="1" outlineLevel="1">
      <c r="A1339" s="381" t="s">
        <v>1738</v>
      </c>
      <c r="B1339" s="207">
        <v>53923.56</v>
      </c>
      <c r="C1339" s="713">
        <v>0</v>
      </c>
      <c r="D1339" s="713">
        <v>0</v>
      </c>
      <c r="E1339" s="713">
        <v>0</v>
      </c>
      <c r="F1339" s="713">
        <v>0</v>
      </c>
      <c r="G1339" s="713">
        <v>0</v>
      </c>
      <c r="H1339" s="713">
        <v>0</v>
      </c>
      <c r="I1339" s="348">
        <f t="shared" si="30"/>
        <v>53923.56</v>
      </c>
      <c r="J1339" s="192" t="s">
        <v>1739</v>
      </c>
    </row>
    <row r="1340" spans="1:10" hidden="1" outlineLevel="1">
      <c r="A1340" s="381" t="s">
        <v>1812</v>
      </c>
      <c r="B1340" s="207">
        <v>87483.04</v>
      </c>
      <c r="C1340" s="713">
        <v>0</v>
      </c>
      <c r="D1340" s="713">
        <v>0</v>
      </c>
      <c r="E1340" s="713">
        <v>0</v>
      </c>
      <c r="F1340" s="713">
        <v>0</v>
      </c>
      <c r="G1340" s="713">
        <v>0</v>
      </c>
      <c r="H1340" s="713">
        <v>0</v>
      </c>
      <c r="I1340" s="348">
        <f t="shared" si="30"/>
        <v>87483.04</v>
      </c>
      <c r="J1340" s="192" t="s">
        <v>1813</v>
      </c>
    </row>
    <row r="1341" spans="1:10" hidden="1" outlineLevel="1">
      <c r="A1341" s="381" t="s">
        <v>1246</v>
      </c>
      <c r="B1341" s="207">
        <v>66052.5</v>
      </c>
      <c r="C1341" s="713">
        <v>0</v>
      </c>
      <c r="D1341" s="713">
        <v>0</v>
      </c>
      <c r="E1341" s="713">
        <v>0</v>
      </c>
      <c r="F1341" s="713">
        <v>0</v>
      </c>
      <c r="G1341" s="713">
        <v>0</v>
      </c>
      <c r="H1341" s="713">
        <v>0</v>
      </c>
      <c r="I1341" s="348">
        <f t="shared" si="30"/>
        <v>66052.5</v>
      </c>
      <c r="J1341" s="192" t="s">
        <v>1247</v>
      </c>
    </row>
    <row r="1342" spans="1:10" hidden="1" outlineLevel="1">
      <c r="A1342" s="381" t="s">
        <v>1582</v>
      </c>
      <c r="B1342" s="207">
        <v>112200.27</v>
      </c>
      <c r="C1342" s="713">
        <v>0</v>
      </c>
      <c r="D1342" s="713">
        <v>0</v>
      </c>
      <c r="E1342" s="713">
        <v>0</v>
      </c>
      <c r="F1342" s="713">
        <v>0</v>
      </c>
      <c r="G1342" s="713">
        <v>0</v>
      </c>
      <c r="H1342" s="713">
        <v>0</v>
      </c>
      <c r="I1342" s="348">
        <f t="shared" si="30"/>
        <v>112200.27</v>
      </c>
      <c r="J1342" s="192" t="s">
        <v>1583</v>
      </c>
    </row>
    <row r="1343" spans="1:10" hidden="1" outlineLevel="1">
      <c r="A1343" s="381" t="s">
        <v>1518</v>
      </c>
      <c r="B1343" s="207">
        <v>222590.31</v>
      </c>
      <c r="C1343" s="713">
        <v>0</v>
      </c>
      <c r="D1343" s="713">
        <v>0</v>
      </c>
      <c r="E1343" s="713">
        <v>0</v>
      </c>
      <c r="F1343" s="713">
        <v>0</v>
      </c>
      <c r="G1343" s="713">
        <v>0</v>
      </c>
      <c r="H1343" s="713">
        <v>0</v>
      </c>
      <c r="I1343" s="348">
        <f t="shared" si="30"/>
        <v>222590.31</v>
      </c>
      <c r="J1343" s="192" t="s">
        <v>1519</v>
      </c>
    </row>
    <row r="1344" spans="1:10" hidden="1" outlineLevel="1">
      <c r="A1344" s="381" t="s">
        <v>1570</v>
      </c>
      <c r="B1344" s="207">
        <v>459464.6</v>
      </c>
      <c r="C1344" s="713">
        <v>0</v>
      </c>
      <c r="D1344" s="713">
        <v>0</v>
      </c>
      <c r="E1344" s="713">
        <v>0</v>
      </c>
      <c r="F1344" s="713">
        <v>0</v>
      </c>
      <c r="G1344" s="713">
        <v>0</v>
      </c>
      <c r="H1344" s="713">
        <v>0</v>
      </c>
      <c r="I1344" s="348">
        <f t="shared" si="30"/>
        <v>459464.6</v>
      </c>
      <c r="J1344" s="192" t="s">
        <v>1571</v>
      </c>
    </row>
    <row r="1345" spans="1:10" hidden="1" outlineLevel="1">
      <c r="A1345" s="381" t="s">
        <v>1386</v>
      </c>
      <c r="B1345" s="207">
        <v>68926.17</v>
      </c>
      <c r="C1345" s="713">
        <v>0</v>
      </c>
      <c r="D1345" s="713">
        <v>0</v>
      </c>
      <c r="E1345" s="713">
        <v>0</v>
      </c>
      <c r="F1345" s="713">
        <v>0</v>
      </c>
      <c r="G1345" s="713">
        <v>0</v>
      </c>
      <c r="H1345" s="713">
        <v>0</v>
      </c>
      <c r="I1345" s="348">
        <f t="shared" si="30"/>
        <v>68926.17</v>
      </c>
      <c r="J1345" s="192" t="s">
        <v>1387</v>
      </c>
    </row>
    <row r="1346" spans="1:10" hidden="1" outlineLevel="1">
      <c r="A1346" s="381" t="s">
        <v>1320</v>
      </c>
      <c r="B1346" s="207">
        <v>1069686.71</v>
      </c>
      <c r="C1346" s="713">
        <v>0</v>
      </c>
      <c r="D1346" s="713">
        <v>0</v>
      </c>
      <c r="E1346" s="713">
        <v>0</v>
      </c>
      <c r="F1346" s="713">
        <v>0</v>
      </c>
      <c r="G1346" s="713">
        <v>0</v>
      </c>
      <c r="H1346" s="713">
        <v>0</v>
      </c>
      <c r="I1346" s="348">
        <f t="shared" si="30"/>
        <v>1069686.71</v>
      </c>
      <c r="J1346" s="192" t="s">
        <v>1321</v>
      </c>
    </row>
    <row r="1347" spans="1:10" hidden="1" outlineLevel="1">
      <c r="A1347" s="381" t="s">
        <v>1458</v>
      </c>
      <c r="B1347" s="207">
        <v>77507.789999999994</v>
      </c>
      <c r="C1347" s="713">
        <v>0</v>
      </c>
      <c r="D1347" s="713">
        <v>0</v>
      </c>
      <c r="E1347" s="713">
        <v>0</v>
      </c>
      <c r="F1347" s="713">
        <v>0</v>
      </c>
      <c r="G1347" s="713">
        <v>0</v>
      </c>
      <c r="H1347" s="713">
        <v>0</v>
      </c>
      <c r="I1347" s="348">
        <f t="shared" si="30"/>
        <v>77507.789999999994</v>
      </c>
      <c r="J1347" s="192" t="s">
        <v>1459</v>
      </c>
    </row>
    <row r="1348" spans="1:10" hidden="1" outlineLevel="1">
      <c r="A1348" s="381" t="s">
        <v>1225</v>
      </c>
      <c r="B1348" s="207">
        <v>78131.820000000007</v>
      </c>
      <c r="C1348" s="713">
        <v>0</v>
      </c>
      <c r="D1348" s="713">
        <v>0</v>
      </c>
      <c r="E1348" s="713">
        <v>0</v>
      </c>
      <c r="F1348" s="713">
        <v>0</v>
      </c>
      <c r="G1348" s="713">
        <v>0</v>
      </c>
      <c r="H1348" s="713">
        <v>0</v>
      </c>
      <c r="I1348" s="348">
        <f t="shared" si="30"/>
        <v>78131.820000000007</v>
      </c>
      <c r="J1348" s="192" t="s">
        <v>1226</v>
      </c>
    </row>
    <row r="1349" spans="1:10" hidden="1" outlineLevel="1">
      <c r="A1349" s="381" t="s">
        <v>692</v>
      </c>
      <c r="B1349" s="207">
        <v>114383.82</v>
      </c>
      <c r="C1349" s="713">
        <v>0</v>
      </c>
      <c r="D1349" s="713">
        <v>0</v>
      </c>
      <c r="E1349" s="713">
        <v>0</v>
      </c>
      <c r="F1349" s="713">
        <v>0</v>
      </c>
      <c r="G1349" s="713">
        <v>0</v>
      </c>
      <c r="H1349" s="713">
        <v>0</v>
      </c>
      <c r="I1349" s="348">
        <f t="shared" si="30"/>
        <v>114383.82</v>
      </c>
      <c r="J1349" s="192" t="s">
        <v>1668</v>
      </c>
    </row>
    <row r="1350" spans="1:10" hidden="1" outlineLevel="1">
      <c r="A1350" s="381" t="s">
        <v>1484</v>
      </c>
      <c r="B1350" s="207">
        <v>146938.99</v>
      </c>
      <c r="C1350" s="713">
        <v>0</v>
      </c>
      <c r="D1350" s="713">
        <v>0</v>
      </c>
      <c r="E1350" s="713">
        <v>0</v>
      </c>
      <c r="F1350" s="713">
        <v>0</v>
      </c>
      <c r="G1350" s="713">
        <v>0</v>
      </c>
      <c r="H1350" s="713">
        <v>0</v>
      </c>
      <c r="I1350" s="348">
        <f t="shared" si="30"/>
        <v>146938.99</v>
      </c>
      <c r="J1350" s="192" t="s">
        <v>1485</v>
      </c>
    </row>
    <row r="1351" spans="1:10" hidden="1" outlineLevel="1">
      <c r="A1351" s="381" t="s">
        <v>1283</v>
      </c>
      <c r="B1351" s="207">
        <v>494029.75</v>
      </c>
      <c r="C1351" s="713">
        <v>0</v>
      </c>
      <c r="D1351" s="713">
        <v>0</v>
      </c>
      <c r="E1351" s="713">
        <v>0</v>
      </c>
      <c r="F1351" s="713">
        <v>0</v>
      </c>
      <c r="G1351" s="713">
        <v>0</v>
      </c>
      <c r="H1351" s="713">
        <v>0</v>
      </c>
      <c r="I1351" s="348">
        <f t="shared" si="30"/>
        <v>494029.75</v>
      </c>
      <c r="J1351" s="192" t="s">
        <v>1284</v>
      </c>
    </row>
    <row r="1352" spans="1:10" hidden="1" outlineLevel="1">
      <c r="A1352" s="381" t="s">
        <v>1227</v>
      </c>
      <c r="B1352" s="207">
        <v>544454.78</v>
      </c>
      <c r="C1352" s="713">
        <v>0</v>
      </c>
      <c r="D1352" s="713">
        <v>0</v>
      </c>
      <c r="E1352" s="713">
        <v>0</v>
      </c>
      <c r="F1352" s="713">
        <v>0</v>
      </c>
      <c r="G1352" s="713">
        <v>0</v>
      </c>
      <c r="H1352" s="713">
        <v>0</v>
      </c>
      <c r="I1352" s="348">
        <f t="shared" si="30"/>
        <v>544454.78</v>
      </c>
      <c r="J1352" s="192" t="s">
        <v>1228</v>
      </c>
    </row>
    <row r="1353" spans="1:10" hidden="1" outlineLevel="1">
      <c r="A1353" s="381" t="s">
        <v>1644</v>
      </c>
      <c r="B1353" s="207">
        <v>167416.45000000001</v>
      </c>
      <c r="C1353" s="713">
        <v>0</v>
      </c>
      <c r="D1353" s="713">
        <v>0</v>
      </c>
      <c r="E1353" s="713">
        <v>0</v>
      </c>
      <c r="F1353" s="713">
        <v>0</v>
      </c>
      <c r="G1353" s="713">
        <v>0</v>
      </c>
      <c r="H1353" s="713">
        <v>0</v>
      </c>
      <c r="I1353" s="348">
        <f t="shared" si="30"/>
        <v>167416.45000000001</v>
      </c>
      <c r="J1353" s="192" t="s">
        <v>1645</v>
      </c>
    </row>
    <row r="1354" spans="1:10" hidden="1" outlineLevel="1">
      <c r="A1354" s="381" t="s">
        <v>1598</v>
      </c>
      <c r="B1354" s="207">
        <v>107550.03</v>
      </c>
      <c r="C1354" s="713">
        <v>0</v>
      </c>
      <c r="D1354" s="713">
        <v>0</v>
      </c>
      <c r="E1354" s="713">
        <v>0</v>
      </c>
      <c r="F1354" s="713">
        <v>0</v>
      </c>
      <c r="G1354" s="713">
        <v>0</v>
      </c>
      <c r="H1354" s="713">
        <v>0</v>
      </c>
      <c r="I1354" s="348">
        <f t="shared" si="30"/>
        <v>107550.03</v>
      </c>
      <c r="J1354" s="192" t="s">
        <v>1599</v>
      </c>
    </row>
    <row r="1355" spans="1:10" hidden="1" outlineLevel="1">
      <c r="A1355" s="381" t="s">
        <v>1556</v>
      </c>
      <c r="B1355" s="207">
        <v>518378.32</v>
      </c>
      <c r="C1355" s="713">
        <v>0</v>
      </c>
      <c r="D1355" s="713">
        <v>0</v>
      </c>
      <c r="E1355" s="713">
        <v>0</v>
      </c>
      <c r="F1355" s="713">
        <v>0</v>
      </c>
      <c r="G1355" s="713">
        <v>0</v>
      </c>
      <c r="H1355" s="713">
        <v>0</v>
      </c>
      <c r="I1355" s="348">
        <f t="shared" si="30"/>
        <v>518378.32</v>
      </c>
      <c r="J1355" s="192" t="s">
        <v>1557</v>
      </c>
    </row>
    <row r="1356" spans="1:10" hidden="1" outlineLevel="1">
      <c r="A1356" s="381" t="s">
        <v>1626</v>
      </c>
      <c r="B1356" s="207">
        <v>19504.04</v>
      </c>
      <c r="C1356" s="713">
        <v>0</v>
      </c>
      <c r="D1356" s="713">
        <v>0</v>
      </c>
      <c r="E1356" s="713">
        <v>0</v>
      </c>
      <c r="F1356" s="713">
        <v>0</v>
      </c>
      <c r="G1356" s="713">
        <v>0</v>
      </c>
      <c r="H1356" s="713">
        <v>0</v>
      </c>
      <c r="I1356" s="348">
        <f t="shared" si="30"/>
        <v>19504.04</v>
      </c>
      <c r="J1356" s="192" t="s">
        <v>1627</v>
      </c>
    </row>
    <row r="1357" spans="1:10" hidden="1" outlineLevel="1">
      <c r="A1357" s="381" t="s">
        <v>1669</v>
      </c>
      <c r="B1357" s="207">
        <v>280854.98</v>
      </c>
      <c r="C1357" s="713">
        <v>0</v>
      </c>
      <c r="D1357" s="713">
        <v>0</v>
      </c>
      <c r="E1357" s="713">
        <v>0</v>
      </c>
      <c r="F1357" s="713">
        <v>0</v>
      </c>
      <c r="G1357" s="713">
        <v>0</v>
      </c>
      <c r="H1357" s="713">
        <v>0</v>
      </c>
      <c r="I1357" s="348">
        <f t="shared" si="30"/>
        <v>280854.98</v>
      </c>
      <c r="J1357" s="192" t="s">
        <v>1670</v>
      </c>
    </row>
    <row r="1358" spans="1:10" hidden="1" outlineLevel="1">
      <c r="A1358" s="381" t="s">
        <v>1758</v>
      </c>
      <c r="B1358" s="207">
        <v>355317.75</v>
      </c>
      <c r="C1358" s="713">
        <v>0</v>
      </c>
      <c r="D1358" s="713">
        <v>0</v>
      </c>
      <c r="E1358" s="713">
        <v>0</v>
      </c>
      <c r="F1358" s="713">
        <v>0</v>
      </c>
      <c r="G1358" s="713">
        <v>0</v>
      </c>
      <c r="H1358" s="713">
        <v>0</v>
      </c>
      <c r="I1358" s="348">
        <f t="shared" si="30"/>
        <v>355317.75</v>
      </c>
      <c r="J1358" s="192" t="s">
        <v>1759</v>
      </c>
    </row>
    <row r="1359" spans="1:10" hidden="1" outlineLevel="1">
      <c r="A1359" s="381" t="s">
        <v>2195</v>
      </c>
      <c r="B1359" s="207">
        <v>78083.95</v>
      </c>
      <c r="C1359" s="713">
        <v>0</v>
      </c>
      <c r="D1359" s="713">
        <v>0</v>
      </c>
      <c r="E1359" s="713">
        <v>0</v>
      </c>
      <c r="F1359" s="713">
        <v>0</v>
      </c>
      <c r="G1359" s="713">
        <v>0</v>
      </c>
      <c r="H1359" s="713">
        <v>0</v>
      </c>
      <c r="I1359" s="348">
        <f t="shared" si="30"/>
        <v>78083.95</v>
      </c>
      <c r="J1359" s="192" t="s">
        <v>2196</v>
      </c>
    </row>
    <row r="1360" spans="1:10" hidden="1" outlineLevel="1">
      <c r="A1360" s="381" t="s">
        <v>1722</v>
      </c>
      <c r="B1360" s="207">
        <v>129043.83</v>
      </c>
      <c r="C1360" s="713">
        <v>0</v>
      </c>
      <c r="D1360" s="713">
        <v>0</v>
      </c>
      <c r="E1360" s="713">
        <v>0</v>
      </c>
      <c r="F1360" s="713">
        <v>0</v>
      </c>
      <c r="G1360" s="713">
        <v>0</v>
      </c>
      <c r="H1360" s="713">
        <v>0</v>
      </c>
      <c r="I1360" s="348">
        <f t="shared" si="30"/>
        <v>129043.83</v>
      </c>
      <c r="J1360" s="192" t="s">
        <v>1723</v>
      </c>
    </row>
    <row r="1361" spans="1:10" hidden="1" outlineLevel="1">
      <c r="A1361" s="381" t="s">
        <v>1496</v>
      </c>
      <c r="B1361" s="207">
        <v>489977.61</v>
      </c>
      <c r="C1361" s="713">
        <v>0</v>
      </c>
      <c r="D1361" s="713">
        <v>0</v>
      </c>
      <c r="E1361" s="713">
        <v>0</v>
      </c>
      <c r="F1361" s="713">
        <v>0</v>
      </c>
      <c r="G1361" s="713">
        <v>260.92</v>
      </c>
      <c r="H1361" s="713">
        <v>0</v>
      </c>
      <c r="I1361" s="348">
        <f t="shared" si="30"/>
        <v>490238.52999999997</v>
      </c>
      <c r="J1361" s="192" t="s">
        <v>1497</v>
      </c>
    </row>
    <row r="1362" spans="1:10" hidden="1" outlineLevel="1">
      <c r="A1362" s="381" t="s">
        <v>1236</v>
      </c>
      <c r="B1362" s="207">
        <v>515601.97</v>
      </c>
      <c r="C1362" s="713">
        <v>0</v>
      </c>
      <c r="D1362" s="713">
        <v>0</v>
      </c>
      <c r="E1362" s="713">
        <v>0</v>
      </c>
      <c r="F1362" s="713">
        <v>0</v>
      </c>
      <c r="G1362" s="713">
        <v>0</v>
      </c>
      <c r="H1362" s="713">
        <v>0</v>
      </c>
      <c r="I1362" s="348">
        <f t="shared" si="30"/>
        <v>515601.97</v>
      </c>
      <c r="J1362" s="192" t="s">
        <v>1237</v>
      </c>
    </row>
    <row r="1363" spans="1:10" hidden="1" outlineLevel="1">
      <c r="A1363" s="381" t="s">
        <v>1348</v>
      </c>
      <c r="B1363" s="207">
        <v>196240.89</v>
      </c>
      <c r="C1363" s="713">
        <v>0</v>
      </c>
      <c r="D1363" s="713">
        <v>0</v>
      </c>
      <c r="E1363" s="713">
        <v>0</v>
      </c>
      <c r="F1363" s="713">
        <v>0</v>
      </c>
      <c r="G1363" s="713">
        <v>0</v>
      </c>
      <c r="H1363" s="713">
        <v>0</v>
      </c>
      <c r="I1363" s="348">
        <f t="shared" si="30"/>
        <v>196240.89</v>
      </c>
      <c r="J1363" s="192" t="s">
        <v>1349</v>
      </c>
    </row>
    <row r="1364" spans="1:10" hidden="1" outlineLevel="1">
      <c r="A1364" s="381" t="s">
        <v>1814</v>
      </c>
      <c r="B1364" s="207">
        <v>401703.81</v>
      </c>
      <c r="C1364" s="713">
        <v>0</v>
      </c>
      <c r="D1364" s="713">
        <v>0</v>
      </c>
      <c r="E1364" s="713">
        <v>0</v>
      </c>
      <c r="F1364" s="713">
        <v>0</v>
      </c>
      <c r="G1364" s="713">
        <v>0</v>
      </c>
      <c r="H1364" s="713">
        <v>0</v>
      </c>
      <c r="I1364" s="348">
        <f t="shared" si="30"/>
        <v>401703.81</v>
      </c>
      <c r="J1364" s="192" t="s">
        <v>1815</v>
      </c>
    </row>
    <row r="1365" spans="1:10" hidden="1" outlineLevel="1">
      <c r="A1365" s="381" t="s">
        <v>1240</v>
      </c>
      <c r="B1365" s="207">
        <v>1237033.8700000001</v>
      </c>
      <c r="C1365" s="713">
        <v>0</v>
      </c>
      <c r="D1365" s="713">
        <v>0</v>
      </c>
      <c r="E1365" s="713">
        <v>0</v>
      </c>
      <c r="F1365" s="713">
        <v>1978.11</v>
      </c>
      <c r="G1365" s="713">
        <v>0</v>
      </c>
      <c r="H1365" s="713">
        <v>0</v>
      </c>
      <c r="I1365" s="348">
        <f t="shared" si="30"/>
        <v>1239011.9800000002</v>
      </c>
      <c r="J1365" s="192" t="s">
        <v>1241</v>
      </c>
    </row>
    <row r="1366" spans="1:10" hidden="1" outlineLevel="1">
      <c r="A1366" s="381" t="s">
        <v>1404</v>
      </c>
      <c r="B1366" s="207">
        <v>45151.519999999997</v>
      </c>
      <c r="C1366" s="713">
        <v>0</v>
      </c>
      <c r="D1366" s="713">
        <v>0</v>
      </c>
      <c r="E1366" s="713">
        <v>0</v>
      </c>
      <c r="F1366" s="713">
        <v>0</v>
      </c>
      <c r="G1366" s="713">
        <v>0</v>
      </c>
      <c r="H1366" s="713">
        <v>0</v>
      </c>
      <c r="I1366" s="348">
        <f t="shared" si="30"/>
        <v>45151.519999999997</v>
      </c>
      <c r="J1366" s="192" t="s">
        <v>1405</v>
      </c>
    </row>
    <row r="1367" spans="1:10" hidden="1" outlineLevel="1">
      <c r="A1367" s="381" t="s">
        <v>1584</v>
      </c>
      <c r="B1367" s="207">
        <v>317629.61</v>
      </c>
      <c r="C1367" s="713">
        <v>0</v>
      </c>
      <c r="D1367" s="713">
        <v>0</v>
      </c>
      <c r="E1367" s="713">
        <v>0</v>
      </c>
      <c r="F1367" s="713">
        <v>0</v>
      </c>
      <c r="G1367" s="713">
        <v>0</v>
      </c>
      <c r="H1367" s="713">
        <v>0</v>
      </c>
      <c r="I1367" s="348">
        <f t="shared" si="30"/>
        <v>317629.61</v>
      </c>
      <c r="J1367" s="192" t="s">
        <v>1585</v>
      </c>
    </row>
    <row r="1368" spans="1:10" hidden="1" outlineLevel="1">
      <c r="A1368" s="381" t="s">
        <v>1420</v>
      </c>
      <c r="B1368" s="207">
        <v>38498.879999999997</v>
      </c>
      <c r="C1368" s="713">
        <v>0</v>
      </c>
      <c r="D1368" s="713">
        <v>0</v>
      </c>
      <c r="E1368" s="713">
        <v>0</v>
      </c>
      <c r="F1368" s="713">
        <v>0</v>
      </c>
      <c r="G1368" s="713">
        <v>0</v>
      </c>
      <c r="H1368" s="713">
        <v>0</v>
      </c>
      <c r="I1368" s="348">
        <f t="shared" si="30"/>
        <v>38498.879999999997</v>
      </c>
      <c r="J1368" s="192" t="s">
        <v>1421</v>
      </c>
    </row>
    <row r="1369" spans="1:10" hidden="1" outlineLevel="1">
      <c r="A1369" s="381" t="s">
        <v>1438</v>
      </c>
      <c r="B1369" s="207">
        <v>384981.88</v>
      </c>
      <c r="C1369" s="713">
        <v>0</v>
      </c>
      <c r="D1369" s="713">
        <v>0</v>
      </c>
      <c r="E1369" s="713">
        <v>0</v>
      </c>
      <c r="F1369" s="714">
        <v>0</v>
      </c>
      <c r="G1369" s="713">
        <v>0</v>
      </c>
      <c r="H1369" s="713">
        <v>0</v>
      </c>
      <c r="I1369" s="348">
        <f t="shared" si="30"/>
        <v>384981.88</v>
      </c>
      <c r="J1369" s="192" t="s">
        <v>1439</v>
      </c>
    </row>
    <row r="1370" spans="1:10" hidden="1" outlineLevel="1">
      <c r="A1370" s="1590" t="s">
        <v>1504</v>
      </c>
      <c r="B1370" s="207">
        <f>1258645.94+(783624*0.00277)</f>
        <v>1260816.5784799999</v>
      </c>
      <c r="C1370" s="713">
        <v>0</v>
      </c>
      <c r="D1370" s="713">
        <v>0</v>
      </c>
      <c r="E1370" s="713">
        <v>0</v>
      </c>
      <c r="F1370" s="713">
        <v>0</v>
      </c>
      <c r="G1370" s="713">
        <v>0</v>
      </c>
      <c r="H1370" s="713">
        <v>0</v>
      </c>
      <c r="I1370" s="348">
        <f t="shared" si="30"/>
        <v>1260816.5784799999</v>
      </c>
      <c r="J1370" s="192" t="s">
        <v>1505</v>
      </c>
    </row>
    <row r="1371" spans="1:10" hidden="1" outlineLevel="1">
      <c r="A1371" s="381" t="s">
        <v>1275</v>
      </c>
      <c r="B1371" s="207">
        <v>29868.04</v>
      </c>
      <c r="C1371" s="713">
        <v>0</v>
      </c>
      <c r="D1371" s="713">
        <v>0</v>
      </c>
      <c r="E1371" s="713">
        <v>0</v>
      </c>
      <c r="F1371" s="713">
        <v>0</v>
      </c>
      <c r="G1371" s="713">
        <v>0</v>
      </c>
      <c r="H1371" s="713">
        <v>0</v>
      </c>
      <c r="I1371" s="348">
        <f t="shared" si="30"/>
        <v>29868.04</v>
      </c>
      <c r="J1371" s="192" t="s">
        <v>1276</v>
      </c>
    </row>
    <row r="1372" spans="1:10" hidden="1" outlineLevel="1">
      <c r="A1372" s="381" t="s">
        <v>1562</v>
      </c>
      <c r="B1372" s="207">
        <v>6511.87</v>
      </c>
      <c r="C1372" s="713">
        <v>0</v>
      </c>
      <c r="D1372" s="713">
        <v>0</v>
      </c>
      <c r="E1372" s="713">
        <v>0</v>
      </c>
      <c r="F1372" s="713">
        <v>0</v>
      </c>
      <c r="G1372" s="713">
        <v>0</v>
      </c>
      <c r="H1372" s="713">
        <v>0</v>
      </c>
      <c r="I1372" s="348">
        <f t="shared" si="30"/>
        <v>6511.87</v>
      </c>
      <c r="J1372" s="192" t="s">
        <v>1563</v>
      </c>
    </row>
    <row r="1373" spans="1:10" hidden="1" outlineLevel="1">
      <c r="A1373" s="381" t="s">
        <v>2197</v>
      </c>
      <c r="B1373" s="207">
        <v>15987.17</v>
      </c>
      <c r="C1373" s="713">
        <v>0</v>
      </c>
      <c r="D1373" s="713">
        <v>0</v>
      </c>
      <c r="E1373" s="713">
        <v>0</v>
      </c>
      <c r="F1373" s="713">
        <v>0</v>
      </c>
      <c r="G1373" s="713">
        <v>0</v>
      </c>
      <c r="H1373" s="713">
        <v>0</v>
      </c>
      <c r="I1373" s="348">
        <f t="shared" si="30"/>
        <v>15987.17</v>
      </c>
      <c r="J1373" s="192" t="s">
        <v>2198</v>
      </c>
    </row>
    <row r="1374" spans="1:10" hidden="1" outlineLevel="1">
      <c r="A1374" s="381" t="s">
        <v>1706</v>
      </c>
      <c r="B1374" s="207">
        <v>622278.59</v>
      </c>
      <c r="C1374" s="713">
        <v>0</v>
      </c>
      <c r="D1374" s="713">
        <v>0</v>
      </c>
      <c r="E1374" s="713">
        <v>0</v>
      </c>
      <c r="F1374" s="713">
        <v>0</v>
      </c>
      <c r="G1374" s="713">
        <v>0</v>
      </c>
      <c r="H1374" s="713">
        <v>0</v>
      </c>
      <c r="I1374" s="348">
        <f t="shared" si="30"/>
        <v>622278.59</v>
      </c>
      <c r="J1374" s="192" t="s">
        <v>1707</v>
      </c>
    </row>
    <row r="1375" spans="1:10" hidden="1" outlineLevel="1">
      <c r="A1375" s="381" t="s">
        <v>1454</v>
      </c>
      <c r="B1375" s="207">
        <v>277271.61</v>
      </c>
      <c r="C1375" s="713">
        <v>0</v>
      </c>
      <c r="D1375" s="713">
        <v>0</v>
      </c>
      <c r="E1375" s="713">
        <v>0</v>
      </c>
      <c r="F1375" s="713">
        <v>0</v>
      </c>
      <c r="G1375" s="713">
        <v>0</v>
      </c>
      <c r="H1375" s="713">
        <v>0</v>
      </c>
      <c r="I1375" s="348">
        <f t="shared" si="30"/>
        <v>277271.61</v>
      </c>
      <c r="J1375" s="192" t="s">
        <v>1455</v>
      </c>
    </row>
    <row r="1376" spans="1:10" hidden="1" outlineLevel="1">
      <c r="A1376" s="381" t="s">
        <v>1412</v>
      </c>
      <c r="B1376" s="207">
        <v>568292.91</v>
      </c>
      <c r="C1376" s="713">
        <v>0</v>
      </c>
      <c r="D1376" s="713">
        <v>0</v>
      </c>
      <c r="E1376" s="713">
        <v>0</v>
      </c>
      <c r="F1376" s="713">
        <v>0</v>
      </c>
      <c r="G1376" s="713">
        <v>0</v>
      </c>
      <c r="H1376" s="713">
        <v>0</v>
      </c>
      <c r="I1376" s="348">
        <f t="shared" si="30"/>
        <v>568292.91</v>
      </c>
      <c r="J1376" s="192" t="s">
        <v>1413</v>
      </c>
    </row>
    <row r="1377" spans="1:10" hidden="1" outlineLevel="1">
      <c r="A1377" s="381" t="s">
        <v>1548</v>
      </c>
      <c r="B1377" s="207">
        <v>59522.01</v>
      </c>
      <c r="C1377" s="713">
        <v>0</v>
      </c>
      <c r="D1377" s="713">
        <v>0</v>
      </c>
      <c r="E1377" s="713">
        <v>0</v>
      </c>
      <c r="F1377" s="713">
        <v>0</v>
      </c>
      <c r="G1377" s="713">
        <v>0</v>
      </c>
      <c r="H1377" s="713">
        <v>0</v>
      </c>
      <c r="I1377" s="348">
        <f t="shared" si="30"/>
        <v>59522.01</v>
      </c>
      <c r="J1377" s="192" t="s">
        <v>1549</v>
      </c>
    </row>
    <row r="1378" spans="1:10" hidden="1" outlineLevel="1">
      <c r="A1378" s="381" t="s">
        <v>1656</v>
      </c>
      <c r="B1378" s="207">
        <v>3958866.48</v>
      </c>
      <c r="C1378" s="713">
        <v>0</v>
      </c>
      <c r="D1378" s="713">
        <v>0</v>
      </c>
      <c r="E1378" s="713">
        <v>0</v>
      </c>
      <c r="F1378" s="713">
        <v>0</v>
      </c>
      <c r="G1378" s="713">
        <v>0</v>
      </c>
      <c r="H1378" s="713">
        <v>0</v>
      </c>
      <c r="I1378" s="348">
        <f t="shared" si="30"/>
        <v>3958866.48</v>
      </c>
      <c r="J1378" s="192" t="s">
        <v>1657</v>
      </c>
    </row>
    <row r="1379" spans="1:10" hidden="1" outlineLevel="1">
      <c r="A1379" s="381" t="s">
        <v>1221</v>
      </c>
      <c r="B1379" s="207">
        <v>1586744.55</v>
      </c>
      <c r="C1379" s="713">
        <v>0</v>
      </c>
      <c r="D1379" s="713">
        <v>0</v>
      </c>
      <c r="E1379" s="713">
        <v>0</v>
      </c>
      <c r="F1379" s="713">
        <v>0</v>
      </c>
      <c r="G1379" s="713">
        <v>0</v>
      </c>
      <c r="H1379" s="713">
        <v>0</v>
      </c>
      <c r="I1379" s="348">
        <f t="shared" si="30"/>
        <v>1586744.55</v>
      </c>
      <c r="J1379" s="192" t="s">
        <v>1222</v>
      </c>
    </row>
    <row r="1380" spans="1:10" hidden="1" outlineLevel="1">
      <c r="A1380" s="381" t="s">
        <v>1366</v>
      </c>
      <c r="B1380" s="207">
        <v>92621.83</v>
      </c>
      <c r="C1380" s="713">
        <v>0</v>
      </c>
      <c r="D1380" s="713">
        <v>0</v>
      </c>
      <c r="E1380" s="713">
        <v>0</v>
      </c>
      <c r="F1380" s="713">
        <v>0</v>
      </c>
      <c r="G1380" s="713">
        <v>0</v>
      </c>
      <c r="H1380" s="713">
        <v>0</v>
      </c>
      <c r="I1380" s="348">
        <f t="shared" si="30"/>
        <v>92621.83</v>
      </c>
      <c r="J1380" s="192" t="s">
        <v>1367</v>
      </c>
    </row>
    <row r="1381" spans="1:10" hidden="1" outlineLevel="1">
      <c r="A1381" s="381" t="s">
        <v>1610</v>
      </c>
      <c r="B1381" s="207">
        <v>130947.07</v>
      </c>
      <c r="C1381" s="713">
        <v>0</v>
      </c>
      <c r="D1381" s="713">
        <v>0</v>
      </c>
      <c r="E1381" s="713">
        <v>0</v>
      </c>
      <c r="F1381" s="713">
        <v>0</v>
      </c>
      <c r="G1381" s="713">
        <v>0</v>
      </c>
      <c r="H1381" s="713">
        <v>0</v>
      </c>
      <c r="I1381" s="348">
        <f t="shared" si="30"/>
        <v>130947.07</v>
      </c>
      <c r="J1381" s="192" t="s">
        <v>1611</v>
      </c>
    </row>
    <row r="1382" spans="1:10" hidden="1" outlineLevel="1">
      <c r="A1382" s="381" t="s">
        <v>1474</v>
      </c>
      <c r="B1382" s="207">
        <v>41683.769999999997</v>
      </c>
      <c r="C1382" s="713">
        <v>0</v>
      </c>
      <c r="D1382" s="713">
        <v>0</v>
      </c>
      <c r="E1382" s="713">
        <v>0</v>
      </c>
      <c r="F1382" s="713">
        <v>0</v>
      </c>
      <c r="G1382" s="713">
        <v>0</v>
      </c>
      <c r="H1382" s="713">
        <v>0</v>
      </c>
      <c r="I1382" s="348">
        <f t="shared" si="30"/>
        <v>41683.769999999997</v>
      </c>
      <c r="J1382" s="192" t="s">
        <v>1475</v>
      </c>
    </row>
    <row r="1383" spans="1:10" hidden="1" outlineLevel="1">
      <c r="A1383" s="381" t="s">
        <v>580</v>
      </c>
      <c r="B1383" s="207">
        <v>746410.82</v>
      </c>
      <c r="C1383" s="713">
        <v>0</v>
      </c>
      <c r="D1383" s="713">
        <v>0</v>
      </c>
      <c r="E1383" s="713">
        <v>0</v>
      </c>
      <c r="F1383" s="713">
        <v>0</v>
      </c>
      <c r="G1383" s="713">
        <v>0</v>
      </c>
      <c r="H1383" s="713">
        <v>0</v>
      </c>
      <c r="I1383" s="348">
        <f t="shared" si="30"/>
        <v>746410.82</v>
      </c>
      <c r="J1383" s="192" t="s">
        <v>581</v>
      </c>
    </row>
    <row r="1384" spans="1:10" hidden="1" outlineLevel="1">
      <c r="A1384" s="381" t="s">
        <v>1592</v>
      </c>
      <c r="B1384" s="207">
        <v>328892.46999999997</v>
      </c>
      <c r="C1384" s="713">
        <v>0</v>
      </c>
      <c r="D1384" s="713">
        <v>0</v>
      </c>
      <c r="E1384" s="713">
        <v>0</v>
      </c>
      <c r="F1384" s="713">
        <v>0</v>
      </c>
      <c r="G1384" s="713">
        <v>0</v>
      </c>
      <c r="H1384" s="713">
        <v>0</v>
      </c>
      <c r="I1384" s="348">
        <f t="shared" si="30"/>
        <v>328892.46999999997</v>
      </c>
      <c r="J1384" s="192" t="s">
        <v>1593</v>
      </c>
    </row>
    <row r="1385" spans="1:10" hidden="1" outlineLevel="1">
      <c r="A1385" s="381" t="s">
        <v>1792</v>
      </c>
      <c r="B1385" s="207">
        <v>98213.63</v>
      </c>
      <c r="C1385" s="713">
        <v>0</v>
      </c>
      <c r="D1385" s="713">
        <v>0</v>
      </c>
      <c r="E1385" s="713">
        <v>0</v>
      </c>
      <c r="F1385" s="713">
        <v>0</v>
      </c>
      <c r="G1385" s="713">
        <v>0</v>
      </c>
      <c r="H1385" s="713">
        <v>0</v>
      </c>
      <c r="I1385" s="348">
        <f t="shared" si="30"/>
        <v>98213.63</v>
      </c>
      <c r="J1385" s="192" t="s">
        <v>1793</v>
      </c>
    </row>
    <row r="1386" spans="1:10" hidden="1" outlineLevel="1">
      <c r="A1386" s="381" t="s">
        <v>1322</v>
      </c>
      <c r="B1386" s="207">
        <v>30765.64</v>
      </c>
      <c r="C1386" s="713">
        <v>0</v>
      </c>
      <c r="D1386" s="713">
        <v>0</v>
      </c>
      <c r="E1386" s="713">
        <v>0</v>
      </c>
      <c r="F1386" s="713">
        <v>0</v>
      </c>
      <c r="G1386" s="713">
        <v>0</v>
      </c>
      <c r="H1386" s="713">
        <v>0</v>
      </c>
      <c r="I1386" s="348">
        <f t="shared" si="30"/>
        <v>30765.64</v>
      </c>
      <c r="J1386" s="192" t="s">
        <v>1323</v>
      </c>
    </row>
    <row r="1387" spans="1:10" hidden="1" outlineLevel="1">
      <c r="A1387" s="381" t="s">
        <v>1618</v>
      </c>
      <c r="B1387" s="207">
        <v>66037.740000000005</v>
      </c>
      <c r="C1387" s="713">
        <v>0</v>
      </c>
      <c r="D1387" s="713">
        <v>0</v>
      </c>
      <c r="E1387" s="713">
        <v>0</v>
      </c>
      <c r="F1387" s="713">
        <v>0</v>
      </c>
      <c r="G1387" s="713">
        <v>0</v>
      </c>
      <c r="H1387" s="713">
        <v>0</v>
      </c>
      <c r="I1387" s="348">
        <f t="shared" si="30"/>
        <v>66037.740000000005</v>
      </c>
      <c r="J1387" s="192" t="s">
        <v>1619</v>
      </c>
    </row>
    <row r="1388" spans="1:10" hidden="1" outlineLevel="1">
      <c r="A1388" s="381" t="s">
        <v>1806</v>
      </c>
      <c r="B1388" s="207">
        <v>170970.9</v>
      </c>
      <c r="C1388" s="713">
        <v>0</v>
      </c>
      <c r="D1388" s="713">
        <v>0</v>
      </c>
      <c r="E1388" s="713">
        <v>0</v>
      </c>
      <c r="F1388" s="713">
        <v>0</v>
      </c>
      <c r="G1388" s="713">
        <v>0</v>
      </c>
      <c r="H1388" s="713">
        <v>0</v>
      </c>
      <c r="I1388" s="348">
        <f t="shared" si="30"/>
        <v>170970.9</v>
      </c>
      <c r="J1388" s="192" t="s">
        <v>2199</v>
      </c>
    </row>
    <row r="1389" spans="1:10" hidden="1" outlineLevel="1">
      <c r="A1389" s="381" t="s">
        <v>1342</v>
      </c>
      <c r="B1389" s="207">
        <v>350283.48</v>
      </c>
      <c r="C1389" s="713">
        <v>0</v>
      </c>
      <c r="D1389" s="713">
        <v>0</v>
      </c>
      <c r="E1389" s="713">
        <v>0</v>
      </c>
      <c r="F1389" s="713">
        <v>0</v>
      </c>
      <c r="G1389" s="713">
        <v>0</v>
      </c>
      <c r="H1389" s="713">
        <v>0</v>
      </c>
      <c r="I1389" s="348">
        <f t="shared" si="30"/>
        <v>350283.48</v>
      </c>
      <c r="J1389" s="192" t="s">
        <v>1343</v>
      </c>
    </row>
    <row r="1390" spans="1:10" hidden="1" outlineLevel="1">
      <c r="A1390" s="381" t="s">
        <v>1340</v>
      </c>
      <c r="B1390" s="207">
        <v>99113.14</v>
      </c>
      <c r="C1390" s="713">
        <v>0</v>
      </c>
      <c r="D1390" s="713">
        <v>0</v>
      </c>
      <c r="E1390" s="713">
        <v>0</v>
      </c>
      <c r="F1390" s="713">
        <v>0</v>
      </c>
      <c r="G1390" s="713">
        <v>0</v>
      </c>
      <c r="H1390" s="713">
        <v>0</v>
      </c>
      <c r="I1390" s="348">
        <f t="shared" si="30"/>
        <v>99113.14</v>
      </c>
      <c r="J1390" s="192" t="s">
        <v>1341</v>
      </c>
    </row>
    <row r="1391" spans="1:10" hidden="1" outlineLevel="1">
      <c r="A1391" s="381" t="s">
        <v>1326</v>
      </c>
      <c r="B1391" s="207">
        <v>269474.5</v>
      </c>
      <c r="C1391" s="713">
        <v>0</v>
      </c>
      <c r="D1391" s="713">
        <v>0</v>
      </c>
      <c r="E1391" s="713">
        <v>0</v>
      </c>
      <c r="F1391" s="713">
        <v>0</v>
      </c>
      <c r="G1391" s="713">
        <v>0</v>
      </c>
      <c r="H1391" s="713">
        <v>0</v>
      </c>
      <c r="I1391" s="348">
        <f t="shared" si="30"/>
        <v>269474.5</v>
      </c>
      <c r="J1391" s="192" t="s">
        <v>1327</v>
      </c>
    </row>
    <row r="1392" spans="1:10" hidden="1" outlineLevel="1">
      <c r="A1392" s="381" t="s">
        <v>1376</v>
      </c>
      <c r="B1392" s="207">
        <v>306305.49</v>
      </c>
      <c r="C1392" s="713">
        <v>0</v>
      </c>
      <c r="D1392" s="713">
        <v>0</v>
      </c>
      <c r="E1392" s="713">
        <v>0</v>
      </c>
      <c r="F1392" s="713">
        <v>0</v>
      </c>
      <c r="G1392" s="713">
        <v>0</v>
      </c>
      <c r="H1392" s="713">
        <v>0</v>
      </c>
      <c r="I1392" s="348">
        <f t="shared" si="30"/>
        <v>306305.49</v>
      </c>
      <c r="J1392" s="192" t="s">
        <v>1377</v>
      </c>
    </row>
    <row r="1393" spans="1:10" hidden="1" outlineLevel="1">
      <c r="A1393" s="381" t="s">
        <v>1628</v>
      </c>
      <c r="B1393" s="207">
        <v>364820.94</v>
      </c>
      <c r="C1393" s="713">
        <v>0</v>
      </c>
      <c r="D1393" s="713">
        <v>0</v>
      </c>
      <c r="E1393" s="713">
        <v>0</v>
      </c>
      <c r="F1393" s="713">
        <v>0</v>
      </c>
      <c r="G1393" s="713">
        <v>0</v>
      </c>
      <c r="H1393" s="713">
        <v>0</v>
      </c>
      <c r="I1393" s="348">
        <f t="shared" si="30"/>
        <v>364820.94</v>
      </c>
      <c r="J1393" s="192" t="s">
        <v>1629</v>
      </c>
    </row>
    <row r="1394" spans="1:10" hidden="1" outlineLevel="1">
      <c r="A1394" s="381" t="s">
        <v>2200</v>
      </c>
      <c r="B1394" s="207">
        <v>14251.49</v>
      </c>
      <c r="C1394" s="713">
        <v>0</v>
      </c>
      <c r="D1394" s="713">
        <v>0</v>
      </c>
      <c r="E1394" s="713">
        <v>0</v>
      </c>
      <c r="F1394" s="713">
        <v>0</v>
      </c>
      <c r="G1394" s="713">
        <v>0</v>
      </c>
      <c r="H1394" s="713">
        <v>0</v>
      </c>
      <c r="I1394" s="348">
        <f t="shared" si="30"/>
        <v>14251.49</v>
      </c>
      <c r="J1394" s="192" t="s">
        <v>2201</v>
      </c>
    </row>
    <row r="1395" spans="1:10" hidden="1" outlineLevel="1">
      <c r="A1395" s="381" t="s">
        <v>1293</v>
      </c>
      <c r="B1395" s="207">
        <v>723820.89</v>
      </c>
      <c r="C1395" s="713">
        <v>0</v>
      </c>
      <c r="D1395" s="713">
        <v>0</v>
      </c>
      <c r="E1395" s="713">
        <v>0</v>
      </c>
      <c r="F1395" s="713">
        <v>0</v>
      </c>
      <c r="G1395" s="713">
        <v>0</v>
      </c>
      <c r="H1395" s="713">
        <v>0</v>
      </c>
      <c r="I1395" s="348">
        <f t="shared" si="30"/>
        <v>723820.89</v>
      </c>
      <c r="J1395" s="192" t="s">
        <v>1294</v>
      </c>
    </row>
    <row r="1396" spans="1:10" hidden="1" outlineLevel="1">
      <c r="A1396" s="381" t="s">
        <v>1590</v>
      </c>
      <c r="B1396" s="207">
        <v>45811.51</v>
      </c>
      <c r="C1396" s="713">
        <v>0</v>
      </c>
      <c r="D1396" s="713">
        <v>0</v>
      </c>
      <c r="E1396" s="713">
        <v>0</v>
      </c>
      <c r="F1396" s="713">
        <v>0</v>
      </c>
      <c r="G1396" s="713">
        <v>0</v>
      </c>
      <c r="H1396" s="713">
        <v>0</v>
      </c>
      <c r="I1396" s="348">
        <f t="shared" si="30"/>
        <v>45811.51</v>
      </c>
      <c r="J1396" s="192" t="s">
        <v>1591</v>
      </c>
    </row>
    <row r="1397" spans="1:10" hidden="1" outlineLevel="1">
      <c r="A1397" s="381" t="s">
        <v>1464</v>
      </c>
      <c r="B1397" s="207">
        <v>126390.33</v>
      </c>
      <c r="C1397" s="713">
        <v>0</v>
      </c>
      <c r="D1397" s="713">
        <v>0</v>
      </c>
      <c r="E1397" s="713">
        <v>0</v>
      </c>
      <c r="F1397" s="713">
        <v>0</v>
      </c>
      <c r="G1397" s="713">
        <v>0</v>
      </c>
      <c r="H1397" s="713">
        <v>0</v>
      </c>
      <c r="I1397" s="348">
        <f t="shared" si="30"/>
        <v>126390.33</v>
      </c>
      <c r="J1397" s="192" t="s">
        <v>1465</v>
      </c>
    </row>
    <row r="1398" spans="1:10" hidden="1" outlineLevel="1">
      <c r="A1398" s="381" t="s">
        <v>2202</v>
      </c>
      <c r="B1398" s="207">
        <v>17918.509999999998</v>
      </c>
      <c r="C1398" s="713">
        <v>0</v>
      </c>
      <c r="D1398" s="713">
        <v>0</v>
      </c>
      <c r="E1398" s="713">
        <v>0</v>
      </c>
      <c r="F1398" s="713">
        <v>0</v>
      </c>
      <c r="G1398" s="713">
        <v>0</v>
      </c>
      <c r="H1398" s="713">
        <v>0</v>
      </c>
      <c r="I1398" s="348">
        <f t="shared" si="30"/>
        <v>17918.509999999998</v>
      </c>
      <c r="J1398" s="192" t="s">
        <v>2203</v>
      </c>
    </row>
    <row r="1399" spans="1:10" hidden="1" outlineLevel="1">
      <c r="A1399" s="381" t="s">
        <v>1586</v>
      </c>
      <c r="B1399" s="207">
        <v>72923.539999999994</v>
      </c>
      <c r="C1399" s="713">
        <v>0</v>
      </c>
      <c r="D1399" s="713">
        <v>0</v>
      </c>
      <c r="E1399" s="713">
        <v>0</v>
      </c>
      <c r="F1399" s="713">
        <v>0</v>
      </c>
      <c r="G1399" s="713">
        <v>0</v>
      </c>
      <c r="H1399" s="713">
        <v>0</v>
      </c>
      <c r="I1399" s="348">
        <f t="shared" si="30"/>
        <v>72923.539999999994</v>
      </c>
      <c r="J1399" s="192" t="s">
        <v>1587</v>
      </c>
    </row>
    <row r="1400" spans="1:10" hidden="1" outlineLevel="1">
      <c r="A1400" s="381" t="s">
        <v>1232</v>
      </c>
      <c r="B1400" s="207">
        <v>1398760.12</v>
      </c>
      <c r="C1400" s="713">
        <v>0</v>
      </c>
      <c r="D1400" s="713">
        <v>0</v>
      </c>
      <c r="E1400" s="713">
        <v>0</v>
      </c>
      <c r="F1400" s="713">
        <v>0</v>
      </c>
      <c r="G1400" s="713">
        <v>0</v>
      </c>
      <c r="H1400" s="713">
        <v>0</v>
      </c>
      <c r="I1400" s="348">
        <f t="shared" si="30"/>
        <v>1398760.12</v>
      </c>
      <c r="J1400" s="192" t="s">
        <v>1233</v>
      </c>
    </row>
    <row r="1401" spans="1:10" hidden="1" outlineLevel="1">
      <c r="A1401" s="381" t="s">
        <v>1444</v>
      </c>
      <c r="B1401" s="207">
        <v>2524181.7999999998</v>
      </c>
      <c r="C1401" s="713">
        <v>0</v>
      </c>
      <c r="D1401" s="713">
        <v>0</v>
      </c>
      <c r="E1401" s="713">
        <v>0</v>
      </c>
      <c r="F1401" s="713">
        <v>0</v>
      </c>
      <c r="G1401" s="713">
        <v>0</v>
      </c>
      <c r="H1401" s="713">
        <v>0</v>
      </c>
      <c r="I1401" s="348">
        <f t="shared" si="30"/>
        <v>2524181.7999999998</v>
      </c>
      <c r="J1401" s="192" t="s">
        <v>1445</v>
      </c>
    </row>
    <row r="1402" spans="1:10" hidden="1" outlineLevel="1">
      <c r="A1402" s="381" t="s">
        <v>1248</v>
      </c>
      <c r="B1402" s="207">
        <v>301401.48</v>
      </c>
      <c r="C1402" s="713">
        <v>0</v>
      </c>
      <c r="D1402" s="713">
        <v>0</v>
      </c>
      <c r="E1402" s="713">
        <v>0</v>
      </c>
      <c r="F1402" s="713">
        <v>0</v>
      </c>
      <c r="G1402" s="713">
        <v>0</v>
      </c>
      <c r="H1402" s="713">
        <v>0</v>
      </c>
      <c r="I1402" s="348">
        <f t="shared" ref="I1402:I1465" si="31">SUM(B1402:H1402)</f>
        <v>301401.48</v>
      </c>
      <c r="J1402" s="192" t="s">
        <v>1249</v>
      </c>
    </row>
    <row r="1403" spans="1:10" hidden="1" outlineLevel="1">
      <c r="A1403" s="381" t="s">
        <v>1675</v>
      </c>
      <c r="B1403" s="207">
        <v>800713.52</v>
      </c>
      <c r="C1403" s="713">
        <v>0</v>
      </c>
      <c r="D1403" s="713">
        <v>0</v>
      </c>
      <c r="E1403" s="713">
        <v>0</v>
      </c>
      <c r="F1403" s="713">
        <v>0</v>
      </c>
      <c r="G1403" s="713">
        <v>0</v>
      </c>
      <c r="H1403" s="713">
        <v>0</v>
      </c>
      <c r="I1403" s="348">
        <f t="shared" si="31"/>
        <v>800713.52</v>
      </c>
      <c r="J1403" s="192" t="s">
        <v>1676</v>
      </c>
    </row>
    <row r="1404" spans="1:10" hidden="1" outlineLevel="1">
      <c r="A1404" s="381" t="s">
        <v>1536</v>
      </c>
      <c r="B1404" s="207">
        <v>59315.83</v>
      </c>
      <c r="C1404" s="713">
        <v>0</v>
      </c>
      <c r="D1404" s="713">
        <v>0</v>
      </c>
      <c r="E1404" s="713">
        <v>0</v>
      </c>
      <c r="F1404" s="713">
        <v>0</v>
      </c>
      <c r="G1404" s="713">
        <v>0</v>
      </c>
      <c r="H1404" s="713">
        <v>0</v>
      </c>
      <c r="I1404" s="348">
        <f t="shared" si="31"/>
        <v>59315.83</v>
      </c>
      <c r="J1404" s="192" t="s">
        <v>1537</v>
      </c>
    </row>
    <row r="1405" spans="1:10" hidden="1" outlineLevel="1">
      <c r="A1405" s="381" t="s">
        <v>1374</v>
      </c>
      <c r="B1405" s="207">
        <v>225362.52</v>
      </c>
      <c r="C1405" s="713">
        <v>0</v>
      </c>
      <c r="D1405" s="713">
        <v>0</v>
      </c>
      <c r="E1405" s="713">
        <v>0</v>
      </c>
      <c r="F1405" s="713">
        <v>0</v>
      </c>
      <c r="G1405" s="713">
        <v>0</v>
      </c>
      <c r="H1405" s="713">
        <v>0</v>
      </c>
      <c r="I1405" s="348">
        <f t="shared" si="31"/>
        <v>225362.52</v>
      </c>
      <c r="J1405" s="192" t="s">
        <v>1375</v>
      </c>
    </row>
    <row r="1406" spans="1:10" hidden="1" outlineLevel="1">
      <c r="A1406" s="381" t="s">
        <v>1257</v>
      </c>
      <c r="B1406" s="207">
        <v>126660.39</v>
      </c>
      <c r="C1406" s="713">
        <v>0</v>
      </c>
      <c r="D1406" s="713">
        <v>0</v>
      </c>
      <c r="E1406" s="713">
        <v>0</v>
      </c>
      <c r="F1406" s="713">
        <v>0</v>
      </c>
      <c r="G1406" s="713">
        <v>0</v>
      </c>
      <c r="H1406" s="713">
        <v>0</v>
      </c>
      <c r="I1406" s="348">
        <f t="shared" si="31"/>
        <v>126660.39</v>
      </c>
      <c r="J1406" s="192" t="s">
        <v>1258</v>
      </c>
    </row>
    <row r="1407" spans="1:10" hidden="1" outlineLevel="1">
      <c r="A1407" s="381" t="s">
        <v>1714</v>
      </c>
      <c r="B1407" s="207">
        <v>486061.46</v>
      </c>
      <c r="C1407" s="713">
        <v>0</v>
      </c>
      <c r="D1407" s="713">
        <v>0</v>
      </c>
      <c r="E1407" s="713">
        <v>0</v>
      </c>
      <c r="F1407" s="713">
        <v>0</v>
      </c>
      <c r="G1407" s="713">
        <v>0</v>
      </c>
      <c r="H1407" s="713">
        <v>0</v>
      </c>
      <c r="I1407" s="348">
        <f t="shared" si="31"/>
        <v>486061.46</v>
      </c>
      <c r="J1407" s="192" t="s">
        <v>1715</v>
      </c>
    </row>
    <row r="1408" spans="1:10" hidden="1" outlineLevel="1">
      <c r="A1408" s="381" t="s">
        <v>1542</v>
      </c>
      <c r="B1408" s="207">
        <v>111381.95</v>
      </c>
      <c r="C1408" s="713">
        <v>0</v>
      </c>
      <c r="D1408" s="713">
        <v>0</v>
      </c>
      <c r="E1408" s="713">
        <v>0</v>
      </c>
      <c r="F1408" s="713">
        <v>0</v>
      </c>
      <c r="G1408" s="713">
        <v>0</v>
      </c>
      <c r="H1408" s="713">
        <v>0</v>
      </c>
      <c r="I1408" s="348">
        <f t="shared" si="31"/>
        <v>111381.95</v>
      </c>
      <c r="J1408" s="192" t="s">
        <v>1543</v>
      </c>
    </row>
    <row r="1409" spans="1:10" hidden="1" outlineLevel="1">
      <c r="A1409" s="381" t="s">
        <v>1526</v>
      </c>
      <c r="B1409" s="207">
        <v>138846.68</v>
      </c>
      <c r="C1409" s="713">
        <v>0</v>
      </c>
      <c r="D1409" s="713">
        <v>0</v>
      </c>
      <c r="E1409" s="713">
        <v>0</v>
      </c>
      <c r="F1409" s="713">
        <v>0</v>
      </c>
      <c r="G1409" s="713">
        <v>0</v>
      </c>
      <c r="H1409" s="713">
        <v>0</v>
      </c>
      <c r="I1409" s="348">
        <f t="shared" si="31"/>
        <v>138846.68</v>
      </c>
      <c r="J1409" s="192" t="s">
        <v>1527</v>
      </c>
    </row>
    <row r="1410" spans="1:10" hidden="1" outlineLevel="1">
      <c r="A1410" s="381" t="s">
        <v>1356</v>
      </c>
      <c r="B1410" s="207">
        <v>105022.43</v>
      </c>
      <c r="C1410" s="713">
        <v>0</v>
      </c>
      <c r="D1410" s="713">
        <v>0</v>
      </c>
      <c r="E1410" s="713">
        <v>0</v>
      </c>
      <c r="F1410" s="713">
        <v>0</v>
      </c>
      <c r="G1410" s="713">
        <v>0</v>
      </c>
      <c r="H1410" s="713">
        <v>0</v>
      </c>
      <c r="I1410" s="348">
        <f t="shared" si="31"/>
        <v>105022.43</v>
      </c>
      <c r="J1410" s="192" t="s">
        <v>1357</v>
      </c>
    </row>
    <row r="1411" spans="1:10" hidden="1" outlineLevel="1">
      <c r="A1411" s="381" t="s">
        <v>1712</v>
      </c>
      <c r="B1411" s="207">
        <v>43352.02</v>
      </c>
      <c r="C1411" s="713">
        <v>0</v>
      </c>
      <c r="D1411" s="713">
        <v>0</v>
      </c>
      <c r="E1411" s="713">
        <v>0</v>
      </c>
      <c r="F1411" s="713">
        <v>0</v>
      </c>
      <c r="G1411" s="713">
        <v>0</v>
      </c>
      <c r="H1411" s="713">
        <v>0</v>
      </c>
      <c r="I1411" s="348">
        <f t="shared" si="31"/>
        <v>43352.02</v>
      </c>
      <c r="J1411" s="192" t="s">
        <v>1713</v>
      </c>
    </row>
    <row r="1412" spans="1:10" hidden="1" outlineLevel="1">
      <c r="A1412" s="381" t="s">
        <v>1299</v>
      </c>
      <c r="B1412" s="207">
        <v>32658.15</v>
      </c>
      <c r="C1412" s="713">
        <v>0</v>
      </c>
      <c r="D1412" s="713">
        <v>0</v>
      </c>
      <c r="E1412" s="713">
        <v>0</v>
      </c>
      <c r="F1412" s="713">
        <v>0</v>
      </c>
      <c r="G1412" s="713">
        <v>0</v>
      </c>
      <c r="H1412" s="713">
        <v>0</v>
      </c>
      <c r="I1412" s="348">
        <f t="shared" si="31"/>
        <v>32658.15</v>
      </c>
      <c r="J1412" s="192" t="s">
        <v>1300</v>
      </c>
    </row>
    <row r="1413" spans="1:10" hidden="1" outlineLevel="1">
      <c r="A1413" s="381" t="s">
        <v>1754</v>
      </c>
      <c r="B1413" s="207">
        <v>57867.519999999997</v>
      </c>
      <c r="C1413" s="713">
        <v>0</v>
      </c>
      <c r="D1413" s="713">
        <v>0</v>
      </c>
      <c r="E1413" s="713">
        <v>0</v>
      </c>
      <c r="F1413" s="713">
        <v>0</v>
      </c>
      <c r="G1413" s="713">
        <v>0</v>
      </c>
      <c r="H1413" s="713">
        <v>0</v>
      </c>
      <c r="I1413" s="348">
        <f t="shared" si="31"/>
        <v>57867.519999999997</v>
      </c>
      <c r="J1413" s="192" t="s">
        <v>1755</v>
      </c>
    </row>
    <row r="1414" spans="1:10" hidden="1" outlineLevel="1">
      <c r="A1414" s="381" t="s">
        <v>1690</v>
      </c>
      <c r="B1414" s="207">
        <v>254219.54</v>
      </c>
      <c r="C1414" s="713">
        <v>0</v>
      </c>
      <c r="D1414" s="713">
        <v>0</v>
      </c>
      <c r="E1414" s="713">
        <v>0</v>
      </c>
      <c r="F1414" s="713">
        <v>0</v>
      </c>
      <c r="G1414" s="713">
        <v>0</v>
      </c>
      <c r="H1414" s="713">
        <v>0</v>
      </c>
      <c r="I1414" s="348">
        <f t="shared" si="31"/>
        <v>254219.54</v>
      </c>
      <c r="J1414" s="192" t="s">
        <v>1691</v>
      </c>
    </row>
    <row r="1415" spans="1:10" hidden="1" outlineLevel="1">
      <c r="A1415" s="381" t="s">
        <v>1251</v>
      </c>
      <c r="B1415" s="207">
        <v>117760.53</v>
      </c>
      <c r="C1415" s="713">
        <v>0</v>
      </c>
      <c r="D1415" s="713">
        <v>0</v>
      </c>
      <c r="E1415" s="713">
        <v>0</v>
      </c>
      <c r="F1415" s="713">
        <v>0</v>
      </c>
      <c r="G1415" s="713">
        <v>0</v>
      </c>
      <c r="H1415" s="713">
        <v>0</v>
      </c>
      <c r="I1415" s="348">
        <f t="shared" si="31"/>
        <v>117760.53</v>
      </c>
      <c r="J1415" s="192" t="s">
        <v>1252</v>
      </c>
    </row>
    <row r="1416" spans="1:10" hidden="1" outlineLevel="1">
      <c r="A1416" s="381" t="s">
        <v>1392</v>
      </c>
      <c r="B1416" s="207">
        <v>143388.6</v>
      </c>
      <c r="C1416" s="713">
        <v>0</v>
      </c>
      <c r="D1416" s="713">
        <v>0</v>
      </c>
      <c r="E1416" s="713">
        <v>0</v>
      </c>
      <c r="F1416" s="713">
        <v>0</v>
      </c>
      <c r="G1416" s="713">
        <v>0</v>
      </c>
      <c r="H1416" s="713">
        <v>0</v>
      </c>
      <c r="I1416" s="348">
        <f t="shared" si="31"/>
        <v>143388.6</v>
      </c>
      <c r="J1416" s="192" t="s">
        <v>1393</v>
      </c>
    </row>
    <row r="1417" spans="1:10" hidden="1" outlineLevel="1">
      <c r="A1417" s="381" t="s">
        <v>1662</v>
      </c>
      <c r="B1417" s="207">
        <v>39015.31</v>
      </c>
      <c r="C1417" s="713">
        <v>0</v>
      </c>
      <c r="D1417" s="713">
        <v>0</v>
      </c>
      <c r="E1417" s="713">
        <v>0</v>
      </c>
      <c r="F1417" s="713">
        <v>0</v>
      </c>
      <c r="G1417" s="713">
        <v>0</v>
      </c>
      <c r="H1417" s="713">
        <v>0</v>
      </c>
      <c r="I1417" s="348">
        <f t="shared" si="31"/>
        <v>39015.31</v>
      </c>
      <c r="J1417" s="192" t="s">
        <v>1663</v>
      </c>
    </row>
    <row r="1418" spans="1:10" hidden="1" outlineLevel="1">
      <c r="A1418" s="381" t="s">
        <v>1660</v>
      </c>
      <c r="B1418" s="207">
        <v>48460.17</v>
      </c>
      <c r="C1418" s="713">
        <v>0</v>
      </c>
      <c r="D1418" s="713">
        <v>0</v>
      </c>
      <c r="E1418" s="713">
        <v>0</v>
      </c>
      <c r="F1418" s="713">
        <v>0</v>
      </c>
      <c r="G1418" s="713">
        <v>0</v>
      </c>
      <c r="H1418" s="713">
        <v>0</v>
      </c>
      <c r="I1418" s="348">
        <f t="shared" si="31"/>
        <v>48460.17</v>
      </c>
      <c r="J1418" s="192" t="s">
        <v>1661</v>
      </c>
    </row>
    <row r="1419" spans="1:10" hidden="1" outlineLevel="1">
      <c r="A1419" s="381" t="s">
        <v>1564</v>
      </c>
      <c r="B1419" s="207">
        <v>15426.7</v>
      </c>
      <c r="C1419" s="713">
        <v>0</v>
      </c>
      <c r="D1419" s="713">
        <v>0</v>
      </c>
      <c r="E1419" s="713">
        <v>0</v>
      </c>
      <c r="F1419" s="713">
        <v>0</v>
      </c>
      <c r="G1419" s="713">
        <v>0</v>
      </c>
      <c r="H1419" s="713">
        <v>0</v>
      </c>
      <c r="I1419" s="348">
        <f t="shared" si="31"/>
        <v>15426.7</v>
      </c>
      <c r="J1419" s="192" t="s">
        <v>1565</v>
      </c>
    </row>
    <row r="1420" spans="1:10" hidden="1" outlineLevel="1">
      <c r="A1420" s="381" t="s">
        <v>1612</v>
      </c>
      <c r="B1420" s="207">
        <v>148015.79</v>
      </c>
      <c r="C1420" s="713">
        <v>0</v>
      </c>
      <c r="D1420" s="713">
        <v>0</v>
      </c>
      <c r="E1420" s="713">
        <v>0</v>
      </c>
      <c r="F1420" s="713">
        <v>0</v>
      </c>
      <c r="G1420" s="713">
        <v>0</v>
      </c>
      <c r="H1420" s="713">
        <v>0</v>
      </c>
      <c r="I1420" s="348">
        <f t="shared" si="31"/>
        <v>148015.79</v>
      </c>
      <c r="J1420" s="192" t="s">
        <v>1613</v>
      </c>
    </row>
    <row r="1421" spans="1:10" hidden="1" outlineLevel="1">
      <c r="A1421" s="381" t="s">
        <v>1544</v>
      </c>
      <c r="B1421" s="207">
        <v>20592.52</v>
      </c>
      <c r="C1421" s="713">
        <v>0</v>
      </c>
      <c r="D1421" s="713">
        <v>0</v>
      </c>
      <c r="E1421" s="713">
        <v>0</v>
      </c>
      <c r="F1421" s="713">
        <v>13.71</v>
      </c>
      <c r="G1421" s="713">
        <v>0</v>
      </c>
      <c r="H1421" s="713">
        <v>0</v>
      </c>
      <c r="I1421" s="348">
        <f t="shared" si="31"/>
        <v>20606.23</v>
      </c>
      <c r="J1421" s="192" t="s">
        <v>1545</v>
      </c>
    </row>
    <row r="1422" spans="1:10" hidden="1" outlineLevel="1">
      <c r="A1422" s="381" t="s">
        <v>1530</v>
      </c>
      <c r="B1422" s="207">
        <v>185672.68</v>
      </c>
      <c r="C1422" s="713">
        <v>0</v>
      </c>
      <c r="D1422" s="713">
        <v>0</v>
      </c>
      <c r="E1422" s="713">
        <v>0</v>
      </c>
      <c r="F1422" s="713">
        <v>0</v>
      </c>
      <c r="G1422" s="713">
        <v>0</v>
      </c>
      <c r="H1422" s="713">
        <v>0</v>
      </c>
      <c r="I1422" s="348">
        <f t="shared" si="31"/>
        <v>185672.68</v>
      </c>
      <c r="J1422" s="192" t="s">
        <v>1531</v>
      </c>
    </row>
    <row r="1423" spans="1:10" hidden="1" outlineLevel="1">
      <c r="A1423" s="381" t="s">
        <v>1452</v>
      </c>
      <c r="B1423" s="207">
        <v>352241.74</v>
      </c>
      <c r="C1423" s="713">
        <v>0</v>
      </c>
      <c r="D1423" s="713">
        <v>0</v>
      </c>
      <c r="E1423" s="713">
        <v>0</v>
      </c>
      <c r="F1423" s="713">
        <v>0</v>
      </c>
      <c r="G1423" s="713">
        <v>0</v>
      </c>
      <c r="H1423" s="713">
        <v>0</v>
      </c>
      <c r="I1423" s="348">
        <f t="shared" si="31"/>
        <v>352241.74</v>
      </c>
      <c r="J1423" s="192" t="s">
        <v>1453</v>
      </c>
    </row>
    <row r="1424" spans="1:10" hidden="1" outlineLevel="1">
      <c r="A1424" s="381" t="s">
        <v>1774</v>
      </c>
      <c r="B1424" s="207">
        <v>659954.38</v>
      </c>
      <c r="C1424" s="713">
        <v>0</v>
      </c>
      <c r="D1424" s="713">
        <v>0</v>
      </c>
      <c r="E1424" s="713">
        <v>0</v>
      </c>
      <c r="F1424" s="713">
        <v>0</v>
      </c>
      <c r="G1424" s="713">
        <v>0</v>
      </c>
      <c r="H1424" s="713">
        <v>0</v>
      </c>
      <c r="I1424" s="348">
        <f t="shared" si="31"/>
        <v>659954.38</v>
      </c>
      <c r="J1424" s="192" t="s">
        <v>1775</v>
      </c>
    </row>
    <row r="1425" spans="1:10" hidden="1" outlineLevel="1">
      <c r="A1425" s="381" t="s">
        <v>1402</v>
      </c>
      <c r="B1425" s="207">
        <v>2138095.19</v>
      </c>
      <c r="C1425" s="713">
        <v>0</v>
      </c>
      <c r="D1425" s="713">
        <v>0</v>
      </c>
      <c r="E1425" s="713">
        <v>0</v>
      </c>
      <c r="F1425" s="713">
        <v>4804.55</v>
      </c>
      <c r="G1425" s="713">
        <v>0</v>
      </c>
      <c r="H1425" s="713">
        <v>0</v>
      </c>
      <c r="I1425" s="348">
        <f t="shared" si="31"/>
        <v>2142899.7399999998</v>
      </c>
      <c r="J1425" s="192" t="s">
        <v>1403</v>
      </c>
    </row>
    <row r="1426" spans="1:10" hidden="1" outlineLevel="1">
      <c r="A1426" s="381" t="s">
        <v>1440</v>
      </c>
      <c r="B1426" s="207">
        <v>236892.17</v>
      </c>
      <c r="C1426" s="713">
        <v>0</v>
      </c>
      <c r="D1426" s="713">
        <v>0</v>
      </c>
      <c r="E1426" s="713">
        <v>0</v>
      </c>
      <c r="F1426" s="713">
        <v>0</v>
      </c>
      <c r="G1426" s="713">
        <v>0</v>
      </c>
      <c r="H1426" s="713">
        <v>0</v>
      </c>
      <c r="I1426" s="348">
        <f t="shared" si="31"/>
        <v>236892.17</v>
      </c>
      <c r="J1426" s="192" t="s">
        <v>1441</v>
      </c>
    </row>
    <row r="1427" spans="1:10" hidden="1" outlineLevel="1">
      <c r="A1427" s="381" t="s">
        <v>1606</v>
      </c>
      <c r="B1427" s="207">
        <v>48406.45</v>
      </c>
      <c r="C1427" s="713">
        <v>0</v>
      </c>
      <c r="D1427" s="713">
        <v>0</v>
      </c>
      <c r="E1427" s="713">
        <v>0</v>
      </c>
      <c r="F1427" s="713">
        <v>0</v>
      </c>
      <c r="G1427" s="713">
        <v>0</v>
      </c>
      <c r="H1427" s="713">
        <v>0</v>
      </c>
      <c r="I1427" s="348">
        <f t="shared" si="31"/>
        <v>48406.45</v>
      </c>
      <c r="J1427" s="192" t="s">
        <v>1607</v>
      </c>
    </row>
    <row r="1428" spans="1:10" hidden="1" outlineLevel="1">
      <c r="A1428" s="381" t="s">
        <v>1408</v>
      </c>
      <c r="B1428" s="207">
        <v>1690458.89</v>
      </c>
      <c r="C1428" s="713">
        <v>0</v>
      </c>
      <c r="D1428" s="713">
        <v>0</v>
      </c>
      <c r="E1428" s="713">
        <v>0</v>
      </c>
      <c r="F1428" s="713">
        <v>0</v>
      </c>
      <c r="G1428" s="713">
        <v>0</v>
      </c>
      <c r="H1428" s="713">
        <v>0</v>
      </c>
      <c r="I1428" s="348">
        <f t="shared" si="31"/>
        <v>1690458.89</v>
      </c>
      <c r="J1428" s="192" t="s">
        <v>1409</v>
      </c>
    </row>
    <row r="1429" spans="1:10" hidden="1" outlineLevel="1">
      <c r="A1429" s="381" t="s">
        <v>1253</v>
      </c>
      <c r="B1429" s="207">
        <v>21370.03</v>
      </c>
      <c r="C1429" s="713">
        <v>0</v>
      </c>
      <c r="D1429" s="713">
        <v>0</v>
      </c>
      <c r="E1429" s="713">
        <v>0</v>
      </c>
      <c r="F1429" s="713">
        <v>0</v>
      </c>
      <c r="G1429" s="713">
        <v>0</v>
      </c>
      <c r="H1429" s="713">
        <v>0</v>
      </c>
      <c r="I1429" s="348">
        <f t="shared" si="31"/>
        <v>21370.03</v>
      </c>
      <c r="J1429" s="192" t="s">
        <v>1254</v>
      </c>
    </row>
    <row r="1430" spans="1:10" hidden="1" outlineLevel="1">
      <c r="A1430" s="381" t="s">
        <v>1434</v>
      </c>
      <c r="B1430" s="207">
        <v>249478.71</v>
      </c>
      <c r="C1430" s="713">
        <v>0</v>
      </c>
      <c r="D1430" s="713">
        <v>0</v>
      </c>
      <c r="E1430" s="713">
        <v>0</v>
      </c>
      <c r="F1430" s="713">
        <v>0</v>
      </c>
      <c r="G1430" s="713">
        <v>0</v>
      </c>
      <c r="H1430" s="713">
        <v>0</v>
      </c>
      <c r="I1430" s="348">
        <f t="shared" si="31"/>
        <v>249478.71</v>
      </c>
      <c r="J1430" s="192" t="s">
        <v>1435</v>
      </c>
    </row>
    <row r="1431" spans="1:10" hidden="1" outlineLevel="1">
      <c r="A1431" s="381" t="s">
        <v>1702</v>
      </c>
      <c r="B1431" s="207">
        <v>60587.93</v>
      </c>
      <c r="C1431" s="713">
        <v>0</v>
      </c>
      <c r="D1431" s="713">
        <v>0</v>
      </c>
      <c r="E1431" s="713">
        <v>0</v>
      </c>
      <c r="F1431" s="714">
        <v>0</v>
      </c>
      <c r="G1431" s="713">
        <v>0</v>
      </c>
      <c r="H1431" s="713">
        <v>0</v>
      </c>
      <c r="I1431" s="348">
        <f t="shared" si="31"/>
        <v>60587.93</v>
      </c>
      <c r="J1431" s="192" t="s">
        <v>1703</v>
      </c>
    </row>
    <row r="1432" spans="1:10" hidden="1" outlineLevel="1">
      <c r="A1432" s="381" t="s">
        <v>1269</v>
      </c>
      <c r="B1432" s="207">
        <v>97176.8</v>
      </c>
      <c r="C1432" s="713">
        <v>0</v>
      </c>
      <c r="D1432" s="713">
        <v>0</v>
      </c>
      <c r="E1432" s="713">
        <v>0</v>
      </c>
      <c r="F1432" s="713">
        <v>0</v>
      </c>
      <c r="G1432" s="713">
        <v>0</v>
      </c>
      <c r="H1432" s="713">
        <v>0</v>
      </c>
      <c r="I1432" s="348">
        <f t="shared" si="31"/>
        <v>97176.8</v>
      </c>
      <c r="J1432" s="192" t="s">
        <v>1270</v>
      </c>
    </row>
    <row r="1433" spans="1:10" hidden="1" outlineLevel="1">
      <c r="A1433" s="381" t="s">
        <v>1259</v>
      </c>
      <c r="B1433" s="207">
        <v>66997.88</v>
      </c>
      <c r="C1433" s="713">
        <v>0</v>
      </c>
      <c r="D1433" s="713">
        <v>0</v>
      </c>
      <c r="E1433" s="713">
        <v>0</v>
      </c>
      <c r="F1433" s="713">
        <v>0</v>
      </c>
      <c r="G1433" s="713">
        <v>0</v>
      </c>
      <c r="H1433" s="713">
        <v>0</v>
      </c>
      <c r="I1433" s="348">
        <f t="shared" si="31"/>
        <v>66997.88</v>
      </c>
      <c r="J1433" s="192" t="s">
        <v>1260</v>
      </c>
    </row>
    <row r="1434" spans="1:10" hidden="1" outlineLevel="1">
      <c r="A1434" s="381" t="s">
        <v>1470</v>
      </c>
      <c r="B1434" s="207">
        <v>121620.35</v>
      </c>
      <c r="C1434" s="713">
        <v>0</v>
      </c>
      <c r="D1434" s="713">
        <v>0</v>
      </c>
      <c r="E1434" s="713">
        <v>0</v>
      </c>
      <c r="F1434" s="713">
        <v>0</v>
      </c>
      <c r="G1434" s="713">
        <v>0</v>
      </c>
      <c r="H1434" s="713">
        <v>0</v>
      </c>
      <c r="I1434" s="348">
        <f t="shared" si="31"/>
        <v>121620.35</v>
      </c>
      <c r="J1434" s="192" t="s">
        <v>1471</v>
      </c>
    </row>
    <row r="1435" spans="1:10" hidden="1" outlineLevel="1">
      <c r="A1435" s="381" t="s">
        <v>1742</v>
      </c>
      <c r="B1435" s="207">
        <v>70517.55</v>
      </c>
      <c r="C1435" s="713">
        <v>0</v>
      </c>
      <c r="D1435" s="713">
        <v>0</v>
      </c>
      <c r="E1435" s="713">
        <v>0</v>
      </c>
      <c r="F1435" s="713">
        <v>0</v>
      </c>
      <c r="G1435" s="713">
        <v>0</v>
      </c>
      <c r="H1435" s="713">
        <v>0</v>
      </c>
      <c r="I1435" s="348">
        <f t="shared" si="31"/>
        <v>70517.55</v>
      </c>
      <c r="J1435" s="192" t="s">
        <v>1743</v>
      </c>
    </row>
    <row r="1436" spans="1:10" hidden="1" outlineLevel="1">
      <c r="A1436" s="381" t="s">
        <v>1350</v>
      </c>
      <c r="B1436" s="207">
        <v>112876.16</v>
      </c>
      <c r="C1436" s="713">
        <v>0</v>
      </c>
      <c r="D1436" s="713">
        <v>0</v>
      </c>
      <c r="E1436" s="713">
        <v>0</v>
      </c>
      <c r="F1436" s="713">
        <v>0</v>
      </c>
      <c r="G1436" s="713">
        <v>0</v>
      </c>
      <c r="H1436" s="713">
        <v>0</v>
      </c>
      <c r="I1436" s="348">
        <f t="shared" si="31"/>
        <v>112876.16</v>
      </c>
      <c r="J1436" s="192" t="s">
        <v>1351</v>
      </c>
    </row>
    <row r="1437" spans="1:10" hidden="1" outlineLevel="1">
      <c r="A1437" s="381" t="s">
        <v>1424</v>
      </c>
      <c r="B1437" s="207">
        <v>167611.79999999999</v>
      </c>
      <c r="C1437" s="713">
        <v>0</v>
      </c>
      <c r="D1437" s="713">
        <v>0</v>
      </c>
      <c r="E1437" s="713">
        <v>0</v>
      </c>
      <c r="F1437" s="713">
        <v>0</v>
      </c>
      <c r="G1437" s="713">
        <v>0</v>
      </c>
      <c r="H1437" s="713">
        <v>0</v>
      </c>
      <c r="I1437" s="348">
        <f t="shared" si="31"/>
        <v>167611.79999999999</v>
      </c>
      <c r="J1437" s="192" t="s">
        <v>1425</v>
      </c>
    </row>
    <row r="1438" spans="1:10" hidden="1" outlineLevel="1">
      <c r="A1438" s="381" t="s">
        <v>1486</v>
      </c>
      <c r="B1438" s="207">
        <v>147163.93</v>
      </c>
      <c r="C1438" s="713">
        <v>0</v>
      </c>
      <c r="D1438" s="713">
        <v>0</v>
      </c>
      <c r="E1438" s="713">
        <v>0</v>
      </c>
      <c r="F1438" s="713">
        <v>0</v>
      </c>
      <c r="G1438" s="713">
        <v>0</v>
      </c>
      <c r="H1438" s="713">
        <v>0</v>
      </c>
      <c r="I1438" s="348">
        <f t="shared" si="31"/>
        <v>147163.93</v>
      </c>
      <c r="J1438" s="192" t="s">
        <v>1487</v>
      </c>
    </row>
    <row r="1439" spans="1:10" hidden="1" outlineLevel="1">
      <c r="A1439" s="381" t="s">
        <v>1532</v>
      </c>
      <c r="B1439" s="207">
        <v>462095.32</v>
      </c>
      <c r="C1439" s="713">
        <v>0</v>
      </c>
      <c r="D1439" s="713">
        <v>0</v>
      </c>
      <c r="E1439" s="713">
        <v>0</v>
      </c>
      <c r="F1439" s="713">
        <v>0</v>
      </c>
      <c r="G1439" s="713">
        <v>0</v>
      </c>
      <c r="H1439" s="713">
        <v>0</v>
      </c>
      <c r="I1439" s="348">
        <f t="shared" si="31"/>
        <v>462095.32</v>
      </c>
      <c r="J1439" s="192" t="s">
        <v>1533</v>
      </c>
    </row>
    <row r="1440" spans="1:10" hidden="1" outlineLevel="1">
      <c r="A1440" s="381" t="s">
        <v>1406</v>
      </c>
      <c r="B1440" s="207">
        <v>69207.61</v>
      </c>
      <c r="C1440" s="713">
        <v>0</v>
      </c>
      <c r="D1440" s="713">
        <v>0</v>
      </c>
      <c r="E1440" s="713">
        <v>0</v>
      </c>
      <c r="F1440" s="713">
        <v>0</v>
      </c>
      <c r="G1440" s="713">
        <v>0</v>
      </c>
      <c r="H1440" s="713">
        <v>0</v>
      </c>
      <c r="I1440" s="348">
        <f t="shared" si="31"/>
        <v>69207.61</v>
      </c>
      <c r="J1440" s="192" t="s">
        <v>1407</v>
      </c>
    </row>
    <row r="1441" spans="1:10" hidden="1" outlineLevel="1">
      <c r="A1441" s="381" t="s">
        <v>1820</v>
      </c>
      <c r="B1441" s="207">
        <v>472561.76</v>
      </c>
      <c r="C1441" s="713">
        <v>0</v>
      </c>
      <c r="D1441" s="713">
        <v>0</v>
      </c>
      <c r="E1441" s="713">
        <v>0</v>
      </c>
      <c r="F1441" s="713">
        <v>0</v>
      </c>
      <c r="G1441" s="713">
        <v>0</v>
      </c>
      <c r="H1441" s="713">
        <v>0</v>
      </c>
      <c r="I1441" s="348">
        <f t="shared" si="31"/>
        <v>472561.76</v>
      </c>
      <c r="J1441" s="192" t="s">
        <v>1821</v>
      </c>
    </row>
    <row r="1442" spans="1:10" hidden="1" outlineLevel="1">
      <c r="A1442" s="381" t="s">
        <v>1673</v>
      </c>
      <c r="B1442" s="207">
        <v>313144.5</v>
      </c>
      <c r="C1442" s="713">
        <v>0</v>
      </c>
      <c r="D1442" s="713">
        <v>0</v>
      </c>
      <c r="E1442" s="713">
        <v>0</v>
      </c>
      <c r="F1442" s="713">
        <v>0</v>
      </c>
      <c r="G1442" s="713">
        <v>0</v>
      </c>
      <c r="H1442" s="713">
        <v>0</v>
      </c>
      <c r="I1442" s="348">
        <f t="shared" si="31"/>
        <v>313144.5</v>
      </c>
      <c r="J1442" s="192" t="s">
        <v>1674</v>
      </c>
    </row>
    <row r="1443" spans="1:10" hidden="1" outlineLevel="1">
      <c r="A1443" s="381" t="s">
        <v>1580</v>
      </c>
      <c r="B1443" s="207">
        <v>204005.77</v>
      </c>
      <c r="C1443" s="713">
        <v>0</v>
      </c>
      <c r="D1443" s="713">
        <v>0</v>
      </c>
      <c r="E1443" s="713">
        <v>0</v>
      </c>
      <c r="F1443" s="713">
        <v>0</v>
      </c>
      <c r="G1443" s="713">
        <v>0</v>
      </c>
      <c r="H1443" s="713">
        <v>0</v>
      </c>
      <c r="I1443" s="348">
        <f t="shared" si="31"/>
        <v>204005.77</v>
      </c>
      <c r="J1443" s="192" t="s">
        <v>1581</v>
      </c>
    </row>
    <row r="1444" spans="1:10" hidden="1" outlineLevel="1">
      <c r="A1444" s="381" t="s">
        <v>1588</v>
      </c>
      <c r="B1444" s="207">
        <v>393450.95</v>
      </c>
      <c r="C1444" s="713">
        <v>0</v>
      </c>
      <c r="D1444" s="713">
        <v>0</v>
      </c>
      <c r="E1444" s="713">
        <v>0</v>
      </c>
      <c r="F1444" s="713">
        <v>0</v>
      </c>
      <c r="G1444" s="713">
        <v>0</v>
      </c>
      <c r="H1444" s="713">
        <v>0</v>
      </c>
      <c r="I1444" s="348">
        <f t="shared" si="31"/>
        <v>393450.95</v>
      </c>
      <c r="J1444" s="192" t="s">
        <v>1589</v>
      </c>
    </row>
    <row r="1445" spans="1:10" hidden="1" outlineLevel="1">
      <c r="A1445" s="381" t="s">
        <v>1568</v>
      </c>
      <c r="B1445" s="207">
        <v>23256.880000000001</v>
      </c>
      <c r="C1445" s="713">
        <v>0</v>
      </c>
      <c r="D1445" s="713">
        <v>0</v>
      </c>
      <c r="E1445" s="713">
        <v>0</v>
      </c>
      <c r="F1445" s="713">
        <v>0</v>
      </c>
      <c r="G1445" s="713">
        <v>0</v>
      </c>
      <c r="H1445" s="713">
        <v>0</v>
      </c>
      <c r="I1445" s="348">
        <f t="shared" si="31"/>
        <v>23256.880000000001</v>
      </c>
      <c r="J1445" s="192" t="s">
        <v>1569</v>
      </c>
    </row>
    <row r="1446" spans="1:10" hidden="1" outlineLevel="1">
      <c r="A1446" s="381" t="s">
        <v>1482</v>
      </c>
      <c r="B1446" s="207">
        <v>320371.83</v>
      </c>
      <c r="C1446" s="713">
        <v>0</v>
      </c>
      <c r="D1446" s="713">
        <v>0</v>
      </c>
      <c r="E1446" s="713">
        <v>0</v>
      </c>
      <c r="F1446" s="713">
        <v>0</v>
      </c>
      <c r="G1446" s="713">
        <v>0</v>
      </c>
      <c r="H1446" s="713">
        <v>0</v>
      </c>
      <c r="I1446" s="348">
        <f t="shared" si="31"/>
        <v>320371.83</v>
      </c>
      <c r="J1446" s="192" t="s">
        <v>1483</v>
      </c>
    </row>
    <row r="1447" spans="1:10" hidden="1" outlineLevel="1">
      <c r="A1447" s="381" t="s">
        <v>1506</v>
      </c>
      <c r="B1447" s="207">
        <v>207983.1</v>
      </c>
      <c r="C1447" s="713">
        <v>0</v>
      </c>
      <c r="D1447" s="713">
        <v>0</v>
      </c>
      <c r="E1447" s="713">
        <v>0</v>
      </c>
      <c r="F1447" s="713">
        <v>0</v>
      </c>
      <c r="G1447" s="713">
        <v>0</v>
      </c>
      <c r="H1447" s="713">
        <v>0</v>
      </c>
      <c r="I1447" s="348">
        <f t="shared" si="31"/>
        <v>207983.1</v>
      </c>
      <c r="J1447" s="192" t="s">
        <v>1507</v>
      </c>
    </row>
    <row r="1448" spans="1:10" hidden="1" outlineLevel="1">
      <c r="A1448" s="381" t="s">
        <v>1596</v>
      </c>
      <c r="B1448" s="207">
        <v>154964.41</v>
      </c>
      <c r="C1448" s="713">
        <v>0</v>
      </c>
      <c r="D1448" s="713">
        <v>0</v>
      </c>
      <c r="E1448" s="713">
        <v>0</v>
      </c>
      <c r="F1448" s="713">
        <v>0</v>
      </c>
      <c r="G1448" s="713">
        <v>0</v>
      </c>
      <c r="H1448" s="713">
        <v>0</v>
      </c>
      <c r="I1448" s="348">
        <f t="shared" si="31"/>
        <v>154964.41</v>
      </c>
      <c r="J1448" s="192" t="s">
        <v>1597</v>
      </c>
    </row>
    <row r="1449" spans="1:10" hidden="1" outlineLevel="1">
      <c r="A1449" s="381" t="s">
        <v>1330</v>
      </c>
      <c r="B1449" s="207">
        <v>634912.98</v>
      </c>
      <c r="C1449" s="713">
        <v>0</v>
      </c>
      <c r="D1449" s="713">
        <v>0</v>
      </c>
      <c r="E1449" s="713">
        <v>0</v>
      </c>
      <c r="F1449" s="713">
        <v>0</v>
      </c>
      <c r="G1449" s="713">
        <v>0</v>
      </c>
      <c r="H1449" s="713">
        <v>0</v>
      </c>
      <c r="I1449" s="348">
        <f t="shared" si="31"/>
        <v>634912.98</v>
      </c>
      <c r="J1449" s="192" t="s">
        <v>1331</v>
      </c>
    </row>
    <row r="1450" spans="1:10" hidden="1" outlineLevel="1">
      <c r="A1450" s="381" t="s">
        <v>1746</v>
      </c>
      <c r="B1450" s="207">
        <v>126991.45</v>
      </c>
      <c r="C1450" s="713">
        <v>0</v>
      </c>
      <c r="D1450" s="713">
        <v>0</v>
      </c>
      <c r="E1450" s="713">
        <v>0</v>
      </c>
      <c r="F1450" s="713">
        <v>0</v>
      </c>
      <c r="G1450" s="713">
        <v>0</v>
      </c>
      <c r="H1450" s="713">
        <v>0</v>
      </c>
      <c r="I1450" s="348">
        <f t="shared" si="31"/>
        <v>126991.45</v>
      </c>
      <c r="J1450" s="192" t="s">
        <v>1747</v>
      </c>
    </row>
    <row r="1451" spans="1:10" hidden="1" outlineLevel="1">
      <c r="A1451" s="381" t="s">
        <v>1390</v>
      </c>
      <c r="B1451" s="207">
        <v>165766.23000000001</v>
      </c>
      <c r="C1451" s="713">
        <v>0</v>
      </c>
      <c r="D1451" s="713">
        <v>0</v>
      </c>
      <c r="E1451" s="713">
        <v>0</v>
      </c>
      <c r="F1451" s="713">
        <v>0</v>
      </c>
      <c r="G1451" s="713">
        <v>0</v>
      </c>
      <c r="H1451" s="713">
        <v>0</v>
      </c>
      <c r="I1451" s="348">
        <f t="shared" si="31"/>
        <v>165766.23000000001</v>
      </c>
      <c r="J1451" s="192" t="s">
        <v>1391</v>
      </c>
    </row>
    <row r="1452" spans="1:10" hidden="1" outlineLevel="1">
      <c r="A1452" s="381" t="s">
        <v>1642</v>
      </c>
      <c r="B1452" s="207">
        <v>313496.63</v>
      </c>
      <c r="C1452" s="713">
        <v>0</v>
      </c>
      <c r="D1452" s="713">
        <v>0</v>
      </c>
      <c r="E1452" s="713">
        <v>0</v>
      </c>
      <c r="F1452" s="713">
        <v>0</v>
      </c>
      <c r="G1452" s="713">
        <v>0</v>
      </c>
      <c r="H1452" s="713">
        <v>0</v>
      </c>
      <c r="I1452" s="348">
        <f t="shared" si="31"/>
        <v>313496.63</v>
      </c>
      <c r="J1452" s="192" t="s">
        <v>1643</v>
      </c>
    </row>
    <row r="1453" spans="1:10" hidden="1" outlineLevel="1">
      <c r="A1453" s="381" t="s">
        <v>1574</v>
      </c>
      <c r="B1453" s="207">
        <v>112502.47</v>
      </c>
      <c r="C1453" s="713">
        <v>0</v>
      </c>
      <c r="D1453" s="713">
        <v>0</v>
      </c>
      <c r="E1453" s="713">
        <v>0</v>
      </c>
      <c r="F1453" s="713">
        <v>0</v>
      </c>
      <c r="G1453" s="713">
        <v>0</v>
      </c>
      <c r="H1453" s="713">
        <v>0</v>
      </c>
      <c r="I1453" s="348">
        <f t="shared" si="31"/>
        <v>112502.47</v>
      </c>
      <c r="J1453" s="192" t="s">
        <v>1575</v>
      </c>
    </row>
    <row r="1454" spans="1:10" hidden="1" outlineLevel="1">
      <c r="A1454" s="381" t="s">
        <v>1229</v>
      </c>
      <c r="B1454" s="207">
        <v>199075.97</v>
      </c>
      <c r="C1454" s="713">
        <v>0</v>
      </c>
      <c r="D1454" s="713">
        <v>0</v>
      </c>
      <c r="E1454" s="713">
        <v>0</v>
      </c>
      <c r="F1454" s="713">
        <v>0</v>
      </c>
      <c r="G1454" s="713">
        <v>0</v>
      </c>
      <c r="H1454" s="713">
        <v>0</v>
      </c>
      <c r="I1454" s="348">
        <f t="shared" si="31"/>
        <v>199075.97</v>
      </c>
      <c r="J1454" s="192" t="s">
        <v>1230</v>
      </c>
    </row>
    <row r="1455" spans="1:10" hidden="1" outlineLevel="1">
      <c r="A1455" s="381" t="s">
        <v>1572</v>
      </c>
      <c r="B1455" s="207">
        <v>266473.5</v>
      </c>
      <c r="C1455" s="713">
        <v>0</v>
      </c>
      <c r="D1455" s="713">
        <v>0</v>
      </c>
      <c r="E1455" s="713">
        <v>0</v>
      </c>
      <c r="F1455" s="713">
        <v>0</v>
      </c>
      <c r="G1455" s="713">
        <v>0</v>
      </c>
      <c r="H1455" s="713">
        <v>0</v>
      </c>
      <c r="I1455" s="348">
        <f t="shared" si="31"/>
        <v>266473.5</v>
      </c>
      <c r="J1455" s="192" t="s">
        <v>1573</v>
      </c>
    </row>
    <row r="1456" spans="1:10" hidden="1" outlineLevel="1">
      <c r="A1456" s="381" t="s">
        <v>1436</v>
      </c>
      <c r="B1456" s="207">
        <v>294287.58</v>
      </c>
      <c r="C1456" s="713">
        <v>0</v>
      </c>
      <c r="D1456" s="713">
        <v>0</v>
      </c>
      <c r="E1456" s="713">
        <v>0</v>
      </c>
      <c r="F1456" s="713">
        <v>0</v>
      </c>
      <c r="G1456" s="713">
        <v>0</v>
      </c>
      <c r="H1456" s="713">
        <v>0</v>
      </c>
      <c r="I1456" s="348">
        <f t="shared" si="31"/>
        <v>294287.58</v>
      </c>
      <c r="J1456" s="192" t="s">
        <v>1437</v>
      </c>
    </row>
    <row r="1457" spans="1:10" hidden="1" outlineLevel="1">
      <c r="A1457" s="381" t="s">
        <v>1600</v>
      </c>
      <c r="B1457" s="207">
        <v>167444.46</v>
      </c>
      <c r="C1457" s="713">
        <v>0</v>
      </c>
      <c r="D1457" s="713">
        <v>0</v>
      </c>
      <c r="E1457" s="713">
        <v>0</v>
      </c>
      <c r="F1457" s="713">
        <v>0</v>
      </c>
      <c r="G1457" s="713">
        <v>0</v>
      </c>
      <c r="H1457" s="713">
        <v>0</v>
      </c>
      <c r="I1457" s="348">
        <f t="shared" si="31"/>
        <v>167444.46</v>
      </c>
      <c r="J1457" s="192" t="s">
        <v>1601</v>
      </c>
    </row>
    <row r="1458" spans="1:10" hidden="1" outlineLevel="1">
      <c r="A1458" s="381" t="s">
        <v>1698</v>
      </c>
      <c r="B1458" s="207">
        <v>257708.64</v>
      </c>
      <c r="C1458" s="713">
        <v>0</v>
      </c>
      <c r="D1458" s="713">
        <v>0</v>
      </c>
      <c r="E1458" s="713">
        <v>0</v>
      </c>
      <c r="F1458" s="713">
        <v>0</v>
      </c>
      <c r="G1458" s="713">
        <v>0</v>
      </c>
      <c r="H1458" s="713">
        <v>0</v>
      </c>
      <c r="I1458" s="348">
        <f t="shared" si="31"/>
        <v>257708.64</v>
      </c>
      <c r="J1458" s="192" t="s">
        <v>1699</v>
      </c>
    </row>
    <row r="1459" spans="1:10" hidden="1" outlineLevel="1">
      <c r="A1459" s="381" t="s">
        <v>1616</v>
      </c>
      <c r="B1459" s="207">
        <v>323712.68</v>
      </c>
      <c r="C1459" s="713">
        <v>0</v>
      </c>
      <c r="D1459" s="713">
        <v>0</v>
      </c>
      <c r="E1459" s="713">
        <v>0</v>
      </c>
      <c r="F1459" s="713">
        <v>0</v>
      </c>
      <c r="G1459" s="713">
        <v>0</v>
      </c>
      <c r="H1459" s="713">
        <v>0</v>
      </c>
      <c r="I1459" s="348">
        <f t="shared" si="31"/>
        <v>323712.68</v>
      </c>
      <c r="J1459" s="192" t="s">
        <v>1617</v>
      </c>
    </row>
    <row r="1460" spans="1:10" hidden="1" outlineLevel="1">
      <c r="A1460" s="381" t="s">
        <v>1604</v>
      </c>
      <c r="B1460" s="207">
        <v>197035.49</v>
      </c>
      <c r="C1460" s="713">
        <v>0</v>
      </c>
      <c r="D1460" s="713">
        <v>0</v>
      </c>
      <c r="E1460" s="713">
        <v>0</v>
      </c>
      <c r="F1460" s="713">
        <v>0</v>
      </c>
      <c r="G1460" s="713">
        <v>0</v>
      </c>
      <c r="H1460" s="713">
        <v>0</v>
      </c>
      <c r="I1460" s="348">
        <f t="shared" si="31"/>
        <v>197035.49</v>
      </c>
      <c r="J1460" s="192" t="s">
        <v>1605</v>
      </c>
    </row>
    <row r="1461" spans="1:10" hidden="1" outlineLevel="1">
      <c r="A1461" s="381" t="s">
        <v>1554</v>
      </c>
      <c r="B1461" s="207">
        <v>80067.14</v>
      </c>
      <c r="C1461" s="713">
        <v>0</v>
      </c>
      <c r="D1461" s="713">
        <v>0</v>
      </c>
      <c r="E1461" s="713">
        <v>0</v>
      </c>
      <c r="F1461" s="713">
        <v>0</v>
      </c>
      <c r="G1461" s="713">
        <v>0</v>
      </c>
      <c r="H1461" s="713">
        <v>0</v>
      </c>
      <c r="I1461" s="348">
        <f t="shared" si="31"/>
        <v>80067.14</v>
      </c>
      <c r="J1461" s="192" t="s">
        <v>1555</v>
      </c>
    </row>
    <row r="1462" spans="1:10" hidden="1" outlineLevel="1">
      <c r="A1462" s="381" t="s">
        <v>1679</v>
      </c>
      <c r="B1462" s="207">
        <v>65109.77</v>
      </c>
      <c r="C1462" s="713">
        <v>0</v>
      </c>
      <c r="D1462" s="713">
        <v>0</v>
      </c>
      <c r="E1462" s="713">
        <v>0</v>
      </c>
      <c r="F1462" s="713">
        <v>0</v>
      </c>
      <c r="G1462" s="713">
        <v>0</v>
      </c>
      <c r="H1462" s="713">
        <v>0</v>
      </c>
      <c r="I1462" s="348">
        <f t="shared" si="31"/>
        <v>65109.77</v>
      </c>
      <c r="J1462" s="192" t="s">
        <v>1680</v>
      </c>
    </row>
    <row r="1463" spans="1:10" hidden="1" outlineLevel="1">
      <c r="A1463" s="381" t="s">
        <v>1756</v>
      </c>
      <c r="B1463" s="207">
        <v>2656362.58</v>
      </c>
      <c r="C1463" s="713">
        <v>0</v>
      </c>
      <c r="D1463" s="713">
        <v>0</v>
      </c>
      <c r="E1463" s="713">
        <v>0</v>
      </c>
      <c r="F1463" s="713">
        <v>0</v>
      </c>
      <c r="G1463" s="713">
        <v>0</v>
      </c>
      <c r="H1463" s="713">
        <v>0</v>
      </c>
      <c r="I1463" s="348">
        <f t="shared" si="31"/>
        <v>2656362.58</v>
      </c>
      <c r="J1463" s="192" t="s">
        <v>1757</v>
      </c>
    </row>
    <row r="1464" spans="1:10" hidden="1" outlineLevel="1">
      <c r="A1464" s="381" t="s">
        <v>891</v>
      </c>
      <c r="B1464" s="207">
        <v>57465.56</v>
      </c>
      <c r="C1464" s="713">
        <v>0</v>
      </c>
      <c r="D1464" s="713">
        <v>0</v>
      </c>
      <c r="E1464" s="713">
        <v>0</v>
      </c>
      <c r="F1464" s="713">
        <v>0</v>
      </c>
      <c r="G1464" s="713">
        <v>0</v>
      </c>
      <c r="H1464" s="713">
        <v>0</v>
      </c>
      <c r="I1464" s="348">
        <f t="shared" si="31"/>
        <v>57465.56</v>
      </c>
      <c r="J1464" s="192" t="s">
        <v>892</v>
      </c>
    </row>
    <row r="1465" spans="1:10" hidden="1" outlineLevel="1">
      <c r="A1465" s="381" t="s">
        <v>1336</v>
      </c>
      <c r="B1465" s="207">
        <v>99949.35</v>
      </c>
      <c r="C1465" s="713">
        <v>0</v>
      </c>
      <c r="D1465" s="713">
        <v>0</v>
      </c>
      <c r="E1465" s="713">
        <v>0</v>
      </c>
      <c r="F1465" s="713">
        <v>0</v>
      </c>
      <c r="G1465" s="713">
        <v>0</v>
      </c>
      <c r="H1465" s="713">
        <v>0</v>
      </c>
      <c r="I1465" s="348">
        <f t="shared" si="31"/>
        <v>99949.35</v>
      </c>
      <c r="J1465" s="192" t="s">
        <v>1337</v>
      </c>
    </row>
    <row r="1466" spans="1:10" hidden="1" outlineLevel="1">
      <c r="A1466" s="381" t="s">
        <v>1550</v>
      </c>
      <c r="B1466" s="207">
        <v>91116.79</v>
      </c>
      <c r="C1466" s="713">
        <v>0</v>
      </c>
      <c r="D1466" s="713">
        <v>0</v>
      </c>
      <c r="E1466" s="713">
        <v>0</v>
      </c>
      <c r="F1466" s="713">
        <v>0</v>
      </c>
      <c r="G1466" s="713">
        <v>0</v>
      </c>
      <c r="H1466" s="713">
        <v>0</v>
      </c>
      <c r="I1466" s="348">
        <f t="shared" ref="I1466:I1529" si="32">SUM(B1466:H1466)</f>
        <v>91116.79</v>
      </c>
      <c r="J1466" s="192" t="s">
        <v>1551</v>
      </c>
    </row>
    <row r="1467" spans="1:10" hidden="1" outlineLevel="1">
      <c r="A1467" s="381" t="s">
        <v>1528</v>
      </c>
      <c r="B1467" s="207">
        <v>221996.22</v>
      </c>
      <c r="C1467" s="713">
        <v>0</v>
      </c>
      <c r="D1467" s="713">
        <v>0</v>
      </c>
      <c r="E1467" s="713">
        <v>0</v>
      </c>
      <c r="F1467" s="713">
        <v>0</v>
      </c>
      <c r="G1467" s="713">
        <v>0</v>
      </c>
      <c r="H1467" s="713">
        <v>0</v>
      </c>
      <c r="I1467" s="348">
        <f t="shared" si="32"/>
        <v>221996.22</v>
      </c>
      <c r="J1467" s="192" t="s">
        <v>1529</v>
      </c>
    </row>
    <row r="1468" spans="1:10" hidden="1" outlineLevel="1">
      <c r="A1468" s="381" t="s">
        <v>1360</v>
      </c>
      <c r="B1468" s="207">
        <v>113197.67</v>
      </c>
      <c r="C1468" s="713">
        <v>0</v>
      </c>
      <c r="D1468" s="713">
        <v>0</v>
      </c>
      <c r="E1468" s="713">
        <v>0</v>
      </c>
      <c r="F1468" s="713">
        <v>0</v>
      </c>
      <c r="G1468" s="713">
        <v>0</v>
      </c>
      <c r="H1468" s="713">
        <v>0</v>
      </c>
      <c r="I1468" s="348">
        <f t="shared" si="32"/>
        <v>113197.67</v>
      </c>
      <c r="J1468" s="192" t="s">
        <v>1361</v>
      </c>
    </row>
    <row r="1469" spans="1:10" hidden="1" outlineLevel="1">
      <c r="A1469" s="381" t="s">
        <v>1648</v>
      </c>
      <c r="B1469" s="207">
        <v>326044.92</v>
      </c>
      <c r="C1469" s="713">
        <v>0</v>
      </c>
      <c r="D1469" s="713">
        <v>0</v>
      </c>
      <c r="E1469" s="713">
        <v>0</v>
      </c>
      <c r="F1469" s="713">
        <v>0</v>
      </c>
      <c r="G1469" s="713">
        <v>0</v>
      </c>
      <c r="H1469" s="713">
        <v>0</v>
      </c>
      <c r="I1469" s="348">
        <f t="shared" si="32"/>
        <v>326044.92</v>
      </c>
      <c r="J1469" s="192" t="s">
        <v>1649</v>
      </c>
    </row>
    <row r="1470" spans="1:10" hidden="1" outlineLevel="1">
      <c r="A1470" s="381" t="s">
        <v>1494</v>
      </c>
      <c r="B1470" s="207">
        <v>210800.11</v>
      </c>
      <c r="C1470" s="713">
        <v>0</v>
      </c>
      <c r="D1470" s="713">
        <v>0</v>
      </c>
      <c r="E1470" s="713">
        <v>0</v>
      </c>
      <c r="F1470" s="713">
        <v>0</v>
      </c>
      <c r="G1470" s="713">
        <v>0</v>
      </c>
      <c r="H1470" s="713">
        <v>0</v>
      </c>
      <c r="I1470" s="348">
        <f t="shared" si="32"/>
        <v>210800.11</v>
      </c>
      <c r="J1470" s="192" t="s">
        <v>1495</v>
      </c>
    </row>
    <row r="1471" spans="1:10" hidden="1" outlineLevel="1">
      <c r="A1471" s="381" t="s">
        <v>1566</v>
      </c>
      <c r="B1471" s="207">
        <v>163404.63</v>
      </c>
      <c r="C1471" s="713">
        <v>0</v>
      </c>
      <c r="D1471" s="713">
        <v>0</v>
      </c>
      <c r="E1471" s="713">
        <v>0</v>
      </c>
      <c r="F1471" s="713">
        <v>0</v>
      </c>
      <c r="G1471" s="713">
        <v>0</v>
      </c>
      <c r="H1471" s="713">
        <v>0</v>
      </c>
      <c r="I1471" s="348">
        <f t="shared" si="32"/>
        <v>163404.63</v>
      </c>
      <c r="J1471" s="192" t="s">
        <v>1567</v>
      </c>
    </row>
    <row r="1472" spans="1:10" hidden="1" outlineLevel="1">
      <c r="A1472" s="381" t="s">
        <v>1466</v>
      </c>
      <c r="B1472" s="207">
        <v>395231.88</v>
      </c>
      <c r="C1472" s="713">
        <v>0</v>
      </c>
      <c r="D1472" s="713">
        <v>0</v>
      </c>
      <c r="E1472" s="713">
        <v>0</v>
      </c>
      <c r="F1472" s="713">
        <v>0</v>
      </c>
      <c r="G1472" s="713">
        <v>0</v>
      </c>
      <c r="H1472" s="713">
        <v>0</v>
      </c>
      <c r="I1472" s="348">
        <f t="shared" si="32"/>
        <v>395231.88</v>
      </c>
      <c r="J1472" s="192" t="s">
        <v>1467</v>
      </c>
    </row>
    <row r="1473" spans="1:10" hidden="1" outlineLevel="1">
      <c r="A1473" s="381" t="s">
        <v>1772</v>
      </c>
      <c r="B1473" s="207">
        <v>43681.15</v>
      </c>
      <c r="C1473" s="713">
        <v>0</v>
      </c>
      <c r="D1473" s="713">
        <v>0</v>
      </c>
      <c r="E1473" s="713">
        <v>0</v>
      </c>
      <c r="F1473" s="713">
        <v>0</v>
      </c>
      <c r="G1473" s="713">
        <v>0</v>
      </c>
      <c r="H1473" s="713">
        <v>0</v>
      </c>
      <c r="I1473" s="348">
        <f t="shared" si="32"/>
        <v>43681.15</v>
      </c>
      <c r="J1473" s="192" t="s">
        <v>1773</v>
      </c>
    </row>
    <row r="1474" spans="1:10" hidden="1" outlineLevel="1">
      <c r="A1474" s="381" t="s">
        <v>1666</v>
      </c>
      <c r="B1474" s="207">
        <v>6790260.4100000001</v>
      </c>
      <c r="C1474" s="713">
        <v>0</v>
      </c>
      <c r="D1474" s="713">
        <v>0</v>
      </c>
      <c r="E1474" s="713">
        <v>0</v>
      </c>
      <c r="F1474" s="713">
        <v>20425.080000000002</v>
      </c>
      <c r="G1474" s="713">
        <v>2549.02</v>
      </c>
      <c r="H1474" s="713">
        <v>0</v>
      </c>
      <c r="I1474" s="348">
        <f t="shared" si="32"/>
        <v>6813234.5099999998</v>
      </c>
      <c r="J1474" s="192" t="s">
        <v>1667</v>
      </c>
    </row>
    <row r="1475" spans="1:10" hidden="1" outlineLevel="1">
      <c r="A1475" s="381" t="s">
        <v>1720</v>
      </c>
      <c r="B1475" s="207">
        <v>708762.84</v>
      </c>
      <c r="C1475" s="713">
        <v>0</v>
      </c>
      <c r="D1475" s="713">
        <v>0</v>
      </c>
      <c r="E1475" s="713">
        <v>0</v>
      </c>
      <c r="F1475" s="713">
        <v>0</v>
      </c>
      <c r="G1475" s="713">
        <v>0</v>
      </c>
      <c r="H1475" s="713">
        <v>0</v>
      </c>
      <c r="I1475" s="348">
        <f t="shared" si="32"/>
        <v>708762.84</v>
      </c>
      <c r="J1475" s="192" t="s">
        <v>1721</v>
      </c>
    </row>
    <row r="1476" spans="1:10" hidden="1" outlineLevel="1">
      <c r="A1476" s="381" t="s">
        <v>2204</v>
      </c>
      <c r="B1476" s="207">
        <v>6402.77</v>
      </c>
      <c r="C1476" s="713">
        <v>0</v>
      </c>
      <c r="D1476" s="713">
        <v>0</v>
      </c>
      <c r="E1476" s="713">
        <v>0</v>
      </c>
      <c r="F1476" s="713">
        <v>0</v>
      </c>
      <c r="G1476" s="713">
        <v>0</v>
      </c>
      <c r="H1476" s="713">
        <v>0</v>
      </c>
      <c r="I1476" s="348">
        <f t="shared" si="32"/>
        <v>6402.77</v>
      </c>
      <c r="J1476" s="192" t="s">
        <v>2205</v>
      </c>
    </row>
    <row r="1477" spans="1:10" hidden="1" outlineLevel="1">
      <c r="A1477" s="381" t="s">
        <v>1372</v>
      </c>
      <c r="B1477" s="207">
        <v>104456.01</v>
      </c>
      <c r="C1477" s="713">
        <v>0</v>
      </c>
      <c r="D1477" s="713">
        <v>0</v>
      </c>
      <c r="E1477" s="713">
        <v>0</v>
      </c>
      <c r="F1477" s="713">
        <v>0</v>
      </c>
      <c r="G1477" s="713">
        <v>0</v>
      </c>
      <c r="H1477" s="713">
        <v>0</v>
      </c>
      <c r="I1477" s="348">
        <f t="shared" si="32"/>
        <v>104456.01</v>
      </c>
      <c r="J1477" s="192" t="s">
        <v>1373</v>
      </c>
    </row>
    <row r="1478" spans="1:10" hidden="1" outlineLevel="1">
      <c r="A1478" s="381" t="s">
        <v>1677</v>
      </c>
      <c r="B1478" s="207">
        <v>301457.37</v>
      </c>
      <c r="C1478" s="713">
        <v>0</v>
      </c>
      <c r="D1478" s="713">
        <v>0</v>
      </c>
      <c r="E1478" s="713">
        <v>0</v>
      </c>
      <c r="F1478" s="713">
        <v>0</v>
      </c>
      <c r="G1478" s="713">
        <v>0</v>
      </c>
      <c r="H1478" s="713">
        <v>0</v>
      </c>
      <c r="I1478" s="348">
        <f t="shared" si="32"/>
        <v>301457.37</v>
      </c>
      <c r="J1478" s="192" t="s">
        <v>1678</v>
      </c>
    </row>
    <row r="1479" spans="1:10" hidden="1" outlineLevel="1">
      <c r="A1479" s="381" t="s">
        <v>1456</v>
      </c>
      <c r="B1479" s="207">
        <v>74354.66</v>
      </c>
      <c r="C1479" s="713">
        <v>0</v>
      </c>
      <c r="D1479" s="713">
        <v>0</v>
      </c>
      <c r="E1479" s="713">
        <v>0</v>
      </c>
      <c r="F1479" s="713">
        <v>0</v>
      </c>
      <c r="G1479" s="713">
        <v>0</v>
      </c>
      <c r="H1479" s="713">
        <v>0</v>
      </c>
      <c r="I1479" s="348">
        <f t="shared" si="32"/>
        <v>74354.66</v>
      </c>
      <c r="J1479" s="192" t="s">
        <v>1457</v>
      </c>
    </row>
    <row r="1480" spans="1:10" hidden="1" outlineLevel="1">
      <c r="A1480" s="381" t="s">
        <v>1614</v>
      </c>
      <c r="B1480" s="207">
        <v>350030.04</v>
      </c>
      <c r="C1480" s="713">
        <v>0</v>
      </c>
      <c r="D1480" s="713">
        <v>0</v>
      </c>
      <c r="E1480" s="713">
        <v>0</v>
      </c>
      <c r="F1480" s="713">
        <v>0</v>
      </c>
      <c r="G1480" s="713">
        <v>0</v>
      </c>
      <c r="H1480" s="713">
        <v>0</v>
      </c>
      <c r="I1480" s="348">
        <f t="shared" si="32"/>
        <v>350030.04</v>
      </c>
      <c r="J1480" s="192" t="s">
        <v>1615</v>
      </c>
    </row>
    <row r="1481" spans="1:10" hidden="1" outlineLevel="1">
      <c r="A1481" s="381" t="s">
        <v>1314</v>
      </c>
      <c r="B1481" s="207">
        <v>48497.760000000002</v>
      </c>
      <c r="C1481" s="713">
        <v>0</v>
      </c>
      <c r="D1481" s="713">
        <v>0</v>
      </c>
      <c r="E1481" s="713">
        <v>0</v>
      </c>
      <c r="F1481" s="714">
        <v>0</v>
      </c>
      <c r="G1481" s="714">
        <v>0</v>
      </c>
      <c r="H1481" s="713">
        <v>0</v>
      </c>
      <c r="I1481" s="348">
        <f t="shared" si="32"/>
        <v>48497.760000000002</v>
      </c>
      <c r="J1481" s="192" t="s">
        <v>1315</v>
      </c>
    </row>
    <row r="1482" spans="1:10" hidden="1" outlineLevel="1">
      <c r="A1482" s="381" t="s">
        <v>1291</v>
      </c>
      <c r="B1482" s="207">
        <v>217133.91</v>
      </c>
      <c r="C1482" s="713">
        <v>0</v>
      </c>
      <c r="D1482" s="713">
        <v>0</v>
      </c>
      <c r="E1482" s="713">
        <v>0</v>
      </c>
      <c r="F1482" s="713">
        <v>0</v>
      </c>
      <c r="G1482" s="713">
        <v>0</v>
      </c>
      <c r="H1482" s="713">
        <v>0</v>
      </c>
      <c r="I1482" s="348">
        <f t="shared" si="32"/>
        <v>217133.91</v>
      </c>
      <c r="J1482" s="192" t="s">
        <v>1292</v>
      </c>
    </row>
    <row r="1483" spans="1:10" hidden="1" outlineLevel="1">
      <c r="A1483" s="381" t="s">
        <v>1279</v>
      </c>
      <c r="B1483" s="207">
        <v>45029.93</v>
      </c>
      <c r="C1483" s="713">
        <v>0</v>
      </c>
      <c r="D1483" s="713">
        <v>0</v>
      </c>
      <c r="E1483" s="713">
        <v>0</v>
      </c>
      <c r="F1483" s="713">
        <v>0</v>
      </c>
      <c r="G1483" s="713">
        <v>0</v>
      </c>
      <c r="H1483" s="713">
        <v>0</v>
      </c>
      <c r="I1483" s="348">
        <f t="shared" si="32"/>
        <v>45029.93</v>
      </c>
      <c r="J1483" s="192" t="s">
        <v>1280</v>
      </c>
    </row>
    <row r="1484" spans="1:10" hidden="1" outlineLevel="1">
      <c r="A1484" s="381" t="s">
        <v>1716</v>
      </c>
      <c r="B1484" s="207">
        <v>28437.26</v>
      </c>
      <c r="C1484" s="713">
        <v>0</v>
      </c>
      <c r="D1484" s="713">
        <v>0</v>
      </c>
      <c r="E1484" s="713">
        <v>0</v>
      </c>
      <c r="F1484" s="713">
        <v>0</v>
      </c>
      <c r="G1484" s="713">
        <v>0</v>
      </c>
      <c r="H1484" s="713">
        <v>0</v>
      </c>
      <c r="I1484" s="348">
        <f t="shared" si="32"/>
        <v>28437.26</v>
      </c>
      <c r="J1484" s="192" t="s">
        <v>1717</v>
      </c>
    </row>
    <row r="1485" spans="1:10" hidden="1" outlineLevel="1">
      <c r="A1485" s="381" t="s">
        <v>1694</v>
      </c>
      <c r="B1485" s="207">
        <v>481545.92</v>
      </c>
      <c r="C1485" s="713">
        <v>0</v>
      </c>
      <c r="D1485" s="713">
        <v>0</v>
      </c>
      <c r="E1485" s="713">
        <v>0</v>
      </c>
      <c r="F1485" s="713">
        <v>0</v>
      </c>
      <c r="G1485" s="713">
        <v>0</v>
      </c>
      <c r="H1485" s="713">
        <v>0</v>
      </c>
      <c r="I1485" s="348">
        <f t="shared" si="32"/>
        <v>481545.92</v>
      </c>
      <c r="J1485" s="192" t="s">
        <v>1695</v>
      </c>
    </row>
    <row r="1486" spans="1:10" hidden="1" outlineLevel="1">
      <c r="A1486" s="381" t="s">
        <v>1324</v>
      </c>
      <c r="B1486" s="207">
        <v>81056.960000000006</v>
      </c>
      <c r="C1486" s="713">
        <v>0</v>
      </c>
      <c r="D1486" s="713">
        <v>0</v>
      </c>
      <c r="E1486" s="713">
        <v>0</v>
      </c>
      <c r="F1486" s="713">
        <v>0</v>
      </c>
      <c r="G1486" s="713">
        <v>0</v>
      </c>
      <c r="H1486" s="713">
        <v>0</v>
      </c>
      <c r="I1486" s="348">
        <f t="shared" si="32"/>
        <v>81056.960000000006</v>
      </c>
      <c r="J1486" s="192" t="s">
        <v>1325</v>
      </c>
    </row>
    <row r="1487" spans="1:10" hidden="1" outlineLevel="1">
      <c r="A1487" s="381" t="s">
        <v>1730</v>
      </c>
      <c r="B1487" s="207">
        <v>93045.21</v>
      </c>
      <c r="C1487" s="713">
        <v>0</v>
      </c>
      <c r="D1487" s="713">
        <v>0</v>
      </c>
      <c r="E1487" s="713">
        <v>0</v>
      </c>
      <c r="F1487" s="713">
        <v>0</v>
      </c>
      <c r="G1487" s="713">
        <v>0</v>
      </c>
      <c r="H1487" s="713">
        <v>0</v>
      </c>
      <c r="I1487" s="348">
        <f t="shared" si="32"/>
        <v>93045.21</v>
      </c>
      <c r="J1487" s="192" t="s">
        <v>1731</v>
      </c>
    </row>
    <row r="1488" spans="1:10" hidden="1" outlineLevel="1">
      <c r="A1488" s="381" t="s">
        <v>1696</v>
      </c>
      <c r="B1488" s="207">
        <v>17012.939999999999</v>
      </c>
      <c r="C1488" s="713">
        <v>0</v>
      </c>
      <c r="D1488" s="713">
        <v>0</v>
      </c>
      <c r="E1488" s="713">
        <v>0</v>
      </c>
      <c r="F1488" s="713">
        <v>0</v>
      </c>
      <c r="G1488" s="713">
        <v>0</v>
      </c>
      <c r="H1488" s="713">
        <v>0</v>
      </c>
      <c r="I1488" s="348">
        <f t="shared" si="32"/>
        <v>17012.939999999999</v>
      </c>
      <c r="J1488" s="192" t="s">
        <v>1697</v>
      </c>
    </row>
    <row r="1489" spans="1:10" hidden="1" outlineLevel="1">
      <c r="A1489" s="381" t="s">
        <v>1726</v>
      </c>
      <c r="B1489" s="207">
        <v>92372.800000000003</v>
      </c>
      <c r="C1489" s="713">
        <v>0</v>
      </c>
      <c r="D1489" s="713">
        <v>0</v>
      </c>
      <c r="E1489" s="713">
        <v>0</v>
      </c>
      <c r="F1489" s="713">
        <v>0</v>
      </c>
      <c r="G1489" s="713">
        <v>0</v>
      </c>
      <c r="H1489" s="713">
        <v>0</v>
      </c>
      <c r="I1489" s="348">
        <f t="shared" si="32"/>
        <v>92372.800000000003</v>
      </c>
      <c r="J1489" s="192" t="s">
        <v>1727</v>
      </c>
    </row>
    <row r="1490" spans="1:10" hidden="1" outlineLevel="1">
      <c r="A1490" s="381" t="s">
        <v>1281</v>
      </c>
      <c r="B1490" s="207">
        <v>44560.9</v>
      </c>
      <c r="C1490" s="713">
        <v>0</v>
      </c>
      <c r="D1490" s="713">
        <v>0</v>
      </c>
      <c r="E1490" s="713">
        <v>0</v>
      </c>
      <c r="F1490" s="713">
        <v>0</v>
      </c>
      <c r="G1490" s="713">
        <v>0</v>
      </c>
      <c r="H1490" s="713">
        <v>0</v>
      </c>
      <c r="I1490" s="348">
        <f t="shared" si="32"/>
        <v>44560.9</v>
      </c>
      <c r="J1490" s="192" t="s">
        <v>1282</v>
      </c>
    </row>
    <row r="1491" spans="1:10" hidden="1" outlineLevel="1">
      <c r="A1491" s="381" t="s">
        <v>1802</v>
      </c>
      <c r="B1491" s="207">
        <v>23783.55</v>
      </c>
      <c r="C1491" s="713">
        <v>0</v>
      </c>
      <c r="D1491" s="713">
        <v>0</v>
      </c>
      <c r="E1491" s="713">
        <v>0</v>
      </c>
      <c r="F1491" s="713">
        <v>0</v>
      </c>
      <c r="G1491" s="713">
        <v>0</v>
      </c>
      <c r="H1491" s="713">
        <v>0</v>
      </c>
      <c r="I1491" s="348">
        <f t="shared" si="32"/>
        <v>23783.55</v>
      </c>
      <c r="J1491" s="192" t="s">
        <v>1803</v>
      </c>
    </row>
    <row r="1492" spans="1:10" hidden="1" outlineLevel="1">
      <c r="A1492" s="381" t="s">
        <v>1418</v>
      </c>
      <c r="B1492" s="207">
        <v>77158.41</v>
      </c>
      <c r="C1492" s="713">
        <v>0</v>
      </c>
      <c r="D1492" s="713">
        <v>0</v>
      </c>
      <c r="E1492" s="713">
        <v>0</v>
      </c>
      <c r="F1492" s="713">
        <v>0</v>
      </c>
      <c r="G1492" s="713">
        <v>0</v>
      </c>
      <c r="H1492" s="713">
        <v>0</v>
      </c>
      <c r="I1492" s="348">
        <f t="shared" si="32"/>
        <v>77158.41</v>
      </c>
      <c r="J1492" s="192" t="s">
        <v>1419</v>
      </c>
    </row>
    <row r="1493" spans="1:10" hidden="1" outlineLevel="1">
      <c r="A1493" s="381" t="s">
        <v>1338</v>
      </c>
      <c r="B1493" s="207">
        <v>58646.43</v>
      </c>
      <c r="C1493" s="713">
        <v>0</v>
      </c>
      <c r="D1493" s="713">
        <v>0</v>
      </c>
      <c r="E1493" s="713">
        <v>0</v>
      </c>
      <c r="F1493" s="713">
        <v>0</v>
      </c>
      <c r="G1493" s="713">
        <v>0</v>
      </c>
      <c r="H1493" s="713">
        <v>0</v>
      </c>
      <c r="I1493" s="348">
        <f t="shared" si="32"/>
        <v>58646.43</v>
      </c>
      <c r="J1493" s="192" t="s">
        <v>1339</v>
      </c>
    </row>
    <row r="1494" spans="1:10" hidden="1" outlineLevel="1">
      <c r="A1494" s="381" t="s">
        <v>1316</v>
      </c>
      <c r="B1494" s="207">
        <v>1044515.26</v>
      </c>
      <c r="C1494" s="713">
        <v>0</v>
      </c>
      <c r="D1494" s="713">
        <v>0</v>
      </c>
      <c r="E1494" s="713">
        <v>0</v>
      </c>
      <c r="F1494" s="713">
        <v>0</v>
      </c>
      <c r="G1494" s="713">
        <v>0</v>
      </c>
      <c r="H1494" s="713">
        <v>0</v>
      </c>
      <c r="I1494" s="348">
        <f t="shared" si="32"/>
        <v>1044515.26</v>
      </c>
      <c r="J1494" s="192" t="s">
        <v>1317</v>
      </c>
    </row>
    <row r="1495" spans="1:10" hidden="1" outlineLevel="1">
      <c r="A1495" s="381" t="s">
        <v>1289</v>
      </c>
      <c r="B1495" s="207">
        <v>226591.25</v>
      </c>
      <c r="C1495" s="713">
        <v>0</v>
      </c>
      <c r="D1495" s="713">
        <v>0</v>
      </c>
      <c r="E1495" s="713">
        <v>0</v>
      </c>
      <c r="F1495" s="713">
        <v>0</v>
      </c>
      <c r="G1495" s="713">
        <v>0</v>
      </c>
      <c r="H1495" s="713">
        <v>0</v>
      </c>
      <c r="I1495" s="348">
        <f t="shared" si="32"/>
        <v>226591.25</v>
      </c>
      <c r="J1495" s="192" t="s">
        <v>1290</v>
      </c>
    </row>
    <row r="1496" spans="1:10" hidden="1" outlineLevel="1">
      <c r="A1496" s="381" t="s">
        <v>1476</v>
      </c>
      <c r="B1496" s="207">
        <v>364991.63</v>
      </c>
      <c r="C1496" s="713">
        <v>0</v>
      </c>
      <c r="D1496" s="713">
        <v>0</v>
      </c>
      <c r="E1496" s="713">
        <v>0</v>
      </c>
      <c r="F1496" s="713">
        <v>0</v>
      </c>
      <c r="G1496" s="713">
        <v>0</v>
      </c>
      <c r="H1496" s="713">
        <v>0</v>
      </c>
      <c r="I1496" s="348">
        <f t="shared" si="32"/>
        <v>364991.63</v>
      </c>
      <c r="J1496" s="192" t="s">
        <v>1477</v>
      </c>
    </row>
    <row r="1497" spans="1:10" hidden="1" outlineLevel="1">
      <c r="A1497" s="381" t="s">
        <v>2206</v>
      </c>
      <c r="B1497" s="207">
        <v>8923.8700000000008</v>
      </c>
      <c r="C1497" s="713">
        <v>0</v>
      </c>
      <c r="D1497" s="713">
        <v>0</v>
      </c>
      <c r="E1497" s="713">
        <v>0</v>
      </c>
      <c r="F1497" s="713">
        <v>0</v>
      </c>
      <c r="G1497" s="713">
        <v>0</v>
      </c>
      <c r="H1497" s="713">
        <v>0</v>
      </c>
      <c r="I1497" s="348">
        <f t="shared" si="32"/>
        <v>8923.8700000000008</v>
      </c>
      <c r="J1497" s="192" t="s">
        <v>2207</v>
      </c>
    </row>
    <row r="1498" spans="1:10" hidden="1" outlineLevel="1">
      <c r="A1498" s="381" t="s">
        <v>1708</v>
      </c>
      <c r="B1498" s="207">
        <v>77733.740000000005</v>
      </c>
      <c r="C1498" s="713">
        <v>0</v>
      </c>
      <c r="D1498" s="713">
        <v>0</v>
      </c>
      <c r="E1498" s="713">
        <v>0</v>
      </c>
      <c r="F1498" s="713">
        <v>0</v>
      </c>
      <c r="G1498" s="713">
        <v>0</v>
      </c>
      <c r="H1498" s="713">
        <v>0</v>
      </c>
      <c r="I1498" s="348">
        <f t="shared" si="32"/>
        <v>77733.740000000005</v>
      </c>
      <c r="J1498" s="192" t="s">
        <v>1709</v>
      </c>
    </row>
    <row r="1499" spans="1:10" hidden="1" outlineLevel="1">
      <c r="A1499" s="381" t="s">
        <v>1638</v>
      </c>
      <c r="B1499" s="207">
        <v>141878.06</v>
      </c>
      <c r="C1499" s="713">
        <v>0</v>
      </c>
      <c r="D1499" s="713">
        <v>0</v>
      </c>
      <c r="E1499" s="713">
        <v>0</v>
      </c>
      <c r="F1499" s="713">
        <v>0</v>
      </c>
      <c r="G1499" s="713">
        <v>0</v>
      </c>
      <c r="H1499" s="713">
        <v>0</v>
      </c>
      <c r="I1499" s="348">
        <f t="shared" si="32"/>
        <v>141878.06</v>
      </c>
      <c r="J1499" s="192" t="s">
        <v>1639</v>
      </c>
    </row>
    <row r="1500" spans="1:10" hidden="1" outlineLevel="1">
      <c r="A1500" s="381" t="s">
        <v>1624</v>
      </c>
      <c r="B1500" s="207">
        <v>103428.24</v>
      </c>
      <c r="C1500" s="713">
        <v>0</v>
      </c>
      <c r="D1500" s="713">
        <v>0</v>
      </c>
      <c r="E1500" s="713">
        <v>0</v>
      </c>
      <c r="F1500" s="713">
        <v>0</v>
      </c>
      <c r="G1500" s="713">
        <v>0</v>
      </c>
      <c r="H1500" s="713">
        <v>0</v>
      </c>
      <c r="I1500" s="348">
        <f t="shared" si="32"/>
        <v>103428.24</v>
      </c>
      <c r="J1500" s="192" t="s">
        <v>1625</v>
      </c>
    </row>
    <row r="1501" spans="1:10" hidden="1" outlineLevel="1">
      <c r="A1501" s="381" t="s">
        <v>1780</v>
      </c>
      <c r="B1501" s="207">
        <v>907082.07</v>
      </c>
      <c r="C1501" s="713">
        <v>0</v>
      </c>
      <c r="D1501" s="713">
        <v>0</v>
      </c>
      <c r="E1501" s="713">
        <v>0</v>
      </c>
      <c r="F1501" s="713">
        <v>0</v>
      </c>
      <c r="G1501" s="713">
        <v>0</v>
      </c>
      <c r="H1501" s="713">
        <v>0</v>
      </c>
      <c r="I1501" s="348">
        <f t="shared" si="32"/>
        <v>907082.07</v>
      </c>
      <c r="J1501" s="192" t="s">
        <v>1781</v>
      </c>
    </row>
    <row r="1502" spans="1:10" hidden="1" outlineLevel="1">
      <c r="A1502" s="381" t="s">
        <v>1634</v>
      </c>
      <c r="B1502" s="207">
        <v>988283.16</v>
      </c>
      <c r="C1502" s="713">
        <v>0</v>
      </c>
      <c r="D1502" s="713">
        <v>0</v>
      </c>
      <c r="E1502" s="713">
        <v>0</v>
      </c>
      <c r="F1502" s="713">
        <v>0</v>
      </c>
      <c r="G1502" s="713">
        <v>0</v>
      </c>
      <c r="H1502" s="713">
        <v>0</v>
      </c>
      <c r="I1502" s="348">
        <f t="shared" si="32"/>
        <v>988283.16</v>
      </c>
      <c r="J1502" s="192" t="s">
        <v>1635</v>
      </c>
    </row>
    <row r="1503" spans="1:10" hidden="1" outlineLevel="1">
      <c r="A1503" s="381" t="s">
        <v>1261</v>
      </c>
      <c r="B1503" s="207">
        <v>49707.67</v>
      </c>
      <c r="C1503" s="713">
        <v>0</v>
      </c>
      <c r="D1503" s="713">
        <v>0</v>
      </c>
      <c r="E1503" s="713">
        <v>0</v>
      </c>
      <c r="F1503" s="713">
        <v>0</v>
      </c>
      <c r="G1503" s="713">
        <v>0</v>
      </c>
      <c r="H1503" s="713">
        <v>0</v>
      </c>
      <c r="I1503" s="348">
        <f t="shared" si="32"/>
        <v>49707.67</v>
      </c>
      <c r="J1503" s="192" t="s">
        <v>1262</v>
      </c>
    </row>
    <row r="1504" spans="1:10" hidden="1" outlineLevel="1">
      <c r="A1504" s="381" t="s">
        <v>1422</v>
      </c>
      <c r="B1504" s="207">
        <v>45959.48</v>
      </c>
      <c r="C1504" s="713">
        <v>0</v>
      </c>
      <c r="D1504" s="713">
        <v>0</v>
      </c>
      <c r="E1504" s="713">
        <v>0</v>
      </c>
      <c r="F1504" s="713">
        <v>0</v>
      </c>
      <c r="G1504" s="713">
        <v>0</v>
      </c>
      <c r="H1504" s="713">
        <v>0</v>
      </c>
      <c r="I1504" s="348">
        <f t="shared" si="32"/>
        <v>45959.48</v>
      </c>
      <c r="J1504" s="192" t="s">
        <v>1423</v>
      </c>
    </row>
    <row r="1505" spans="1:10" hidden="1" outlineLevel="1">
      <c r="A1505" s="381" t="s">
        <v>1502</v>
      </c>
      <c r="B1505" s="207">
        <v>57625.42</v>
      </c>
      <c r="C1505" s="713">
        <v>0</v>
      </c>
      <c r="D1505" s="713">
        <v>0</v>
      </c>
      <c r="E1505" s="713">
        <v>0</v>
      </c>
      <c r="F1505" s="713">
        <v>0</v>
      </c>
      <c r="G1505" s="713">
        <v>0</v>
      </c>
      <c r="H1505" s="713">
        <v>0</v>
      </c>
      <c r="I1505" s="348">
        <f t="shared" si="32"/>
        <v>57625.42</v>
      </c>
      <c r="J1505" s="192" t="s">
        <v>1503</v>
      </c>
    </row>
    <row r="1506" spans="1:10" hidden="1" outlineLevel="1">
      <c r="A1506" s="381" t="s">
        <v>1332</v>
      </c>
      <c r="B1506" s="207">
        <v>384092.01</v>
      </c>
      <c r="C1506" s="713">
        <v>0</v>
      </c>
      <c r="D1506" s="713">
        <v>0</v>
      </c>
      <c r="E1506" s="713">
        <v>0</v>
      </c>
      <c r="F1506" s="713">
        <v>0</v>
      </c>
      <c r="G1506" s="713">
        <v>0</v>
      </c>
      <c r="H1506" s="713">
        <v>0</v>
      </c>
      <c r="I1506" s="348">
        <f t="shared" si="32"/>
        <v>384092.01</v>
      </c>
      <c r="J1506" s="192" t="s">
        <v>1333</v>
      </c>
    </row>
    <row r="1507" spans="1:10" hidden="1" outlineLevel="1">
      <c r="A1507" s="381" t="s">
        <v>1576</v>
      </c>
      <c r="B1507" s="207">
        <v>248674.37</v>
      </c>
      <c r="C1507" s="713">
        <v>0</v>
      </c>
      <c r="D1507" s="713">
        <v>0</v>
      </c>
      <c r="E1507" s="713">
        <v>0</v>
      </c>
      <c r="F1507" s="713">
        <v>0</v>
      </c>
      <c r="G1507" s="713">
        <v>0</v>
      </c>
      <c r="H1507" s="713">
        <v>0</v>
      </c>
      <c r="I1507" s="348">
        <f t="shared" si="32"/>
        <v>248674.37</v>
      </c>
      <c r="J1507" s="192" t="s">
        <v>1577</v>
      </c>
    </row>
    <row r="1508" spans="1:10" hidden="1" outlineLevel="1">
      <c r="A1508" s="381" t="s">
        <v>1608</v>
      </c>
      <c r="B1508" s="207">
        <v>67990.3</v>
      </c>
      <c r="C1508" s="713">
        <v>0</v>
      </c>
      <c r="D1508" s="713">
        <v>0</v>
      </c>
      <c r="E1508" s="713">
        <v>0</v>
      </c>
      <c r="F1508" s="713">
        <v>0</v>
      </c>
      <c r="G1508" s="713">
        <v>0</v>
      </c>
      <c r="H1508" s="713">
        <v>0</v>
      </c>
      <c r="I1508" s="348">
        <f t="shared" si="32"/>
        <v>67990.3</v>
      </c>
      <c r="J1508" s="192" t="s">
        <v>1609</v>
      </c>
    </row>
    <row r="1509" spans="1:10" hidden="1" outlineLevel="1">
      <c r="A1509" s="381" t="s">
        <v>1255</v>
      </c>
      <c r="B1509" s="207">
        <v>323693.26</v>
      </c>
      <c r="C1509" s="713">
        <v>0</v>
      </c>
      <c r="D1509" s="713">
        <v>0</v>
      </c>
      <c r="E1509" s="713">
        <v>0</v>
      </c>
      <c r="F1509" s="713">
        <v>0</v>
      </c>
      <c r="G1509" s="713">
        <v>0</v>
      </c>
      <c r="H1509" s="713">
        <v>0</v>
      </c>
      <c r="I1509" s="348">
        <f t="shared" si="32"/>
        <v>323693.26</v>
      </c>
      <c r="J1509" s="192" t="s">
        <v>1256</v>
      </c>
    </row>
    <row r="1510" spans="1:10" hidden="1" outlineLevel="1">
      <c r="A1510" s="381" t="s">
        <v>1602</v>
      </c>
      <c r="B1510" s="207">
        <v>115049.12</v>
      </c>
      <c r="C1510" s="713">
        <v>0</v>
      </c>
      <c r="D1510" s="713">
        <v>0</v>
      </c>
      <c r="E1510" s="713">
        <v>0</v>
      </c>
      <c r="F1510" s="713">
        <v>0</v>
      </c>
      <c r="G1510" s="713">
        <v>0</v>
      </c>
      <c r="H1510" s="713">
        <v>0</v>
      </c>
      <c r="I1510" s="348">
        <f t="shared" si="32"/>
        <v>115049.12</v>
      </c>
      <c r="J1510" s="192" t="s">
        <v>1603</v>
      </c>
    </row>
    <row r="1511" spans="1:10" hidden="1" outlineLevel="1">
      <c r="A1511" s="381" t="s">
        <v>1354</v>
      </c>
      <c r="B1511" s="207">
        <v>273061.92</v>
      </c>
      <c r="C1511" s="713">
        <v>0</v>
      </c>
      <c r="D1511" s="713">
        <v>0</v>
      </c>
      <c r="E1511" s="713">
        <v>0</v>
      </c>
      <c r="F1511" s="713">
        <v>0</v>
      </c>
      <c r="G1511" s="713">
        <v>0</v>
      </c>
      <c r="H1511" s="713">
        <v>0</v>
      </c>
      <c r="I1511" s="348">
        <f t="shared" si="32"/>
        <v>273061.92</v>
      </c>
      <c r="J1511" s="192" t="s">
        <v>1355</v>
      </c>
    </row>
    <row r="1512" spans="1:10" hidden="1" outlineLevel="1">
      <c r="A1512" s="381" t="s">
        <v>1446</v>
      </c>
      <c r="B1512" s="207">
        <v>5649688.2999999998</v>
      </c>
      <c r="C1512" s="713">
        <v>0</v>
      </c>
      <c r="D1512" s="713">
        <v>0</v>
      </c>
      <c r="E1512" s="713">
        <v>0</v>
      </c>
      <c r="F1512" s="713">
        <v>8836.94</v>
      </c>
      <c r="G1512" s="713">
        <v>0</v>
      </c>
      <c r="H1512" s="713">
        <v>0</v>
      </c>
      <c r="I1512" s="348">
        <f t="shared" si="32"/>
        <v>5658525.2400000002</v>
      </c>
      <c r="J1512" s="192" t="s">
        <v>1447</v>
      </c>
    </row>
    <row r="1513" spans="1:10" hidden="1" outlineLevel="1">
      <c r="A1513" s="381" t="s">
        <v>1664</v>
      </c>
      <c r="B1513" s="207">
        <v>593818.29</v>
      </c>
      <c r="C1513" s="713">
        <v>0</v>
      </c>
      <c r="D1513" s="713">
        <v>0</v>
      </c>
      <c r="E1513" s="713">
        <v>0</v>
      </c>
      <c r="F1513" s="713">
        <v>0</v>
      </c>
      <c r="G1513" s="713">
        <v>0</v>
      </c>
      <c r="H1513" s="713">
        <v>0</v>
      </c>
      <c r="I1513" s="348">
        <f t="shared" si="32"/>
        <v>593818.29</v>
      </c>
      <c r="J1513" s="192" t="s">
        <v>1665</v>
      </c>
    </row>
    <row r="1514" spans="1:10" hidden="1" outlineLevel="1">
      <c r="A1514" s="381" t="s">
        <v>1788</v>
      </c>
      <c r="B1514" s="207">
        <v>43201.440000000002</v>
      </c>
      <c r="C1514" s="713">
        <v>0</v>
      </c>
      <c r="D1514" s="713">
        <v>0</v>
      </c>
      <c r="E1514" s="713">
        <v>0</v>
      </c>
      <c r="F1514" s="713">
        <v>0</v>
      </c>
      <c r="G1514" s="713">
        <v>0</v>
      </c>
      <c r="H1514" s="713">
        <v>0</v>
      </c>
      <c r="I1514" s="348">
        <f t="shared" si="32"/>
        <v>43201.440000000002</v>
      </c>
      <c r="J1514" s="192" t="s">
        <v>1789</v>
      </c>
    </row>
    <row r="1515" spans="1:10" hidden="1" outlineLevel="1">
      <c r="A1515" s="381" t="s">
        <v>1650</v>
      </c>
      <c r="B1515" s="207">
        <v>16907208.039999999</v>
      </c>
      <c r="C1515" s="713">
        <v>0</v>
      </c>
      <c r="D1515" s="713">
        <v>0</v>
      </c>
      <c r="E1515" s="713">
        <v>0</v>
      </c>
      <c r="F1515" s="713">
        <v>74532.55</v>
      </c>
      <c r="G1515" s="713">
        <v>0</v>
      </c>
      <c r="H1515" s="713">
        <v>0</v>
      </c>
      <c r="I1515" s="348">
        <f t="shared" si="32"/>
        <v>16981740.59</v>
      </c>
      <c r="J1515" s="192" t="s">
        <v>1651</v>
      </c>
    </row>
    <row r="1516" spans="1:10" hidden="1" outlineLevel="1">
      <c r="A1516" s="381" t="s">
        <v>1632</v>
      </c>
      <c r="B1516" s="207">
        <v>135192.66</v>
      </c>
      <c r="C1516" s="713">
        <v>0</v>
      </c>
      <c r="D1516" s="713">
        <v>0</v>
      </c>
      <c r="E1516" s="713">
        <v>0</v>
      </c>
      <c r="F1516" s="713">
        <v>0</v>
      </c>
      <c r="G1516" s="713">
        <v>0</v>
      </c>
      <c r="H1516" s="713">
        <v>0</v>
      </c>
      <c r="I1516" s="348">
        <f t="shared" si="32"/>
        <v>135192.66</v>
      </c>
      <c r="J1516" s="192" t="s">
        <v>1633</v>
      </c>
    </row>
    <row r="1517" spans="1:10" hidden="1" outlineLevel="1">
      <c r="A1517" s="381" t="s">
        <v>1344</v>
      </c>
      <c r="B1517" s="207">
        <v>2655775.0499999998</v>
      </c>
      <c r="C1517" s="713">
        <v>0</v>
      </c>
      <c r="D1517" s="713">
        <v>0</v>
      </c>
      <c r="E1517" s="713">
        <v>0</v>
      </c>
      <c r="F1517" s="713">
        <v>3579.23</v>
      </c>
      <c r="G1517" s="713">
        <v>608.29999999999995</v>
      </c>
      <c r="H1517" s="713">
        <v>0</v>
      </c>
      <c r="I1517" s="348">
        <f t="shared" si="32"/>
        <v>2659962.5799999996</v>
      </c>
      <c r="J1517" s="192" t="s">
        <v>1345</v>
      </c>
    </row>
    <row r="1518" spans="1:10" hidden="1" outlineLevel="1">
      <c r="A1518" s="381" t="s">
        <v>1398</v>
      </c>
      <c r="B1518" s="207">
        <v>71390.559999999998</v>
      </c>
      <c r="C1518" s="713">
        <v>0</v>
      </c>
      <c r="D1518" s="713">
        <v>0</v>
      </c>
      <c r="E1518" s="713">
        <v>0</v>
      </c>
      <c r="F1518" s="713">
        <v>0</v>
      </c>
      <c r="G1518" s="713">
        <v>424.67</v>
      </c>
      <c r="H1518" s="713">
        <v>0</v>
      </c>
      <c r="I1518" s="348">
        <f t="shared" si="32"/>
        <v>71815.23</v>
      </c>
      <c r="J1518" s="192" t="s">
        <v>1399</v>
      </c>
    </row>
    <row r="1519" spans="1:10" hidden="1" outlineLevel="1">
      <c r="A1519" s="381" t="s">
        <v>1244</v>
      </c>
      <c r="B1519" s="207">
        <v>102754.24000000001</v>
      </c>
      <c r="C1519" s="713">
        <v>0</v>
      </c>
      <c r="D1519" s="713">
        <v>0</v>
      </c>
      <c r="E1519" s="713">
        <v>0</v>
      </c>
      <c r="F1519" s="713">
        <v>0</v>
      </c>
      <c r="G1519" s="713">
        <v>0</v>
      </c>
      <c r="H1519" s="713">
        <v>0</v>
      </c>
      <c r="I1519" s="348">
        <f t="shared" si="32"/>
        <v>102754.24000000001</v>
      </c>
      <c r="J1519" s="192" t="s">
        <v>1245</v>
      </c>
    </row>
    <row r="1520" spans="1:10" hidden="1" outlineLevel="1">
      <c r="A1520" s="381" t="s">
        <v>1301</v>
      </c>
      <c r="B1520" s="207">
        <v>161064.6</v>
      </c>
      <c r="C1520" s="713">
        <v>0</v>
      </c>
      <c r="D1520" s="713">
        <v>0</v>
      </c>
      <c r="E1520" s="713">
        <v>0</v>
      </c>
      <c r="F1520" s="713">
        <v>0</v>
      </c>
      <c r="G1520" s="713">
        <v>0</v>
      </c>
      <c r="H1520" s="713">
        <v>0</v>
      </c>
      <c r="I1520" s="348">
        <f t="shared" si="32"/>
        <v>161064.6</v>
      </c>
      <c r="J1520" s="192" t="s">
        <v>1302</v>
      </c>
    </row>
    <row r="1521" spans="1:10" hidden="1" outlineLevel="1">
      <c r="A1521" s="381" t="s">
        <v>1462</v>
      </c>
      <c r="B1521" s="207">
        <v>176119.49</v>
      </c>
      <c r="C1521" s="713">
        <v>0</v>
      </c>
      <c r="D1521" s="713">
        <v>0</v>
      </c>
      <c r="E1521" s="713">
        <v>0</v>
      </c>
      <c r="F1521" s="713">
        <v>0</v>
      </c>
      <c r="G1521" s="713">
        <v>0</v>
      </c>
      <c r="H1521" s="713">
        <v>0</v>
      </c>
      <c r="I1521" s="348">
        <f t="shared" si="32"/>
        <v>176119.49</v>
      </c>
      <c r="J1521" s="192" t="s">
        <v>1463</v>
      </c>
    </row>
    <row r="1522" spans="1:10" hidden="1" outlineLevel="1">
      <c r="A1522" s="381" t="s">
        <v>1794</v>
      </c>
      <c r="B1522" s="207">
        <v>655235.02</v>
      </c>
      <c r="C1522" s="713">
        <v>0</v>
      </c>
      <c r="D1522" s="713">
        <v>0</v>
      </c>
      <c r="E1522" s="713">
        <v>0</v>
      </c>
      <c r="F1522" s="714">
        <v>0</v>
      </c>
      <c r="G1522" s="713">
        <v>0</v>
      </c>
      <c r="H1522" s="713">
        <v>0</v>
      </c>
      <c r="I1522" s="348">
        <f t="shared" si="32"/>
        <v>655235.02</v>
      </c>
      <c r="J1522" s="192" t="s">
        <v>1795</v>
      </c>
    </row>
    <row r="1523" spans="1:10" hidden="1" outlineLevel="1">
      <c r="A1523" s="381" t="s">
        <v>1546</v>
      </c>
      <c r="B1523" s="207">
        <v>81331.47</v>
      </c>
      <c r="C1523" s="713">
        <v>0</v>
      </c>
      <c r="D1523" s="713">
        <v>0</v>
      </c>
      <c r="E1523" s="713">
        <v>0</v>
      </c>
      <c r="F1523" s="713">
        <v>0</v>
      </c>
      <c r="G1523" s="713">
        <v>0</v>
      </c>
      <c r="H1523" s="713">
        <v>0</v>
      </c>
      <c r="I1523" s="348">
        <f t="shared" si="32"/>
        <v>81331.47</v>
      </c>
      <c r="J1523" s="192" t="s">
        <v>1547</v>
      </c>
    </row>
    <row r="1524" spans="1:10" hidden="1" outlineLevel="1">
      <c r="A1524" s="381" t="s">
        <v>1426</v>
      </c>
      <c r="B1524" s="207">
        <v>148671.54999999999</v>
      </c>
      <c r="C1524" s="713">
        <v>0</v>
      </c>
      <c r="D1524" s="713">
        <v>0</v>
      </c>
      <c r="E1524" s="713">
        <v>0</v>
      </c>
      <c r="F1524" s="713">
        <v>0</v>
      </c>
      <c r="G1524" s="713">
        <v>0</v>
      </c>
      <c r="H1524" s="713">
        <v>0</v>
      </c>
      <c r="I1524" s="348">
        <f t="shared" si="32"/>
        <v>148671.54999999999</v>
      </c>
      <c r="J1524" s="192" t="s">
        <v>1427</v>
      </c>
    </row>
    <row r="1525" spans="1:10" hidden="1" outlineLevel="1">
      <c r="A1525" s="381" t="s">
        <v>1760</v>
      </c>
      <c r="B1525" s="207">
        <v>163781.9</v>
      </c>
      <c r="C1525" s="713">
        <v>0</v>
      </c>
      <c r="D1525" s="713">
        <v>0</v>
      </c>
      <c r="E1525" s="713">
        <v>0</v>
      </c>
      <c r="F1525" s="714">
        <v>0</v>
      </c>
      <c r="G1525" s="713">
        <v>0</v>
      </c>
      <c r="H1525" s="713">
        <v>0</v>
      </c>
      <c r="I1525" s="348">
        <f t="shared" si="32"/>
        <v>163781.9</v>
      </c>
      <c r="J1525" s="192" t="s">
        <v>1761</v>
      </c>
    </row>
    <row r="1526" spans="1:10" hidden="1" outlineLevel="1">
      <c r="A1526" s="381" t="s">
        <v>1798</v>
      </c>
      <c r="B1526" s="207">
        <v>402499.81</v>
      </c>
      <c r="C1526" s="713">
        <v>0</v>
      </c>
      <c r="D1526" s="713">
        <v>0</v>
      </c>
      <c r="E1526" s="713">
        <v>0</v>
      </c>
      <c r="F1526" s="713">
        <v>0</v>
      </c>
      <c r="G1526" s="713">
        <v>0</v>
      </c>
      <c r="H1526" s="713">
        <v>0</v>
      </c>
      <c r="I1526" s="348">
        <f t="shared" si="32"/>
        <v>402499.81</v>
      </c>
      <c r="J1526" s="192" t="s">
        <v>1799</v>
      </c>
    </row>
    <row r="1527" spans="1:10" hidden="1" outlineLevel="1">
      <c r="A1527" s="381" t="s">
        <v>1318</v>
      </c>
      <c r="B1527" s="207">
        <v>117180.71</v>
      </c>
      <c r="C1527" s="713">
        <v>0</v>
      </c>
      <c r="D1527" s="713">
        <v>0</v>
      </c>
      <c r="E1527" s="713">
        <v>0</v>
      </c>
      <c r="F1527" s="713">
        <v>0</v>
      </c>
      <c r="G1527" s="713">
        <v>0</v>
      </c>
      <c r="H1527" s="713">
        <v>0</v>
      </c>
      <c r="I1527" s="348">
        <f t="shared" si="32"/>
        <v>117180.71</v>
      </c>
      <c r="J1527" s="192" t="s">
        <v>1319</v>
      </c>
    </row>
    <row r="1528" spans="1:10" hidden="1" outlineLevel="1">
      <c r="A1528" s="381" t="s">
        <v>1764</v>
      </c>
      <c r="B1528" s="207">
        <v>58969.78</v>
      </c>
      <c r="C1528" s="713">
        <v>0</v>
      </c>
      <c r="D1528" s="713">
        <v>0</v>
      </c>
      <c r="E1528" s="713">
        <v>0</v>
      </c>
      <c r="F1528" s="713">
        <v>0</v>
      </c>
      <c r="G1528" s="713">
        <v>0</v>
      </c>
      <c r="H1528" s="713">
        <v>0</v>
      </c>
      <c r="I1528" s="348">
        <f t="shared" si="32"/>
        <v>58969.78</v>
      </c>
      <c r="J1528" s="192" t="s">
        <v>1765</v>
      </c>
    </row>
    <row r="1529" spans="1:10" hidden="1" outlineLevel="1">
      <c r="A1529" s="381" t="s">
        <v>1540</v>
      </c>
      <c r="B1529" s="207">
        <v>66350.210000000006</v>
      </c>
      <c r="C1529" s="713">
        <v>0</v>
      </c>
      <c r="D1529" s="713">
        <v>0</v>
      </c>
      <c r="E1529" s="713">
        <v>0</v>
      </c>
      <c r="F1529" s="713">
        <v>0</v>
      </c>
      <c r="G1529" s="713">
        <v>0</v>
      </c>
      <c r="H1529" s="713">
        <v>0</v>
      </c>
      <c r="I1529" s="348">
        <f t="shared" si="32"/>
        <v>66350.210000000006</v>
      </c>
      <c r="J1529" s="192" t="s">
        <v>1541</v>
      </c>
    </row>
    <row r="1530" spans="1:10" hidden="1" outlineLevel="1">
      <c r="A1530" s="381" t="s">
        <v>1396</v>
      </c>
      <c r="B1530" s="207">
        <v>151092.39000000001</v>
      </c>
      <c r="C1530" s="713">
        <v>0</v>
      </c>
      <c r="D1530" s="713">
        <v>0</v>
      </c>
      <c r="E1530" s="713">
        <v>0</v>
      </c>
      <c r="F1530" s="713">
        <v>0</v>
      </c>
      <c r="G1530" s="713">
        <v>0</v>
      </c>
      <c r="H1530" s="713">
        <v>0</v>
      </c>
      <c r="I1530" s="348">
        <f t="shared" ref="I1530:I1593" si="33">SUM(B1530:H1530)</f>
        <v>151092.39000000001</v>
      </c>
      <c r="J1530" s="192" t="s">
        <v>1397</v>
      </c>
    </row>
    <row r="1531" spans="1:10" hidden="1" outlineLevel="1">
      <c r="A1531" s="381" t="s">
        <v>1681</v>
      </c>
      <c r="B1531" s="207">
        <v>2627497.85</v>
      </c>
      <c r="C1531" s="713">
        <v>0</v>
      </c>
      <c r="D1531" s="713">
        <v>0</v>
      </c>
      <c r="E1531" s="713">
        <v>0</v>
      </c>
      <c r="F1531" s="713">
        <v>0</v>
      </c>
      <c r="G1531" s="713">
        <v>3987.14</v>
      </c>
      <c r="H1531" s="713">
        <v>0</v>
      </c>
      <c r="I1531" s="348">
        <f t="shared" si="33"/>
        <v>2631484.9900000002</v>
      </c>
      <c r="J1531" s="192" t="s">
        <v>1682</v>
      </c>
    </row>
    <row r="1532" spans="1:10" hidden="1" outlineLevel="1">
      <c r="A1532" s="381" t="s">
        <v>2208</v>
      </c>
      <c r="B1532" s="207">
        <v>16744.18</v>
      </c>
      <c r="C1532" s="713">
        <v>0</v>
      </c>
      <c r="D1532" s="713">
        <v>0</v>
      </c>
      <c r="E1532" s="713">
        <v>0</v>
      </c>
      <c r="F1532" s="713">
        <v>0</v>
      </c>
      <c r="G1532" s="713">
        <v>0</v>
      </c>
      <c r="H1532" s="713">
        <v>0</v>
      </c>
      <c r="I1532" s="348">
        <f t="shared" si="33"/>
        <v>16744.18</v>
      </c>
      <c r="J1532" s="192" t="s">
        <v>2209</v>
      </c>
    </row>
    <row r="1533" spans="1:10" hidden="1" outlineLevel="1">
      <c r="A1533" s="381" t="s">
        <v>1766</v>
      </c>
      <c r="B1533" s="207">
        <v>55634.71</v>
      </c>
      <c r="C1533" s="713">
        <v>0</v>
      </c>
      <c r="D1533" s="713">
        <v>0</v>
      </c>
      <c r="E1533" s="713">
        <v>0</v>
      </c>
      <c r="F1533" s="713">
        <v>0</v>
      </c>
      <c r="G1533" s="713">
        <v>0</v>
      </c>
      <c r="H1533" s="713">
        <v>0</v>
      </c>
      <c r="I1533" s="348">
        <f t="shared" si="33"/>
        <v>55634.71</v>
      </c>
      <c r="J1533" s="192" t="s">
        <v>1767</v>
      </c>
    </row>
    <row r="1534" spans="1:10" hidden="1" outlineLevel="1">
      <c r="A1534" s="381" t="s">
        <v>1448</v>
      </c>
      <c r="B1534" s="207">
        <v>495841.14</v>
      </c>
      <c r="C1534" s="713">
        <v>0</v>
      </c>
      <c r="D1534" s="713">
        <v>0</v>
      </c>
      <c r="E1534" s="713">
        <v>0</v>
      </c>
      <c r="F1534" s="713">
        <v>0</v>
      </c>
      <c r="G1534" s="713">
        <v>0</v>
      </c>
      <c r="H1534" s="713">
        <v>0</v>
      </c>
      <c r="I1534" s="348">
        <f t="shared" si="33"/>
        <v>495841.14</v>
      </c>
      <c r="J1534" s="192" t="s">
        <v>1449</v>
      </c>
    </row>
    <row r="1535" spans="1:10" hidden="1" outlineLevel="1">
      <c r="A1535" s="381" t="s">
        <v>1490</v>
      </c>
      <c r="B1535" s="207">
        <v>43962.16</v>
      </c>
      <c r="C1535" s="713">
        <v>0</v>
      </c>
      <c r="D1535" s="713">
        <v>0</v>
      </c>
      <c r="E1535" s="713">
        <v>0</v>
      </c>
      <c r="F1535" s="713">
        <v>0</v>
      </c>
      <c r="G1535" s="713">
        <v>0</v>
      </c>
      <c r="H1535" s="713">
        <v>0</v>
      </c>
      <c r="I1535" s="348">
        <f t="shared" si="33"/>
        <v>43962.16</v>
      </c>
      <c r="J1535" s="192" t="s">
        <v>1491</v>
      </c>
    </row>
    <row r="1536" spans="1:10" hidden="1" outlineLevel="1">
      <c r="A1536" s="381" t="s">
        <v>1724</v>
      </c>
      <c r="B1536" s="207">
        <v>333229.57</v>
      </c>
      <c r="C1536" s="713">
        <v>0</v>
      </c>
      <c r="D1536" s="713">
        <v>0</v>
      </c>
      <c r="E1536" s="713">
        <v>0</v>
      </c>
      <c r="F1536" s="713">
        <v>0</v>
      </c>
      <c r="G1536" s="713">
        <v>0</v>
      </c>
      <c r="H1536" s="713">
        <v>0</v>
      </c>
      <c r="I1536" s="348">
        <f t="shared" si="33"/>
        <v>333229.57</v>
      </c>
      <c r="J1536" s="192" t="s">
        <v>1725</v>
      </c>
    </row>
    <row r="1537" spans="1:10" hidden="1" outlineLevel="1">
      <c r="A1537" s="381" t="s">
        <v>1267</v>
      </c>
      <c r="B1537" s="207">
        <v>41731.68</v>
      </c>
      <c r="C1537" s="713">
        <v>0</v>
      </c>
      <c r="D1537" s="713">
        <v>0</v>
      </c>
      <c r="E1537" s="713">
        <v>0</v>
      </c>
      <c r="F1537" s="713">
        <v>0</v>
      </c>
      <c r="G1537" s="713">
        <v>0</v>
      </c>
      <c r="H1537" s="713">
        <v>0</v>
      </c>
      <c r="I1537" s="348">
        <f t="shared" si="33"/>
        <v>41731.68</v>
      </c>
      <c r="J1537" s="192" t="s">
        <v>1268</v>
      </c>
    </row>
    <row r="1538" spans="1:10" hidden="1" outlineLevel="1">
      <c r="A1538" s="381" t="s">
        <v>1358</v>
      </c>
      <c r="B1538" s="207">
        <v>942798.86</v>
      </c>
      <c r="C1538" s="713">
        <v>0</v>
      </c>
      <c r="D1538" s="713">
        <v>0</v>
      </c>
      <c r="E1538" s="713">
        <v>0</v>
      </c>
      <c r="F1538" s="713">
        <v>0</v>
      </c>
      <c r="G1538" s="713">
        <v>0</v>
      </c>
      <c r="H1538" s="713">
        <v>0</v>
      </c>
      <c r="I1538" s="348">
        <f t="shared" si="33"/>
        <v>942798.86</v>
      </c>
      <c r="J1538" s="192" t="s">
        <v>1359</v>
      </c>
    </row>
    <row r="1539" spans="1:10" hidden="1" outlineLevel="1">
      <c r="A1539" s="381" t="s">
        <v>1658</v>
      </c>
      <c r="B1539" s="207">
        <v>128297.8</v>
      </c>
      <c r="C1539" s="713">
        <v>0</v>
      </c>
      <c r="D1539" s="713">
        <v>0</v>
      </c>
      <c r="E1539" s="713">
        <v>0</v>
      </c>
      <c r="F1539" s="713">
        <v>0</v>
      </c>
      <c r="G1539" s="713">
        <v>0</v>
      </c>
      <c r="H1539" s="713">
        <v>0</v>
      </c>
      <c r="I1539" s="348">
        <f t="shared" si="33"/>
        <v>128297.8</v>
      </c>
      <c r="J1539" s="192" t="s">
        <v>1659</v>
      </c>
    </row>
    <row r="1540" spans="1:10" hidden="1" outlineLevel="1">
      <c r="A1540" s="381" t="s">
        <v>1552</v>
      </c>
      <c r="B1540" s="207">
        <v>289276.64</v>
      </c>
      <c r="C1540" s="713">
        <v>0</v>
      </c>
      <c r="D1540" s="713">
        <v>0</v>
      </c>
      <c r="E1540" s="713">
        <v>0</v>
      </c>
      <c r="F1540" s="713">
        <v>0</v>
      </c>
      <c r="G1540" s="713">
        <v>0</v>
      </c>
      <c r="H1540" s="713">
        <v>0</v>
      </c>
      <c r="I1540" s="348">
        <f t="shared" si="33"/>
        <v>289276.64</v>
      </c>
      <c r="J1540" s="192" t="s">
        <v>1553</v>
      </c>
    </row>
    <row r="1541" spans="1:10" hidden="1" outlineLevel="1">
      <c r="A1541" s="381" t="s">
        <v>1242</v>
      </c>
      <c r="B1541" s="207">
        <v>39105.69</v>
      </c>
      <c r="C1541" s="713">
        <v>0</v>
      </c>
      <c r="D1541" s="713">
        <v>0</v>
      </c>
      <c r="E1541" s="713">
        <v>0</v>
      </c>
      <c r="F1541" s="713">
        <v>0</v>
      </c>
      <c r="G1541" s="713">
        <v>0</v>
      </c>
      <c r="H1541" s="713">
        <v>0</v>
      </c>
      <c r="I1541" s="348">
        <f t="shared" si="33"/>
        <v>39105.69</v>
      </c>
      <c r="J1541" s="192" t="s">
        <v>1243</v>
      </c>
    </row>
    <row r="1542" spans="1:10" hidden="1" outlineLevel="1">
      <c r="A1542" s="381" t="s">
        <v>1752</v>
      </c>
      <c r="B1542" s="207">
        <v>47688.65</v>
      </c>
      <c r="C1542" s="713">
        <v>0</v>
      </c>
      <c r="D1542" s="713">
        <v>0</v>
      </c>
      <c r="E1542" s="713">
        <v>0</v>
      </c>
      <c r="F1542" s="713">
        <v>0</v>
      </c>
      <c r="G1542" s="713">
        <v>0</v>
      </c>
      <c r="H1542" s="713">
        <v>0</v>
      </c>
      <c r="I1542" s="348">
        <f t="shared" si="33"/>
        <v>47688.65</v>
      </c>
      <c r="J1542" s="192" t="s">
        <v>1753</v>
      </c>
    </row>
    <row r="1543" spans="1:10" hidden="1" outlineLevel="1">
      <c r="A1543" s="381" t="s">
        <v>1295</v>
      </c>
      <c r="B1543" s="207">
        <v>3017693.4</v>
      </c>
      <c r="C1543" s="713">
        <v>0</v>
      </c>
      <c r="D1543" s="713">
        <v>0</v>
      </c>
      <c r="E1543" s="713">
        <v>0</v>
      </c>
      <c r="F1543" s="713">
        <v>4093.68</v>
      </c>
      <c r="G1543" s="714">
        <v>0</v>
      </c>
      <c r="H1543" s="713">
        <v>0</v>
      </c>
      <c r="I1543" s="348">
        <f t="shared" si="33"/>
        <v>3021787.08</v>
      </c>
      <c r="J1543" s="192" t="s">
        <v>1296</v>
      </c>
    </row>
    <row r="1544" spans="1:10" hidden="1" outlineLevel="1">
      <c r="A1544" s="381" t="s">
        <v>1685</v>
      </c>
      <c r="B1544" s="207">
        <v>424270.79</v>
      </c>
      <c r="C1544" s="713">
        <v>0</v>
      </c>
      <c r="D1544" s="713">
        <v>0</v>
      </c>
      <c r="E1544" s="713">
        <v>0</v>
      </c>
      <c r="F1544" s="713">
        <v>0</v>
      </c>
      <c r="G1544" s="713">
        <v>0</v>
      </c>
      <c r="H1544" s="713">
        <v>0</v>
      </c>
      <c r="I1544" s="348">
        <f t="shared" si="33"/>
        <v>424270.79</v>
      </c>
      <c r="J1544" s="192" t="s">
        <v>1686</v>
      </c>
    </row>
    <row r="1545" spans="1:10" hidden="1" outlineLevel="1">
      <c r="A1545" s="381" t="s">
        <v>2210</v>
      </c>
      <c r="B1545" s="207">
        <v>4810.7</v>
      </c>
      <c r="C1545" s="713">
        <v>0</v>
      </c>
      <c r="D1545" s="713">
        <v>0</v>
      </c>
      <c r="E1545" s="713">
        <v>0</v>
      </c>
      <c r="F1545" s="713">
        <v>0</v>
      </c>
      <c r="G1545" s="713">
        <v>0</v>
      </c>
      <c r="H1545" s="713">
        <v>0</v>
      </c>
      <c r="I1545" s="348">
        <f t="shared" si="33"/>
        <v>4810.7</v>
      </c>
      <c r="J1545" s="192" t="s">
        <v>2211</v>
      </c>
    </row>
    <row r="1546" spans="1:10" hidden="1" outlineLevel="1">
      <c r="A1546" s="381" t="s">
        <v>2212</v>
      </c>
      <c r="B1546" s="207">
        <v>58022.68</v>
      </c>
      <c r="C1546" s="713">
        <v>0</v>
      </c>
      <c r="D1546" s="713">
        <v>0</v>
      </c>
      <c r="E1546" s="713">
        <v>0</v>
      </c>
      <c r="F1546" s="713">
        <v>0</v>
      </c>
      <c r="G1546" s="713">
        <v>0</v>
      </c>
      <c r="H1546" s="713">
        <v>0</v>
      </c>
      <c r="I1546" s="348">
        <f t="shared" si="33"/>
        <v>58022.68</v>
      </c>
      <c r="J1546" s="192" t="s">
        <v>2213</v>
      </c>
    </row>
    <row r="1547" spans="1:10" hidden="1" outlineLevel="1">
      <c r="A1547" s="381" t="s">
        <v>1400</v>
      </c>
      <c r="B1547" s="207">
        <v>55771.72</v>
      </c>
      <c r="C1547" s="713">
        <v>0</v>
      </c>
      <c r="D1547" s="713">
        <v>0</v>
      </c>
      <c r="E1547" s="713">
        <v>0</v>
      </c>
      <c r="F1547" s="713">
        <v>0</v>
      </c>
      <c r="G1547" s="713">
        <v>0</v>
      </c>
      <c r="H1547" s="713">
        <v>0</v>
      </c>
      <c r="I1547" s="348">
        <f t="shared" si="33"/>
        <v>55771.72</v>
      </c>
      <c r="J1547" s="192" t="s">
        <v>1401</v>
      </c>
    </row>
    <row r="1548" spans="1:10" hidden="1" outlineLevel="1">
      <c r="A1548" s="381" t="s">
        <v>1620</v>
      </c>
      <c r="B1548" s="207">
        <v>241588.76</v>
      </c>
      <c r="C1548" s="713">
        <v>0</v>
      </c>
      <c r="D1548" s="713">
        <v>0</v>
      </c>
      <c r="E1548" s="713">
        <v>0</v>
      </c>
      <c r="F1548" s="713">
        <v>0</v>
      </c>
      <c r="G1548" s="713">
        <v>0</v>
      </c>
      <c r="H1548" s="713">
        <v>0</v>
      </c>
      <c r="I1548" s="348">
        <f t="shared" si="33"/>
        <v>241588.76</v>
      </c>
      <c r="J1548" s="192" t="s">
        <v>1621</v>
      </c>
    </row>
    <row r="1549" spans="1:10" hidden="1" outlineLevel="1">
      <c r="A1549" s="381" t="s">
        <v>1671</v>
      </c>
      <c r="B1549" s="207">
        <v>204472.79</v>
      </c>
      <c r="C1549" s="713">
        <v>0</v>
      </c>
      <c r="D1549" s="713">
        <v>0</v>
      </c>
      <c r="E1549" s="713">
        <v>0</v>
      </c>
      <c r="F1549" s="713">
        <v>0</v>
      </c>
      <c r="G1549" s="713">
        <v>0</v>
      </c>
      <c r="H1549" s="713">
        <v>0</v>
      </c>
      <c r="I1549" s="348">
        <f t="shared" si="33"/>
        <v>204472.79</v>
      </c>
      <c r="J1549" s="192" t="s">
        <v>1672</v>
      </c>
    </row>
    <row r="1550" spans="1:10" hidden="1" outlineLevel="1">
      <c r="A1550" s="381" t="s">
        <v>1538</v>
      </c>
      <c r="B1550" s="207">
        <v>2195954.58</v>
      </c>
      <c r="C1550" s="713">
        <v>0</v>
      </c>
      <c r="D1550" s="713">
        <v>0</v>
      </c>
      <c r="E1550" s="713">
        <v>0</v>
      </c>
      <c r="F1550" s="713">
        <v>0</v>
      </c>
      <c r="G1550" s="713">
        <v>0</v>
      </c>
      <c r="H1550" s="713">
        <v>0</v>
      </c>
      <c r="I1550" s="348">
        <f t="shared" si="33"/>
        <v>2195954.58</v>
      </c>
      <c r="J1550" s="192" t="s">
        <v>1539</v>
      </c>
    </row>
    <row r="1551" spans="1:10" hidden="1" outlineLevel="1">
      <c r="A1551" s="381" t="s">
        <v>1382</v>
      </c>
      <c r="B1551" s="207">
        <v>183110.84</v>
      </c>
      <c r="C1551" s="713">
        <v>0</v>
      </c>
      <c r="D1551" s="713">
        <v>0</v>
      </c>
      <c r="E1551" s="713">
        <v>0</v>
      </c>
      <c r="F1551" s="713">
        <v>0</v>
      </c>
      <c r="G1551" s="713">
        <v>0</v>
      </c>
      <c r="H1551" s="713">
        <v>0</v>
      </c>
      <c r="I1551" s="348">
        <f t="shared" si="33"/>
        <v>183110.84</v>
      </c>
      <c r="J1551" s="192" t="s">
        <v>1383</v>
      </c>
    </row>
    <row r="1552" spans="1:10" hidden="1" outlineLevel="1">
      <c r="A1552" s="381" t="s">
        <v>1524</v>
      </c>
      <c r="B1552" s="207">
        <v>96295.97</v>
      </c>
      <c r="C1552" s="713">
        <v>0</v>
      </c>
      <c r="D1552" s="713">
        <v>0</v>
      </c>
      <c r="E1552" s="713">
        <v>0</v>
      </c>
      <c r="F1552" s="713">
        <v>0</v>
      </c>
      <c r="G1552" s="713">
        <v>0</v>
      </c>
      <c r="H1552" s="713">
        <v>0</v>
      </c>
      <c r="I1552" s="348">
        <f t="shared" si="33"/>
        <v>96295.97</v>
      </c>
      <c r="J1552" s="192" t="s">
        <v>1525</v>
      </c>
    </row>
    <row r="1553" spans="1:10" hidden="1" outlineLevel="1">
      <c r="A1553" s="381" t="s">
        <v>1818</v>
      </c>
      <c r="B1553" s="207">
        <v>381519.04</v>
      </c>
      <c r="C1553" s="713">
        <v>0</v>
      </c>
      <c r="D1553" s="713">
        <v>0</v>
      </c>
      <c r="E1553" s="713">
        <v>0</v>
      </c>
      <c r="F1553" s="713">
        <v>0</v>
      </c>
      <c r="G1553" s="713">
        <v>0</v>
      </c>
      <c r="H1553" s="713">
        <v>0</v>
      </c>
      <c r="I1553" s="348">
        <f t="shared" si="33"/>
        <v>381519.04</v>
      </c>
      <c r="J1553" s="192" t="s">
        <v>1819</v>
      </c>
    </row>
    <row r="1554" spans="1:10" hidden="1" outlineLevel="1">
      <c r="A1554" s="381" t="s">
        <v>1238</v>
      </c>
      <c r="B1554" s="207">
        <v>189935.82</v>
      </c>
      <c r="C1554" s="713">
        <v>0</v>
      </c>
      <c r="D1554" s="713">
        <v>0</v>
      </c>
      <c r="E1554" s="713">
        <v>0</v>
      </c>
      <c r="F1554" s="713">
        <v>0</v>
      </c>
      <c r="G1554" s="713">
        <v>0</v>
      </c>
      <c r="H1554" s="713">
        <v>0</v>
      </c>
      <c r="I1554" s="348">
        <f t="shared" si="33"/>
        <v>189935.82</v>
      </c>
      <c r="J1554" s="192" t="s">
        <v>1239</v>
      </c>
    </row>
    <row r="1555" spans="1:10" hidden="1" outlineLevel="1">
      <c r="A1555" s="381" t="s">
        <v>1800</v>
      </c>
      <c r="B1555" s="207">
        <v>92951.27</v>
      </c>
      <c r="C1555" s="713">
        <v>0</v>
      </c>
      <c r="D1555" s="713">
        <v>0</v>
      </c>
      <c r="E1555" s="713">
        <v>0</v>
      </c>
      <c r="F1555" s="714">
        <v>0</v>
      </c>
      <c r="G1555" s="713">
        <v>0</v>
      </c>
      <c r="H1555" s="713">
        <v>0</v>
      </c>
      <c r="I1555" s="348">
        <f t="shared" si="33"/>
        <v>92951.27</v>
      </c>
      <c r="J1555" s="192" t="s">
        <v>1801</v>
      </c>
    </row>
    <row r="1556" spans="1:10" hidden="1" outlineLevel="1">
      <c r="A1556" s="381" t="s">
        <v>2214</v>
      </c>
      <c r="B1556" s="207">
        <v>30053.88</v>
      </c>
      <c r="C1556" s="713">
        <v>0</v>
      </c>
      <c r="D1556" s="713">
        <v>0</v>
      </c>
      <c r="E1556" s="713">
        <v>0</v>
      </c>
      <c r="F1556" s="713">
        <v>0</v>
      </c>
      <c r="G1556" s="713">
        <v>0</v>
      </c>
      <c r="H1556" s="713">
        <v>0</v>
      </c>
      <c r="I1556" s="348">
        <f t="shared" si="33"/>
        <v>30053.88</v>
      </c>
      <c r="J1556" s="192" t="s">
        <v>2215</v>
      </c>
    </row>
    <row r="1557" spans="1:10" hidden="1" outlineLevel="1">
      <c r="A1557" s="381" t="s">
        <v>1704</v>
      </c>
      <c r="B1557" s="207">
        <v>130408.79</v>
      </c>
      <c r="C1557" s="713">
        <v>0</v>
      </c>
      <c r="D1557" s="713">
        <v>0</v>
      </c>
      <c r="E1557" s="713">
        <v>0</v>
      </c>
      <c r="F1557" s="713">
        <v>0</v>
      </c>
      <c r="G1557" s="713">
        <v>0</v>
      </c>
      <c r="H1557" s="713">
        <v>0</v>
      </c>
      <c r="I1557" s="348">
        <f t="shared" si="33"/>
        <v>130408.79</v>
      </c>
      <c r="J1557" s="192" t="s">
        <v>1705</v>
      </c>
    </row>
    <row r="1558" spans="1:10" hidden="1" outlineLevel="1">
      <c r="A1558" s="381" t="s">
        <v>1312</v>
      </c>
      <c r="B1558" s="207">
        <v>13415918.57</v>
      </c>
      <c r="C1558" s="713">
        <v>0</v>
      </c>
      <c r="D1558" s="713">
        <v>0</v>
      </c>
      <c r="E1558" s="713">
        <v>0</v>
      </c>
      <c r="F1558" s="713">
        <v>27552.36</v>
      </c>
      <c r="G1558" s="713">
        <v>0</v>
      </c>
      <c r="H1558" s="713">
        <v>0</v>
      </c>
      <c r="I1558" s="348">
        <f t="shared" si="33"/>
        <v>13443470.93</v>
      </c>
      <c r="J1558" s="192" t="s">
        <v>1313</v>
      </c>
    </row>
    <row r="1559" spans="1:10" hidden="1" outlineLevel="1">
      <c r="A1559" s="381" t="s">
        <v>1468</v>
      </c>
      <c r="B1559" s="207">
        <v>97043.48</v>
      </c>
      <c r="C1559" s="713">
        <v>0</v>
      </c>
      <c r="D1559" s="713">
        <v>0</v>
      </c>
      <c r="E1559" s="713">
        <v>0</v>
      </c>
      <c r="F1559" s="713">
        <v>0</v>
      </c>
      <c r="G1559" s="713">
        <v>0</v>
      </c>
      <c r="H1559" s="713">
        <v>0</v>
      </c>
      <c r="I1559" s="348">
        <f t="shared" si="33"/>
        <v>97043.48</v>
      </c>
      <c r="J1559" s="192" t="s">
        <v>1469</v>
      </c>
    </row>
    <row r="1560" spans="1:10" hidden="1" outlineLevel="1">
      <c r="A1560" s="381" t="s">
        <v>1309</v>
      </c>
      <c r="B1560" s="207">
        <v>541576.31999999995</v>
      </c>
      <c r="C1560" s="713">
        <v>0</v>
      </c>
      <c r="D1560" s="713">
        <v>0</v>
      </c>
      <c r="E1560" s="713">
        <v>0</v>
      </c>
      <c r="F1560" s="713">
        <v>0</v>
      </c>
      <c r="G1560" s="713">
        <v>0</v>
      </c>
      <c r="H1560" s="713">
        <v>0</v>
      </c>
      <c r="I1560" s="348">
        <f t="shared" si="33"/>
        <v>541576.31999999995</v>
      </c>
      <c r="J1560" s="192" t="s">
        <v>1310</v>
      </c>
    </row>
    <row r="1561" spans="1:10" hidden="1" outlineLevel="1">
      <c r="A1561" s="381" t="s">
        <v>2216</v>
      </c>
      <c r="B1561" s="207">
        <v>18718.84</v>
      </c>
      <c r="C1561" s="713">
        <v>0</v>
      </c>
      <c r="D1561" s="713">
        <v>0</v>
      </c>
      <c r="E1561" s="713">
        <v>0</v>
      </c>
      <c r="F1561" s="713">
        <v>0</v>
      </c>
      <c r="G1561" s="713">
        <v>0</v>
      </c>
      <c r="H1561" s="713">
        <v>0</v>
      </c>
      <c r="I1561" s="348">
        <f t="shared" si="33"/>
        <v>18718.84</v>
      </c>
      <c r="J1561" s="192" t="s">
        <v>2217</v>
      </c>
    </row>
    <row r="1562" spans="1:10" hidden="1" outlineLevel="1">
      <c r="A1562" s="381" t="s">
        <v>1558</v>
      </c>
      <c r="B1562" s="207">
        <v>2964637.55</v>
      </c>
      <c r="C1562" s="713">
        <v>0</v>
      </c>
      <c r="D1562" s="713">
        <v>3537.26</v>
      </c>
      <c r="E1562" s="713">
        <v>0</v>
      </c>
      <c r="F1562" s="713">
        <v>0</v>
      </c>
      <c r="G1562" s="713">
        <v>0</v>
      </c>
      <c r="H1562" s="713">
        <v>0</v>
      </c>
      <c r="I1562" s="348">
        <f t="shared" si="33"/>
        <v>2968174.8099999996</v>
      </c>
      <c r="J1562" s="192" t="s">
        <v>1559</v>
      </c>
    </row>
    <row r="1563" spans="1:10" hidden="1" outlineLevel="1">
      <c r="A1563" s="381" t="s">
        <v>1762</v>
      </c>
      <c r="B1563" s="207">
        <v>159277.17000000001</v>
      </c>
      <c r="C1563" s="713">
        <v>0</v>
      </c>
      <c r="D1563" s="713">
        <v>0</v>
      </c>
      <c r="E1563" s="713">
        <v>0</v>
      </c>
      <c r="F1563" s="713">
        <v>0</v>
      </c>
      <c r="G1563" s="713">
        <v>0</v>
      </c>
      <c r="H1563" s="713">
        <v>0</v>
      </c>
      <c r="I1563" s="348">
        <f t="shared" si="33"/>
        <v>159277.17000000001</v>
      </c>
      <c r="J1563" s="192" t="s">
        <v>1763</v>
      </c>
    </row>
    <row r="1564" spans="1:10" hidden="1" outlineLevel="1">
      <c r="A1564" s="381" t="s">
        <v>1442</v>
      </c>
      <c r="B1564" s="207">
        <v>17089.04</v>
      </c>
      <c r="C1564" s="713">
        <v>0</v>
      </c>
      <c r="D1564" s="713">
        <v>0</v>
      </c>
      <c r="E1564" s="713">
        <v>0</v>
      </c>
      <c r="F1564" s="713">
        <v>0</v>
      </c>
      <c r="G1564" s="713">
        <v>0</v>
      </c>
      <c r="H1564" s="713">
        <v>0</v>
      </c>
      <c r="I1564" s="348">
        <f t="shared" si="33"/>
        <v>17089.04</v>
      </c>
      <c r="J1564" s="192" t="s">
        <v>1443</v>
      </c>
    </row>
    <row r="1565" spans="1:10" hidden="1" outlineLevel="1">
      <c r="A1565" s="381" t="s">
        <v>1748</v>
      </c>
      <c r="B1565" s="207">
        <v>51942.48</v>
      </c>
      <c r="C1565" s="713">
        <v>0</v>
      </c>
      <c r="D1565" s="713">
        <v>0</v>
      </c>
      <c r="E1565" s="713">
        <v>0</v>
      </c>
      <c r="F1565" s="713">
        <v>0</v>
      </c>
      <c r="G1565" s="713">
        <v>0</v>
      </c>
      <c r="H1565" s="713">
        <v>0</v>
      </c>
      <c r="I1565" s="348">
        <f t="shared" si="33"/>
        <v>51942.48</v>
      </c>
      <c r="J1565" s="192" t="s">
        <v>1749</v>
      </c>
    </row>
    <row r="1566" spans="1:10" hidden="1" outlineLevel="1">
      <c r="A1566" s="381" t="s">
        <v>1790</v>
      </c>
      <c r="B1566" s="207">
        <v>21611.97</v>
      </c>
      <c r="C1566" s="713">
        <v>0</v>
      </c>
      <c r="D1566" s="713">
        <v>0</v>
      </c>
      <c r="E1566" s="713">
        <v>0</v>
      </c>
      <c r="F1566" s="713">
        <v>0</v>
      </c>
      <c r="G1566" s="713">
        <v>0</v>
      </c>
      <c r="H1566" s="713">
        <v>0</v>
      </c>
      <c r="I1566" s="348">
        <f t="shared" si="33"/>
        <v>21611.97</v>
      </c>
      <c r="J1566" s="192" t="s">
        <v>1791</v>
      </c>
    </row>
    <row r="1567" spans="1:10" hidden="1" outlineLevel="1">
      <c r="A1567" s="381" t="s">
        <v>2218</v>
      </c>
      <c r="B1567" s="207">
        <v>27077.06</v>
      </c>
      <c r="C1567" s="713">
        <v>0</v>
      </c>
      <c r="D1567" s="713">
        <v>0</v>
      </c>
      <c r="E1567" s="713">
        <v>0</v>
      </c>
      <c r="F1567" s="713">
        <v>0</v>
      </c>
      <c r="G1567" s="713">
        <v>0</v>
      </c>
      <c r="H1567" s="713">
        <v>0</v>
      </c>
      <c r="I1567" s="348">
        <f t="shared" si="33"/>
        <v>27077.06</v>
      </c>
      <c r="J1567" s="192" t="s">
        <v>2219</v>
      </c>
    </row>
    <row r="1568" spans="1:10" hidden="1" outlineLevel="1">
      <c r="A1568" s="381" t="s">
        <v>1334</v>
      </c>
      <c r="B1568" s="207">
        <v>183366.67</v>
      </c>
      <c r="C1568" s="713">
        <v>0</v>
      </c>
      <c r="D1568" s="713">
        <v>0</v>
      </c>
      <c r="E1568" s="713">
        <v>0</v>
      </c>
      <c r="F1568" s="713">
        <v>0</v>
      </c>
      <c r="G1568" s="713">
        <v>0</v>
      </c>
      <c r="H1568" s="713">
        <v>0</v>
      </c>
      <c r="I1568" s="348">
        <f t="shared" si="33"/>
        <v>183366.67</v>
      </c>
      <c r="J1568" s="192" t="s">
        <v>1335</v>
      </c>
    </row>
    <row r="1569" spans="1:10" hidden="1" outlineLevel="1">
      <c r="A1569" s="381" t="s">
        <v>2220</v>
      </c>
      <c r="B1569" s="207">
        <v>48116.91</v>
      </c>
      <c r="C1569" s="713">
        <v>0</v>
      </c>
      <c r="D1569" s="713">
        <v>0</v>
      </c>
      <c r="E1569" s="713">
        <v>0</v>
      </c>
      <c r="F1569" s="713">
        <v>0</v>
      </c>
      <c r="G1569" s="713">
        <v>0</v>
      </c>
      <c r="H1569" s="713">
        <v>0</v>
      </c>
      <c r="I1569" s="348">
        <f t="shared" si="33"/>
        <v>48116.91</v>
      </c>
      <c r="J1569" s="192" t="s">
        <v>2221</v>
      </c>
    </row>
    <row r="1570" spans="1:10" hidden="1" outlineLevel="1">
      <c r="A1570" s="381" t="s">
        <v>1263</v>
      </c>
      <c r="B1570" s="207">
        <v>68193.649999999994</v>
      </c>
      <c r="C1570" s="713">
        <v>0</v>
      </c>
      <c r="D1570" s="713">
        <v>0</v>
      </c>
      <c r="E1570" s="713">
        <v>0</v>
      </c>
      <c r="F1570" s="714">
        <v>0</v>
      </c>
      <c r="G1570" s="713">
        <v>0</v>
      </c>
      <c r="H1570" s="713">
        <v>0</v>
      </c>
      <c r="I1570" s="348">
        <f t="shared" si="33"/>
        <v>68193.649999999994</v>
      </c>
      <c r="J1570" s="192" t="s">
        <v>1264</v>
      </c>
    </row>
    <row r="1571" spans="1:10" hidden="1" outlineLevel="1">
      <c r="A1571" s="381" t="s">
        <v>1388</v>
      </c>
      <c r="B1571" s="207">
        <v>98440.75</v>
      </c>
      <c r="C1571" s="713">
        <v>0</v>
      </c>
      <c r="D1571" s="713">
        <v>0</v>
      </c>
      <c r="E1571" s="713">
        <v>0</v>
      </c>
      <c r="F1571" s="713">
        <v>0</v>
      </c>
      <c r="G1571" s="713">
        <v>0</v>
      </c>
      <c r="H1571" s="713">
        <v>0</v>
      </c>
      <c r="I1571" s="348">
        <f t="shared" si="33"/>
        <v>98440.75</v>
      </c>
      <c r="J1571" s="192" t="s">
        <v>1389</v>
      </c>
    </row>
    <row r="1572" spans="1:10" hidden="1" outlineLevel="1">
      <c r="A1572" s="381" t="s">
        <v>1277</v>
      </c>
      <c r="B1572" s="207">
        <v>192650.69</v>
      </c>
      <c r="C1572" s="713">
        <v>0</v>
      </c>
      <c r="D1572" s="713">
        <v>0</v>
      </c>
      <c r="E1572" s="713">
        <v>0</v>
      </c>
      <c r="F1572" s="713">
        <v>0</v>
      </c>
      <c r="G1572" s="713">
        <v>0</v>
      </c>
      <c r="H1572" s="713">
        <v>0</v>
      </c>
      <c r="I1572" s="348">
        <f t="shared" si="33"/>
        <v>192650.69</v>
      </c>
      <c r="J1572" s="192" t="s">
        <v>1278</v>
      </c>
    </row>
    <row r="1573" spans="1:10" hidden="1" outlineLevel="1">
      <c r="A1573" s="381" t="s">
        <v>1736</v>
      </c>
      <c r="B1573" s="207">
        <v>125260.54</v>
      </c>
      <c r="C1573" s="713">
        <v>0</v>
      </c>
      <c r="D1573" s="713">
        <v>0</v>
      </c>
      <c r="E1573" s="713">
        <v>0</v>
      </c>
      <c r="F1573" s="713">
        <v>0</v>
      </c>
      <c r="G1573" s="713">
        <v>0</v>
      </c>
      <c r="H1573" s="713">
        <v>0</v>
      </c>
      <c r="I1573" s="348">
        <f t="shared" si="33"/>
        <v>125260.54</v>
      </c>
      <c r="J1573" s="192" t="s">
        <v>1737</v>
      </c>
    </row>
    <row r="1574" spans="1:10" hidden="1" outlineLevel="1">
      <c r="A1574" s="381" t="s">
        <v>1297</v>
      </c>
      <c r="B1574" s="207">
        <v>198713.05</v>
      </c>
      <c r="C1574" s="713">
        <v>0</v>
      </c>
      <c r="D1574" s="714">
        <v>0</v>
      </c>
      <c r="E1574" s="713">
        <v>0</v>
      </c>
      <c r="F1574" s="713">
        <v>0</v>
      </c>
      <c r="G1574" s="713">
        <v>0</v>
      </c>
      <c r="H1574" s="713">
        <v>0</v>
      </c>
      <c r="I1574" s="348">
        <f t="shared" si="33"/>
        <v>198713.05</v>
      </c>
      <c r="J1574" s="192" t="s">
        <v>1298</v>
      </c>
    </row>
    <row r="1575" spans="1:10" hidden="1" outlineLevel="1">
      <c r="A1575" s="381" t="s">
        <v>2222</v>
      </c>
      <c r="B1575" s="207">
        <v>25533.84</v>
      </c>
      <c r="C1575" s="713">
        <v>0</v>
      </c>
      <c r="D1575" s="713">
        <v>0</v>
      </c>
      <c r="E1575" s="713">
        <v>0</v>
      </c>
      <c r="F1575" s="713">
        <v>0</v>
      </c>
      <c r="G1575" s="713">
        <v>0</v>
      </c>
      <c r="H1575" s="713">
        <v>0</v>
      </c>
      <c r="I1575" s="348">
        <f t="shared" si="33"/>
        <v>25533.84</v>
      </c>
      <c r="J1575" s="192" t="s">
        <v>2223</v>
      </c>
    </row>
    <row r="1576" spans="1:10" hidden="1" outlineLevel="1">
      <c r="A1576" s="381" t="s">
        <v>1750</v>
      </c>
      <c r="B1576" s="207">
        <v>155162.67000000001</v>
      </c>
      <c r="C1576" s="713">
        <v>0</v>
      </c>
      <c r="D1576" s="713">
        <v>0</v>
      </c>
      <c r="E1576" s="713">
        <v>0</v>
      </c>
      <c r="F1576" s="713">
        <v>0</v>
      </c>
      <c r="G1576" s="713">
        <v>0</v>
      </c>
      <c r="H1576" s="713">
        <v>0</v>
      </c>
      <c r="I1576" s="348">
        <f t="shared" si="33"/>
        <v>155162.67000000001</v>
      </c>
      <c r="J1576" s="192" t="s">
        <v>1751</v>
      </c>
    </row>
    <row r="1577" spans="1:10" hidden="1" outlineLevel="1">
      <c r="A1577" s="381" t="s">
        <v>1514</v>
      </c>
      <c r="B1577" s="207">
        <v>387796.74</v>
      </c>
      <c r="C1577" s="713">
        <v>0</v>
      </c>
      <c r="D1577" s="713">
        <v>0</v>
      </c>
      <c r="E1577" s="713">
        <v>0</v>
      </c>
      <c r="F1577" s="713">
        <v>0</v>
      </c>
      <c r="G1577" s="713">
        <v>0</v>
      </c>
      <c r="H1577" s="713">
        <v>0</v>
      </c>
      <c r="I1577" s="348">
        <f t="shared" si="33"/>
        <v>387796.74</v>
      </c>
      <c r="J1577" s="192" t="s">
        <v>1515</v>
      </c>
    </row>
    <row r="1578" spans="1:10" hidden="1" outlineLevel="1">
      <c r="A1578" s="381" t="s">
        <v>1578</v>
      </c>
      <c r="B1578" s="207">
        <v>143340.89000000001</v>
      </c>
      <c r="C1578" s="713">
        <v>0</v>
      </c>
      <c r="D1578" s="713">
        <v>0</v>
      </c>
      <c r="E1578" s="713">
        <v>0</v>
      </c>
      <c r="F1578" s="713">
        <v>0</v>
      </c>
      <c r="G1578" s="713">
        <v>0</v>
      </c>
      <c r="H1578" s="713">
        <v>0</v>
      </c>
      <c r="I1578" s="348">
        <f t="shared" si="33"/>
        <v>143340.89000000001</v>
      </c>
      <c r="J1578" s="192" t="s">
        <v>1579</v>
      </c>
    </row>
    <row r="1579" spans="1:10" hidden="1" outlineLevel="1">
      <c r="A1579" s="381" t="s">
        <v>1776</v>
      </c>
      <c r="B1579" s="207">
        <v>767896.39</v>
      </c>
      <c r="C1579" s="713">
        <v>0</v>
      </c>
      <c r="D1579" s="713">
        <v>0</v>
      </c>
      <c r="E1579" s="713">
        <v>0</v>
      </c>
      <c r="F1579" s="713">
        <v>0</v>
      </c>
      <c r="G1579" s="713">
        <v>0</v>
      </c>
      <c r="H1579" s="713">
        <v>0</v>
      </c>
      <c r="I1579" s="348">
        <f t="shared" si="33"/>
        <v>767896.39</v>
      </c>
      <c r="J1579" s="192" t="s">
        <v>1777</v>
      </c>
    </row>
    <row r="1580" spans="1:10" hidden="1" outlineLevel="1">
      <c r="A1580" s="381" t="s">
        <v>1710</v>
      </c>
      <c r="B1580" s="207">
        <v>465420.27</v>
      </c>
      <c r="C1580" s="713">
        <v>0</v>
      </c>
      <c r="D1580" s="713">
        <v>0</v>
      </c>
      <c r="E1580" s="713">
        <v>0</v>
      </c>
      <c r="F1580" s="713">
        <v>0</v>
      </c>
      <c r="G1580" s="713">
        <v>0</v>
      </c>
      <c r="H1580" s="713">
        <v>0</v>
      </c>
      <c r="I1580" s="348">
        <f t="shared" si="33"/>
        <v>465420.27</v>
      </c>
      <c r="J1580" s="192" t="s">
        <v>1711</v>
      </c>
    </row>
    <row r="1581" spans="1:10" hidden="1" outlineLevel="1">
      <c r="A1581" s="381" t="s">
        <v>1303</v>
      </c>
      <c r="B1581" s="207">
        <v>908540.13</v>
      </c>
      <c r="C1581" s="713">
        <v>0</v>
      </c>
      <c r="D1581" s="713">
        <v>0</v>
      </c>
      <c r="E1581" s="713">
        <v>0</v>
      </c>
      <c r="F1581" s="713">
        <v>0</v>
      </c>
      <c r="G1581" s="713">
        <v>0</v>
      </c>
      <c r="H1581" s="713">
        <v>0</v>
      </c>
      <c r="I1581" s="348">
        <f t="shared" si="33"/>
        <v>908540.13</v>
      </c>
      <c r="J1581" s="192" t="s">
        <v>1304</v>
      </c>
    </row>
    <row r="1582" spans="1:10" hidden="1" outlineLevel="1">
      <c r="A1582" s="381" t="s">
        <v>1512</v>
      </c>
      <c r="B1582" s="207">
        <v>36584.57</v>
      </c>
      <c r="C1582" s="713">
        <v>0</v>
      </c>
      <c r="D1582" s="713">
        <v>0</v>
      </c>
      <c r="E1582" s="713">
        <v>0</v>
      </c>
      <c r="F1582" s="713">
        <v>0</v>
      </c>
      <c r="G1582" s="713">
        <v>0</v>
      </c>
      <c r="H1582" s="713">
        <v>0</v>
      </c>
      <c r="I1582" s="348">
        <f t="shared" si="33"/>
        <v>36584.57</v>
      </c>
      <c r="J1582" s="192" t="s">
        <v>1513</v>
      </c>
    </row>
    <row r="1583" spans="1:10" hidden="1" outlineLevel="1">
      <c r="A1583" s="381" t="s">
        <v>1560</v>
      </c>
      <c r="B1583" s="207">
        <v>39589.839999999997</v>
      </c>
      <c r="C1583" s="713">
        <v>0</v>
      </c>
      <c r="D1583" s="713">
        <v>0</v>
      </c>
      <c r="E1583" s="713">
        <v>0</v>
      </c>
      <c r="F1583" s="713">
        <v>0</v>
      </c>
      <c r="G1583" s="713">
        <v>0</v>
      </c>
      <c r="H1583" s="713">
        <v>0</v>
      </c>
      <c r="I1583" s="348">
        <f t="shared" si="33"/>
        <v>39589.839999999997</v>
      </c>
      <c r="J1583" s="192" t="s">
        <v>1561</v>
      </c>
    </row>
    <row r="1584" spans="1:10" hidden="1" outlineLevel="1">
      <c r="A1584" s="381" t="s">
        <v>1636</v>
      </c>
      <c r="B1584" s="207">
        <v>160534.51</v>
      </c>
      <c r="C1584" s="713">
        <v>0</v>
      </c>
      <c r="D1584" s="713">
        <v>0</v>
      </c>
      <c r="E1584" s="713">
        <v>0</v>
      </c>
      <c r="F1584" s="713">
        <v>0</v>
      </c>
      <c r="G1584" s="713">
        <v>0</v>
      </c>
      <c r="H1584" s="713">
        <v>0</v>
      </c>
      <c r="I1584" s="348">
        <f t="shared" si="33"/>
        <v>160534.51</v>
      </c>
      <c r="J1584" s="192" t="s">
        <v>1637</v>
      </c>
    </row>
    <row r="1585" spans="1:10" hidden="1" outlineLevel="1">
      <c r="A1585" s="381" t="s">
        <v>1646</v>
      </c>
      <c r="B1585" s="207">
        <v>910812.84</v>
      </c>
      <c r="C1585" s="713">
        <v>0</v>
      </c>
      <c r="D1585" s="713">
        <v>0</v>
      </c>
      <c r="E1585" s="713">
        <v>0</v>
      </c>
      <c r="F1585" s="713">
        <v>0</v>
      </c>
      <c r="G1585" s="713">
        <v>123.92</v>
      </c>
      <c r="H1585" s="713">
        <v>0</v>
      </c>
      <c r="I1585" s="348">
        <f t="shared" si="33"/>
        <v>910936.76</v>
      </c>
      <c r="J1585" s="192" t="s">
        <v>1647</v>
      </c>
    </row>
    <row r="1586" spans="1:10" hidden="1" outlineLevel="1">
      <c r="A1586" s="381" t="s">
        <v>1718</v>
      </c>
      <c r="B1586" s="207">
        <v>2192664.65</v>
      </c>
      <c r="C1586" s="713">
        <v>0</v>
      </c>
      <c r="D1586" s="713">
        <v>0</v>
      </c>
      <c r="E1586" s="713">
        <v>0</v>
      </c>
      <c r="F1586" s="713">
        <v>0</v>
      </c>
      <c r="G1586" s="713">
        <v>0</v>
      </c>
      <c r="H1586" s="713">
        <v>0</v>
      </c>
      <c r="I1586" s="348">
        <f t="shared" si="33"/>
        <v>2192664.65</v>
      </c>
      <c r="J1586" s="192" t="s">
        <v>1719</v>
      </c>
    </row>
    <row r="1587" spans="1:10" hidden="1" outlineLevel="1">
      <c r="A1587" s="381" t="s">
        <v>1640</v>
      </c>
      <c r="B1587" s="207">
        <v>1598300.34</v>
      </c>
      <c r="C1587" s="713">
        <v>0</v>
      </c>
      <c r="D1587" s="713">
        <v>0</v>
      </c>
      <c r="E1587" s="713">
        <v>0</v>
      </c>
      <c r="F1587" s="713">
        <v>0</v>
      </c>
      <c r="G1587" s="713">
        <v>0</v>
      </c>
      <c r="H1587" s="713">
        <v>0</v>
      </c>
      <c r="I1587" s="348">
        <f t="shared" si="33"/>
        <v>1598300.34</v>
      </c>
      <c r="J1587" s="192" t="s">
        <v>1641</v>
      </c>
    </row>
    <row r="1588" spans="1:10" hidden="1" outlineLevel="1">
      <c r="A1588" s="381" t="s">
        <v>869</v>
      </c>
      <c r="B1588" s="207">
        <v>93501.15</v>
      </c>
      <c r="C1588" s="713">
        <v>0</v>
      </c>
      <c r="D1588" s="713">
        <v>0</v>
      </c>
      <c r="E1588" s="713">
        <v>0</v>
      </c>
      <c r="F1588" s="713">
        <v>0</v>
      </c>
      <c r="G1588" s="713">
        <v>0</v>
      </c>
      <c r="H1588" s="713">
        <v>0</v>
      </c>
      <c r="I1588" s="348">
        <f t="shared" si="33"/>
        <v>93501.15</v>
      </c>
      <c r="J1588" s="192" t="s">
        <v>870</v>
      </c>
    </row>
    <row r="1589" spans="1:10" hidden="1" outlineLevel="1">
      <c r="A1589" s="381" t="s">
        <v>1744</v>
      </c>
      <c r="B1589" s="207">
        <v>967114.19</v>
      </c>
      <c r="C1589" s="713">
        <v>0</v>
      </c>
      <c r="D1589" s="713">
        <v>0</v>
      </c>
      <c r="E1589" s="713">
        <v>0</v>
      </c>
      <c r="F1589" s="713">
        <v>0</v>
      </c>
      <c r="G1589" s="713">
        <v>0</v>
      </c>
      <c r="H1589" s="713">
        <v>0</v>
      </c>
      <c r="I1589" s="348">
        <f t="shared" si="33"/>
        <v>967114.19</v>
      </c>
      <c r="J1589" s="192" t="s">
        <v>1745</v>
      </c>
    </row>
    <row r="1590" spans="1:10" hidden="1" outlineLevel="1">
      <c r="A1590" s="381" t="s">
        <v>1622</v>
      </c>
      <c r="B1590" s="207">
        <v>180134.98</v>
      </c>
      <c r="C1590" s="713">
        <v>0</v>
      </c>
      <c r="D1590" s="713">
        <v>0</v>
      </c>
      <c r="E1590" s="713">
        <v>0</v>
      </c>
      <c r="F1590" s="713">
        <v>0</v>
      </c>
      <c r="G1590" s="713">
        <v>0</v>
      </c>
      <c r="H1590" s="713">
        <v>0</v>
      </c>
      <c r="I1590" s="348">
        <f t="shared" si="33"/>
        <v>180134.98</v>
      </c>
      <c r="J1590" s="192" t="s">
        <v>1623</v>
      </c>
    </row>
    <row r="1591" spans="1:10" hidden="1" outlineLevel="1">
      <c r="A1591" s="381" t="s">
        <v>2224</v>
      </c>
      <c r="B1591" s="207">
        <v>31141.83</v>
      </c>
      <c r="C1591" s="713">
        <v>0</v>
      </c>
      <c r="D1591" s="713">
        <v>0</v>
      </c>
      <c r="E1591" s="713">
        <v>0</v>
      </c>
      <c r="F1591" s="713">
        <v>0</v>
      </c>
      <c r="G1591" s="713">
        <v>0</v>
      </c>
      <c r="H1591" s="713">
        <v>0</v>
      </c>
      <c r="I1591" s="348">
        <f t="shared" si="33"/>
        <v>31141.83</v>
      </c>
      <c r="J1591" s="192" t="s">
        <v>2225</v>
      </c>
    </row>
    <row r="1592" spans="1:10" hidden="1" outlineLevel="1">
      <c r="A1592" s="381" t="s">
        <v>1114</v>
      </c>
      <c r="B1592" s="207">
        <v>172941.89</v>
      </c>
      <c r="C1592" s="713">
        <v>0</v>
      </c>
      <c r="D1592" s="713">
        <v>0</v>
      </c>
      <c r="E1592" s="713">
        <v>0</v>
      </c>
      <c r="F1592" s="713">
        <v>0</v>
      </c>
      <c r="G1592" s="713">
        <v>0</v>
      </c>
      <c r="H1592" s="713">
        <v>0</v>
      </c>
      <c r="I1592" s="348">
        <f t="shared" si="33"/>
        <v>172941.89</v>
      </c>
      <c r="J1592" s="192" t="s">
        <v>1689</v>
      </c>
    </row>
    <row r="1593" spans="1:10" hidden="1" outlineLevel="1">
      <c r="A1593" s="381" t="s">
        <v>1414</v>
      </c>
      <c r="B1593" s="207">
        <v>103751.3</v>
      </c>
      <c r="C1593" s="713">
        <v>0</v>
      </c>
      <c r="D1593" s="713">
        <v>0</v>
      </c>
      <c r="E1593" s="713">
        <v>0</v>
      </c>
      <c r="F1593" s="713">
        <v>0</v>
      </c>
      <c r="G1593" s="713">
        <v>0</v>
      </c>
      <c r="H1593" s="713">
        <v>0</v>
      </c>
      <c r="I1593" s="348">
        <f t="shared" si="33"/>
        <v>103751.3</v>
      </c>
      <c r="J1593" s="192" t="s">
        <v>1415</v>
      </c>
    </row>
    <row r="1594" spans="1:10" hidden="1" outlineLevel="1">
      <c r="A1594" s="381" t="s">
        <v>1652</v>
      </c>
      <c r="B1594" s="207">
        <v>428584.94</v>
      </c>
      <c r="C1594" s="713">
        <v>0</v>
      </c>
      <c r="D1594" s="713">
        <v>0</v>
      </c>
      <c r="E1594" s="713">
        <v>0</v>
      </c>
      <c r="F1594" s="713">
        <v>0</v>
      </c>
      <c r="G1594" s="713">
        <v>0</v>
      </c>
      <c r="H1594" s="713">
        <v>0</v>
      </c>
      <c r="I1594" s="348">
        <f t="shared" ref="I1594:I1657" si="34">SUM(B1594:H1594)</f>
        <v>428584.94</v>
      </c>
      <c r="J1594" s="192" t="s">
        <v>1653</v>
      </c>
    </row>
    <row r="1595" spans="1:10" hidden="1" outlineLevel="1">
      <c r="A1595" s="381" t="s">
        <v>1428</v>
      </c>
      <c r="B1595" s="207">
        <v>163445.01</v>
      </c>
      <c r="C1595" s="713">
        <v>0</v>
      </c>
      <c r="D1595" s="713">
        <v>0</v>
      </c>
      <c r="E1595" s="713">
        <v>0</v>
      </c>
      <c r="F1595" s="713">
        <v>0</v>
      </c>
      <c r="G1595" s="713">
        <v>0</v>
      </c>
      <c r="H1595" s="713">
        <v>0</v>
      </c>
      <c r="I1595" s="348">
        <f t="shared" si="34"/>
        <v>163445.01</v>
      </c>
      <c r="J1595" s="192" t="s">
        <v>1429</v>
      </c>
    </row>
    <row r="1596" spans="1:10" hidden="1" outlineLevel="1">
      <c r="A1596" s="381" t="s">
        <v>1700</v>
      </c>
      <c r="B1596" s="207">
        <v>25497.919999999998</v>
      </c>
      <c r="C1596" s="713">
        <v>0</v>
      </c>
      <c r="D1596" s="713">
        <v>0</v>
      </c>
      <c r="E1596" s="713">
        <v>0</v>
      </c>
      <c r="F1596" s="713">
        <v>0</v>
      </c>
      <c r="G1596" s="713">
        <v>0</v>
      </c>
      <c r="H1596" s="713">
        <v>0</v>
      </c>
      <c r="I1596" s="348">
        <f t="shared" si="34"/>
        <v>25497.919999999998</v>
      </c>
      <c r="J1596" s="192" t="s">
        <v>1701</v>
      </c>
    </row>
    <row r="1597" spans="1:10" hidden="1" outlineLevel="1">
      <c r="A1597" s="381" t="s">
        <v>1734</v>
      </c>
      <c r="B1597" s="207">
        <v>172552.36</v>
      </c>
      <c r="C1597" s="713">
        <v>0</v>
      </c>
      <c r="D1597" s="713">
        <v>0</v>
      </c>
      <c r="E1597" s="713">
        <v>0</v>
      </c>
      <c r="F1597" s="713">
        <v>0</v>
      </c>
      <c r="G1597" s="713">
        <v>0</v>
      </c>
      <c r="H1597" s="713">
        <v>0</v>
      </c>
      <c r="I1597" s="348">
        <f t="shared" si="34"/>
        <v>172552.36</v>
      </c>
      <c r="J1597" s="192" t="s">
        <v>1735</v>
      </c>
    </row>
    <row r="1598" spans="1:10" hidden="1" outlineLevel="1">
      <c r="A1598" s="381" t="s">
        <v>2226</v>
      </c>
      <c r="B1598" s="207">
        <v>13695.72</v>
      </c>
      <c r="C1598" s="713">
        <v>0</v>
      </c>
      <c r="D1598" s="713">
        <v>0</v>
      </c>
      <c r="E1598" s="713">
        <v>0</v>
      </c>
      <c r="F1598" s="713">
        <v>0</v>
      </c>
      <c r="G1598" s="713">
        <v>0</v>
      </c>
      <c r="H1598" s="713">
        <v>0</v>
      </c>
      <c r="I1598" s="348">
        <f t="shared" si="34"/>
        <v>13695.72</v>
      </c>
      <c r="J1598" s="192" t="s">
        <v>2227</v>
      </c>
    </row>
    <row r="1599" spans="1:10" hidden="1" outlineLevel="1">
      <c r="A1599" s="381" t="s">
        <v>1824</v>
      </c>
      <c r="B1599" s="207">
        <v>4593.17</v>
      </c>
      <c r="C1599" s="713">
        <v>0</v>
      </c>
      <c r="D1599" s="713">
        <v>0</v>
      </c>
      <c r="E1599" s="713">
        <v>0</v>
      </c>
      <c r="F1599" s="713">
        <v>0</v>
      </c>
      <c r="G1599" s="713">
        <v>0</v>
      </c>
      <c r="H1599" s="713">
        <v>0</v>
      </c>
      <c r="I1599" s="348">
        <f t="shared" si="34"/>
        <v>4593.17</v>
      </c>
      <c r="J1599" s="192" t="s">
        <v>1825</v>
      </c>
    </row>
    <row r="1600" spans="1:10" hidden="1" outlineLevel="1">
      <c r="A1600" s="381" t="s">
        <v>2228</v>
      </c>
      <c r="B1600" s="207">
        <v>11103.54</v>
      </c>
      <c r="C1600" s="713">
        <v>0</v>
      </c>
      <c r="D1600" s="713">
        <v>0</v>
      </c>
      <c r="E1600" s="713">
        <v>0</v>
      </c>
      <c r="F1600" s="713">
        <v>0</v>
      </c>
      <c r="G1600" s="713">
        <v>0</v>
      </c>
      <c r="H1600" s="713">
        <v>0</v>
      </c>
      <c r="I1600" s="348">
        <f t="shared" si="34"/>
        <v>11103.54</v>
      </c>
      <c r="J1600" s="192" t="s">
        <v>2229</v>
      </c>
    </row>
    <row r="1601" spans="1:10" hidden="1" outlineLevel="1">
      <c r="A1601" s="381" t="s">
        <v>1732</v>
      </c>
      <c r="B1601" s="207">
        <v>931451.33</v>
      </c>
      <c r="C1601" s="713">
        <v>0</v>
      </c>
      <c r="D1601" s="713">
        <v>0</v>
      </c>
      <c r="E1601" s="713">
        <v>0</v>
      </c>
      <c r="F1601" s="713">
        <v>0</v>
      </c>
      <c r="G1601" s="713">
        <v>0</v>
      </c>
      <c r="H1601" s="713">
        <v>0</v>
      </c>
      <c r="I1601" s="348">
        <f t="shared" si="34"/>
        <v>931451.33</v>
      </c>
      <c r="J1601" s="192" t="s">
        <v>1733</v>
      </c>
    </row>
    <row r="1602" spans="1:10" hidden="1" outlineLevel="1">
      <c r="A1602" s="381" t="s">
        <v>1728</v>
      </c>
      <c r="B1602" s="207">
        <v>116402.49</v>
      </c>
      <c r="C1602" s="713">
        <v>0</v>
      </c>
      <c r="D1602" s="713">
        <v>0</v>
      </c>
      <c r="E1602" s="713">
        <v>0</v>
      </c>
      <c r="F1602" s="713">
        <v>0</v>
      </c>
      <c r="G1602" s="713">
        <v>0</v>
      </c>
      <c r="H1602" s="713">
        <v>0</v>
      </c>
      <c r="I1602" s="348">
        <f t="shared" si="34"/>
        <v>116402.49</v>
      </c>
      <c r="J1602" s="192" t="s">
        <v>1729</v>
      </c>
    </row>
    <row r="1603" spans="1:10" hidden="1" outlineLevel="1">
      <c r="A1603" s="381" t="s">
        <v>1384</v>
      </c>
      <c r="B1603" s="207">
        <v>75934.63</v>
      </c>
      <c r="C1603" s="713">
        <v>0</v>
      </c>
      <c r="D1603" s="713">
        <v>0</v>
      </c>
      <c r="E1603" s="713">
        <v>0</v>
      </c>
      <c r="F1603" s="713">
        <v>0</v>
      </c>
      <c r="G1603" s="713">
        <v>0</v>
      </c>
      <c r="H1603" s="713">
        <v>0</v>
      </c>
      <c r="I1603" s="348">
        <f t="shared" si="34"/>
        <v>75934.63</v>
      </c>
      <c r="J1603" s="192" t="s">
        <v>1385</v>
      </c>
    </row>
    <row r="1604" spans="1:10" hidden="1" outlineLevel="1">
      <c r="A1604" s="381" t="s">
        <v>1804</v>
      </c>
      <c r="B1604" s="207">
        <v>267438.02</v>
      </c>
      <c r="C1604" s="713">
        <v>0</v>
      </c>
      <c r="D1604" s="713">
        <v>0</v>
      </c>
      <c r="E1604" s="713">
        <v>0</v>
      </c>
      <c r="F1604" s="713">
        <v>0</v>
      </c>
      <c r="G1604" s="713">
        <v>0</v>
      </c>
      <c r="H1604" s="713">
        <v>0</v>
      </c>
      <c r="I1604" s="348">
        <f t="shared" si="34"/>
        <v>267438.02</v>
      </c>
      <c r="J1604" s="192" t="s">
        <v>1805</v>
      </c>
    </row>
    <row r="1605" spans="1:10" hidden="1" outlineLevel="1">
      <c r="A1605" s="381" t="s">
        <v>1378</v>
      </c>
      <c r="B1605" s="207">
        <v>26654.41</v>
      </c>
      <c r="C1605" s="713">
        <v>0</v>
      </c>
      <c r="D1605" s="713">
        <v>0</v>
      </c>
      <c r="E1605" s="713">
        <v>0</v>
      </c>
      <c r="F1605" s="713">
        <v>0</v>
      </c>
      <c r="G1605" s="713">
        <v>0</v>
      </c>
      <c r="H1605" s="713">
        <v>0</v>
      </c>
      <c r="I1605" s="348">
        <f t="shared" si="34"/>
        <v>26654.41</v>
      </c>
      <c r="J1605" s="192" t="s">
        <v>1379</v>
      </c>
    </row>
    <row r="1606" spans="1:10" hidden="1" outlineLevel="1">
      <c r="A1606" s="381" t="s">
        <v>1740</v>
      </c>
      <c r="B1606" s="207">
        <v>16127.68</v>
      </c>
      <c r="C1606" s="713">
        <v>0</v>
      </c>
      <c r="D1606" s="713">
        <v>0</v>
      </c>
      <c r="E1606" s="713">
        <v>0</v>
      </c>
      <c r="F1606" s="713">
        <v>0</v>
      </c>
      <c r="G1606" s="713">
        <v>0</v>
      </c>
      <c r="H1606" s="713">
        <v>0</v>
      </c>
      <c r="I1606" s="348">
        <f t="shared" si="34"/>
        <v>16127.68</v>
      </c>
      <c r="J1606" s="192" t="s">
        <v>1741</v>
      </c>
    </row>
    <row r="1607" spans="1:10" hidden="1" outlineLevel="1">
      <c r="A1607" s="381" t="s">
        <v>1346</v>
      </c>
      <c r="B1607" s="207">
        <v>302217.46000000002</v>
      </c>
      <c r="C1607" s="713">
        <v>0</v>
      </c>
      <c r="D1607" s="713">
        <v>0</v>
      </c>
      <c r="E1607" s="713">
        <v>0</v>
      </c>
      <c r="F1607" s="713">
        <v>0</v>
      </c>
      <c r="G1607" s="713">
        <v>0</v>
      </c>
      <c r="H1607" s="713">
        <v>0</v>
      </c>
      <c r="I1607" s="348">
        <f t="shared" si="34"/>
        <v>302217.46000000002</v>
      </c>
      <c r="J1607" s="192" t="s">
        <v>1347</v>
      </c>
    </row>
    <row r="1608" spans="1:10" hidden="1" outlineLevel="1">
      <c r="A1608" s="381" t="s">
        <v>1287</v>
      </c>
      <c r="B1608" s="207">
        <v>360364.58</v>
      </c>
      <c r="C1608" s="713">
        <v>0</v>
      </c>
      <c r="D1608" s="713">
        <v>0</v>
      </c>
      <c r="E1608" s="713">
        <v>0</v>
      </c>
      <c r="F1608" s="713">
        <v>0</v>
      </c>
      <c r="G1608" s="713">
        <v>0</v>
      </c>
      <c r="H1608" s="713">
        <v>0</v>
      </c>
      <c r="I1608" s="348">
        <f t="shared" si="34"/>
        <v>360364.58</v>
      </c>
      <c r="J1608" s="192" t="s">
        <v>1288</v>
      </c>
    </row>
    <row r="1609" spans="1:10" hidden="1" outlineLevel="1">
      <c r="A1609" s="381" t="s">
        <v>2230</v>
      </c>
      <c r="B1609" s="207">
        <v>135968.43</v>
      </c>
      <c r="C1609" s="713">
        <v>0</v>
      </c>
      <c r="D1609" s="713">
        <v>0</v>
      </c>
      <c r="E1609" s="713">
        <v>0</v>
      </c>
      <c r="F1609" s="713">
        <v>0</v>
      </c>
      <c r="G1609" s="713">
        <v>0</v>
      </c>
      <c r="H1609" s="713">
        <v>0</v>
      </c>
      <c r="I1609" s="348">
        <f t="shared" si="34"/>
        <v>135968.43</v>
      </c>
      <c r="J1609" s="192" t="s">
        <v>2231</v>
      </c>
    </row>
    <row r="1610" spans="1:10" hidden="1" outlineLevel="1">
      <c r="A1610" s="381" t="s">
        <v>1594</v>
      </c>
      <c r="B1610" s="207">
        <v>22996.62</v>
      </c>
      <c r="C1610" s="713">
        <v>0</v>
      </c>
      <c r="D1610" s="713">
        <v>0</v>
      </c>
      <c r="E1610" s="713">
        <v>0</v>
      </c>
      <c r="F1610" s="713">
        <v>0</v>
      </c>
      <c r="G1610" s="713">
        <v>0</v>
      </c>
      <c r="H1610" s="713">
        <v>0</v>
      </c>
      <c r="I1610" s="348">
        <f t="shared" si="34"/>
        <v>22996.62</v>
      </c>
      <c r="J1610" s="192" t="s">
        <v>1595</v>
      </c>
    </row>
    <row r="1611" spans="1:10" hidden="1" outlineLevel="1">
      <c r="A1611" s="381" t="s">
        <v>779</v>
      </c>
      <c r="B1611" s="207">
        <v>145410.78</v>
      </c>
      <c r="C1611" s="713">
        <v>0</v>
      </c>
      <c r="D1611" s="713">
        <v>0</v>
      </c>
      <c r="E1611" s="713">
        <v>0</v>
      </c>
      <c r="F1611" s="713">
        <v>0</v>
      </c>
      <c r="G1611" s="713">
        <v>0</v>
      </c>
      <c r="H1611" s="713">
        <v>0</v>
      </c>
      <c r="I1611" s="348">
        <f t="shared" si="34"/>
        <v>145410.78</v>
      </c>
      <c r="J1611" s="192" t="s">
        <v>1231</v>
      </c>
    </row>
    <row r="1612" spans="1:10" hidden="1" outlineLevel="1">
      <c r="A1612" s="381" t="s">
        <v>1307</v>
      </c>
      <c r="B1612" s="207">
        <v>93373.01</v>
      </c>
      <c r="C1612" s="713">
        <v>0</v>
      </c>
      <c r="D1612" s="713">
        <v>0</v>
      </c>
      <c r="E1612" s="713">
        <v>0</v>
      </c>
      <c r="F1612" s="713">
        <v>0</v>
      </c>
      <c r="G1612" s="713">
        <v>0</v>
      </c>
      <c r="H1612" s="713">
        <v>0</v>
      </c>
      <c r="I1612" s="348">
        <f t="shared" si="34"/>
        <v>93373.01</v>
      </c>
      <c r="J1612" s="192" t="s">
        <v>1308</v>
      </c>
    </row>
    <row r="1613" spans="1:10" hidden="1" outlineLevel="1">
      <c r="A1613" s="381" t="s">
        <v>1510</v>
      </c>
      <c r="B1613" s="207">
        <v>282281.51</v>
      </c>
      <c r="C1613" s="713">
        <v>0</v>
      </c>
      <c r="D1613" s="713">
        <v>0</v>
      </c>
      <c r="E1613" s="713">
        <v>0</v>
      </c>
      <c r="F1613" s="713">
        <v>0</v>
      </c>
      <c r="G1613" s="713">
        <v>0</v>
      </c>
      <c r="H1613" s="713">
        <v>0</v>
      </c>
      <c r="I1613" s="348">
        <f t="shared" si="34"/>
        <v>282281.51</v>
      </c>
      <c r="J1613" s="192" t="s">
        <v>1511</v>
      </c>
    </row>
    <row r="1614" spans="1:10" hidden="1" outlineLevel="1">
      <c r="A1614" s="381" t="s">
        <v>1328</v>
      </c>
      <c r="B1614" s="207">
        <v>8984.18</v>
      </c>
      <c r="C1614" s="713">
        <v>0</v>
      </c>
      <c r="D1614" s="713">
        <v>0</v>
      </c>
      <c r="E1614" s="713">
        <v>0</v>
      </c>
      <c r="F1614" s="713">
        <v>0</v>
      </c>
      <c r="G1614" s="713">
        <v>0</v>
      </c>
      <c r="H1614" s="713">
        <v>0</v>
      </c>
      <c r="I1614" s="348">
        <f t="shared" si="34"/>
        <v>8984.18</v>
      </c>
      <c r="J1614" s="192" t="s">
        <v>1329</v>
      </c>
    </row>
    <row r="1615" spans="1:10" hidden="1" outlineLevel="1">
      <c r="A1615" s="381" t="s">
        <v>2232</v>
      </c>
      <c r="B1615" s="207">
        <v>8191.45</v>
      </c>
      <c r="C1615" s="713">
        <v>0</v>
      </c>
      <c r="D1615" s="713">
        <v>0</v>
      </c>
      <c r="E1615" s="713">
        <v>0</v>
      </c>
      <c r="F1615" s="713">
        <v>0</v>
      </c>
      <c r="G1615" s="713">
        <v>0</v>
      </c>
      <c r="H1615" s="713">
        <v>0</v>
      </c>
      <c r="I1615" s="348">
        <f t="shared" si="34"/>
        <v>8191.45</v>
      </c>
      <c r="J1615" s="192" t="s">
        <v>2233</v>
      </c>
    </row>
    <row r="1616" spans="1:10" hidden="1" outlineLevel="1">
      <c r="A1616" s="381" t="s">
        <v>1362</v>
      </c>
      <c r="B1616" s="207">
        <v>1062710.3400000001</v>
      </c>
      <c r="C1616" s="713">
        <v>0</v>
      </c>
      <c r="D1616" s="713">
        <v>0</v>
      </c>
      <c r="E1616" s="713">
        <v>0</v>
      </c>
      <c r="F1616" s="713">
        <v>0</v>
      </c>
      <c r="G1616" s="713">
        <v>0</v>
      </c>
      <c r="H1616" s="713">
        <v>0</v>
      </c>
      <c r="I1616" s="348">
        <f t="shared" si="34"/>
        <v>1062710.3400000001</v>
      </c>
      <c r="J1616" s="192" t="s">
        <v>1363</v>
      </c>
    </row>
    <row r="1617" spans="1:10" hidden="1" outlineLevel="1">
      <c r="A1617" s="381" t="s">
        <v>456</v>
      </c>
      <c r="B1617" s="207">
        <v>498399.87</v>
      </c>
      <c r="C1617" s="713">
        <v>0</v>
      </c>
      <c r="D1617" s="713">
        <v>0</v>
      </c>
      <c r="E1617" s="713">
        <v>0</v>
      </c>
      <c r="F1617" s="713">
        <v>0</v>
      </c>
      <c r="G1617" s="713">
        <v>0</v>
      </c>
      <c r="H1617" s="713">
        <v>0</v>
      </c>
      <c r="I1617" s="348">
        <f t="shared" si="34"/>
        <v>498399.87</v>
      </c>
      <c r="J1617" s="192" t="s">
        <v>457</v>
      </c>
    </row>
    <row r="1618" spans="1:10" hidden="1" outlineLevel="1">
      <c r="A1618" s="381" t="s">
        <v>2234</v>
      </c>
      <c r="B1618" s="207">
        <v>18626.04</v>
      </c>
      <c r="C1618" s="713">
        <v>0</v>
      </c>
      <c r="D1618" s="713">
        <v>0</v>
      </c>
      <c r="E1618" s="713">
        <v>0</v>
      </c>
      <c r="F1618" s="713">
        <v>0</v>
      </c>
      <c r="G1618" s="713">
        <v>0</v>
      </c>
      <c r="H1618" s="713">
        <v>0</v>
      </c>
      <c r="I1618" s="348">
        <f t="shared" si="34"/>
        <v>18626.04</v>
      </c>
      <c r="J1618" s="192" t="s">
        <v>2235</v>
      </c>
    </row>
    <row r="1619" spans="1:10" hidden="1" outlineLevel="1">
      <c r="A1619" s="381" t="s">
        <v>2236</v>
      </c>
      <c r="B1619" s="207">
        <v>13460.7</v>
      </c>
      <c r="C1619" s="713">
        <v>0</v>
      </c>
      <c r="D1619" s="713">
        <v>0</v>
      </c>
      <c r="E1619" s="713">
        <v>0</v>
      </c>
      <c r="F1619" s="713">
        <v>0</v>
      </c>
      <c r="G1619" s="713">
        <v>0</v>
      </c>
      <c r="H1619" s="713">
        <v>0</v>
      </c>
      <c r="I1619" s="348">
        <f t="shared" si="34"/>
        <v>13460.7</v>
      </c>
      <c r="J1619" s="192" t="s">
        <v>2237</v>
      </c>
    </row>
    <row r="1620" spans="1:10" hidden="1" outlineLevel="1">
      <c r="A1620" s="381" t="s">
        <v>1492</v>
      </c>
      <c r="B1620" s="207">
        <v>26646.31</v>
      </c>
      <c r="C1620" s="713">
        <v>0</v>
      </c>
      <c r="D1620" s="713">
        <v>0</v>
      </c>
      <c r="E1620" s="713">
        <v>0</v>
      </c>
      <c r="F1620" s="713">
        <v>0</v>
      </c>
      <c r="G1620" s="713">
        <v>0</v>
      </c>
      <c r="H1620" s="713">
        <v>0</v>
      </c>
      <c r="I1620" s="348">
        <f t="shared" si="34"/>
        <v>26646.31</v>
      </c>
      <c r="J1620" s="192" t="s">
        <v>1493</v>
      </c>
    </row>
    <row r="1621" spans="1:10" hidden="1" outlineLevel="1">
      <c r="A1621" s="381" t="s">
        <v>1786</v>
      </c>
      <c r="B1621" s="207">
        <v>24542.52</v>
      </c>
      <c r="C1621" s="713">
        <v>0</v>
      </c>
      <c r="D1621" s="713">
        <v>0</v>
      </c>
      <c r="E1621" s="713">
        <v>0</v>
      </c>
      <c r="F1621" s="713">
        <v>0</v>
      </c>
      <c r="G1621" s="713">
        <v>0</v>
      </c>
      <c r="H1621" s="713">
        <v>0</v>
      </c>
      <c r="I1621" s="348">
        <f t="shared" si="34"/>
        <v>24542.52</v>
      </c>
      <c r="J1621" s="192" t="s">
        <v>1787</v>
      </c>
    </row>
    <row r="1622" spans="1:10" hidden="1" outlineLevel="1">
      <c r="A1622" s="381" t="s">
        <v>1478</v>
      </c>
      <c r="B1622" s="207">
        <v>77562.37</v>
      </c>
      <c r="C1622" s="713">
        <v>0</v>
      </c>
      <c r="D1622" s="713">
        <v>0</v>
      </c>
      <c r="E1622" s="713">
        <v>0</v>
      </c>
      <c r="F1622" s="713">
        <v>0</v>
      </c>
      <c r="G1622" s="713">
        <v>0</v>
      </c>
      <c r="H1622" s="713">
        <v>0</v>
      </c>
      <c r="I1622" s="348">
        <f t="shared" si="34"/>
        <v>77562.37</v>
      </c>
      <c r="J1622" s="192" t="s">
        <v>1479</v>
      </c>
    </row>
    <row r="1623" spans="1:10" hidden="1" outlineLevel="1">
      <c r="A1623" s="381" t="s">
        <v>2238</v>
      </c>
      <c r="B1623" s="207">
        <v>37571.449999999997</v>
      </c>
      <c r="C1623" s="713">
        <v>0</v>
      </c>
      <c r="D1623" s="713">
        <v>0</v>
      </c>
      <c r="E1623" s="713">
        <v>0</v>
      </c>
      <c r="F1623" s="713">
        <v>0</v>
      </c>
      <c r="G1623" s="713">
        <v>0</v>
      </c>
      <c r="H1623" s="713">
        <v>0</v>
      </c>
      <c r="I1623" s="348">
        <f t="shared" si="34"/>
        <v>37571.449999999997</v>
      </c>
      <c r="J1623" s="192" t="s">
        <v>2239</v>
      </c>
    </row>
    <row r="1624" spans="1:10" hidden="1" outlineLevel="1">
      <c r="A1624" s="381" t="s">
        <v>1410</v>
      </c>
      <c r="B1624" s="207">
        <v>134130.57</v>
      </c>
      <c r="C1624" s="713">
        <v>0</v>
      </c>
      <c r="D1624" s="713">
        <v>0</v>
      </c>
      <c r="E1624" s="713">
        <v>0</v>
      </c>
      <c r="F1624" s="713">
        <v>0</v>
      </c>
      <c r="G1624" s="713">
        <v>0</v>
      </c>
      <c r="H1624" s="713">
        <v>0</v>
      </c>
      <c r="I1624" s="348">
        <f t="shared" si="34"/>
        <v>134130.57</v>
      </c>
      <c r="J1624" s="192" t="s">
        <v>1411</v>
      </c>
    </row>
    <row r="1625" spans="1:10" hidden="1" outlineLevel="1">
      <c r="A1625" s="381" t="s">
        <v>1796</v>
      </c>
      <c r="B1625" s="207">
        <v>376631.05</v>
      </c>
      <c r="C1625" s="713">
        <v>0</v>
      </c>
      <c r="D1625" s="713">
        <v>0</v>
      </c>
      <c r="E1625" s="713">
        <v>0</v>
      </c>
      <c r="F1625" s="713">
        <v>0</v>
      </c>
      <c r="G1625" s="713">
        <v>0</v>
      </c>
      <c r="H1625" s="713">
        <v>0</v>
      </c>
      <c r="I1625" s="348">
        <f t="shared" si="34"/>
        <v>376631.05</v>
      </c>
      <c r="J1625" s="192" t="s">
        <v>1797</v>
      </c>
    </row>
    <row r="1626" spans="1:10" hidden="1" outlineLevel="1">
      <c r="A1626" s="381" t="s">
        <v>2240</v>
      </c>
      <c r="B1626" s="207">
        <v>10132.11</v>
      </c>
      <c r="C1626" s="713">
        <v>0</v>
      </c>
      <c r="D1626" s="713">
        <v>0</v>
      </c>
      <c r="E1626" s="713">
        <v>0</v>
      </c>
      <c r="F1626" s="713">
        <v>0</v>
      </c>
      <c r="G1626" s="713">
        <v>0</v>
      </c>
      <c r="H1626" s="713">
        <v>0</v>
      </c>
      <c r="I1626" s="348">
        <f t="shared" si="34"/>
        <v>10132.11</v>
      </c>
      <c r="J1626" s="192" t="s">
        <v>2241</v>
      </c>
    </row>
    <row r="1627" spans="1:10" hidden="1" outlineLevel="1">
      <c r="A1627" s="381" t="s">
        <v>2242</v>
      </c>
      <c r="B1627" s="207">
        <v>22403.38</v>
      </c>
      <c r="C1627" s="713">
        <v>0</v>
      </c>
      <c r="D1627" s="713">
        <v>0</v>
      </c>
      <c r="E1627" s="713">
        <v>0</v>
      </c>
      <c r="F1627" s="713">
        <v>0</v>
      </c>
      <c r="G1627" s="713">
        <v>0</v>
      </c>
      <c r="H1627" s="713">
        <v>0</v>
      </c>
      <c r="I1627" s="348">
        <f t="shared" si="34"/>
        <v>22403.38</v>
      </c>
      <c r="J1627" s="192" t="s">
        <v>2243</v>
      </c>
    </row>
    <row r="1628" spans="1:10" hidden="1" outlineLevel="1">
      <c r="A1628" s="381" t="s">
        <v>1234</v>
      </c>
      <c r="B1628" s="207">
        <v>254694.42</v>
      </c>
      <c r="C1628" s="713">
        <v>0</v>
      </c>
      <c r="D1628" s="713">
        <v>0</v>
      </c>
      <c r="E1628" s="713">
        <v>0</v>
      </c>
      <c r="F1628" s="713">
        <v>0</v>
      </c>
      <c r="G1628" s="713">
        <v>0</v>
      </c>
      <c r="H1628" s="713">
        <v>0</v>
      </c>
      <c r="I1628" s="348">
        <f t="shared" si="34"/>
        <v>254694.42</v>
      </c>
      <c r="J1628" s="192" t="s">
        <v>1235</v>
      </c>
    </row>
    <row r="1629" spans="1:10" hidden="1" outlineLevel="1">
      <c r="A1629" s="381" t="s">
        <v>2244</v>
      </c>
      <c r="B1629" s="207">
        <v>8741.31</v>
      </c>
      <c r="C1629" s="713">
        <v>0</v>
      </c>
      <c r="D1629" s="713">
        <v>0</v>
      </c>
      <c r="E1629" s="713">
        <v>0</v>
      </c>
      <c r="F1629" s="713">
        <v>0</v>
      </c>
      <c r="G1629" s="713">
        <v>0</v>
      </c>
      <c r="H1629" s="713">
        <v>0</v>
      </c>
      <c r="I1629" s="348">
        <f t="shared" si="34"/>
        <v>8741.31</v>
      </c>
      <c r="J1629" s="192" t="s">
        <v>2245</v>
      </c>
    </row>
    <row r="1630" spans="1:10" hidden="1" outlineLevel="1">
      <c r="A1630" s="381" t="s">
        <v>1416</v>
      </c>
      <c r="B1630" s="207">
        <v>712352.38</v>
      </c>
      <c r="C1630" s="713">
        <v>0</v>
      </c>
      <c r="D1630" s="713">
        <v>0</v>
      </c>
      <c r="E1630" s="713">
        <v>0</v>
      </c>
      <c r="F1630" s="713">
        <v>0</v>
      </c>
      <c r="G1630" s="713">
        <v>0</v>
      </c>
      <c r="H1630" s="713">
        <v>0</v>
      </c>
      <c r="I1630" s="348">
        <f t="shared" si="34"/>
        <v>712352.38</v>
      </c>
      <c r="J1630" s="192" t="s">
        <v>1417</v>
      </c>
    </row>
    <row r="1631" spans="1:10" hidden="1" outlineLevel="1">
      <c r="A1631" s="1590" t="s">
        <v>564</v>
      </c>
      <c r="B1631" s="207">
        <f>2342862.41+(3102195*0.00277)</f>
        <v>2351455.49015</v>
      </c>
      <c r="C1631" s="713">
        <v>0</v>
      </c>
      <c r="D1631" s="713">
        <v>0</v>
      </c>
      <c r="E1631" s="713">
        <v>0</v>
      </c>
      <c r="F1631" s="713">
        <v>0</v>
      </c>
      <c r="G1631" s="713">
        <v>0</v>
      </c>
      <c r="H1631" s="713">
        <v>0</v>
      </c>
      <c r="I1631" s="348">
        <f t="shared" si="34"/>
        <v>2351455.49015</v>
      </c>
      <c r="J1631" s="192" t="s">
        <v>565</v>
      </c>
    </row>
    <row r="1632" spans="1:10" hidden="1" outlineLevel="1">
      <c r="A1632" s="381" t="s">
        <v>2246</v>
      </c>
      <c r="B1632" s="207">
        <v>9689.19</v>
      </c>
      <c r="C1632" s="713">
        <v>0</v>
      </c>
      <c r="D1632" s="713">
        <v>0</v>
      </c>
      <c r="E1632" s="713">
        <v>0</v>
      </c>
      <c r="F1632" s="713">
        <v>0</v>
      </c>
      <c r="G1632" s="713">
        <v>0</v>
      </c>
      <c r="H1632" s="713">
        <v>0</v>
      </c>
      <c r="I1632" s="348">
        <f t="shared" si="34"/>
        <v>9689.19</v>
      </c>
      <c r="J1632" s="192" t="s">
        <v>2247</v>
      </c>
    </row>
    <row r="1633" spans="1:10" hidden="1" outlineLevel="1">
      <c r="A1633" s="381" t="s">
        <v>1630</v>
      </c>
      <c r="B1633" s="207">
        <v>74084.479999999996</v>
      </c>
      <c r="C1633" s="713">
        <v>0</v>
      </c>
      <c r="D1633" s="713">
        <v>0</v>
      </c>
      <c r="E1633" s="713">
        <v>0</v>
      </c>
      <c r="F1633" s="713">
        <v>0</v>
      </c>
      <c r="G1633" s="713">
        <v>0</v>
      </c>
      <c r="H1633" s="713">
        <v>0</v>
      </c>
      <c r="I1633" s="348">
        <f t="shared" si="34"/>
        <v>74084.479999999996</v>
      </c>
      <c r="J1633" s="192" t="s">
        <v>1631</v>
      </c>
    </row>
    <row r="1634" spans="1:10" hidden="1" outlineLevel="1">
      <c r="A1634" s="381" t="s">
        <v>1265</v>
      </c>
      <c r="B1634" s="207">
        <v>2058628.02</v>
      </c>
      <c r="C1634" s="713">
        <v>0</v>
      </c>
      <c r="D1634" s="713">
        <v>0</v>
      </c>
      <c r="E1634" s="713">
        <v>0</v>
      </c>
      <c r="F1634" s="713">
        <v>1222.33</v>
      </c>
      <c r="G1634" s="713">
        <v>0</v>
      </c>
      <c r="H1634" s="713">
        <v>0</v>
      </c>
      <c r="I1634" s="348">
        <f t="shared" si="34"/>
        <v>2059850.35</v>
      </c>
      <c r="J1634" s="192" t="s">
        <v>1266</v>
      </c>
    </row>
    <row r="1635" spans="1:10" hidden="1" outlineLevel="1">
      <c r="A1635" s="381" t="s">
        <v>2248</v>
      </c>
      <c r="B1635" s="207">
        <v>6960.12</v>
      </c>
      <c r="C1635" s="713">
        <v>0</v>
      </c>
      <c r="D1635" s="713">
        <v>0</v>
      </c>
      <c r="E1635" s="713">
        <v>0</v>
      </c>
      <c r="F1635" s="713">
        <v>0</v>
      </c>
      <c r="G1635" s="713">
        <v>0</v>
      </c>
      <c r="H1635" s="713">
        <v>0</v>
      </c>
      <c r="I1635" s="348">
        <f t="shared" si="34"/>
        <v>6960.12</v>
      </c>
      <c r="J1635" s="192" t="s">
        <v>2249</v>
      </c>
    </row>
    <row r="1636" spans="1:10" hidden="1" outlineLevel="1">
      <c r="A1636" s="381" t="s">
        <v>1380</v>
      </c>
      <c r="B1636" s="207">
        <v>467115.32</v>
      </c>
      <c r="C1636" s="713">
        <v>0</v>
      </c>
      <c r="D1636" s="713">
        <v>0</v>
      </c>
      <c r="E1636" s="713">
        <v>0</v>
      </c>
      <c r="F1636" s="713">
        <v>0</v>
      </c>
      <c r="G1636" s="713">
        <v>0</v>
      </c>
      <c r="H1636" s="713">
        <v>0</v>
      </c>
      <c r="I1636" s="348">
        <f t="shared" si="34"/>
        <v>467115.32</v>
      </c>
      <c r="J1636" s="192" t="s">
        <v>1381</v>
      </c>
    </row>
    <row r="1637" spans="1:10" hidden="1" outlineLevel="1">
      <c r="A1637" s="381" t="s">
        <v>2250</v>
      </c>
      <c r="B1637" s="207">
        <v>183275.83</v>
      </c>
      <c r="C1637" s="713">
        <v>0</v>
      </c>
      <c r="D1637" s="713">
        <v>0</v>
      </c>
      <c r="E1637" s="713">
        <v>0</v>
      </c>
      <c r="F1637" s="713">
        <v>0</v>
      </c>
      <c r="G1637" s="713">
        <v>0</v>
      </c>
      <c r="H1637" s="713">
        <v>0</v>
      </c>
      <c r="I1637" s="348">
        <f t="shared" si="34"/>
        <v>183275.83</v>
      </c>
      <c r="J1637" s="192" t="s">
        <v>2251</v>
      </c>
    </row>
    <row r="1638" spans="1:10" hidden="1" outlineLevel="1">
      <c r="A1638" s="381" t="s">
        <v>2252</v>
      </c>
      <c r="B1638" s="207">
        <v>5222.9399999999996</v>
      </c>
      <c r="C1638" s="713">
        <v>0</v>
      </c>
      <c r="D1638" s="713">
        <v>0</v>
      </c>
      <c r="E1638" s="713">
        <v>0</v>
      </c>
      <c r="F1638" s="713">
        <v>0</v>
      </c>
      <c r="G1638" s="713">
        <v>0</v>
      </c>
      <c r="H1638" s="713">
        <v>0</v>
      </c>
      <c r="I1638" s="348">
        <f t="shared" si="34"/>
        <v>5222.9399999999996</v>
      </c>
      <c r="J1638" s="192" t="s">
        <v>2253</v>
      </c>
    </row>
    <row r="1639" spans="1:10" hidden="1" outlineLevel="1">
      <c r="A1639" s="381" t="s">
        <v>1654</v>
      </c>
      <c r="B1639" s="207">
        <v>3328869.66</v>
      </c>
      <c r="C1639" s="713">
        <v>0</v>
      </c>
      <c r="D1639" s="713">
        <v>0</v>
      </c>
      <c r="E1639" s="713">
        <v>0</v>
      </c>
      <c r="F1639" s="713">
        <v>0</v>
      </c>
      <c r="G1639" s="713">
        <v>0</v>
      </c>
      <c r="H1639" s="713">
        <v>0</v>
      </c>
      <c r="I1639" s="348">
        <f t="shared" si="34"/>
        <v>3328869.66</v>
      </c>
      <c r="J1639" s="192" t="s">
        <v>1655</v>
      </c>
    </row>
    <row r="1640" spans="1:10" hidden="1" outlineLevel="1">
      <c r="A1640" s="381" t="s">
        <v>1516</v>
      </c>
      <c r="B1640" s="207">
        <v>20937383.5</v>
      </c>
      <c r="C1640" s="713">
        <v>0</v>
      </c>
      <c r="D1640" s="713">
        <v>0</v>
      </c>
      <c r="E1640" s="713">
        <v>0</v>
      </c>
      <c r="F1640" s="713">
        <v>0</v>
      </c>
      <c r="G1640" s="713">
        <v>0</v>
      </c>
      <c r="H1640" s="713">
        <v>0</v>
      </c>
      <c r="I1640" s="348">
        <f t="shared" si="34"/>
        <v>20937383.5</v>
      </c>
      <c r="J1640" s="192" t="s">
        <v>1517</v>
      </c>
    </row>
    <row r="1641" spans="1:10" hidden="1" outlineLevel="1">
      <c r="A1641" s="381" t="s">
        <v>1460</v>
      </c>
      <c r="B1641" s="207">
        <v>67959.11</v>
      </c>
      <c r="C1641" s="713">
        <v>0</v>
      </c>
      <c r="D1641" s="713">
        <v>0</v>
      </c>
      <c r="E1641" s="713">
        <v>0</v>
      </c>
      <c r="F1641" s="713">
        <v>0</v>
      </c>
      <c r="G1641" s="713">
        <v>0</v>
      </c>
      <c r="H1641" s="713">
        <v>0</v>
      </c>
      <c r="I1641" s="348">
        <f t="shared" si="34"/>
        <v>67959.11</v>
      </c>
      <c r="J1641" s="192" t="s">
        <v>1461</v>
      </c>
    </row>
    <row r="1642" spans="1:10" hidden="1" outlineLevel="1">
      <c r="A1642" s="381" t="s">
        <v>1430</v>
      </c>
      <c r="B1642" s="207">
        <v>44490127.340000004</v>
      </c>
      <c r="C1642" s="713">
        <v>0</v>
      </c>
      <c r="D1642" s="713">
        <v>0</v>
      </c>
      <c r="E1642" s="713">
        <v>0</v>
      </c>
      <c r="F1642" s="713">
        <v>0</v>
      </c>
      <c r="G1642" s="713">
        <v>0</v>
      </c>
      <c r="H1642" s="713">
        <v>0</v>
      </c>
      <c r="I1642" s="348">
        <f t="shared" si="34"/>
        <v>44490127.340000004</v>
      </c>
      <c r="J1642" s="192" t="s">
        <v>1431</v>
      </c>
    </row>
    <row r="1643" spans="1:10" hidden="1" outlineLevel="1">
      <c r="A1643" s="381" t="s">
        <v>1808</v>
      </c>
      <c r="B1643" s="207">
        <v>10179635.470000001</v>
      </c>
      <c r="C1643" s="713">
        <v>0</v>
      </c>
      <c r="D1643" s="713">
        <v>0</v>
      </c>
      <c r="E1643" s="713">
        <v>0</v>
      </c>
      <c r="F1643" s="713">
        <v>0</v>
      </c>
      <c r="G1643" s="713">
        <v>0</v>
      </c>
      <c r="H1643" s="713">
        <v>0</v>
      </c>
      <c r="I1643" s="348">
        <f t="shared" si="34"/>
        <v>10179635.470000001</v>
      </c>
      <c r="J1643" s="192" t="s">
        <v>1809</v>
      </c>
    </row>
    <row r="1644" spans="1:10" hidden="1" outlineLevel="1">
      <c r="A1644" s="381" t="s">
        <v>1768</v>
      </c>
      <c r="B1644" s="207">
        <v>1846294.83</v>
      </c>
      <c r="C1644" s="713">
        <v>0</v>
      </c>
      <c r="D1644" s="713">
        <v>0</v>
      </c>
      <c r="E1644" s="713">
        <v>0</v>
      </c>
      <c r="F1644" s="713">
        <v>0</v>
      </c>
      <c r="G1644" s="713">
        <v>0</v>
      </c>
      <c r="H1644" s="713">
        <v>0</v>
      </c>
      <c r="I1644" s="348">
        <f t="shared" si="34"/>
        <v>1846294.83</v>
      </c>
      <c r="J1644" s="192" t="s">
        <v>1769</v>
      </c>
    </row>
    <row r="1645" spans="1:10" hidden="1" outlineLevel="1">
      <c r="A1645" s="381" t="s">
        <v>2254</v>
      </c>
      <c r="B1645" s="207">
        <v>604740.11</v>
      </c>
      <c r="C1645" s="713">
        <v>0</v>
      </c>
      <c r="D1645" s="713">
        <v>0</v>
      </c>
      <c r="E1645" s="713">
        <v>0</v>
      </c>
      <c r="F1645" s="713">
        <v>0</v>
      </c>
      <c r="G1645" s="713">
        <v>0</v>
      </c>
      <c r="H1645" s="713">
        <v>0</v>
      </c>
      <c r="I1645" s="348">
        <f t="shared" si="34"/>
        <v>604740.11</v>
      </c>
      <c r="J1645" s="192" t="s">
        <v>2255</v>
      </c>
    </row>
    <row r="1646" spans="1:10" hidden="1" outlineLevel="1">
      <c r="A1646" s="381" t="s">
        <v>879</v>
      </c>
      <c r="B1646" s="207">
        <v>10292416.58</v>
      </c>
      <c r="C1646" s="713">
        <v>0</v>
      </c>
      <c r="D1646" s="713">
        <v>0</v>
      </c>
      <c r="E1646" s="713">
        <v>0</v>
      </c>
      <c r="F1646" s="713">
        <v>0</v>
      </c>
      <c r="G1646" s="713">
        <v>0</v>
      </c>
      <c r="H1646" s="713">
        <v>0</v>
      </c>
      <c r="I1646" s="348">
        <f t="shared" si="34"/>
        <v>10292416.58</v>
      </c>
      <c r="J1646" s="192" t="s">
        <v>880</v>
      </c>
    </row>
    <row r="1647" spans="1:10" hidden="1" outlineLevel="1">
      <c r="A1647" s="381" t="s">
        <v>1500</v>
      </c>
      <c r="B1647" s="207">
        <v>197895.52</v>
      </c>
      <c r="C1647" s="713">
        <v>0</v>
      </c>
      <c r="D1647" s="713">
        <v>0</v>
      </c>
      <c r="E1647" s="713">
        <v>0</v>
      </c>
      <c r="F1647" s="713">
        <v>0</v>
      </c>
      <c r="G1647" s="713">
        <v>0</v>
      </c>
      <c r="H1647" s="713">
        <v>0</v>
      </c>
      <c r="I1647" s="348">
        <f t="shared" si="34"/>
        <v>197895.52</v>
      </c>
      <c r="J1647" s="192" t="s">
        <v>1501</v>
      </c>
    </row>
    <row r="1648" spans="1:10" hidden="1" outlineLevel="1">
      <c r="A1648" s="381" t="s">
        <v>1683</v>
      </c>
      <c r="B1648" s="207">
        <v>11755732.970000001</v>
      </c>
      <c r="C1648" s="713">
        <v>0</v>
      </c>
      <c r="D1648" s="713">
        <v>0</v>
      </c>
      <c r="E1648" s="713">
        <v>0</v>
      </c>
      <c r="F1648" s="713">
        <v>16394.12</v>
      </c>
      <c r="G1648" s="713">
        <v>6455.88</v>
      </c>
      <c r="H1648" s="713">
        <v>0</v>
      </c>
      <c r="I1648" s="348">
        <f t="shared" si="34"/>
        <v>11778582.970000001</v>
      </c>
      <c r="J1648" s="192" t="s">
        <v>1684</v>
      </c>
    </row>
    <row r="1649" spans="1:10" hidden="1" outlineLevel="1">
      <c r="A1649" s="381" t="s">
        <v>758</v>
      </c>
      <c r="B1649" s="207">
        <v>12501820.43</v>
      </c>
      <c r="C1649" s="713">
        <v>0</v>
      </c>
      <c r="D1649" s="713">
        <v>0</v>
      </c>
      <c r="E1649" s="713">
        <v>0</v>
      </c>
      <c r="F1649" s="714">
        <v>1174.17</v>
      </c>
      <c r="G1649" s="713">
        <v>0</v>
      </c>
      <c r="H1649" s="713">
        <v>0</v>
      </c>
      <c r="I1649" s="348">
        <f t="shared" si="34"/>
        <v>12502994.6</v>
      </c>
      <c r="J1649" s="192" t="s">
        <v>759</v>
      </c>
    </row>
    <row r="1650" spans="1:10" hidden="1" outlineLevel="1">
      <c r="A1650" s="381" t="s">
        <v>1090</v>
      </c>
      <c r="B1650" s="207">
        <v>10368745.720000001</v>
      </c>
      <c r="C1650" s="713">
        <v>0</v>
      </c>
      <c r="D1650" s="713">
        <v>0</v>
      </c>
      <c r="E1650" s="713">
        <v>0</v>
      </c>
      <c r="F1650" s="713">
        <v>0</v>
      </c>
      <c r="G1650" s="713">
        <v>0</v>
      </c>
      <c r="H1650" s="713">
        <v>0</v>
      </c>
      <c r="I1650" s="348">
        <f t="shared" si="34"/>
        <v>10368745.720000001</v>
      </c>
      <c r="J1650" s="192" t="s">
        <v>1091</v>
      </c>
    </row>
    <row r="1651" spans="1:10" hidden="1" outlineLevel="1">
      <c r="A1651" s="381" t="s">
        <v>2256</v>
      </c>
      <c r="B1651" s="207">
        <v>245931.28</v>
      </c>
      <c r="C1651" s="713">
        <v>0</v>
      </c>
      <c r="D1651" s="713">
        <v>0</v>
      </c>
      <c r="E1651" s="713">
        <v>0</v>
      </c>
      <c r="F1651" s="713">
        <v>0</v>
      </c>
      <c r="G1651" s="713">
        <v>0</v>
      </c>
      <c r="H1651" s="713">
        <v>0</v>
      </c>
      <c r="I1651" s="348">
        <f t="shared" si="34"/>
        <v>245931.28</v>
      </c>
      <c r="J1651" s="192" t="s">
        <v>2257</v>
      </c>
    </row>
    <row r="1652" spans="1:10" hidden="1" outlineLevel="1">
      <c r="A1652" s="381" t="s">
        <v>1352</v>
      </c>
      <c r="B1652" s="207">
        <v>9979.3700000000008</v>
      </c>
      <c r="C1652" s="713">
        <v>0</v>
      </c>
      <c r="D1652" s="713">
        <v>0</v>
      </c>
      <c r="E1652" s="713">
        <v>0</v>
      </c>
      <c r="F1652" s="713">
        <v>0</v>
      </c>
      <c r="G1652" s="713">
        <v>0</v>
      </c>
      <c r="H1652" s="713">
        <v>0</v>
      </c>
      <c r="I1652" s="348">
        <f t="shared" si="34"/>
        <v>9979.3700000000008</v>
      </c>
      <c r="J1652" s="192" t="s">
        <v>1353</v>
      </c>
    </row>
    <row r="1653" spans="1:10" hidden="1" outlineLevel="1">
      <c r="A1653" s="381" t="s">
        <v>2258</v>
      </c>
      <c r="B1653" s="207">
        <v>20727.02</v>
      </c>
      <c r="C1653" s="713">
        <v>0</v>
      </c>
      <c r="D1653" s="713">
        <v>0</v>
      </c>
      <c r="E1653" s="713">
        <v>0</v>
      </c>
      <c r="F1653" s="713">
        <v>0</v>
      </c>
      <c r="G1653" s="713">
        <v>0</v>
      </c>
      <c r="H1653" s="713">
        <v>0</v>
      </c>
      <c r="I1653" s="348">
        <f t="shared" si="34"/>
        <v>20727.02</v>
      </c>
      <c r="J1653" s="192" t="s">
        <v>2259</v>
      </c>
    </row>
    <row r="1654" spans="1:10" hidden="1" outlineLevel="1">
      <c r="A1654" s="381" t="s">
        <v>2260</v>
      </c>
      <c r="B1654" s="207">
        <v>1068.4100000000001</v>
      </c>
      <c r="C1654" s="713">
        <v>0</v>
      </c>
      <c r="D1654" s="713">
        <v>0</v>
      </c>
      <c r="E1654" s="713">
        <v>0</v>
      </c>
      <c r="F1654" s="713">
        <v>0</v>
      </c>
      <c r="G1654" s="713">
        <v>0</v>
      </c>
      <c r="H1654" s="713">
        <v>0</v>
      </c>
      <c r="I1654" s="348">
        <f t="shared" si="34"/>
        <v>1068.4100000000001</v>
      </c>
      <c r="J1654" s="192" t="s">
        <v>2261</v>
      </c>
    </row>
    <row r="1655" spans="1:10" hidden="1" outlineLevel="1">
      <c r="A1655" s="381" t="s">
        <v>1784</v>
      </c>
      <c r="B1655" s="207">
        <v>322510.90999999997</v>
      </c>
      <c r="C1655" s="713">
        <v>0</v>
      </c>
      <c r="D1655" s="713">
        <v>0</v>
      </c>
      <c r="E1655" s="713">
        <v>0</v>
      </c>
      <c r="F1655" s="713">
        <v>0</v>
      </c>
      <c r="G1655" s="713">
        <v>0</v>
      </c>
      <c r="H1655" s="713">
        <v>0</v>
      </c>
      <c r="I1655" s="348">
        <f t="shared" si="34"/>
        <v>322510.90999999997</v>
      </c>
      <c r="J1655" s="192" t="s">
        <v>1785</v>
      </c>
    </row>
    <row r="1656" spans="1:10" hidden="1" outlineLevel="1">
      <c r="A1656" s="381" t="s">
        <v>1816</v>
      </c>
      <c r="B1656" s="207">
        <v>249661.63</v>
      </c>
      <c r="C1656" s="713">
        <v>0</v>
      </c>
      <c r="D1656" s="713">
        <v>0</v>
      </c>
      <c r="E1656" s="713">
        <v>0</v>
      </c>
      <c r="F1656" s="713">
        <v>0</v>
      </c>
      <c r="G1656" s="713">
        <v>0</v>
      </c>
      <c r="H1656" s="713">
        <v>0</v>
      </c>
      <c r="I1656" s="348">
        <f t="shared" si="34"/>
        <v>249661.63</v>
      </c>
      <c r="J1656" s="192" t="s">
        <v>1817</v>
      </c>
    </row>
    <row r="1657" spans="1:10" hidden="1" outlineLevel="1">
      <c r="A1657" s="381" t="s">
        <v>1368</v>
      </c>
      <c r="B1657" s="207">
        <v>195704.31</v>
      </c>
      <c r="C1657" s="713">
        <v>0</v>
      </c>
      <c r="D1657" s="713">
        <v>0</v>
      </c>
      <c r="E1657" s="713">
        <v>0</v>
      </c>
      <c r="F1657" s="713">
        <v>0</v>
      </c>
      <c r="G1657" s="713">
        <v>0</v>
      </c>
      <c r="H1657" s="713">
        <v>0</v>
      </c>
      <c r="I1657" s="348">
        <f t="shared" si="34"/>
        <v>195704.31</v>
      </c>
      <c r="J1657" s="192" t="s">
        <v>1369</v>
      </c>
    </row>
    <row r="1658" spans="1:10" hidden="1" outlineLevel="1">
      <c r="A1658" s="381" t="s">
        <v>1534</v>
      </c>
      <c r="B1658" s="207">
        <v>246617.98</v>
      </c>
      <c r="C1658" s="713">
        <v>0</v>
      </c>
      <c r="D1658" s="713">
        <v>0</v>
      </c>
      <c r="E1658" s="713">
        <v>0</v>
      </c>
      <c r="F1658" s="713">
        <v>0</v>
      </c>
      <c r="G1658" s="713">
        <v>0</v>
      </c>
      <c r="H1658" s="713">
        <v>0</v>
      </c>
      <c r="I1658" s="348">
        <f t="shared" ref="I1658:I1704" si="35">SUM(B1658:H1658)</f>
        <v>246617.98</v>
      </c>
      <c r="J1658" s="192" t="s">
        <v>1535</v>
      </c>
    </row>
    <row r="1659" spans="1:10" hidden="1" outlineLevel="1">
      <c r="A1659" s="381" t="s">
        <v>1778</v>
      </c>
      <c r="B1659" s="207">
        <v>882822.36</v>
      </c>
      <c r="C1659" s="713">
        <v>0</v>
      </c>
      <c r="D1659" s="713">
        <v>0</v>
      </c>
      <c r="E1659" s="713">
        <v>0</v>
      </c>
      <c r="F1659" s="713">
        <v>0</v>
      </c>
      <c r="G1659" s="713">
        <v>0</v>
      </c>
      <c r="H1659" s="713">
        <v>0</v>
      </c>
      <c r="I1659" s="348">
        <f t="shared" si="35"/>
        <v>882822.36</v>
      </c>
      <c r="J1659" s="192" t="s">
        <v>1779</v>
      </c>
    </row>
    <row r="1660" spans="1:10" hidden="1" outlineLevel="1">
      <c r="A1660" s="381" t="s">
        <v>799</v>
      </c>
      <c r="B1660" s="207">
        <v>56545.15</v>
      </c>
      <c r="C1660" s="713">
        <v>0</v>
      </c>
      <c r="D1660" s="713">
        <v>0</v>
      </c>
      <c r="E1660" s="713">
        <v>0</v>
      </c>
      <c r="F1660" s="713">
        <v>0</v>
      </c>
      <c r="G1660" s="713">
        <v>0</v>
      </c>
      <c r="H1660" s="713">
        <v>0</v>
      </c>
      <c r="I1660" s="348">
        <f t="shared" si="35"/>
        <v>56545.15</v>
      </c>
      <c r="J1660" s="192" t="s">
        <v>2262</v>
      </c>
    </row>
    <row r="1661" spans="1:10" hidden="1" outlineLevel="1">
      <c r="A1661" s="381" t="s">
        <v>730</v>
      </c>
      <c r="B1661" s="207">
        <v>51487.55</v>
      </c>
      <c r="C1661" s="713">
        <v>0</v>
      </c>
      <c r="D1661" s="713">
        <v>0</v>
      </c>
      <c r="E1661" s="713">
        <v>0</v>
      </c>
      <c r="F1661" s="713">
        <v>0</v>
      </c>
      <c r="G1661" s="713">
        <v>0</v>
      </c>
      <c r="H1661" s="713">
        <v>0</v>
      </c>
      <c r="I1661" s="348">
        <f t="shared" si="35"/>
        <v>51487.55</v>
      </c>
      <c r="J1661" s="192" t="s">
        <v>731</v>
      </c>
    </row>
    <row r="1662" spans="1:10" hidden="1" outlineLevel="1">
      <c r="A1662" s="381" t="s">
        <v>1450</v>
      </c>
      <c r="B1662" s="207">
        <v>866248.59</v>
      </c>
      <c r="C1662" s="713">
        <v>0</v>
      </c>
      <c r="D1662" s="713">
        <v>0</v>
      </c>
      <c r="E1662" s="713">
        <v>0</v>
      </c>
      <c r="F1662" s="713">
        <v>0</v>
      </c>
      <c r="G1662" s="713">
        <v>0</v>
      </c>
      <c r="H1662" s="713">
        <v>0</v>
      </c>
      <c r="I1662" s="348">
        <f t="shared" si="35"/>
        <v>866248.59</v>
      </c>
      <c r="J1662" s="192" t="s">
        <v>1451</v>
      </c>
    </row>
    <row r="1663" spans="1:10" hidden="1" outlineLevel="1">
      <c r="A1663" s="381" t="s">
        <v>2263</v>
      </c>
      <c r="B1663" s="207">
        <v>78685.33</v>
      </c>
      <c r="C1663" s="713">
        <v>0</v>
      </c>
      <c r="D1663" s="713">
        <v>0</v>
      </c>
      <c r="E1663" s="713">
        <v>0</v>
      </c>
      <c r="F1663" s="714">
        <v>0</v>
      </c>
      <c r="G1663" s="713">
        <v>0</v>
      </c>
      <c r="H1663" s="713">
        <v>0</v>
      </c>
      <c r="I1663" s="348">
        <f t="shared" si="35"/>
        <v>78685.33</v>
      </c>
      <c r="J1663" s="192" t="s">
        <v>2264</v>
      </c>
    </row>
    <row r="1664" spans="1:10" hidden="1" outlineLevel="1">
      <c r="A1664" s="381" t="s">
        <v>2265</v>
      </c>
      <c r="B1664" s="207">
        <v>15897.44</v>
      </c>
      <c r="C1664" s="713">
        <v>0</v>
      </c>
      <c r="D1664" s="713">
        <v>0</v>
      </c>
      <c r="E1664" s="713">
        <v>0</v>
      </c>
      <c r="F1664" s="713">
        <v>0</v>
      </c>
      <c r="G1664" s="713">
        <v>0</v>
      </c>
      <c r="H1664" s="713">
        <v>0</v>
      </c>
      <c r="I1664" s="348">
        <f t="shared" si="35"/>
        <v>15897.44</v>
      </c>
      <c r="J1664" s="192" t="s">
        <v>2266</v>
      </c>
    </row>
    <row r="1665" spans="1:10" hidden="1" outlineLevel="1">
      <c r="A1665" s="381" t="s">
        <v>1520</v>
      </c>
      <c r="B1665" s="207">
        <v>248365.89</v>
      </c>
      <c r="C1665" s="713">
        <v>0</v>
      </c>
      <c r="D1665" s="713">
        <v>0</v>
      </c>
      <c r="E1665" s="713">
        <v>0</v>
      </c>
      <c r="F1665" s="713">
        <v>0</v>
      </c>
      <c r="G1665" s="713">
        <v>0</v>
      </c>
      <c r="H1665" s="713">
        <v>62.11</v>
      </c>
      <c r="I1665" s="348">
        <f t="shared" si="35"/>
        <v>248428</v>
      </c>
      <c r="J1665" s="192" t="s">
        <v>1521</v>
      </c>
    </row>
    <row r="1666" spans="1:10" hidden="1" outlineLevel="1">
      <c r="A1666" s="381" t="s">
        <v>1394</v>
      </c>
      <c r="B1666" s="207">
        <v>243072.33</v>
      </c>
      <c r="C1666" s="713">
        <v>0</v>
      </c>
      <c r="D1666" s="713">
        <v>0</v>
      </c>
      <c r="E1666" s="713">
        <v>0</v>
      </c>
      <c r="F1666" s="713">
        <v>0</v>
      </c>
      <c r="G1666" s="713">
        <v>0</v>
      </c>
      <c r="H1666" s="713">
        <v>0</v>
      </c>
      <c r="I1666" s="348">
        <f t="shared" si="35"/>
        <v>243072.33</v>
      </c>
      <c r="J1666" s="192" t="s">
        <v>1395</v>
      </c>
    </row>
    <row r="1667" spans="1:10" hidden="1" outlineLevel="1">
      <c r="A1667" s="381" t="s">
        <v>943</v>
      </c>
      <c r="B1667" s="207">
        <v>792990.63</v>
      </c>
      <c r="C1667" s="713">
        <v>0</v>
      </c>
      <c r="D1667" s="713">
        <v>0</v>
      </c>
      <c r="E1667" s="713">
        <v>0</v>
      </c>
      <c r="F1667" s="713">
        <v>1120556.1000000001</v>
      </c>
      <c r="G1667" s="713">
        <v>0</v>
      </c>
      <c r="H1667" s="713">
        <v>0</v>
      </c>
      <c r="I1667" s="348">
        <f t="shared" si="35"/>
        <v>1913546.73</v>
      </c>
      <c r="J1667" s="192" t="s">
        <v>944</v>
      </c>
    </row>
    <row r="1668" spans="1:10" hidden="1" outlineLevel="1">
      <c r="A1668" s="381" t="s">
        <v>1046</v>
      </c>
      <c r="B1668" s="207">
        <v>784442.98</v>
      </c>
      <c r="C1668" s="713">
        <v>0</v>
      </c>
      <c r="D1668" s="713">
        <v>0</v>
      </c>
      <c r="E1668" s="713">
        <v>0</v>
      </c>
      <c r="F1668" s="713">
        <v>0</v>
      </c>
      <c r="G1668" s="713">
        <v>0</v>
      </c>
      <c r="H1668" s="713">
        <v>0</v>
      </c>
      <c r="I1668" s="348">
        <f t="shared" si="35"/>
        <v>784442.98</v>
      </c>
      <c r="J1668" s="192" t="s">
        <v>1047</v>
      </c>
    </row>
    <row r="1669" spans="1:10" hidden="1" outlineLevel="1">
      <c r="A1669" s="381" t="s">
        <v>1770</v>
      </c>
      <c r="B1669" s="207">
        <v>175533.07</v>
      </c>
      <c r="C1669" s="713">
        <v>0</v>
      </c>
      <c r="D1669" s="713">
        <v>0</v>
      </c>
      <c r="E1669" s="713">
        <v>0</v>
      </c>
      <c r="F1669" s="713">
        <v>0</v>
      </c>
      <c r="G1669" s="713">
        <v>0</v>
      </c>
      <c r="H1669" s="713">
        <v>0</v>
      </c>
      <c r="I1669" s="348">
        <f t="shared" si="35"/>
        <v>175533.07</v>
      </c>
      <c r="J1669" s="192" t="s">
        <v>1771</v>
      </c>
    </row>
    <row r="1670" spans="1:10" hidden="1" outlineLevel="1">
      <c r="A1670" s="381" t="s">
        <v>2267</v>
      </c>
      <c r="B1670" s="207">
        <v>21143.42</v>
      </c>
      <c r="C1670" s="713">
        <v>0</v>
      </c>
      <c r="D1670" s="713">
        <v>0</v>
      </c>
      <c r="E1670" s="713">
        <v>0</v>
      </c>
      <c r="F1670" s="713">
        <v>0</v>
      </c>
      <c r="G1670" s="713">
        <v>0</v>
      </c>
      <c r="H1670" s="713">
        <v>0</v>
      </c>
      <c r="I1670" s="348">
        <f t="shared" si="35"/>
        <v>21143.42</v>
      </c>
      <c r="J1670" s="192" t="s">
        <v>2268</v>
      </c>
    </row>
    <row r="1671" spans="1:10" hidden="1" outlineLevel="1">
      <c r="A1671" s="381" t="s">
        <v>1030</v>
      </c>
      <c r="B1671" s="207">
        <v>189079.82</v>
      </c>
      <c r="C1671" s="713">
        <v>0</v>
      </c>
      <c r="D1671" s="713">
        <v>0</v>
      </c>
      <c r="E1671" s="713">
        <v>0</v>
      </c>
      <c r="F1671" s="713">
        <v>0</v>
      </c>
      <c r="G1671" s="713">
        <v>0</v>
      </c>
      <c r="H1671" s="713">
        <v>0</v>
      </c>
      <c r="I1671" s="348">
        <f t="shared" si="35"/>
        <v>189079.82</v>
      </c>
      <c r="J1671" s="192" t="s">
        <v>1031</v>
      </c>
    </row>
    <row r="1672" spans="1:10" hidden="1" outlineLevel="1">
      <c r="A1672" s="381" t="s">
        <v>2269</v>
      </c>
      <c r="B1672" s="207">
        <v>15038.78</v>
      </c>
      <c r="C1672" s="713">
        <v>0</v>
      </c>
      <c r="D1672" s="713">
        <v>0</v>
      </c>
      <c r="E1672" s="713">
        <v>0</v>
      </c>
      <c r="F1672" s="713">
        <v>0</v>
      </c>
      <c r="G1672" s="713">
        <v>0</v>
      </c>
      <c r="H1672" s="713">
        <v>0</v>
      </c>
      <c r="I1672" s="348">
        <f t="shared" si="35"/>
        <v>15038.78</v>
      </c>
      <c r="J1672" s="192" t="s">
        <v>2270</v>
      </c>
    </row>
    <row r="1673" spans="1:10" hidden="1" outlineLevel="1">
      <c r="A1673" s="381" t="s">
        <v>839</v>
      </c>
      <c r="B1673" s="207">
        <v>559468.13</v>
      </c>
      <c r="C1673" s="713">
        <v>0</v>
      </c>
      <c r="D1673" s="713">
        <v>0</v>
      </c>
      <c r="E1673" s="713">
        <v>0</v>
      </c>
      <c r="F1673" s="713">
        <v>0</v>
      </c>
      <c r="G1673" s="713">
        <v>0</v>
      </c>
      <c r="H1673" s="713">
        <v>0</v>
      </c>
      <c r="I1673" s="348">
        <f t="shared" si="35"/>
        <v>559468.13</v>
      </c>
      <c r="J1673" s="192" t="s">
        <v>1311</v>
      </c>
    </row>
    <row r="1674" spans="1:10" hidden="1" outlineLevel="1">
      <c r="A1674" s="381" t="s">
        <v>1273</v>
      </c>
      <c r="B1674" s="207">
        <v>372472.73</v>
      </c>
      <c r="C1674" s="713">
        <v>0</v>
      </c>
      <c r="D1674" s="713">
        <v>0</v>
      </c>
      <c r="E1674" s="713">
        <v>0</v>
      </c>
      <c r="F1674" s="713">
        <v>0</v>
      </c>
      <c r="G1674" s="713">
        <v>0</v>
      </c>
      <c r="H1674" s="713">
        <v>0</v>
      </c>
      <c r="I1674" s="348">
        <f t="shared" si="35"/>
        <v>372472.73</v>
      </c>
      <c r="J1674" s="192" t="s">
        <v>1274</v>
      </c>
    </row>
    <row r="1675" spans="1:10" hidden="1" outlineLevel="1">
      <c r="A1675" s="381" t="s">
        <v>1480</v>
      </c>
      <c r="B1675" s="207">
        <v>30259.27</v>
      </c>
      <c r="C1675" s="713">
        <v>0</v>
      </c>
      <c r="D1675" s="713">
        <v>0</v>
      </c>
      <c r="E1675" s="713">
        <v>0</v>
      </c>
      <c r="F1675" s="713">
        <v>0</v>
      </c>
      <c r="G1675" s="713">
        <v>0</v>
      </c>
      <c r="H1675" s="713">
        <v>0</v>
      </c>
      <c r="I1675" s="348">
        <f t="shared" si="35"/>
        <v>30259.27</v>
      </c>
      <c r="J1675" s="192" t="s">
        <v>1481</v>
      </c>
    </row>
    <row r="1676" spans="1:10" hidden="1" outlineLevel="1">
      <c r="A1676" s="381" t="s">
        <v>1271</v>
      </c>
      <c r="B1676" s="207">
        <v>286241.31</v>
      </c>
      <c r="C1676" s="713">
        <v>0</v>
      </c>
      <c r="D1676" s="713">
        <v>0</v>
      </c>
      <c r="E1676" s="713">
        <v>0</v>
      </c>
      <c r="F1676" s="713">
        <v>0</v>
      </c>
      <c r="G1676" s="713">
        <v>0</v>
      </c>
      <c r="H1676" s="713">
        <v>0</v>
      </c>
      <c r="I1676" s="348">
        <f t="shared" si="35"/>
        <v>286241.31</v>
      </c>
      <c r="J1676" s="192" t="s">
        <v>1272</v>
      </c>
    </row>
    <row r="1677" spans="1:10" hidden="1" outlineLevel="1">
      <c r="A1677" s="381" t="s">
        <v>1488</v>
      </c>
      <c r="B1677" s="207">
        <v>395365.38</v>
      </c>
      <c r="C1677" s="713">
        <v>0</v>
      </c>
      <c r="D1677" s="713">
        <v>0</v>
      </c>
      <c r="E1677" s="713">
        <v>0</v>
      </c>
      <c r="F1677" s="713">
        <v>0</v>
      </c>
      <c r="G1677" s="713">
        <v>0</v>
      </c>
      <c r="H1677" s="713">
        <v>0</v>
      </c>
      <c r="I1677" s="348">
        <f t="shared" si="35"/>
        <v>395365.38</v>
      </c>
      <c r="J1677" s="192" t="s">
        <v>1489</v>
      </c>
    </row>
    <row r="1678" spans="1:10" hidden="1" outlineLevel="1">
      <c r="A1678" s="381" t="s">
        <v>1782</v>
      </c>
      <c r="B1678" s="207">
        <v>470338.82</v>
      </c>
      <c r="C1678" s="713">
        <v>0</v>
      </c>
      <c r="D1678" s="713">
        <v>0</v>
      </c>
      <c r="E1678" s="713">
        <v>0</v>
      </c>
      <c r="F1678" s="713">
        <v>0</v>
      </c>
      <c r="G1678" s="713">
        <v>0</v>
      </c>
      <c r="H1678" s="713">
        <v>0</v>
      </c>
      <c r="I1678" s="348">
        <f t="shared" si="35"/>
        <v>470338.82</v>
      </c>
      <c r="J1678" s="192" t="s">
        <v>1783</v>
      </c>
    </row>
    <row r="1679" spans="1:10" hidden="1" outlineLevel="1">
      <c r="A1679" s="381" t="s">
        <v>1472</v>
      </c>
      <c r="B1679" s="207">
        <v>48831.9</v>
      </c>
      <c r="C1679" s="713">
        <v>0</v>
      </c>
      <c r="D1679" s="713">
        <v>0</v>
      </c>
      <c r="E1679" s="713">
        <v>0</v>
      </c>
      <c r="F1679" s="713">
        <v>0</v>
      </c>
      <c r="G1679" s="713">
        <v>0</v>
      </c>
      <c r="H1679" s="713">
        <v>0</v>
      </c>
      <c r="I1679" s="348">
        <f t="shared" si="35"/>
        <v>48831.9</v>
      </c>
      <c r="J1679" s="192" t="s">
        <v>1473</v>
      </c>
    </row>
    <row r="1680" spans="1:10" hidden="1" outlineLevel="1">
      <c r="A1680" s="381" t="s">
        <v>1692</v>
      </c>
      <c r="B1680" s="207">
        <v>121633.11</v>
      </c>
      <c r="C1680" s="713">
        <v>0</v>
      </c>
      <c r="D1680" s="713">
        <v>0</v>
      </c>
      <c r="E1680" s="713">
        <v>0</v>
      </c>
      <c r="F1680" s="713">
        <v>0</v>
      </c>
      <c r="G1680" s="713">
        <v>0</v>
      </c>
      <c r="H1680" s="713">
        <v>0</v>
      </c>
      <c r="I1680" s="348">
        <f t="shared" si="35"/>
        <v>121633.11</v>
      </c>
      <c r="J1680" s="192" t="s">
        <v>1693</v>
      </c>
    </row>
    <row r="1681" spans="1:10" hidden="1" outlineLevel="1">
      <c r="A1681" s="381" t="s">
        <v>2271</v>
      </c>
      <c r="B1681" s="207">
        <v>47236.41</v>
      </c>
      <c r="C1681" s="713">
        <v>0</v>
      </c>
      <c r="D1681" s="713">
        <v>0</v>
      </c>
      <c r="E1681" s="713">
        <v>0</v>
      </c>
      <c r="F1681" s="713">
        <v>0</v>
      </c>
      <c r="G1681" s="713">
        <v>0</v>
      </c>
      <c r="H1681" s="713">
        <v>0</v>
      </c>
      <c r="I1681" s="348">
        <f t="shared" si="35"/>
        <v>47236.41</v>
      </c>
      <c r="J1681" s="192" t="s">
        <v>2272</v>
      </c>
    </row>
    <row r="1682" spans="1:10" hidden="1" outlineLevel="1">
      <c r="A1682" s="381" t="s">
        <v>1687</v>
      </c>
      <c r="B1682" s="207">
        <v>152708.57</v>
      </c>
      <c r="C1682" s="713">
        <v>0</v>
      </c>
      <c r="D1682" s="713">
        <v>0</v>
      </c>
      <c r="E1682" s="713">
        <v>0</v>
      </c>
      <c r="F1682" s="713">
        <v>0</v>
      </c>
      <c r="G1682" s="713">
        <v>0</v>
      </c>
      <c r="H1682" s="713">
        <v>0</v>
      </c>
      <c r="I1682" s="348">
        <f t="shared" si="35"/>
        <v>152708.57</v>
      </c>
      <c r="J1682" s="192" t="s">
        <v>1688</v>
      </c>
    </row>
    <row r="1683" spans="1:10" hidden="1" outlineLevel="1">
      <c r="A1683" s="381" t="s">
        <v>2273</v>
      </c>
      <c r="B1683" s="207">
        <v>228657.22</v>
      </c>
      <c r="C1683" s="713">
        <v>0</v>
      </c>
      <c r="D1683" s="713">
        <v>0</v>
      </c>
      <c r="E1683" s="713">
        <v>0</v>
      </c>
      <c r="F1683" s="714">
        <v>0</v>
      </c>
      <c r="G1683" s="713">
        <v>0</v>
      </c>
      <c r="H1683" s="713">
        <v>0</v>
      </c>
      <c r="I1683" s="348">
        <f t="shared" si="35"/>
        <v>228657.22</v>
      </c>
      <c r="J1683" s="192" t="s">
        <v>2274</v>
      </c>
    </row>
    <row r="1684" spans="1:10" hidden="1" outlineLevel="1">
      <c r="A1684" s="381" t="s">
        <v>1498</v>
      </c>
      <c r="B1684" s="207">
        <v>16099.15</v>
      </c>
      <c r="C1684" s="713">
        <v>0</v>
      </c>
      <c r="D1684" s="713">
        <v>0</v>
      </c>
      <c r="E1684" s="713">
        <v>0</v>
      </c>
      <c r="F1684" s="713">
        <v>0</v>
      </c>
      <c r="G1684" s="713">
        <v>0</v>
      </c>
      <c r="H1684" s="713">
        <v>0</v>
      </c>
      <c r="I1684" s="348">
        <f t="shared" si="35"/>
        <v>16099.15</v>
      </c>
      <c r="J1684" s="192" t="s">
        <v>1499</v>
      </c>
    </row>
    <row r="1685" spans="1:10" hidden="1" outlineLevel="1">
      <c r="A1685" s="381" t="s">
        <v>1508</v>
      </c>
      <c r="B1685" s="207">
        <v>417053.69</v>
      </c>
      <c r="C1685" s="713">
        <v>0</v>
      </c>
      <c r="D1685" s="713">
        <v>0</v>
      </c>
      <c r="E1685" s="713">
        <v>0</v>
      </c>
      <c r="F1685" s="713">
        <v>0</v>
      </c>
      <c r="G1685" s="713">
        <v>0</v>
      </c>
      <c r="H1685" s="713">
        <v>0</v>
      </c>
      <c r="I1685" s="348">
        <f t="shared" si="35"/>
        <v>417053.69</v>
      </c>
      <c r="J1685" s="192" t="s">
        <v>1509</v>
      </c>
    </row>
    <row r="1686" spans="1:10" hidden="1" outlineLevel="1">
      <c r="A1686" s="381" t="s">
        <v>1305</v>
      </c>
      <c r="B1686" s="207">
        <v>794837.02</v>
      </c>
      <c r="C1686" s="713">
        <v>0</v>
      </c>
      <c r="D1686" s="713">
        <v>0</v>
      </c>
      <c r="E1686" s="713">
        <v>0</v>
      </c>
      <c r="F1686" s="713">
        <v>0</v>
      </c>
      <c r="G1686" s="713">
        <v>0</v>
      </c>
      <c r="H1686" s="713">
        <v>0</v>
      </c>
      <c r="I1686" s="348">
        <f t="shared" si="35"/>
        <v>794837.02</v>
      </c>
      <c r="J1686" s="192" t="s">
        <v>1306</v>
      </c>
    </row>
    <row r="1687" spans="1:10" hidden="1" outlineLevel="1">
      <c r="A1687" s="381" t="s">
        <v>1810</v>
      </c>
      <c r="B1687" s="207">
        <v>182103.46</v>
      </c>
      <c r="C1687" s="713">
        <v>0</v>
      </c>
      <c r="D1687" s="713">
        <v>0</v>
      </c>
      <c r="E1687" s="713">
        <v>0</v>
      </c>
      <c r="F1687" s="713">
        <v>0</v>
      </c>
      <c r="G1687" s="713">
        <v>0</v>
      </c>
      <c r="H1687" s="713">
        <v>0</v>
      </c>
      <c r="I1687" s="348">
        <f t="shared" si="35"/>
        <v>182103.46</v>
      </c>
      <c r="J1687" s="192" t="s">
        <v>1811</v>
      </c>
    </row>
    <row r="1688" spans="1:10" hidden="1" outlineLevel="1">
      <c r="A1688" s="381" t="s">
        <v>542</v>
      </c>
      <c r="B1688" s="207">
        <v>1.18</v>
      </c>
      <c r="C1688" s="713">
        <v>0</v>
      </c>
      <c r="D1688" s="713">
        <v>0</v>
      </c>
      <c r="E1688" s="713">
        <v>0</v>
      </c>
      <c r="F1688" s="713">
        <v>0</v>
      </c>
      <c r="G1688" s="713">
        <v>0</v>
      </c>
      <c r="H1688" s="713">
        <v>0</v>
      </c>
      <c r="I1688" s="348">
        <f t="shared" si="35"/>
        <v>1.18</v>
      </c>
      <c r="J1688" s="192" t="s">
        <v>543</v>
      </c>
    </row>
    <row r="1689" spans="1:10" hidden="1" outlineLevel="1">
      <c r="A1689" s="381" t="s">
        <v>2275</v>
      </c>
      <c r="B1689" s="207">
        <v>149991.25</v>
      </c>
      <c r="C1689" s="713">
        <v>0</v>
      </c>
      <c r="D1689" s="713">
        <v>0</v>
      </c>
      <c r="E1689" s="713">
        <v>0</v>
      </c>
      <c r="F1689" s="713">
        <v>0</v>
      </c>
      <c r="G1689" s="713">
        <v>0</v>
      </c>
      <c r="H1689" s="713">
        <v>0</v>
      </c>
      <c r="I1689" s="348">
        <f t="shared" si="35"/>
        <v>149991.25</v>
      </c>
      <c r="J1689" s="192" t="s">
        <v>2276</v>
      </c>
    </row>
    <row r="1690" spans="1:10" hidden="1" outlineLevel="1">
      <c r="A1690" s="381" t="s">
        <v>726</v>
      </c>
      <c r="B1690" s="207">
        <v>80938.31</v>
      </c>
      <c r="C1690" s="713">
        <v>0</v>
      </c>
      <c r="D1690" s="713">
        <v>0</v>
      </c>
      <c r="E1690" s="713">
        <v>0</v>
      </c>
      <c r="F1690" s="713">
        <v>0</v>
      </c>
      <c r="G1690" s="713">
        <v>0</v>
      </c>
      <c r="H1690" s="713">
        <v>0</v>
      </c>
      <c r="I1690" s="348">
        <f t="shared" si="35"/>
        <v>80938.31</v>
      </c>
      <c r="J1690" s="192" t="s">
        <v>727</v>
      </c>
    </row>
    <row r="1691" spans="1:10" hidden="1" outlineLevel="1">
      <c r="A1691" s="381" t="s">
        <v>1370</v>
      </c>
      <c r="B1691" s="207">
        <v>63417.9</v>
      </c>
      <c r="C1691" s="713">
        <v>0</v>
      </c>
      <c r="D1691" s="713">
        <v>0</v>
      </c>
      <c r="E1691" s="713">
        <v>0</v>
      </c>
      <c r="F1691" s="713">
        <v>0</v>
      </c>
      <c r="G1691" s="713">
        <v>0</v>
      </c>
      <c r="H1691" s="713">
        <v>0</v>
      </c>
      <c r="I1691" s="348">
        <f t="shared" si="35"/>
        <v>63417.9</v>
      </c>
      <c r="J1691" s="192" t="s">
        <v>1371</v>
      </c>
    </row>
    <row r="1692" spans="1:10" hidden="1" outlineLevel="1">
      <c r="A1692" s="381" t="s">
        <v>1522</v>
      </c>
      <c r="B1692" s="207">
        <v>791528.95</v>
      </c>
      <c r="C1692" s="713">
        <v>0</v>
      </c>
      <c r="D1692" s="713">
        <v>0</v>
      </c>
      <c r="E1692" s="713">
        <v>0</v>
      </c>
      <c r="F1692" s="713">
        <v>0</v>
      </c>
      <c r="G1692" s="713">
        <v>0</v>
      </c>
      <c r="H1692" s="713">
        <v>0</v>
      </c>
      <c r="I1692" s="348">
        <f t="shared" si="35"/>
        <v>791528.95</v>
      </c>
      <c r="J1692" s="192" t="s">
        <v>1523</v>
      </c>
    </row>
    <row r="1693" spans="1:10" hidden="1" outlineLevel="1">
      <c r="A1693" s="381" t="s">
        <v>1223</v>
      </c>
      <c r="B1693" s="207">
        <v>169912.29</v>
      </c>
      <c r="C1693" s="713">
        <v>0</v>
      </c>
      <c r="D1693" s="713">
        <v>0</v>
      </c>
      <c r="E1693" s="713">
        <v>0</v>
      </c>
      <c r="F1693" s="713">
        <v>0</v>
      </c>
      <c r="G1693" s="713">
        <v>0</v>
      </c>
      <c r="H1693" s="713">
        <v>0</v>
      </c>
      <c r="I1693" s="348">
        <f t="shared" si="35"/>
        <v>169912.29</v>
      </c>
      <c r="J1693" s="192" t="s">
        <v>1224</v>
      </c>
    </row>
    <row r="1694" spans="1:10" hidden="1" outlineLevel="1">
      <c r="A1694" s="381" t="s">
        <v>1432</v>
      </c>
      <c r="B1694" s="207">
        <v>184257.26</v>
      </c>
      <c r="C1694" s="713">
        <v>0</v>
      </c>
      <c r="D1694" s="713">
        <v>0</v>
      </c>
      <c r="E1694" s="713">
        <v>0</v>
      </c>
      <c r="F1694" s="713">
        <v>0</v>
      </c>
      <c r="G1694" s="713">
        <v>0</v>
      </c>
      <c r="H1694" s="713">
        <v>0</v>
      </c>
      <c r="I1694" s="348">
        <f t="shared" si="35"/>
        <v>184257.26</v>
      </c>
      <c r="J1694" s="192" t="s">
        <v>1433</v>
      </c>
    </row>
    <row r="1695" spans="1:10" hidden="1" outlineLevel="1">
      <c r="A1695" s="381" t="s">
        <v>1364</v>
      </c>
      <c r="B1695" s="207">
        <v>199291.88</v>
      </c>
      <c r="C1695" s="713">
        <v>0</v>
      </c>
      <c r="D1695" s="713">
        <v>0</v>
      </c>
      <c r="E1695" s="713">
        <v>0</v>
      </c>
      <c r="F1695" s="713">
        <v>0</v>
      </c>
      <c r="G1695" s="713">
        <v>0</v>
      </c>
      <c r="H1695" s="713">
        <v>0</v>
      </c>
      <c r="I1695" s="348">
        <f t="shared" si="35"/>
        <v>199291.88</v>
      </c>
      <c r="J1695" s="192" t="s">
        <v>1365</v>
      </c>
    </row>
    <row r="1696" spans="1:10" hidden="1" outlineLevel="1">
      <c r="A1696" s="381" t="s">
        <v>1822</v>
      </c>
      <c r="B1696" s="207">
        <v>171586.1</v>
      </c>
      <c r="C1696" s="713">
        <v>0</v>
      </c>
      <c r="D1696" s="713">
        <v>0</v>
      </c>
      <c r="E1696" s="713">
        <v>0</v>
      </c>
      <c r="F1696" s="713">
        <v>0</v>
      </c>
      <c r="G1696" s="713">
        <v>0</v>
      </c>
      <c r="H1696" s="713">
        <v>0</v>
      </c>
      <c r="I1696" s="348">
        <f t="shared" si="35"/>
        <v>171586.1</v>
      </c>
      <c r="J1696" s="192" t="s">
        <v>1823</v>
      </c>
    </row>
    <row r="1697" spans="1:10" hidden="1" outlineLevel="1">
      <c r="A1697" s="381" t="s">
        <v>1285</v>
      </c>
      <c r="B1697" s="207">
        <v>154803.68</v>
      </c>
      <c r="C1697" s="713">
        <v>0</v>
      </c>
      <c r="D1697" s="713">
        <v>0</v>
      </c>
      <c r="E1697" s="713">
        <v>0</v>
      </c>
      <c r="F1697" s="713">
        <v>0</v>
      </c>
      <c r="G1697" s="713">
        <v>0</v>
      </c>
      <c r="H1697" s="713">
        <v>0</v>
      </c>
      <c r="I1697" s="348">
        <f t="shared" si="35"/>
        <v>154803.68</v>
      </c>
      <c r="J1697" s="192" t="s">
        <v>1286</v>
      </c>
    </row>
    <row r="1698" spans="1:10" hidden="1" outlineLevel="1">
      <c r="A1698" s="381" t="s">
        <v>768</v>
      </c>
      <c r="B1698" s="207">
        <v>52348.19</v>
      </c>
      <c r="C1698" s="713">
        <v>0</v>
      </c>
      <c r="D1698" s="713">
        <v>0</v>
      </c>
      <c r="E1698" s="713">
        <v>0</v>
      </c>
      <c r="F1698" s="713">
        <v>0</v>
      </c>
      <c r="G1698" s="713">
        <v>0</v>
      </c>
      <c r="H1698" s="713">
        <v>0</v>
      </c>
      <c r="I1698" s="348">
        <f t="shared" si="35"/>
        <v>52348.19</v>
      </c>
      <c r="J1698" s="192" t="s">
        <v>769</v>
      </c>
    </row>
    <row r="1699" spans="1:10" hidden="1" outlineLevel="1">
      <c r="A1699" s="381" t="s">
        <v>2277</v>
      </c>
      <c r="B1699" s="207">
        <v>31662.86</v>
      </c>
      <c r="C1699" s="713">
        <v>0</v>
      </c>
      <c r="D1699" s="713">
        <v>0</v>
      </c>
      <c r="E1699" s="713">
        <v>0</v>
      </c>
      <c r="F1699" s="713">
        <v>0</v>
      </c>
      <c r="G1699" s="713">
        <v>0</v>
      </c>
      <c r="H1699" s="713">
        <v>0</v>
      </c>
      <c r="I1699" s="348">
        <f t="shared" si="35"/>
        <v>31662.86</v>
      </c>
      <c r="J1699" s="192" t="s">
        <v>2278</v>
      </c>
    </row>
    <row r="1700" spans="1:10" hidden="1" outlineLevel="1">
      <c r="A1700" s="381" t="s">
        <v>2279</v>
      </c>
      <c r="B1700" s="207">
        <v>87864.21</v>
      </c>
      <c r="C1700" s="713">
        <v>0</v>
      </c>
      <c r="D1700" s="713">
        <v>0</v>
      </c>
      <c r="E1700" s="713">
        <v>0</v>
      </c>
      <c r="F1700" s="713">
        <v>0</v>
      </c>
      <c r="G1700" s="713">
        <v>0</v>
      </c>
      <c r="H1700" s="713">
        <v>0</v>
      </c>
      <c r="I1700" s="348">
        <f t="shared" si="35"/>
        <v>87864.21</v>
      </c>
      <c r="J1700" s="192" t="s">
        <v>2280</v>
      </c>
    </row>
    <row r="1701" spans="1:10" hidden="1" outlineLevel="1">
      <c r="A1701" s="381" t="s">
        <v>2281</v>
      </c>
      <c r="B1701" s="207">
        <v>8959.56</v>
      </c>
      <c r="C1701" s="713">
        <v>0</v>
      </c>
      <c r="D1701" s="713">
        <v>0</v>
      </c>
      <c r="E1701" s="713">
        <v>0</v>
      </c>
      <c r="F1701" s="713">
        <v>0</v>
      </c>
      <c r="G1701" s="713">
        <v>0</v>
      </c>
      <c r="H1701" s="713">
        <v>0</v>
      </c>
      <c r="I1701" s="348">
        <f t="shared" si="35"/>
        <v>8959.56</v>
      </c>
      <c r="J1701" s="192" t="s">
        <v>2282</v>
      </c>
    </row>
    <row r="1702" spans="1:10" hidden="1" outlineLevel="1">
      <c r="A1702" s="381" t="s">
        <v>1826</v>
      </c>
      <c r="B1702" s="207">
        <v>598733.86</v>
      </c>
      <c r="C1702" s="713">
        <v>0</v>
      </c>
      <c r="D1702" s="713">
        <v>0</v>
      </c>
      <c r="E1702" s="713">
        <v>0</v>
      </c>
      <c r="F1702" s="713">
        <v>0</v>
      </c>
      <c r="G1702" s="713">
        <v>0</v>
      </c>
      <c r="H1702" s="713">
        <v>0</v>
      </c>
      <c r="I1702" s="348">
        <f t="shared" si="35"/>
        <v>598733.86</v>
      </c>
      <c r="J1702" s="192" t="s">
        <v>1827</v>
      </c>
    </row>
    <row r="1703" spans="1:10" hidden="1" outlineLevel="1">
      <c r="A1703" s="381" t="s">
        <v>2283</v>
      </c>
      <c r="B1703" s="207">
        <v>78824.41</v>
      </c>
      <c r="C1703" s="713">
        <v>0</v>
      </c>
      <c r="D1703" s="713">
        <v>0</v>
      </c>
      <c r="E1703" s="713">
        <v>0</v>
      </c>
      <c r="F1703" s="713">
        <v>0</v>
      </c>
      <c r="G1703" s="713">
        <v>0</v>
      </c>
      <c r="H1703" s="713">
        <v>0</v>
      </c>
      <c r="I1703" s="348">
        <f t="shared" si="35"/>
        <v>78824.41</v>
      </c>
      <c r="J1703" s="192" t="s">
        <v>2284</v>
      </c>
    </row>
    <row r="1704" spans="1:10" hidden="1" outlineLevel="1">
      <c r="A1704" s="381" t="s">
        <v>2285</v>
      </c>
      <c r="B1704" s="207">
        <v>1925.95</v>
      </c>
      <c r="C1704" s="713">
        <v>0</v>
      </c>
      <c r="D1704" s="713">
        <v>0</v>
      </c>
      <c r="E1704" s="713">
        <v>0</v>
      </c>
      <c r="F1704" s="713">
        <v>0</v>
      </c>
      <c r="G1704" s="713">
        <v>0</v>
      </c>
      <c r="H1704" s="713">
        <v>0</v>
      </c>
      <c r="I1704" s="348">
        <f t="shared" si="35"/>
        <v>1925.95</v>
      </c>
      <c r="J1704" s="192" t="s">
        <v>2286</v>
      </c>
    </row>
    <row r="1705" spans="1:10" ht="13.5" collapsed="1" thickBot="1">
      <c r="A1705" s="387" t="str">
        <f>A784</f>
        <v>Regelzone TransnetBW (gesamt)</v>
      </c>
      <c r="B1705" s="201">
        <f>SUM(B1706:B1843)</f>
        <v>124958010.98000002</v>
      </c>
      <c r="C1705" s="202">
        <f>SUM(C1706:C1843)</f>
        <v>0</v>
      </c>
      <c r="D1705" s="202">
        <f>SUM(D1706:D1843)</f>
        <v>0</v>
      </c>
      <c r="E1705" s="202">
        <f>SUM(E1706:E1843)</f>
        <v>0</v>
      </c>
      <c r="F1705" s="202">
        <f t="shared" ref="F1705:H1705" si="36">SUM(F1706:F1843)</f>
        <v>629531.92000000004</v>
      </c>
      <c r="G1705" s="202">
        <f t="shared" si="36"/>
        <v>1110.22</v>
      </c>
      <c r="H1705" s="202">
        <f t="shared" si="36"/>
        <v>0</v>
      </c>
      <c r="I1705" s="534">
        <f>SUM(B1705:H1705)</f>
        <v>125588653.12000002</v>
      </c>
    </row>
    <row r="1706" spans="1:10" hidden="1" outlineLevel="1">
      <c r="A1706" s="381" t="s">
        <v>1829</v>
      </c>
      <c r="B1706" s="207">
        <v>620892.66</v>
      </c>
      <c r="C1706" s="125">
        <v>0</v>
      </c>
      <c r="D1706" s="125">
        <v>0</v>
      </c>
      <c r="E1706" s="125">
        <v>0</v>
      </c>
      <c r="F1706" s="200">
        <v>0</v>
      </c>
      <c r="G1706" s="200">
        <v>0</v>
      </c>
      <c r="H1706" s="200">
        <v>0</v>
      </c>
      <c r="I1706" s="348">
        <f>SUM(B1706:H1706)</f>
        <v>620892.66</v>
      </c>
      <c r="J1706" s="192" t="s">
        <v>1830</v>
      </c>
    </row>
    <row r="1707" spans="1:10" hidden="1" outlineLevel="1">
      <c r="A1707" s="381" t="s">
        <v>1831</v>
      </c>
      <c r="B1707" s="199">
        <v>1226269.6299999999</v>
      </c>
      <c r="C1707" s="200">
        <v>0</v>
      </c>
      <c r="D1707" s="200">
        <v>0</v>
      </c>
      <c r="E1707" s="200">
        <v>0</v>
      </c>
      <c r="F1707" s="200">
        <v>0</v>
      </c>
      <c r="G1707" s="200">
        <v>0</v>
      </c>
      <c r="H1707" s="200">
        <v>0</v>
      </c>
      <c r="I1707" s="348">
        <f>SUM(B1707:H1707)</f>
        <v>1226269.6299999999</v>
      </c>
      <c r="J1707" s="192" t="s">
        <v>1832</v>
      </c>
    </row>
    <row r="1708" spans="1:10" hidden="1" outlineLevel="1">
      <c r="A1708" s="381" t="s">
        <v>1833</v>
      </c>
      <c r="B1708" s="199">
        <v>3583516.99</v>
      </c>
      <c r="C1708" s="200">
        <v>0</v>
      </c>
      <c r="D1708" s="200">
        <v>0</v>
      </c>
      <c r="E1708" s="200">
        <v>0</v>
      </c>
      <c r="F1708" s="200">
        <v>4410.04</v>
      </c>
      <c r="G1708" s="200">
        <v>775.6</v>
      </c>
      <c r="H1708" s="200">
        <v>0</v>
      </c>
      <c r="I1708" s="348">
        <f t="shared" ref="I1708:I1771" si="37">SUM(B1708:H1708)</f>
        <v>3588702.6300000004</v>
      </c>
      <c r="J1708" s="192" t="s">
        <v>1834</v>
      </c>
    </row>
    <row r="1709" spans="1:10" hidden="1" outlineLevel="1">
      <c r="A1709" s="381" t="s">
        <v>2291</v>
      </c>
      <c r="B1709" s="199">
        <v>30530.45</v>
      </c>
      <c r="C1709" s="200">
        <v>0</v>
      </c>
      <c r="D1709" s="200">
        <v>0</v>
      </c>
      <c r="E1709" s="200">
        <v>0</v>
      </c>
      <c r="F1709" s="200">
        <v>0</v>
      </c>
      <c r="G1709" s="200">
        <v>0</v>
      </c>
      <c r="H1709" s="200">
        <v>0</v>
      </c>
      <c r="I1709" s="348">
        <f t="shared" si="37"/>
        <v>30530.45</v>
      </c>
      <c r="J1709" s="192" t="s">
        <v>2292</v>
      </c>
    </row>
    <row r="1710" spans="1:10" hidden="1" outlineLevel="1">
      <c r="A1710" s="381" t="s">
        <v>1021</v>
      </c>
      <c r="B1710" s="199">
        <v>368185.79</v>
      </c>
      <c r="C1710" s="200">
        <v>0</v>
      </c>
      <c r="D1710" s="200">
        <v>0</v>
      </c>
      <c r="E1710" s="200">
        <v>0</v>
      </c>
      <c r="F1710" s="200">
        <v>573310.57999999996</v>
      </c>
      <c r="G1710" s="200">
        <v>0</v>
      </c>
      <c r="H1710" s="200">
        <v>0</v>
      </c>
      <c r="I1710" s="348">
        <f t="shared" si="37"/>
        <v>941496.36999999988</v>
      </c>
      <c r="J1710" s="192" t="s">
        <v>944</v>
      </c>
    </row>
    <row r="1711" spans="1:10" hidden="1" outlineLevel="1">
      <c r="A1711" s="381" t="s">
        <v>1835</v>
      </c>
      <c r="B1711" s="199">
        <v>363784.56</v>
      </c>
      <c r="C1711" s="200">
        <v>0</v>
      </c>
      <c r="D1711" s="200">
        <v>0</v>
      </c>
      <c r="E1711" s="200">
        <v>0</v>
      </c>
      <c r="F1711" s="200">
        <v>0</v>
      </c>
      <c r="G1711" s="200">
        <v>334.62</v>
      </c>
      <c r="H1711" s="200">
        <v>0</v>
      </c>
      <c r="I1711" s="348">
        <f t="shared" si="37"/>
        <v>364119.18</v>
      </c>
      <c r="J1711" s="192" t="s">
        <v>1836</v>
      </c>
    </row>
    <row r="1712" spans="1:10" hidden="1" outlineLevel="1">
      <c r="A1712" s="381" t="s">
        <v>542</v>
      </c>
      <c r="B1712" s="199">
        <v>7423.37</v>
      </c>
      <c r="C1712" s="200">
        <v>0</v>
      </c>
      <c r="D1712" s="200">
        <v>0</v>
      </c>
      <c r="E1712" s="200">
        <v>0</v>
      </c>
      <c r="F1712" s="200">
        <v>0</v>
      </c>
      <c r="G1712" s="200">
        <v>0</v>
      </c>
      <c r="H1712" s="200">
        <v>0</v>
      </c>
      <c r="I1712" s="348">
        <f t="shared" si="37"/>
        <v>7423.37</v>
      </c>
      <c r="J1712" s="192" t="s">
        <v>543</v>
      </c>
    </row>
    <row r="1713" spans="1:10" hidden="1" outlineLevel="1">
      <c r="A1713" s="381" t="s">
        <v>1837</v>
      </c>
      <c r="B1713" s="199">
        <v>415319.52</v>
      </c>
      <c r="C1713" s="200">
        <v>0</v>
      </c>
      <c r="D1713" s="200">
        <v>0</v>
      </c>
      <c r="E1713" s="200">
        <v>0</v>
      </c>
      <c r="F1713" s="200">
        <v>0</v>
      </c>
      <c r="G1713" s="200">
        <v>0</v>
      </c>
      <c r="H1713" s="200">
        <v>0</v>
      </c>
      <c r="I1713" s="348">
        <f t="shared" si="37"/>
        <v>415319.52</v>
      </c>
      <c r="J1713" s="192" t="s">
        <v>1838</v>
      </c>
    </row>
    <row r="1714" spans="1:10" hidden="1" outlineLevel="1">
      <c r="A1714" s="381" t="s">
        <v>1839</v>
      </c>
      <c r="B1714" s="199">
        <v>219922.59</v>
      </c>
      <c r="C1714" s="200">
        <v>0</v>
      </c>
      <c r="D1714" s="200">
        <v>0</v>
      </c>
      <c r="E1714" s="200">
        <v>0</v>
      </c>
      <c r="F1714" s="200">
        <v>0</v>
      </c>
      <c r="G1714" s="200">
        <v>0</v>
      </c>
      <c r="H1714" s="200">
        <v>0</v>
      </c>
      <c r="I1714" s="348">
        <f t="shared" si="37"/>
        <v>219922.59</v>
      </c>
      <c r="J1714" s="192" t="s">
        <v>1840</v>
      </c>
    </row>
    <row r="1715" spans="1:10" hidden="1" outlineLevel="1">
      <c r="A1715" s="381" t="s">
        <v>1841</v>
      </c>
      <c r="B1715" s="199">
        <v>47932.12</v>
      </c>
      <c r="C1715" s="200">
        <v>0</v>
      </c>
      <c r="D1715" s="200">
        <v>0</v>
      </c>
      <c r="E1715" s="200">
        <v>0</v>
      </c>
      <c r="F1715" s="200">
        <v>0</v>
      </c>
      <c r="G1715" s="200">
        <v>0</v>
      </c>
      <c r="H1715" s="200">
        <v>0</v>
      </c>
      <c r="I1715" s="348">
        <f t="shared" si="37"/>
        <v>47932.12</v>
      </c>
      <c r="J1715" s="192" t="s">
        <v>1842</v>
      </c>
    </row>
    <row r="1716" spans="1:10" hidden="1" outlineLevel="1">
      <c r="A1716" s="381" t="s">
        <v>1843</v>
      </c>
      <c r="B1716" s="199">
        <v>70345.850000000006</v>
      </c>
      <c r="C1716" s="200">
        <v>0</v>
      </c>
      <c r="D1716" s="200">
        <v>0</v>
      </c>
      <c r="E1716" s="200">
        <v>0</v>
      </c>
      <c r="F1716" s="200">
        <v>0</v>
      </c>
      <c r="G1716" s="200">
        <v>0</v>
      </c>
      <c r="H1716" s="200">
        <v>0</v>
      </c>
      <c r="I1716" s="348">
        <f t="shared" si="37"/>
        <v>70345.850000000006</v>
      </c>
      <c r="J1716" s="192" t="s">
        <v>1844</v>
      </c>
    </row>
    <row r="1717" spans="1:10" hidden="1" outlineLevel="1">
      <c r="A1717" s="381" t="s">
        <v>1845</v>
      </c>
      <c r="B1717" s="199">
        <v>419935.59</v>
      </c>
      <c r="C1717" s="200">
        <v>0</v>
      </c>
      <c r="D1717" s="200">
        <v>0</v>
      </c>
      <c r="E1717" s="200">
        <v>0</v>
      </c>
      <c r="F1717" s="200">
        <v>0</v>
      </c>
      <c r="G1717" s="200">
        <v>0</v>
      </c>
      <c r="H1717" s="200">
        <v>0</v>
      </c>
      <c r="I1717" s="348">
        <f t="shared" si="37"/>
        <v>419935.59</v>
      </c>
      <c r="J1717" s="192" t="s">
        <v>1846</v>
      </c>
    </row>
    <row r="1718" spans="1:10" hidden="1" outlineLevel="1">
      <c r="A1718" s="381" t="s">
        <v>1847</v>
      </c>
      <c r="B1718" s="199">
        <v>111908.38</v>
      </c>
      <c r="C1718" s="200">
        <v>0</v>
      </c>
      <c r="D1718" s="200">
        <v>0</v>
      </c>
      <c r="E1718" s="200">
        <v>0</v>
      </c>
      <c r="F1718" s="200">
        <v>0</v>
      </c>
      <c r="G1718" s="200">
        <v>0</v>
      </c>
      <c r="H1718" s="200">
        <v>0</v>
      </c>
      <c r="I1718" s="348">
        <f t="shared" si="37"/>
        <v>111908.38</v>
      </c>
      <c r="J1718" s="192" t="s">
        <v>1848</v>
      </c>
    </row>
    <row r="1719" spans="1:10" hidden="1" outlineLevel="1">
      <c r="A1719" s="381" t="s">
        <v>2293</v>
      </c>
      <c r="B1719" s="199">
        <v>27666.83</v>
      </c>
      <c r="C1719" s="200">
        <v>0</v>
      </c>
      <c r="D1719" s="200">
        <v>0</v>
      </c>
      <c r="E1719" s="200">
        <v>0</v>
      </c>
      <c r="F1719" s="200">
        <v>0</v>
      </c>
      <c r="G1719" s="200">
        <v>0</v>
      </c>
      <c r="H1719" s="200">
        <v>0</v>
      </c>
      <c r="I1719" s="348">
        <f t="shared" si="37"/>
        <v>27666.83</v>
      </c>
      <c r="J1719" s="192" t="s">
        <v>2294</v>
      </c>
    </row>
    <row r="1720" spans="1:10" hidden="1" outlineLevel="1">
      <c r="A1720" s="381" t="s">
        <v>1849</v>
      </c>
      <c r="B1720" s="199">
        <v>106462.06</v>
      </c>
      <c r="C1720" s="200">
        <v>0</v>
      </c>
      <c r="D1720" s="200">
        <v>0</v>
      </c>
      <c r="E1720" s="200">
        <v>0</v>
      </c>
      <c r="F1720" s="200">
        <v>0</v>
      </c>
      <c r="G1720" s="200">
        <v>0</v>
      </c>
      <c r="H1720" s="200">
        <v>0</v>
      </c>
      <c r="I1720" s="348">
        <f t="shared" si="37"/>
        <v>106462.06</v>
      </c>
      <c r="J1720" s="192" t="s">
        <v>1850</v>
      </c>
    </row>
    <row r="1721" spans="1:10" hidden="1" outlineLevel="1">
      <c r="A1721" s="381" t="s">
        <v>1851</v>
      </c>
      <c r="B1721" s="199">
        <v>100750.34</v>
      </c>
      <c r="C1721" s="200">
        <v>0</v>
      </c>
      <c r="D1721" s="200">
        <v>0</v>
      </c>
      <c r="E1721" s="200">
        <v>0</v>
      </c>
      <c r="F1721" s="200">
        <v>0</v>
      </c>
      <c r="G1721" s="200">
        <v>0</v>
      </c>
      <c r="H1721" s="200">
        <v>0</v>
      </c>
      <c r="I1721" s="348">
        <f t="shared" si="37"/>
        <v>100750.34</v>
      </c>
      <c r="J1721" s="192" t="s">
        <v>1852</v>
      </c>
    </row>
    <row r="1722" spans="1:10" hidden="1" outlineLevel="1">
      <c r="A1722" s="381" t="s">
        <v>1853</v>
      </c>
      <c r="B1722" s="199">
        <v>172300.61</v>
      </c>
      <c r="C1722" s="200">
        <v>0</v>
      </c>
      <c r="D1722" s="200">
        <v>0</v>
      </c>
      <c r="E1722" s="200">
        <v>0</v>
      </c>
      <c r="F1722" s="200">
        <v>0</v>
      </c>
      <c r="G1722" s="200">
        <v>0</v>
      </c>
      <c r="H1722" s="200">
        <v>0</v>
      </c>
      <c r="I1722" s="348">
        <f t="shared" si="37"/>
        <v>172300.61</v>
      </c>
      <c r="J1722" s="192" t="s">
        <v>1854</v>
      </c>
    </row>
    <row r="1723" spans="1:10" hidden="1" outlineLevel="1">
      <c r="A1723" s="381" t="s">
        <v>1855</v>
      </c>
      <c r="B1723" s="199">
        <v>607728.05000000005</v>
      </c>
      <c r="C1723" s="200">
        <v>0</v>
      </c>
      <c r="D1723" s="200">
        <v>0</v>
      </c>
      <c r="E1723" s="200">
        <v>0</v>
      </c>
      <c r="F1723" s="200">
        <v>0</v>
      </c>
      <c r="G1723" s="200">
        <v>0</v>
      </c>
      <c r="H1723" s="200">
        <v>0</v>
      </c>
      <c r="I1723" s="348">
        <f t="shared" si="37"/>
        <v>607728.05000000005</v>
      </c>
      <c r="J1723" s="192" t="s">
        <v>1856</v>
      </c>
    </row>
    <row r="1724" spans="1:10" hidden="1" outlineLevel="1">
      <c r="A1724" s="381" t="s">
        <v>1857</v>
      </c>
      <c r="B1724" s="199">
        <v>68075.990000000005</v>
      </c>
      <c r="C1724" s="200">
        <v>0</v>
      </c>
      <c r="D1724" s="200">
        <v>0</v>
      </c>
      <c r="E1724" s="200">
        <v>0</v>
      </c>
      <c r="F1724" s="200">
        <v>0</v>
      </c>
      <c r="G1724" s="200">
        <v>0</v>
      </c>
      <c r="H1724" s="200">
        <v>0</v>
      </c>
      <c r="I1724" s="348">
        <f t="shared" si="37"/>
        <v>68075.990000000005</v>
      </c>
      <c r="J1724" s="192" t="s">
        <v>1858</v>
      </c>
    </row>
    <row r="1725" spans="1:10" hidden="1" outlineLevel="1">
      <c r="A1725" s="381" t="s">
        <v>1859</v>
      </c>
      <c r="B1725" s="199">
        <v>588551.64</v>
      </c>
      <c r="C1725" s="200">
        <v>0</v>
      </c>
      <c r="D1725" s="200">
        <v>0</v>
      </c>
      <c r="E1725" s="200">
        <v>0</v>
      </c>
      <c r="F1725" s="200">
        <v>0</v>
      </c>
      <c r="G1725" s="200">
        <v>0</v>
      </c>
      <c r="H1725" s="200">
        <v>0</v>
      </c>
      <c r="I1725" s="348">
        <f t="shared" si="37"/>
        <v>588551.64</v>
      </c>
      <c r="J1725" s="192" t="s">
        <v>1860</v>
      </c>
    </row>
    <row r="1726" spans="1:10" hidden="1" outlineLevel="1">
      <c r="A1726" s="381" t="s">
        <v>1861</v>
      </c>
      <c r="B1726" s="199">
        <v>175454.79</v>
      </c>
      <c r="C1726" s="200">
        <v>0</v>
      </c>
      <c r="D1726" s="200">
        <v>0</v>
      </c>
      <c r="E1726" s="200">
        <v>0</v>
      </c>
      <c r="F1726" s="200">
        <v>0</v>
      </c>
      <c r="G1726" s="200">
        <v>0</v>
      </c>
      <c r="H1726" s="200">
        <v>0</v>
      </c>
      <c r="I1726" s="348">
        <f t="shared" si="37"/>
        <v>175454.79</v>
      </c>
      <c r="J1726" s="192" t="s">
        <v>1862</v>
      </c>
    </row>
    <row r="1727" spans="1:10" hidden="1" outlineLevel="1">
      <c r="A1727" s="381" t="s">
        <v>1863</v>
      </c>
      <c r="B1727" s="199">
        <v>315005</v>
      </c>
      <c r="C1727" s="200">
        <v>0</v>
      </c>
      <c r="D1727" s="200">
        <v>0</v>
      </c>
      <c r="E1727" s="200">
        <v>0</v>
      </c>
      <c r="F1727" s="200">
        <v>0</v>
      </c>
      <c r="G1727" s="200">
        <v>0</v>
      </c>
      <c r="H1727" s="200">
        <v>0</v>
      </c>
      <c r="I1727" s="348">
        <f t="shared" si="37"/>
        <v>315005</v>
      </c>
      <c r="J1727" s="192" t="s">
        <v>1864</v>
      </c>
    </row>
    <row r="1728" spans="1:10" hidden="1" outlineLevel="1">
      <c r="A1728" s="381" t="s">
        <v>1865</v>
      </c>
      <c r="B1728" s="199">
        <v>328419.53999999998</v>
      </c>
      <c r="C1728" s="200">
        <v>0</v>
      </c>
      <c r="D1728" s="200">
        <v>0</v>
      </c>
      <c r="E1728" s="200">
        <v>0</v>
      </c>
      <c r="F1728" s="200">
        <v>0</v>
      </c>
      <c r="G1728" s="200">
        <v>0</v>
      </c>
      <c r="H1728" s="200">
        <v>0</v>
      </c>
      <c r="I1728" s="348">
        <f t="shared" si="37"/>
        <v>328419.53999999998</v>
      </c>
      <c r="J1728" s="192" t="s">
        <v>1866</v>
      </c>
    </row>
    <row r="1729" spans="1:10" hidden="1" outlineLevel="1">
      <c r="A1729" s="381" t="s">
        <v>1867</v>
      </c>
      <c r="B1729" s="199">
        <v>182902.77</v>
      </c>
      <c r="C1729" s="200">
        <v>0</v>
      </c>
      <c r="D1729" s="200">
        <v>0</v>
      </c>
      <c r="E1729" s="200">
        <v>0</v>
      </c>
      <c r="F1729" s="200">
        <v>0</v>
      </c>
      <c r="G1729" s="200">
        <v>0</v>
      </c>
      <c r="H1729" s="200">
        <v>0</v>
      </c>
      <c r="I1729" s="348">
        <f t="shared" si="37"/>
        <v>182902.77</v>
      </c>
      <c r="J1729" s="192" t="s">
        <v>1868</v>
      </c>
    </row>
    <row r="1730" spans="1:10" hidden="1" outlineLevel="1">
      <c r="A1730" s="381" t="s">
        <v>1869</v>
      </c>
      <c r="B1730" s="199">
        <v>521608.1</v>
      </c>
      <c r="C1730" s="200">
        <v>0</v>
      </c>
      <c r="D1730" s="200">
        <v>0</v>
      </c>
      <c r="E1730" s="200">
        <v>0</v>
      </c>
      <c r="F1730" s="200">
        <v>0</v>
      </c>
      <c r="G1730" s="200">
        <v>0</v>
      </c>
      <c r="H1730" s="200">
        <v>0</v>
      </c>
      <c r="I1730" s="348">
        <f t="shared" si="37"/>
        <v>521608.1</v>
      </c>
      <c r="J1730" s="192" t="s">
        <v>1870</v>
      </c>
    </row>
    <row r="1731" spans="1:10" hidden="1" outlineLevel="1">
      <c r="A1731" s="381" t="s">
        <v>1871</v>
      </c>
      <c r="B1731" s="199">
        <v>46902.1</v>
      </c>
      <c r="C1731" s="200">
        <v>0</v>
      </c>
      <c r="D1731" s="200">
        <v>0</v>
      </c>
      <c r="E1731" s="200">
        <v>0</v>
      </c>
      <c r="F1731" s="200">
        <v>0</v>
      </c>
      <c r="G1731" s="200">
        <v>0</v>
      </c>
      <c r="H1731" s="200">
        <v>0</v>
      </c>
      <c r="I1731" s="348">
        <f t="shared" si="37"/>
        <v>46902.1</v>
      </c>
      <c r="J1731" s="192" t="s">
        <v>1872</v>
      </c>
    </row>
    <row r="1732" spans="1:10" hidden="1" outlineLevel="1">
      <c r="A1732" s="381" t="s">
        <v>1873</v>
      </c>
      <c r="B1732" s="199">
        <v>2547565.54</v>
      </c>
      <c r="C1732" s="200">
        <v>0</v>
      </c>
      <c r="D1732" s="200">
        <v>0</v>
      </c>
      <c r="E1732" s="200">
        <v>0</v>
      </c>
      <c r="F1732" s="200">
        <v>0</v>
      </c>
      <c r="G1732" s="200">
        <v>0</v>
      </c>
      <c r="H1732" s="200">
        <v>0</v>
      </c>
      <c r="I1732" s="348">
        <f t="shared" si="37"/>
        <v>2547565.54</v>
      </c>
      <c r="J1732" s="192" t="s">
        <v>1874</v>
      </c>
    </row>
    <row r="1733" spans="1:10" hidden="1" outlineLevel="1">
      <c r="A1733" s="381" t="s">
        <v>799</v>
      </c>
      <c r="B1733" s="199">
        <v>15443.2</v>
      </c>
      <c r="C1733" s="200">
        <v>0</v>
      </c>
      <c r="D1733" s="200">
        <v>0</v>
      </c>
      <c r="E1733" s="200">
        <v>0</v>
      </c>
      <c r="F1733" s="200">
        <v>0</v>
      </c>
      <c r="G1733" s="200">
        <v>0</v>
      </c>
      <c r="H1733" s="200">
        <v>0</v>
      </c>
      <c r="I1733" s="348">
        <f t="shared" si="37"/>
        <v>15443.2</v>
      </c>
      <c r="J1733" s="192" t="s">
        <v>800</v>
      </c>
    </row>
    <row r="1734" spans="1:10" hidden="1" outlineLevel="1">
      <c r="A1734" s="381" t="s">
        <v>2295</v>
      </c>
      <c r="B1734" s="199">
        <v>142578.56</v>
      </c>
      <c r="C1734" s="200">
        <v>0</v>
      </c>
      <c r="D1734" s="200">
        <v>0</v>
      </c>
      <c r="E1734" s="200">
        <v>0</v>
      </c>
      <c r="F1734" s="200">
        <v>0</v>
      </c>
      <c r="G1734" s="200">
        <v>0</v>
      </c>
      <c r="H1734" s="200">
        <v>0</v>
      </c>
      <c r="I1734" s="348">
        <f t="shared" si="37"/>
        <v>142578.56</v>
      </c>
      <c r="J1734" s="192" t="s">
        <v>2296</v>
      </c>
    </row>
    <row r="1735" spans="1:10" hidden="1" outlineLevel="1">
      <c r="A1735" s="381" t="s">
        <v>2297</v>
      </c>
      <c r="B1735" s="199">
        <v>137019.73000000001</v>
      </c>
      <c r="C1735" s="200">
        <v>0</v>
      </c>
      <c r="D1735" s="200">
        <v>0</v>
      </c>
      <c r="E1735" s="200">
        <v>0</v>
      </c>
      <c r="F1735" s="200">
        <v>0</v>
      </c>
      <c r="G1735" s="200">
        <v>0</v>
      </c>
      <c r="H1735" s="200">
        <v>0</v>
      </c>
      <c r="I1735" s="348">
        <f t="shared" si="37"/>
        <v>137019.73000000001</v>
      </c>
      <c r="J1735" s="192" t="s">
        <v>2298</v>
      </c>
    </row>
    <row r="1736" spans="1:10" hidden="1" outlineLevel="1">
      <c r="A1736" s="381" t="s">
        <v>1875</v>
      </c>
      <c r="B1736" s="199">
        <v>38177.589999999997</v>
      </c>
      <c r="C1736" s="200">
        <v>0</v>
      </c>
      <c r="D1736" s="200">
        <v>0</v>
      </c>
      <c r="E1736" s="200">
        <v>0</v>
      </c>
      <c r="F1736" s="200">
        <v>0</v>
      </c>
      <c r="G1736" s="200">
        <v>0</v>
      </c>
      <c r="H1736" s="200">
        <v>0</v>
      </c>
      <c r="I1736" s="348">
        <f t="shared" si="37"/>
        <v>38177.589999999997</v>
      </c>
      <c r="J1736" s="192" t="s">
        <v>1876</v>
      </c>
    </row>
    <row r="1737" spans="1:10" hidden="1" outlineLevel="1">
      <c r="A1737" s="381" t="s">
        <v>1877</v>
      </c>
      <c r="B1737" s="199">
        <v>30298.76</v>
      </c>
      <c r="C1737" s="200">
        <v>0</v>
      </c>
      <c r="D1737" s="200">
        <v>0</v>
      </c>
      <c r="E1737" s="200">
        <v>0</v>
      </c>
      <c r="F1737" s="200">
        <v>0</v>
      </c>
      <c r="G1737" s="200">
        <v>0</v>
      </c>
      <c r="H1737" s="200">
        <v>0</v>
      </c>
      <c r="I1737" s="348">
        <f t="shared" si="37"/>
        <v>30298.76</v>
      </c>
      <c r="J1737" s="192" t="s">
        <v>1878</v>
      </c>
    </row>
    <row r="1738" spans="1:10" hidden="1" outlineLevel="1">
      <c r="A1738" s="381" t="s">
        <v>1879</v>
      </c>
      <c r="B1738" s="199">
        <v>120906.97</v>
      </c>
      <c r="C1738" s="200">
        <v>0</v>
      </c>
      <c r="D1738" s="200">
        <v>0</v>
      </c>
      <c r="E1738" s="200">
        <v>0</v>
      </c>
      <c r="F1738" s="200">
        <v>0</v>
      </c>
      <c r="G1738" s="200">
        <v>0</v>
      </c>
      <c r="H1738" s="200">
        <v>0</v>
      </c>
      <c r="I1738" s="348">
        <f t="shared" si="37"/>
        <v>120906.97</v>
      </c>
      <c r="J1738" s="192" t="s">
        <v>1880</v>
      </c>
    </row>
    <row r="1739" spans="1:10" hidden="1" outlineLevel="1">
      <c r="A1739" s="381" t="s">
        <v>1881</v>
      </c>
      <c r="B1739" s="199">
        <v>70130.100000000006</v>
      </c>
      <c r="C1739" s="200">
        <v>0</v>
      </c>
      <c r="D1739" s="200">
        <v>0</v>
      </c>
      <c r="E1739" s="200">
        <v>0</v>
      </c>
      <c r="F1739" s="200">
        <v>0</v>
      </c>
      <c r="G1739" s="200">
        <v>0</v>
      </c>
      <c r="H1739" s="200">
        <v>0</v>
      </c>
      <c r="I1739" s="348">
        <f t="shared" si="37"/>
        <v>70130.100000000006</v>
      </c>
      <c r="J1739" s="192" t="s">
        <v>1882</v>
      </c>
    </row>
    <row r="1740" spans="1:10" hidden="1" outlineLevel="1">
      <c r="A1740" s="381" t="s">
        <v>1883</v>
      </c>
      <c r="B1740" s="199">
        <v>138078.12</v>
      </c>
      <c r="C1740" s="200">
        <v>0</v>
      </c>
      <c r="D1740" s="200">
        <v>0</v>
      </c>
      <c r="E1740" s="200">
        <v>0</v>
      </c>
      <c r="F1740" s="200">
        <v>0</v>
      </c>
      <c r="G1740" s="200">
        <v>0</v>
      </c>
      <c r="H1740" s="200">
        <v>0</v>
      </c>
      <c r="I1740" s="348">
        <f t="shared" si="37"/>
        <v>138078.12</v>
      </c>
      <c r="J1740" s="192" t="s">
        <v>1884</v>
      </c>
    </row>
    <row r="1741" spans="1:10" hidden="1" outlineLevel="1">
      <c r="A1741" s="381" t="s">
        <v>2299</v>
      </c>
      <c r="B1741" s="199">
        <v>63278.78</v>
      </c>
      <c r="C1741" s="200">
        <v>0</v>
      </c>
      <c r="D1741" s="200">
        <v>0</v>
      </c>
      <c r="E1741" s="200">
        <v>0</v>
      </c>
      <c r="F1741" s="200">
        <v>0</v>
      </c>
      <c r="G1741" s="200">
        <v>0</v>
      </c>
      <c r="H1741" s="200">
        <v>0</v>
      </c>
      <c r="I1741" s="348">
        <f t="shared" si="37"/>
        <v>63278.78</v>
      </c>
      <c r="J1741" s="192" t="s">
        <v>2300</v>
      </c>
    </row>
    <row r="1742" spans="1:10" hidden="1" outlineLevel="1">
      <c r="A1742" s="381" t="s">
        <v>1885</v>
      </c>
      <c r="B1742" s="199">
        <v>50508.67</v>
      </c>
      <c r="C1742" s="200">
        <v>0</v>
      </c>
      <c r="D1742" s="200">
        <v>0</v>
      </c>
      <c r="E1742" s="200">
        <v>0</v>
      </c>
      <c r="F1742" s="200">
        <v>0</v>
      </c>
      <c r="G1742" s="200">
        <v>0</v>
      </c>
      <c r="H1742" s="200">
        <v>0</v>
      </c>
      <c r="I1742" s="348">
        <f t="shared" si="37"/>
        <v>50508.67</v>
      </c>
      <c r="J1742" s="192" t="s">
        <v>1886</v>
      </c>
    </row>
    <row r="1743" spans="1:10" hidden="1" outlineLevel="1">
      <c r="A1743" s="381" t="s">
        <v>768</v>
      </c>
      <c r="B1743" s="199">
        <v>22073.14</v>
      </c>
      <c r="C1743" s="200">
        <v>0</v>
      </c>
      <c r="D1743" s="200">
        <v>0</v>
      </c>
      <c r="E1743" s="200">
        <v>0</v>
      </c>
      <c r="F1743" s="200">
        <v>0</v>
      </c>
      <c r="G1743" s="200">
        <v>0</v>
      </c>
      <c r="H1743" s="200">
        <v>0</v>
      </c>
      <c r="I1743" s="348">
        <f t="shared" si="37"/>
        <v>22073.14</v>
      </c>
      <c r="J1743" s="192" t="s">
        <v>2301</v>
      </c>
    </row>
    <row r="1744" spans="1:10" hidden="1" outlineLevel="1">
      <c r="A1744" s="381" t="s">
        <v>456</v>
      </c>
      <c r="B1744" s="199">
        <v>104453.96</v>
      </c>
      <c r="C1744" s="200">
        <v>0</v>
      </c>
      <c r="D1744" s="200">
        <v>0</v>
      </c>
      <c r="E1744" s="200">
        <v>0</v>
      </c>
      <c r="F1744" s="200">
        <v>0</v>
      </c>
      <c r="G1744" s="200">
        <v>0</v>
      </c>
      <c r="H1744" s="200">
        <v>0</v>
      </c>
      <c r="I1744" s="348">
        <f t="shared" si="37"/>
        <v>104453.96</v>
      </c>
      <c r="J1744" s="192" t="s">
        <v>457</v>
      </c>
    </row>
    <row r="1745" spans="1:10" hidden="1" outlineLevel="1">
      <c r="A1745" s="381" t="s">
        <v>2077</v>
      </c>
      <c r="B1745" s="199">
        <v>13188.16</v>
      </c>
      <c r="C1745" s="200">
        <v>0</v>
      </c>
      <c r="D1745" s="200">
        <v>0</v>
      </c>
      <c r="E1745" s="200">
        <v>0</v>
      </c>
      <c r="F1745" s="200">
        <v>0</v>
      </c>
      <c r="G1745" s="200">
        <v>0</v>
      </c>
      <c r="H1745" s="200">
        <v>0</v>
      </c>
      <c r="I1745" s="348">
        <f t="shared" si="37"/>
        <v>13188.16</v>
      </c>
      <c r="J1745" s="192" t="s">
        <v>2078</v>
      </c>
    </row>
    <row r="1746" spans="1:10" hidden="1" outlineLevel="1">
      <c r="A1746" s="381" t="s">
        <v>2302</v>
      </c>
      <c r="B1746" s="199">
        <v>77068.56</v>
      </c>
      <c r="C1746" s="200">
        <v>0</v>
      </c>
      <c r="D1746" s="200">
        <v>0</v>
      </c>
      <c r="E1746" s="200">
        <v>0</v>
      </c>
      <c r="F1746" s="200">
        <v>0</v>
      </c>
      <c r="G1746" s="200">
        <v>0</v>
      </c>
      <c r="H1746" s="200">
        <v>0</v>
      </c>
      <c r="I1746" s="348">
        <f t="shared" si="37"/>
        <v>77068.56</v>
      </c>
      <c r="J1746" s="192" t="s">
        <v>2303</v>
      </c>
    </row>
    <row r="1747" spans="1:10" hidden="1" outlineLevel="1">
      <c r="A1747" s="381" t="s">
        <v>2304</v>
      </c>
      <c r="B1747" s="199">
        <v>4892.9399999999996</v>
      </c>
      <c r="C1747" s="200">
        <v>0</v>
      </c>
      <c r="D1747" s="200">
        <v>0</v>
      </c>
      <c r="E1747" s="200">
        <v>0</v>
      </c>
      <c r="F1747" s="200">
        <v>0</v>
      </c>
      <c r="G1747" s="200">
        <v>0</v>
      </c>
      <c r="H1747" s="200">
        <v>0</v>
      </c>
      <c r="I1747" s="348">
        <f t="shared" si="37"/>
        <v>4892.9399999999996</v>
      </c>
      <c r="J1747" s="192" t="s">
        <v>2305</v>
      </c>
    </row>
    <row r="1748" spans="1:10" hidden="1" outlineLevel="1">
      <c r="A1748" s="381" t="s">
        <v>1887</v>
      </c>
      <c r="B1748" s="199">
        <v>484641.92</v>
      </c>
      <c r="C1748" s="200">
        <v>0</v>
      </c>
      <c r="D1748" s="200">
        <v>0</v>
      </c>
      <c r="E1748" s="200">
        <v>0</v>
      </c>
      <c r="F1748" s="200">
        <v>0</v>
      </c>
      <c r="G1748" s="200">
        <v>0</v>
      </c>
      <c r="H1748" s="200">
        <v>0</v>
      </c>
      <c r="I1748" s="348">
        <f t="shared" si="37"/>
        <v>484641.92</v>
      </c>
      <c r="J1748" s="192" t="s">
        <v>1888</v>
      </c>
    </row>
    <row r="1749" spans="1:10" hidden="1" outlineLevel="1">
      <c r="A1749" s="381" t="s">
        <v>2306</v>
      </c>
      <c r="B1749" s="199">
        <v>0</v>
      </c>
      <c r="C1749" s="200">
        <v>0</v>
      </c>
      <c r="D1749" s="200">
        <v>0</v>
      </c>
      <c r="E1749" s="200">
        <v>0</v>
      </c>
      <c r="F1749" s="200">
        <v>0</v>
      </c>
      <c r="G1749" s="200">
        <v>0</v>
      </c>
      <c r="H1749" s="200">
        <v>0</v>
      </c>
      <c r="I1749" s="348">
        <f t="shared" si="37"/>
        <v>0</v>
      </c>
      <c r="J1749" s="192" t="s">
        <v>2307</v>
      </c>
    </row>
    <row r="1750" spans="1:10" hidden="1" outlineLevel="1">
      <c r="A1750" s="381" t="s">
        <v>2308</v>
      </c>
      <c r="B1750" s="199">
        <v>5322.71</v>
      </c>
      <c r="C1750" s="200">
        <v>0</v>
      </c>
      <c r="D1750" s="200">
        <v>0</v>
      </c>
      <c r="E1750" s="200">
        <v>0</v>
      </c>
      <c r="F1750" s="200">
        <v>0</v>
      </c>
      <c r="G1750" s="200">
        <v>0</v>
      </c>
      <c r="H1750" s="200">
        <v>0</v>
      </c>
      <c r="I1750" s="348">
        <f t="shared" si="37"/>
        <v>5322.71</v>
      </c>
      <c r="J1750" s="192" t="s">
        <v>2309</v>
      </c>
    </row>
    <row r="1751" spans="1:10" hidden="1" outlineLevel="1">
      <c r="A1751" s="381" t="s">
        <v>1889</v>
      </c>
      <c r="B1751" s="199">
        <v>324473.58</v>
      </c>
      <c r="C1751" s="200">
        <v>0</v>
      </c>
      <c r="D1751" s="200">
        <v>0</v>
      </c>
      <c r="E1751" s="200">
        <v>0</v>
      </c>
      <c r="F1751" s="200">
        <v>0</v>
      </c>
      <c r="G1751" s="200">
        <v>0</v>
      </c>
      <c r="H1751" s="200">
        <v>0</v>
      </c>
      <c r="I1751" s="348">
        <f t="shared" si="37"/>
        <v>324473.58</v>
      </c>
      <c r="J1751" s="192" t="s">
        <v>1890</v>
      </c>
    </row>
    <row r="1752" spans="1:10" hidden="1" outlineLevel="1">
      <c r="A1752" s="381" t="s">
        <v>2310</v>
      </c>
      <c r="B1752" s="199">
        <v>15175.86</v>
      </c>
      <c r="C1752" s="200">
        <v>0</v>
      </c>
      <c r="D1752" s="200">
        <v>0</v>
      </c>
      <c r="E1752" s="200">
        <v>0</v>
      </c>
      <c r="F1752" s="200">
        <v>0</v>
      </c>
      <c r="G1752" s="200">
        <v>0</v>
      </c>
      <c r="H1752" s="200">
        <v>0</v>
      </c>
      <c r="I1752" s="348">
        <f t="shared" si="37"/>
        <v>15175.86</v>
      </c>
      <c r="J1752" s="192" t="s">
        <v>2311</v>
      </c>
    </row>
    <row r="1753" spans="1:10" hidden="1" outlineLevel="1">
      <c r="A1753" s="381" t="s">
        <v>1891</v>
      </c>
      <c r="B1753" s="199">
        <v>3283.08</v>
      </c>
      <c r="C1753" s="200">
        <v>0</v>
      </c>
      <c r="D1753" s="200">
        <v>0</v>
      </c>
      <c r="E1753" s="200">
        <v>0</v>
      </c>
      <c r="F1753" s="200">
        <v>0</v>
      </c>
      <c r="G1753" s="200">
        <v>0</v>
      </c>
      <c r="H1753" s="200">
        <v>0</v>
      </c>
      <c r="I1753" s="348">
        <f t="shared" si="37"/>
        <v>3283.08</v>
      </c>
      <c r="J1753" s="192" t="s">
        <v>1892</v>
      </c>
    </row>
    <row r="1754" spans="1:10" hidden="1" outlineLevel="1">
      <c r="A1754" s="381" t="s">
        <v>951</v>
      </c>
      <c r="B1754" s="199">
        <v>1264.7</v>
      </c>
      <c r="C1754" s="200">
        <v>0</v>
      </c>
      <c r="D1754" s="200">
        <v>0</v>
      </c>
      <c r="E1754" s="200">
        <v>0</v>
      </c>
      <c r="F1754" s="200">
        <v>0</v>
      </c>
      <c r="G1754" s="200">
        <v>0</v>
      </c>
      <c r="H1754" s="200">
        <v>0</v>
      </c>
      <c r="I1754" s="348">
        <f t="shared" si="37"/>
        <v>1264.7</v>
      </c>
      <c r="J1754" s="192" t="s">
        <v>2312</v>
      </c>
    </row>
    <row r="1755" spans="1:10" hidden="1" outlineLevel="1">
      <c r="A1755" s="381" t="s">
        <v>1893</v>
      </c>
      <c r="B1755" s="199">
        <v>4237742.8099999996</v>
      </c>
      <c r="C1755" s="200">
        <v>0</v>
      </c>
      <c r="D1755" s="200">
        <v>0</v>
      </c>
      <c r="E1755" s="200">
        <v>0</v>
      </c>
      <c r="F1755" s="200">
        <v>7717.77</v>
      </c>
      <c r="G1755" s="200">
        <v>0</v>
      </c>
      <c r="H1755" s="200">
        <v>0</v>
      </c>
      <c r="I1755" s="348">
        <f t="shared" si="37"/>
        <v>4245460.5799999991</v>
      </c>
      <c r="J1755" s="192" t="s">
        <v>1894</v>
      </c>
    </row>
    <row r="1756" spans="1:10" hidden="1" outlineLevel="1">
      <c r="A1756" s="381" t="s">
        <v>1895</v>
      </c>
      <c r="B1756" s="199">
        <v>4575500.5599999996</v>
      </c>
      <c r="C1756" s="200">
        <v>0</v>
      </c>
      <c r="D1756" s="200">
        <v>0</v>
      </c>
      <c r="E1756" s="200">
        <v>0</v>
      </c>
      <c r="F1756" s="200">
        <v>0</v>
      </c>
      <c r="G1756" s="200">
        <v>0</v>
      </c>
      <c r="H1756" s="200">
        <v>0</v>
      </c>
      <c r="I1756" s="348">
        <f t="shared" si="37"/>
        <v>4575500.5599999996</v>
      </c>
      <c r="J1756" s="192" t="s">
        <v>1896</v>
      </c>
    </row>
    <row r="1757" spans="1:10" hidden="1" outlineLevel="1">
      <c r="A1757" s="381" t="s">
        <v>1683</v>
      </c>
      <c r="B1757" s="199">
        <v>440822.3</v>
      </c>
      <c r="C1757" s="200">
        <v>0</v>
      </c>
      <c r="D1757" s="200">
        <v>0</v>
      </c>
      <c r="E1757" s="200">
        <v>0</v>
      </c>
      <c r="F1757" s="200">
        <v>0</v>
      </c>
      <c r="G1757" s="200">
        <v>0</v>
      </c>
      <c r="H1757" s="200">
        <v>0</v>
      </c>
      <c r="I1757" s="348">
        <f t="shared" si="37"/>
        <v>440822.3</v>
      </c>
      <c r="J1757" s="192" t="s">
        <v>1684</v>
      </c>
    </row>
    <row r="1758" spans="1:10" hidden="1" outlineLevel="1">
      <c r="A1758" s="381" t="s">
        <v>1897</v>
      </c>
      <c r="B1758" s="199">
        <v>84581.7</v>
      </c>
      <c r="C1758" s="200">
        <v>0</v>
      </c>
      <c r="D1758" s="200">
        <v>0</v>
      </c>
      <c r="E1758" s="200">
        <v>0</v>
      </c>
      <c r="F1758" s="200">
        <v>0</v>
      </c>
      <c r="G1758" s="200">
        <v>0</v>
      </c>
      <c r="H1758" s="200">
        <v>0</v>
      </c>
      <c r="I1758" s="348">
        <f t="shared" si="37"/>
        <v>84581.7</v>
      </c>
      <c r="J1758" s="192" t="s">
        <v>1898</v>
      </c>
    </row>
    <row r="1759" spans="1:10" hidden="1" outlineLevel="1">
      <c r="A1759" s="381" t="s">
        <v>977</v>
      </c>
      <c r="B1759" s="199">
        <v>44293168.969999999</v>
      </c>
      <c r="C1759" s="200">
        <v>0</v>
      </c>
      <c r="D1759" s="200">
        <v>0</v>
      </c>
      <c r="E1759" s="200">
        <v>0</v>
      </c>
      <c r="F1759" s="200">
        <v>5694.34</v>
      </c>
      <c r="G1759" s="200">
        <v>0</v>
      </c>
      <c r="H1759" s="200">
        <v>0</v>
      </c>
      <c r="I1759" s="348">
        <f t="shared" si="37"/>
        <v>44298863.310000002</v>
      </c>
      <c r="J1759" s="192" t="s">
        <v>978</v>
      </c>
    </row>
    <row r="1760" spans="1:10" hidden="1" outlineLevel="1">
      <c r="A1760" s="381" t="s">
        <v>1899</v>
      </c>
      <c r="B1760" s="199">
        <v>242730.57</v>
      </c>
      <c r="C1760" s="200">
        <v>0</v>
      </c>
      <c r="D1760" s="200">
        <v>0</v>
      </c>
      <c r="E1760" s="200">
        <v>0</v>
      </c>
      <c r="F1760" s="200">
        <v>0</v>
      </c>
      <c r="G1760" s="200">
        <v>0</v>
      </c>
      <c r="H1760" s="200">
        <v>0</v>
      </c>
      <c r="I1760" s="348">
        <f t="shared" si="37"/>
        <v>242730.57</v>
      </c>
      <c r="J1760" s="192" t="s">
        <v>1900</v>
      </c>
    </row>
    <row r="1761" spans="1:10" hidden="1" outlineLevel="1">
      <c r="A1761" s="381" t="s">
        <v>1901</v>
      </c>
      <c r="B1761" s="199">
        <v>295906.15000000002</v>
      </c>
      <c r="C1761" s="200">
        <v>0</v>
      </c>
      <c r="D1761" s="200">
        <v>0</v>
      </c>
      <c r="E1761" s="200">
        <v>0</v>
      </c>
      <c r="F1761" s="200">
        <v>0</v>
      </c>
      <c r="G1761" s="200">
        <v>0</v>
      </c>
      <c r="H1761" s="200">
        <v>0</v>
      </c>
      <c r="I1761" s="348">
        <f t="shared" si="37"/>
        <v>295906.15000000002</v>
      </c>
      <c r="J1761" s="192" t="s">
        <v>1902</v>
      </c>
    </row>
    <row r="1762" spans="1:10" hidden="1" outlineLevel="1">
      <c r="A1762" s="381" t="s">
        <v>1903</v>
      </c>
      <c r="B1762" s="199">
        <v>5139140.38</v>
      </c>
      <c r="C1762" s="200">
        <v>0</v>
      </c>
      <c r="D1762" s="200">
        <v>0</v>
      </c>
      <c r="E1762" s="200">
        <v>0</v>
      </c>
      <c r="F1762" s="200">
        <v>0</v>
      </c>
      <c r="G1762" s="200">
        <v>0</v>
      </c>
      <c r="H1762" s="200">
        <v>0</v>
      </c>
      <c r="I1762" s="348">
        <f t="shared" si="37"/>
        <v>5139140.38</v>
      </c>
      <c r="J1762" s="192" t="s">
        <v>1904</v>
      </c>
    </row>
    <row r="1763" spans="1:10" hidden="1" outlineLevel="1">
      <c r="A1763" s="381" t="s">
        <v>1905</v>
      </c>
      <c r="B1763" s="199">
        <v>1724454.97</v>
      </c>
      <c r="C1763" s="200">
        <v>0</v>
      </c>
      <c r="D1763" s="200">
        <v>0</v>
      </c>
      <c r="E1763" s="200">
        <v>0</v>
      </c>
      <c r="F1763" s="200">
        <v>0</v>
      </c>
      <c r="G1763" s="200">
        <v>0</v>
      </c>
      <c r="H1763" s="200">
        <v>0</v>
      </c>
      <c r="I1763" s="348">
        <f t="shared" si="37"/>
        <v>1724454.97</v>
      </c>
      <c r="J1763" s="192" t="s">
        <v>1906</v>
      </c>
    </row>
    <row r="1764" spans="1:10" hidden="1" outlineLevel="1">
      <c r="A1764" s="381" t="s">
        <v>1907</v>
      </c>
      <c r="B1764" s="199">
        <v>40625.870000000003</v>
      </c>
      <c r="C1764" s="200">
        <v>0</v>
      </c>
      <c r="D1764" s="200">
        <v>0</v>
      </c>
      <c r="E1764" s="200">
        <v>0</v>
      </c>
      <c r="F1764" s="200">
        <v>0</v>
      </c>
      <c r="G1764" s="200">
        <v>0</v>
      </c>
      <c r="H1764" s="200">
        <v>0</v>
      </c>
      <c r="I1764" s="348">
        <f t="shared" si="37"/>
        <v>40625.870000000003</v>
      </c>
      <c r="J1764" s="192" t="s">
        <v>1908</v>
      </c>
    </row>
    <row r="1765" spans="1:10" hidden="1" outlineLevel="1">
      <c r="A1765" s="381" t="s">
        <v>2313</v>
      </c>
      <c r="B1765" s="199">
        <v>277209.27</v>
      </c>
      <c r="C1765" s="200">
        <v>0</v>
      </c>
      <c r="D1765" s="200">
        <v>0</v>
      </c>
      <c r="E1765" s="200">
        <v>0</v>
      </c>
      <c r="F1765" s="200">
        <v>0</v>
      </c>
      <c r="G1765" s="200">
        <v>0</v>
      </c>
      <c r="H1765" s="200">
        <v>0</v>
      </c>
      <c r="I1765" s="348">
        <f t="shared" si="37"/>
        <v>277209.27</v>
      </c>
      <c r="J1765" s="192" t="s">
        <v>2314</v>
      </c>
    </row>
    <row r="1766" spans="1:10" hidden="1" outlineLevel="1">
      <c r="A1766" s="381" t="s">
        <v>1909</v>
      </c>
      <c r="B1766" s="199">
        <v>212232.92</v>
      </c>
      <c r="C1766" s="200">
        <v>0</v>
      </c>
      <c r="D1766" s="200">
        <v>0</v>
      </c>
      <c r="E1766" s="200">
        <v>0</v>
      </c>
      <c r="F1766" s="200">
        <v>0</v>
      </c>
      <c r="G1766" s="200">
        <v>0</v>
      </c>
      <c r="H1766" s="200">
        <v>0</v>
      </c>
      <c r="I1766" s="348">
        <f t="shared" si="37"/>
        <v>212232.92</v>
      </c>
      <c r="J1766" s="192" t="s">
        <v>1910</v>
      </c>
    </row>
    <row r="1767" spans="1:10" hidden="1" outlineLevel="1">
      <c r="A1767" s="381" t="s">
        <v>1911</v>
      </c>
      <c r="B1767" s="199">
        <v>595423.89</v>
      </c>
      <c r="C1767" s="200">
        <v>0</v>
      </c>
      <c r="D1767" s="200">
        <v>0</v>
      </c>
      <c r="E1767" s="200">
        <v>0</v>
      </c>
      <c r="F1767" s="200">
        <v>0</v>
      </c>
      <c r="G1767" s="200">
        <v>0</v>
      </c>
      <c r="H1767" s="200">
        <v>0</v>
      </c>
      <c r="I1767" s="348">
        <f t="shared" si="37"/>
        <v>595423.89</v>
      </c>
      <c r="J1767" s="192" t="s">
        <v>1912</v>
      </c>
    </row>
    <row r="1768" spans="1:10" hidden="1" outlineLevel="1">
      <c r="A1768" s="381" t="s">
        <v>1913</v>
      </c>
      <c r="B1768" s="199">
        <v>425559.26</v>
      </c>
      <c r="C1768" s="200">
        <v>0</v>
      </c>
      <c r="D1768" s="200">
        <v>0</v>
      </c>
      <c r="E1768" s="200">
        <v>0</v>
      </c>
      <c r="F1768" s="200">
        <v>0</v>
      </c>
      <c r="G1768" s="200">
        <v>0</v>
      </c>
      <c r="H1768" s="200">
        <v>0</v>
      </c>
      <c r="I1768" s="348">
        <f t="shared" si="37"/>
        <v>425559.26</v>
      </c>
      <c r="J1768" s="192" t="s">
        <v>1914</v>
      </c>
    </row>
    <row r="1769" spans="1:10" hidden="1" outlineLevel="1">
      <c r="A1769" s="381" t="s">
        <v>1915</v>
      </c>
      <c r="B1769" s="199">
        <v>1184682.74</v>
      </c>
      <c r="C1769" s="200">
        <v>0</v>
      </c>
      <c r="D1769" s="200">
        <v>0</v>
      </c>
      <c r="E1769" s="200">
        <v>0</v>
      </c>
      <c r="F1769" s="200">
        <v>0</v>
      </c>
      <c r="G1769" s="200">
        <v>0</v>
      </c>
      <c r="H1769" s="200">
        <v>0</v>
      </c>
      <c r="I1769" s="348">
        <f t="shared" si="37"/>
        <v>1184682.74</v>
      </c>
      <c r="J1769" s="192" t="s">
        <v>1916</v>
      </c>
    </row>
    <row r="1770" spans="1:10" hidden="1" outlineLevel="1">
      <c r="A1770" s="381" t="s">
        <v>1917</v>
      </c>
      <c r="B1770" s="199">
        <v>247434.47</v>
      </c>
      <c r="C1770" s="200">
        <v>0</v>
      </c>
      <c r="D1770" s="200">
        <v>0</v>
      </c>
      <c r="E1770" s="200">
        <v>0</v>
      </c>
      <c r="F1770" s="200">
        <v>0</v>
      </c>
      <c r="G1770" s="200">
        <v>0</v>
      </c>
      <c r="H1770" s="200">
        <v>0</v>
      </c>
      <c r="I1770" s="348">
        <f t="shared" si="37"/>
        <v>247434.47</v>
      </c>
      <c r="J1770" s="192" t="s">
        <v>1918</v>
      </c>
    </row>
    <row r="1771" spans="1:10" hidden="1" outlineLevel="1">
      <c r="A1771" s="381" t="s">
        <v>1919</v>
      </c>
      <c r="B1771" s="199">
        <v>583587.04</v>
      </c>
      <c r="C1771" s="200">
        <v>0</v>
      </c>
      <c r="D1771" s="200">
        <v>0</v>
      </c>
      <c r="E1771" s="200">
        <v>0</v>
      </c>
      <c r="F1771" s="200">
        <v>0</v>
      </c>
      <c r="G1771" s="200">
        <v>0</v>
      </c>
      <c r="H1771" s="200">
        <v>0</v>
      </c>
      <c r="I1771" s="348">
        <f t="shared" si="37"/>
        <v>583587.04</v>
      </c>
      <c r="J1771" s="192" t="s">
        <v>1920</v>
      </c>
    </row>
    <row r="1772" spans="1:10" hidden="1" outlineLevel="1">
      <c r="A1772" s="381" t="s">
        <v>1921</v>
      </c>
      <c r="B1772" s="199">
        <v>113036.58</v>
      </c>
      <c r="C1772" s="200">
        <v>0</v>
      </c>
      <c r="D1772" s="200">
        <v>0</v>
      </c>
      <c r="E1772" s="200">
        <v>0</v>
      </c>
      <c r="F1772" s="200">
        <v>0</v>
      </c>
      <c r="G1772" s="200">
        <v>0</v>
      </c>
      <c r="H1772" s="200">
        <v>0</v>
      </c>
      <c r="I1772" s="348">
        <f t="shared" ref="I1772:I1835" si="38">SUM(B1772:H1772)</f>
        <v>113036.58</v>
      </c>
      <c r="J1772" s="192" t="s">
        <v>1922</v>
      </c>
    </row>
    <row r="1773" spans="1:10" hidden="1" outlineLevel="1">
      <c r="A1773" s="381" t="s">
        <v>1923</v>
      </c>
      <c r="B1773" s="199">
        <v>55293.06</v>
      </c>
      <c r="C1773" s="200">
        <v>0</v>
      </c>
      <c r="D1773" s="200">
        <v>0</v>
      </c>
      <c r="E1773" s="200">
        <v>0</v>
      </c>
      <c r="F1773" s="200">
        <v>0</v>
      </c>
      <c r="G1773" s="200">
        <v>0</v>
      </c>
      <c r="H1773" s="200">
        <v>0</v>
      </c>
      <c r="I1773" s="348">
        <f t="shared" si="38"/>
        <v>55293.06</v>
      </c>
      <c r="J1773" s="192" t="s">
        <v>1924</v>
      </c>
    </row>
    <row r="1774" spans="1:10" hidden="1" outlineLevel="1">
      <c r="A1774" s="381" t="s">
        <v>1925</v>
      </c>
      <c r="B1774" s="199">
        <v>213284.76</v>
      </c>
      <c r="C1774" s="200">
        <v>0</v>
      </c>
      <c r="D1774" s="200">
        <v>0</v>
      </c>
      <c r="E1774" s="200">
        <v>0</v>
      </c>
      <c r="F1774" s="200">
        <v>0</v>
      </c>
      <c r="G1774" s="200">
        <v>0</v>
      </c>
      <c r="H1774" s="200">
        <v>0</v>
      </c>
      <c r="I1774" s="348">
        <f t="shared" si="38"/>
        <v>213284.76</v>
      </c>
      <c r="J1774" s="192" t="s">
        <v>1926</v>
      </c>
    </row>
    <row r="1775" spans="1:10" hidden="1" outlineLevel="1">
      <c r="A1775" s="381" t="s">
        <v>1927</v>
      </c>
      <c r="B1775" s="199">
        <v>145389.82999999999</v>
      </c>
      <c r="C1775" s="200">
        <v>0</v>
      </c>
      <c r="D1775" s="200">
        <v>0</v>
      </c>
      <c r="E1775" s="200">
        <v>0</v>
      </c>
      <c r="F1775" s="200">
        <v>0</v>
      </c>
      <c r="G1775" s="200">
        <v>0</v>
      </c>
      <c r="H1775" s="200">
        <v>0</v>
      </c>
      <c r="I1775" s="348">
        <f t="shared" si="38"/>
        <v>145389.82999999999</v>
      </c>
      <c r="J1775" s="192" t="s">
        <v>1928</v>
      </c>
    </row>
    <row r="1776" spans="1:10" hidden="1" outlineLevel="1">
      <c r="A1776" s="381" t="s">
        <v>1929</v>
      </c>
      <c r="B1776" s="199">
        <v>102985.73</v>
      </c>
      <c r="C1776" s="200">
        <v>0</v>
      </c>
      <c r="D1776" s="200">
        <v>0</v>
      </c>
      <c r="E1776" s="200">
        <v>0</v>
      </c>
      <c r="F1776" s="200">
        <v>38.979999999999997</v>
      </c>
      <c r="G1776" s="200">
        <v>0</v>
      </c>
      <c r="H1776" s="200">
        <v>0</v>
      </c>
      <c r="I1776" s="348">
        <f t="shared" si="38"/>
        <v>103024.70999999999</v>
      </c>
      <c r="J1776" s="192" t="s">
        <v>1930</v>
      </c>
    </row>
    <row r="1777" spans="1:10" hidden="1" outlineLevel="1">
      <c r="A1777" s="381" t="s">
        <v>1931</v>
      </c>
      <c r="B1777" s="199">
        <v>604501.76000000001</v>
      </c>
      <c r="C1777" s="200">
        <v>0</v>
      </c>
      <c r="D1777" s="200">
        <v>0</v>
      </c>
      <c r="E1777" s="200">
        <v>0</v>
      </c>
      <c r="F1777" s="200">
        <v>0</v>
      </c>
      <c r="G1777" s="200">
        <v>0</v>
      </c>
      <c r="H1777" s="200">
        <v>0</v>
      </c>
      <c r="I1777" s="348">
        <f t="shared" si="38"/>
        <v>604501.76000000001</v>
      </c>
      <c r="J1777" s="192" t="s">
        <v>1932</v>
      </c>
    </row>
    <row r="1778" spans="1:10" hidden="1" outlineLevel="1">
      <c r="A1778" s="381" t="s">
        <v>1933</v>
      </c>
      <c r="B1778" s="199">
        <v>353702.82</v>
      </c>
      <c r="C1778" s="200">
        <v>0</v>
      </c>
      <c r="D1778" s="200">
        <v>0</v>
      </c>
      <c r="E1778" s="200">
        <v>0</v>
      </c>
      <c r="F1778" s="200">
        <v>0</v>
      </c>
      <c r="G1778" s="200">
        <v>0</v>
      </c>
      <c r="H1778" s="200">
        <v>0</v>
      </c>
      <c r="I1778" s="348">
        <f t="shared" si="38"/>
        <v>353702.82</v>
      </c>
      <c r="J1778" s="192" t="s">
        <v>1934</v>
      </c>
    </row>
    <row r="1779" spans="1:10" hidden="1" outlineLevel="1">
      <c r="A1779" s="381" t="s">
        <v>1935</v>
      </c>
      <c r="B1779" s="199">
        <v>523578.04</v>
      </c>
      <c r="C1779" s="200">
        <v>0</v>
      </c>
      <c r="D1779" s="200">
        <v>0</v>
      </c>
      <c r="E1779" s="200">
        <v>0</v>
      </c>
      <c r="F1779" s="200">
        <v>0</v>
      </c>
      <c r="G1779" s="200">
        <v>0</v>
      </c>
      <c r="H1779" s="200">
        <v>0</v>
      </c>
      <c r="I1779" s="348">
        <f t="shared" si="38"/>
        <v>523578.04</v>
      </c>
      <c r="J1779" s="192" t="s">
        <v>1936</v>
      </c>
    </row>
    <row r="1780" spans="1:10" hidden="1" outlineLevel="1">
      <c r="A1780" s="381" t="s">
        <v>1937</v>
      </c>
      <c r="B1780" s="199">
        <v>334616.45</v>
      </c>
      <c r="C1780" s="200">
        <v>0</v>
      </c>
      <c r="D1780" s="200">
        <v>0</v>
      </c>
      <c r="E1780" s="200">
        <v>0</v>
      </c>
      <c r="F1780" s="200">
        <v>0</v>
      </c>
      <c r="G1780" s="200">
        <v>0</v>
      </c>
      <c r="H1780" s="200">
        <v>0</v>
      </c>
      <c r="I1780" s="348">
        <f t="shared" si="38"/>
        <v>334616.45</v>
      </c>
      <c r="J1780" s="192" t="s">
        <v>1938</v>
      </c>
    </row>
    <row r="1781" spans="1:10" hidden="1" outlineLevel="1">
      <c r="A1781" s="381" t="s">
        <v>1939</v>
      </c>
      <c r="B1781" s="199">
        <v>140258.01999999999</v>
      </c>
      <c r="C1781" s="200">
        <v>0</v>
      </c>
      <c r="D1781" s="200">
        <v>0</v>
      </c>
      <c r="E1781" s="200">
        <v>0</v>
      </c>
      <c r="F1781" s="200">
        <v>0</v>
      </c>
      <c r="G1781" s="200">
        <v>0</v>
      </c>
      <c r="H1781" s="200">
        <v>0</v>
      </c>
      <c r="I1781" s="348">
        <f t="shared" si="38"/>
        <v>140258.01999999999</v>
      </c>
      <c r="J1781" s="192" t="s">
        <v>1940</v>
      </c>
    </row>
    <row r="1782" spans="1:10" hidden="1" outlineLevel="1">
      <c r="A1782" s="381" t="s">
        <v>1941</v>
      </c>
      <c r="B1782" s="199">
        <v>346413.59</v>
      </c>
      <c r="C1782" s="200">
        <v>0</v>
      </c>
      <c r="D1782" s="200">
        <v>0</v>
      </c>
      <c r="E1782" s="200">
        <v>0</v>
      </c>
      <c r="F1782" s="200">
        <v>0</v>
      </c>
      <c r="G1782" s="200">
        <v>0</v>
      </c>
      <c r="H1782" s="200">
        <v>0</v>
      </c>
      <c r="I1782" s="348">
        <f t="shared" si="38"/>
        <v>346413.59</v>
      </c>
      <c r="J1782" s="192" t="s">
        <v>1942</v>
      </c>
    </row>
    <row r="1783" spans="1:10" hidden="1" outlineLevel="1">
      <c r="A1783" s="381" t="s">
        <v>1943</v>
      </c>
      <c r="B1783" s="199">
        <v>561334.03</v>
      </c>
      <c r="C1783" s="200">
        <v>0</v>
      </c>
      <c r="D1783" s="200">
        <v>0</v>
      </c>
      <c r="E1783" s="200">
        <v>0</v>
      </c>
      <c r="F1783" s="200">
        <v>0</v>
      </c>
      <c r="G1783" s="200">
        <v>0</v>
      </c>
      <c r="H1783" s="200">
        <v>0</v>
      </c>
      <c r="I1783" s="348">
        <f t="shared" si="38"/>
        <v>561334.03</v>
      </c>
      <c r="J1783" s="192" t="s">
        <v>1944</v>
      </c>
    </row>
    <row r="1784" spans="1:10" hidden="1" outlineLevel="1">
      <c r="A1784" s="381" t="s">
        <v>1945</v>
      </c>
      <c r="B1784" s="199">
        <v>376669.79</v>
      </c>
      <c r="C1784" s="200">
        <v>0</v>
      </c>
      <c r="D1784" s="200">
        <v>0</v>
      </c>
      <c r="E1784" s="200">
        <v>0</v>
      </c>
      <c r="F1784" s="200">
        <v>0</v>
      </c>
      <c r="G1784" s="200">
        <v>0</v>
      </c>
      <c r="H1784" s="200">
        <v>0</v>
      </c>
      <c r="I1784" s="348">
        <f t="shared" si="38"/>
        <v>376669.79</v>
      </c>
      <c r="J1784" s="192" t="s">
        <v>1946</v>
      </c>
    </row>
    <row r="1785" spans="1:10" hidden="1" outlineLevel="1">
      <c r="A1785" s="381" t="s">
        <v>1947</v>
      </c>
      <c r="B1785" s="199">
        <v>95693.61</v>
      </c>
      <c r="C1785" s="200">
        <v>0</v>
      </c>
      <c r="D1785" s="200">
        <v>0</v>
      </c>
      <c r="E1785" s="200">
        <v>0</v>
      </c>
      <c r="F1785" s="200">
        <v>0</v>
      </c>
      <c r="G1785" s="200">
        <v>0</v>
      </c>
      <c r="H1785" s="200">
        <v>0</v>
      </c>
      <c r="I1785" s="348">
        <f t="shared" si="38"/>
        <v>95693.61</v>
      </c>
      <c r="J1785" s="192" t="s">
        <v>1948</v>
      </c>
    </row>
    <row r="1786" spans="1:10" hidden="1" outlineLevel="1">
      <c r="A1786" s="381" t="s">
        <v>1949</v>
      </c>
      <c r="B1786" s="199">
        <v>307317.96999999997</v>
      </c>
      <c r="C1786" s="200">
        <v>0</v>
      </c>
      <c r="D1786" s="200">
        <v>0</v>
      </c>
      <c r="E1786" s="200">
        <v>0</v>
      </c>
      <c r="F1786" s="200">
        <v>0</v>
      </c>
      <c r="G1786" s="200">
        <v>0</v>
      </c>
      <c r="H1786" s="200">
        <v>0</v>
      </c>
      <c r="I1786" s="348">
        <f t="shared" si="38"/>
        <v>307317.96999999997</v>
      </c>
      <c r="J1786" s="192" t="s">
        <v>1950</v>
      </c>
    </row>
    <row r="1787" spans="1:10" hidden="1" outlineLevel="1">
      <c r="A1787" s="381" t="s">
        <v>1951</v>
      </c>
      <c r="B1787" s="199">
        <v>93442.83</v>
      </c>
      <c r="C1787" s="200">
        <v>0</v>
      </c>
      <c r="D1787" s="200">
        <v>0</v>
      </c>
      <c r="E1787" s="200">
        <v>0</v>
      </c>
      <c r="F1787" s="200">
        <v>0</v>
      </c>
      <c r="G1787" s="200">
        <v>0</v>
      </c>
      <c r="H1787" s="200">
        <v>0</v>
      </c>
      <c r="I1787" s="348">
        <f t="shared" si="38"/>
        <v>93442.83</v>
      </c>
      <c r="J1787" s="192" t="s">
        <v>1952</v>
      </c>
    </row>
    <row r="1788" spans="1:10" hidden="1" outlineLevel="1">
      <c r="A1788" s="381" t="s">
        <v>1953</v>
      </c>
      <c r="B1788" s="199">
        <v>437154.65</v>
      </c>
      <c r="C1788" s="200">
        <v>0</v>
      </c>
      <c r="D1788" s="200">
        <v>0</v>
      </c>
      <c r="E1788" s="200">
        <v>0</v>
      </c>
      <c r="F1788" s="200">
        <v>374.06</v>
      </c>
      <c r="G1788" s="200">
        <v>0</v>
      </c>
      <c r="H1788" s="200">
        <v>0</v>
      </c>
      <c r="I1788" s="348">
        <f t="shared" si="38"/>
        <v>437528.71</v>
      </c>
      <c r="J1788" s="192" t="s">
        <v>1954</v>
      </c>
    </row>
    <row r="1789" spans="1:10" hidden="1" outlineLevel="1">
      <c r="A1789" s="381" t="s">
        <v>1955</v>
      </c>
      <c r="B1789" s="199">
        <v>342292.93</v>
      </c>
      <c r="C1789" s="200">
        <v>0</v>
      </c>
      <c r="D1789" s="200">
        <v>0</v>
      </c>
      <c r="E1789" s="200">
        <v>0</v>
      </c>
      <c r="F1789" s="200">
        <v>0</v>
      </c>
      <c r="G1789" s="200">
        <v>0</v>
      </c>
      <c r="H1789" s="200">
        <v>0</v>
      </c>
      <c r="I1789" s="348">
        <f t="shared" si="38"/>
        <v>342292.93</v>
      </c>
      <c r="J1789" s="192" t="s">
        <v>1956</v>
      </c>
    </row>
    <row r="1790" spans="1:10" hidden="1" outlineLevel="1">
      <c r="A1790" s="381" t="s">
        <v>1957</v>
      </c>
      <c r="B1790" s="199">
        <v>256156.71</v>
      </c>
      <c r="C1790" s="200">
        <v>0</v>
      </c>
      <c r="D1790" s="200">
        <v>0</v>
      </c>
      <c r="E1790" s="200">
        <v>0</v>
      </c>
      <c r="F1790" s="200">
        <v>0</v>
      </c>
      <c r="G1790" s="200">
        <v>0</v>
      </c>
      <c r="H1790" s="200">
        <v>0</v>
      </c>
      <c r="I1790" s="348">
        <f t="shared" si="38"/>
        <v>256156.71</v>
      </c>
      <c r="J1790" s="192" t="s">
        <v>1958</v>
      </c>
    </row>
    <row r="1791" spans="1:10" hidden="1" outlineLevel="1">
      <c r="A1791" s="381" t="s">
        <v>1959</v>
      </c>
      <c r="B1791" s="199">
        <v>73154.94</v>
      </c>
      <c r="C1791" s="200">
        <v>0</v>
      </c>
      <c r="D1791" s="200">
        <v>0</v>
      </c>
      <c r="E1791" s="200">
        <v>0</v>
      </c>
      <c r="F1791" s="200">
        <v>0</v>
      </c>
      <c r="G1791" s="200">
        <v>0</v>
      </c>
      <c r="H1791" s="200">
        <v>0</v>
      </c>
      <c r="I1791" s="348">
        <f t="shared" si="38"/>
        <v>73154.94</v>
      </c>
      <c r="J1791" s="192" t="s">
        <v>1960</v>
      </c>
    </row>
    <row r="1792" spans="1:10" hidden="1" outlineLevel="1">
      <c r="A1792" s="381" t="s">
        <v>1961</v>
      </c>
      <c r="B1792" s="199">
        <v>95580.11</v>
      </c>
      <c r="C1792" s="200">
        <v>0</v>
      </c>
      <c r="D1792" s="200">
        <v>0</v>
      </c>
      <c r="E1792" s="200">
        <v>0</v>
      </c>
      <c r="F1792" s="200">
        <v>0</v>
      </c>
      <c r="G1792" s="200">
        <v>0</v>
      </c>
      <c r="H1792" s="200">
        <v>0</v>
      </c>
      <c r="I1792" s="348">
        <f t="shared" si="38"/>
        <v>95580.11</v>
      </c>
      <c r="J1792" s="192" t="s">
        <v>1962</v>
      </c>
    </row>
    <row r="1793" spans="1:10" hidden="1" outlineLevel="1">
      <c r="A1793" s="381" t="s">
        <v>1963</v>
      </c>
      <c r="B1793" s="199">
        <v>2059278.65</v>
      </c>
      <c r="C1793" s="200">
        <v>0</v>
      </c>
      <c r="D1793" s="200">
        <v>0</v>
      </c>
      <c r="E1793" s="200">
        <v>0</v>
      </c>
      <c r="F1793" s="200">
        <v>3384.82</v>
      </c>
      <c r="G1793" s="200">
        <v>0</v>
      </c>
      <c r="H1793" s="200">
        <v>0</v>
      </c>
      <c r="I1793" s="348">
        <f t="shared" si="38"/>
        <v>2062663.47</v>
      </c>
      <c r="J1793" s="192" t="s">
        <v>1964</v>
      </c>
    </row>
    <row r="1794" spans="1:10" hidden="1" outlineLevel="1">
      <c r="A1794" s="381" t="s">
        <v>1965</v>
      </c>
      <c r="B1794" s="199">
        <v>224747.53</v>
      </c>
      <c r="C1794" s="200">
        <v>0</v>
      </c>
      <c r="D1794" s="200">
        <v>0</v>
      </c>
      <c r="E1794" s="200">
        <v>0</v>
      </c>
      <c r="F1794" s="200">
        <v>0</v>
      </c>
      <c r="G1794" s="200">
        <v>0</v>
      </c>
      <c r="H1794" s="200">
        <v>0</v>
      </c>
      <c r="I1794" s="348">
        <f t="shared" si="38"/>
        <v>224747.53</v>
      </c>
      <c r="J1794" s="192" t="s">
        <v>1966</v>
      </c>
    </row>
    <row r="1795" spans="1:10" hidden="1" outlineLevel="1">
      <c r="A1795" s="381" t="s">
        <v>1967</v>
      </c>
      <c r="B1795" s="199">
        <v>3383769.9</v>
      </c>
      <c r="C1795" s="200">
        <v>0</v>
      </c>
      <c r="D1795" s="200">
        <v>0</v>
      </c>
      <c r="E1795" s="200">
        <v>0</v>
      </c>
      <c r="F1795" s="200">
        <v>8218.5400000000009</v>
      </c>
      <c r="G1795" s="200">
        <v>0</v>
      </c>
      <c r="H1795" s="200">
        <v>0</v>
      </c>
      <c r="I1795" s="348">
        <f t="shared" si="38"/>
        <v>3391988.44</v>
      </c>
      <c r="J1795" s="192" t="s">
        <v>1968</v>
      </c>
    </row>
    <row r="1796" spans="1:10" hidden="1" outlineLevel="1">
      <c r="A1796" s="381" t="s">
        <v>1969</v>
      </c>
      <c r="B1796" s="199">
        <v>712671.94</v>
      </c>
      <c r="C1796" s="200">
        <v>0</v>
      </c>
      <c r="D1796" s="200">
        <v>0</v>
      </c>
      <c r="E1796" s="200">
        <v>0</v>
      </c>
      <c r="F1796" s="200">
        <v>0</v>
      </c>
      <c r="G1796" s="200">
        <v>0</v>
      </c>
      <c r="H1796" s="200">
        <v>0</v>
      </c>
      <c r="I1796" s="348">
        <f t="shared" si="38"/>
        <v>712671.94</v>
      </c>
      <c r="J1796" s="192" t="s">
        <v>1970</v>
      </c>
    </row>
    <row r="1797" spans="1:10" hidden="1" outlineLevel="1">
      <c r="A1797" s="381" t="s">
        <v>1971</v>
      </c>
      <c r="B1797" s="199">
        <v>384455.3</v>
      </c>
      <c r="C1797" s="200">
        <v>0</v>
      </c>
      <c r="D1797" s="200">
        <v>0</v>
      </c>
      <c r="E1797" s="200">
        <v>0</v>
      </c>
      <c r="F1797" s="200">
        <v>0</v>
      </c>
      <c r="G1797" s="200">
        <v>0</v>
      </c>
      <c r="H1797" s="200">
        <v>0</v>
      </c>
      <c r="I1797" s="348">
        <f t="shared" si="38"/>
        <v>384455.3</v>
      </c>
      <c r="J1797" s="192" t="s">
        <v>1972</v>
      </c>
    </row>
    <row r="1798" spans="1:10" hidden="1" outlineLevel="1">
      <c r="A1798" s="381" t="s">
        <v>1132</v>
      </c>
      <c r="B1798" s="199">
        <v>1007783.65</v>
      </c>
      <c r="C1798" s="200">
        <v>0</v>
      </c>
      <c r="D1798" s="200">
        <v>0</v>
      </c>
      <c r="E1798" s="200">
        <v>0</v>
      </c>
      <c r="F1798" s="200">
        <v>0</v>
      </c>
      <c r="G1798" s="200">
        <v>0</v>
      </c>
      <c r="H1798" s="200">
        <v>0</v>
      </c>
      <c r="I1798" s="348">
        <f t="shared" si="38"/>
        <v>1007783.65</v>
      </c>
      <c r="J1798" s="192" t="s">
        <v>1133</v>
      </c>
    </row>
    <row r="1799" spans="1:10" hidden="1" outlineLevel="1">
      <c r="A1799" s="381" t="s">
        <v>1973</v>
      </c>
      <c r="B1799" s="199">
        <v>102109.14</v>
      </c>
      <c r="C1799" s="200">
        <v>0</v>
      </c>
      <c r="D1799" s="200">
        <v>0</v>
      </c>
      <c r="E1799" s="200">
        <v>0</v>
      </c>
      <c r="F1799" s="200">
        <v>0</v>
      </c>
      <c r="G1799" s="200">
        <v>0</v>
      </c>
      <c r="H1799" s="200">
        <v>0</v>
      </c>
      <c r="I1799" s="348">
        <f t="shared" si="38"/>
        <v>102109.14</v>
      </c>
      <c r="J1799" s="192" t="s">
        <v>1974</v>
      </c>
    </row>
    <row r="1800" spans="1:10" hidden="1" outlineLevel="1">
      <c r="A1800" s="381" t="s">
        <v>1975</v>
      </c>
      <c r="B1800" s="199">
        <v>233358.46</v>
      </c>
      <c r="C1800" s="200">
        <v>0</v>
      </c>
      <c r="D1800" s="200">
        <v>0</v>
      </c>
      <c r="E1800" s="200">
        <v>0</v>
      </c>
      <c r="F1800" s="200">
        <v>0</v>
      </c>
      <c r="G1800" s="200">
        <v>0</v>
      </c>
      <c r="H1800" s="200">
        <v>0</v>
      </c>
      <c r="I1800" s="348">
        <f t="shared" si="38"/>
        <v>233358.46</v>
      </c>
      <c r="J1800" s="192" t="s">
        <v>1976</v>
      </c>
    </row>
    <row r="1801" spans="1:10" hidden="1" outlineLevel="1">
      <c r="A1801" s="381" t="s">
        <v>1977</v>
      </c>
      <c r="B1801" s="199">
        <v>312740.58</v>
      </c>
      <c r="C1801" s="200">
        <v>0</v>
      </c>
      <c r="D1801" s="200">
        <v>0</v>
      </c>
      <c r="E1801" s="200">
        <v>0</v>
      </c>
      <c r="F1801" s="200">
        <v>0</v>
      </c>
      <c r="G1801" s="200">
        <v>0</v>
      </c>
      <c r="H1801" s="200">
        <v>0</v>
      </c>
      <c r="I1801" s="348">
        <f t="shared" si="38"/>
        <v>312740.58</v>
      </c>
      <c r="J1801" s="192" t="s">
        <v>1978</v>
      </c>
    </row>
    <row r="1802" spans="1:10" hidden="1" outlineLevel="1">
      <c r="A1802" s="381" t="s">
        <v>1979</v>
      </c>
      <c r="B1802" s="199">
        <v>142082.46</v>
      </c>
      <c r="C1802" s="200">
        <v>0</v>
      </c>
      <c r="D1802" s="200">
        <v>0</v>
      </c>
      <c r="E1802" s="200">
        <v>0</v>
      </c>
      <c r="F1802" s="200">
        <v>0</v>
      </c>
      <c r="G1802" s="200">
        <v>0</v>
      </c>
      <c r="H1802" s="200">
        <v>0</v>
      </c>
      <c r="I1802" s="348">
        <f t="shared" si="38"/>
        <v>142082.46</v>
      </c>
      <c r="J1802" s="192" t="s">
        <v>1980</v>
      </c>
    </row>
    <row r="1803" spans="1:10" hidden="1" outlineLevel="1">
      <c r="A1803" s="381" t="s">
        <v>1981</v>
      </c>
      <c r="B1803" s="199">
        <v>211460.86</v>
      </c>
      <c r="C1803" s="200">
        <v>0</v>
      </c>
      <c r="D1803" s="200">
        <v>0</v>
      </c>
      <c r="E1803" s="200">
        <v>0</v>
      </c>
      <c r="F1803" s="200">
        <v>0</v>
      </c>
      <c r="G1803" s="200">
        <v>0</v>
      </c>
      <c r="H1803" s="200">
        <v>0</v>
      </c>
      <c r="I1803" s="348">
        <f t="shared" si="38"/>
        <v>211460.86</v>
      </c>
      <c r="J1803" s="192" t="s">
        <v>1982</v>
      </c>
    </row>
    <row r="1804" spans="1:10" hidden="1" outlineLevel="1">
      <c r="A1804" s="381" t="s">
        <v>1983</v>
      </c>
      <c r="B1804" s="199">
        <v>71584.95</v>
      </c>
      <c r="C1804" s="200">
        <v>0</v>
      </c>
      <c r="D1804" s="200">
        <v>0</v>
      </c>
      <c r="E1804" s="200">
        <v>0</v>
      </c>
      <c r="F1804" s="200">
        <v>0</v>
      </c>
      <c r="G1804" s="200">
        <v>0</v>
      </c>
      <c r="H1804" s="200">
        <v>0</v>
      </c>
      <c r="I1804" s="348">
        <f t="shared" si="38"/>
        <v>71584.95</v>
      </c>
      <c r="J1804" s="192" t="s">
        <v>1984</v>
      </c>
    </row>
    <row r="1805" spans="1:10" hidden="1" outlineLevel="1">
      <c r="A1805" s="381" t="s">
        <v>1985</v>
      </c>
      <c r="B1805" s="199">
        <v>332101.96000000002</v>
      </c>
      <c r="C1805" s="200">
        <v>0</v>
      </c>
      <c r="D1805" s="200">
        <v>0</v>
      </c>
      <c r="E1805" s="200">
        <v>0</v>
      </c>
      <c r="F1805" s="200">
        <v>0</v>
      </c>
      <c r="G1805" s="200">
        <v>0</v>
      </c>
      <c r="H1805" s="200">
        <v>0</v>
      </c>
      <c r="I1805" s="348">
        <f t="shared" si="38"/>
        <v>332101.96000000002</v>
      </c>
      <c r="J1805" s="192" t="s">
        <v>1986</v>
      </c>
    </row>
    <row r="1806" spans="1:10" hidden="1" outlineLevel="1">
      <c r="A1806" s="381" t="s">
        <v>1987</v>
      </c>
      <c r="B1806" s="199">
        <v>152382.09</v>
      </c>
      <c r="C1806" s="200">
        <v>0</v>
      </c>
      <c r="D1806" s="200">
        <v>0</v>
      </c>
      <c r="E1806" s="200">
        <v>0</v>
      </c>
      <c r="F1806" s="200">
        <v>0</v>
      </c>
      <c r="G1806" s="200">
        <v>0</v>
      </c>
      <c r="H1806" s="200">
        <v>0</v>
      </c>
      <c r="I1806" s="348">
        <f t="shared" si="38"/>
        <v>152382.09</v>
      </c>
      <c r="J1806" s="192" t="s">
        <v>1988</v>
      </c>
    </row>
    <row r="1807" spans="1:10" hidden="1" outlineLevel="1">
      <c r="A1807" s="381" t="s">
        <v>1989</v>
      </c>
      <c r="B1807" s="199">
        <v>277096.99</v>
      </c>
      <c r="C1807" s="200">
        <v>0</v>
      </c>
      <c r="D1807" s="200">
        <v>0</v>
      </c>
      <c r="E1807" s="200">
        <v>0</v>
      </c>
      <c r="F1807" s="200">
        <v>0</v>
      </c>
      <c r="G1807" s="200">
        <v>0</v>
      </c>
      <c r="H1807" s="200">
        <v>0</v>
      </c>
      <c r="I1807" s="348">
        <f t="shared" si="38"/>
        <v>277096.99</v>
      </c>
      <c r="J1807" s="192" t="s">
        <v>1990</v>
      </c>
    </row>
    <row r="1808" spans="1:10" hidden="1" outlineLevel="1">
      <c r="A1808" s="381" t="s">
        <v>1991</v>
      </c>
      <c r="B1808" s="199">
        <v>407428.04</v>
      </c>
      <c r="C1808" s="200">
        <v>0</v>
      </c>
      <c r="D1808" s="200">
        <v>0</v>
      </c>
      <c r="E1808" s="200">
        <v>0</v>
      </c>
      <c r="F1808" s="200">
        <v>0</v>
      </c>
      <c r="G1808" s="200">
        <v>0</v>
      </c>
      <c r="H1808" s="200">
        <v>0</v>
      </c>
      <c r="I1808" s="348">
        <f t="shared" si="38"/>
        <v>407428.04</v>
      </c>
      <c r="J1808" s="192" t="s">
        <v>1992</v>
      </c>
    </row>
    <row r="1809" spans="1:10" hidden="1" outlineLevel="1">
      <c r="A1809" s="381" t="s">
        <v>1993</v>
      </c>
      <c r="B1809" s="199">
        <v>298630.06</v>
      </c>
      <c r="C1809" s="200">
        <v>0</v>
      </c>
      <c r="D1809" s="200">
        <v>0</v>
      </c>
      <c r="E1809" s="200">
        <v>0</v>
      </c>
      <c r="F1809" s="200">
        <v>0</v>
      </c>
      <c r="G1809" s="200">
        <v>0</v>
      </c>
      <c r="H1809" s="200">
        <v>0</v>
      </c>
      <c r="I1809" s="348">
        <f t="shared" si="38"/>
        <v>298630.06</v>
      </c>
      <c r="J1809" s="192" t="s">
        <v>1994</v>
      </c>
    </row>
    <row r="1810" spans="1:10" hidden="1" outlineLevel="1">
      <c r="A1810" s="381" t="s">
        <v>1995</v>
      </c>
      <c r="B1810" s="199">
        <v>271869.26</v>
      </c>
      <c r="C1810" s="200">
        <v>0</v>
      </c>
      <c r="D1810" s="200">
        <v>0</v>
      </c>
      <c r="E1810" s="200">
        <v>0</v>
      </c>
      <c r="F1810" s="200">
        <v>0</v>
      </c>
      <c r="G1810" s="200">
        <v>0</v>
      </c>
      <c r="H1810" s="200">
        <v>0</v>
      </c>
      <c r="I1810" s="348">
        <f t="shared" si="38"/>
        <v>271869.26</v>
      </c>
      <c r="J1810" s="192" t="s">
        <v>1996</v>
      </c>
    </row>
    <row r="1811" spans="1:10" hidden="1" outlineLevel="1">
      <c r="A1811" s="381" t="s">
        <v>2315</v>
      </c>
      <c r="B1811" s="199">
        <v>521805.19</v>
      </c>
      <c r="C1811" s="200">
        <v>0</v>
      </c>
      <c r="D1811" s="200">
        <v>0</v>
      </c>
      <c r="E1811" s="200">
        <v>0</v>
      </c>
      <c r="F1811" s="200">
        <v>0</v>
      </c>
      <c r="G1811" s="200">
        <v>0</v>
      </c>
      <c r="H1811" s="200">
        <v>0</v>
      </c>
      <c r="I1811" s="348">
        <f t="shared" si="38"/>
        <v>521805.19</v>
      </c>
      <c r="J1811" s="192" t="s">
        <v>2316</v>
      </c>
    </row>
    <row r="1812" spans="1:10" hidden="1" outlineLevel="1">
      <c r="A1812" s="381" t="s">
        <v>1154</v>
      </c>
      <c r="B1812" s="199">
        <v>685362.24</v>
      </c>
      <c r="C1812" s="200">
        <v>0</v>
      </c>
      <c r="D1812" s="200">
        <v>0</v>
      </c>
      <c r="E1812" s="200">
        <v>0</v>
      </c>
      <c r="F1812" s="200">
        <v>0</v>
      </c>
      <c r="G1812" s="200">
        <v>0</v>
      </c>
      <c r="H1812" s="200">
        <v>0</v>
      </c>
      <c r="I1812" s="348">
        <f t="shared" si="38"/>
        <v>685362.24</v>
      </c>
      <c r="J1812" s="192" t="s">
        <v>1155</v>
      </c>
    </row>
    <row r="1813" spans="1:10" hidden="1" outlineLevel="1">
      <c r="A1813" s="381" t="s">
        <v>1997</v>
      </c>
      <c r="B1813" s="199">
        <v>197420.45</v>
      </c>
      <c r="C1813" s="200">
        <v>0</v>
      </c>
      <c r="D1813" s="200">
        <v>0</v>
      </c>
      <c r="E1813" s="200">
        <v>0</v>
      </c>
      <c r="F1813" s="200">
        <v>0</v>
      </c>
      <c r="G1813" s="200">
        <v>0</v>
      </c>
      <c r="H1813" s="200">
        <v>0</v>
      </c>
      <c r="I1813" s="348">
        <f t="shared" si="38"/>
        <v>197420.45</v>
      </c>
      <c r="J1813" s="192" t="s">
        <v>1998</v>
      </c>
    </row>
    <row r="1814" spans="1:10" hidden="1" outlineLevel="1">
      <c r="A1814" s="381" t="s">
        <v>1999</v>
      </c>
      <c r="B1814" s="199">
        <v>589181.29</v>
      </c>
      <c r="C1814" s="200">
        <v>0</v>
      </c>
      <c r="D1814" s="200">
        <v>0</v>
      </c>
      <c r="E1814" s="200">
        <v>0</v>
      </c>
      <c r="F1814" s="200">
        <v>0</v>
      </c>
      <c r="G1814" s="200">
        <v>0</v>
      </c>
      <c r="H1814" s="200">
        <v>0</v>
      </c>
      <c r="I1814" s="348">
        <f t="shared" si="38"/>
        <v>589181.29</v>
      </c>
      <c r="J1814" s="192" t="s">
        <v>2000</v>
      </c>
    </row>
    <row r="1815" spans="1:10" hidden="1" outlineLevel="1">
      <c r="A1815" s="381" t="s">
        <v>2001</v>
      </c>
      <c r="B1815" s="199">
        <v>136475.35</v>
      </c>
      <c r="C1815" s="200">
        <v>0</v>
      </c>
      <c r="D1815" s="200">
        <v>0</v>
      </c>
      <c r="E1815" s="200">
        <v>0</v>
      </c>
      <c r="F1815" s="200">
        <v>0</v>
      </c>
      <c r="G1815" s="200">
        <v>0</v>
      </c>
      <c r="H1815" s="200">
        <v>0</v>
      </c>
      <c r="I1815" s="348">
        <f t="shared" si="38"/>
        <v>136475.35</v>
      </c>
      <c r="J1815" s="192" t="s">
        <v>2002</v>
      </c>
    </row>
    <row r="1816" spans="1:10" hidden="1" outlineLevel="1">
      <c r="A1816" s="381" t="s">
        <v>2003</v>
      </c>
      <c r="B1816" s="199">
        <v>1201803.98</v>
      </c>
      <c r="C1816" s="200">
        <v>0</v>
      </c>
      <c r="D1816" s="200">
        <v>0</v>
      </c>
      <c r="E1816" s="200">
        <v>0</v>
      </c>
      <c r="F1816" s="200">
        <v>0</v>
      </c>
      <c r="G1816" s="200">
        <v>0</v>
      </c>
      <c r="H1816" s="200">
        <v>0</v>
      </c>
      <c r="I1816" s="348">
        <f t="shared" si="38"/>
        <v>1201803.98</v>
      </c>
      <c r="J1816" s="192" t="s">
        <v>2004</v>
      </c>
    </row>
    <row r="1817" spans="1:10" hidden="1" outlineLevel="1">
      <c r="A1817" s="381" t="s">
        <v>2005</v>
      </c>
      <c r="B1817" s="199">
        <v>582165.23</v>
      </c>
      <c r="C1817" s="200">
        <v>0</v>
      </c>
      <c r="D1817" s="200">
        <v>0</v>
      </c>
      <c r="E1817" s="200">
        <v>0</v>
      </c>
      <c r="F1817" s="200">
        <v>0</v>
      </c>
      <c r="G1817" s="200">
        <v>0</v>
      </c>
      <c r="H1817" s="200">
        <v>0</v>
      </c>
      <c r="I1817" s="348">
        <f t="shared" si="38"/>
        <v>582165.23</v>
      </c>
      <c r="J1817" s="192" t="s">
        <v>2006</v>
      </c>
    </row>
    <row r="1818" spans="1:10" hidden="1" outlineLevel="1">
      <c r="A1818" s="381" t="s">
        <v>911</v>
      </c>
      <c r="B1818" s="199">
        <v>2267024.94</v>
      </c>
      <c r="C1818" s="200">
        <v>0</v>
      </c>
      <c r="D1818" s="200">
        <v>0</v>
      </c>
      <c r="E1818" s="200">
        <v>0</v>
      </c>
      <c r="F1818" s="200">
        <v>1668.91</v>
      </c>
      <c r="G1818" s="200">
        <v>0</v>
      </c>
      <c r="H1818" s="200">
        <v>0</v>
      </c>
      <c r="I1818" s="348">
        <f t="shared" si="38"/>
        <v>2268693.85</v>
      </c>
      <c r="J1818" s="192" t="s">
        <v>912</v>
      </c>
    </row>
    <row r="1819" spans="1:10" hidden="1" outlineLevel="1">
      <c r="A1819" s="381" t="s">
        <v>2007</v>
      </c>
      <c r="B1819" s="199">
        <v>274087.55</v>
      </c>
      <c r="C1819" s="200">
        <v>0</v>
      </c>
      <c r="D1819" s="200">
        <v>0</v>
      </c>
      <c r="E1819" s="200">
        <v>0</v>
      </c>
      <c r="F1819" s="200">
        <v>0</v>
      </c>
      <c r="G1819" s="200">
        <v>0</v>
      </c>
      <c r="H1819" s="200">
        <v>0</v>
      </c>
      <c r="I1819" s="348">
        <f t="shared" si="38"/>
        <v>274087.55</v>
      </c>
      <c r="J1819" s="192" t="s">
        <v>2008</v>
      </c>
    </row>
    <row r="1820" spans="1:10" hidden="1" outlineLevel="1">
      <c r="A1820" s="381" t="s">
        <v>2009</v>
      </c>
      <c r="B1820" s="199">
        <v>945798.82</v>
      </c>
      <c r="C1820" s="200">
        <v>0</v>
      </c>
      <c r="D1820" s="200">
        <v>0</v>
      </c>
      <c r="E1820" s="200">
        <v>0</v>
      </c>
      <c r="F1820" s="200">
        <v>0</v>
      </c>
      <c r="G1820" s="200">
        <v>0</v>
      </c>
      <c r="H1820" s="200">
        <v>0</v>
      </c>
      <c r="I1820" s="348">
        <f t="shared" si="38"/>
        <v>945798.82</v>
      </c>
      <c r="J1820" s="192" t="s">
        <v>2010</v>
      </c>
    </row>
    <row r="1821" spans="1:10" hidden="1" outlineLevel="1">
      <c r="A1821" s="381" t="s">
        <v>2011</v>
      </c>
      <c r="B1821" s="199">
        <v>246006.2</v>
      </c>
      <c r="C1821" s="200">
        <v>0</v>
      </c>
      <c r="D1821" s="200">
        <v>0</v>
      </c>
      <c r="E1821" s="200">
        <v>0</v>
      </c>
      <c r="F1821" s="200">
        <v>0</v>
      </c>
      <c r="G1821" s="200">
        <v>0</v>
      </c>
      <c r="H1821" s="200">
        <v>0</v>
      </c>
      <c r="I1821" s="348">
        <f t="shared" si="38"/>
        <v>246006.2</v>
      </c>
      <c r="J1821" s="192" t="s">
        <v>2012</v>
      </c>
    </row>
    <row r="1822" spans="1:10" hidden="1" outlineLevel="1">
      <c r="A1822" s="381" t="s">
        <v>2013</v>
      </c>
      <c r="B1822" s="199">
        <v>253319.44</v>
      </c>
      <c r="C1822" s="200">
        <v>0</v>
      </c>
      <c r="D1822" s="200">
        <v>0</v>
      </c>
      <c r="E1822" s="200">
        <v>0</v>
      </c>
      <c r="F1822" s="200">
        <v>0</v>
      </c>
      <c r="G1822" s="200">
        <v>0</v>
      </c>
      <c r="H1822" s="200">
        <v>0</v>
      </c>
      <c r="I1822" s="348">
        <f t="shared" si="38"/>
        <v>253319.44</v>
      </c>
      <c r="J1822" s="192" t="s">
        <v>2014</v>
      </c>
    </row>
    <row r="1823" spans="1:10" hidden="1" outlineLevel="1">
      <c r="A1823" s="381" t="s">
        <v>2015</v>
      </c>
      <c r="B1823" s="199">
        <v>163564.1</v>
      </c>
      <c r="C1823" s="200">
        <v>0</v>
      </c>
      <c r="D1823" s="200">
        <v>0</v>
      </c>
      <c r="E1823" s="200">
        <v>0</v>
      </c>
      <c r="F1823" s="200">
        <v>0</v>
      </c>
      <c r="G1823" s="200">
        <v>0</v>
      </c>
      <c r="H1823" s="200">
        <v>0</v>
      </c>
      <c r="I1823" s="348">
        <f t="shared" si="38"/>
        <v>163564.1</v>
      </c>
      <c r="J1823" s="192" t="s">
        <v>2016</v>
      </c>
    </row>
    <row r="1824" spans="1:10" hidden="1" outlineLevel="1">
      <c r="A1824" s="381" t="s">
        <v>2017</v>
      </c>
      <c r="B1824" s="199">
        <v>159669.01999999999</v>
      </c>
      <c r="C1824" s="200">
        <v>0</v>
      </c>
      <c r="D1824" s="200">
        <v>0</v>
      </c>
      <c r="E1824" s="200">
        <v>0</v>
      </c>
      <c r="F1824" s="200">
        <v>0</v>
      </c>
      <c r="G1824" s="200">
        <v>0</v>
      </c>
      <c r="H1824" s="200">
        <v>0</v>
      </c>
      <c r="I1824" s="348">
        <f t="shared" si="38"/>
        <v>159669.01999999999</v>
      </c>
      <c r="J1824" s="192" t="s">
        <v>2018</v>
      </c>
    </row>
    <row r="1825" spans="1:10" hidden="1" outlineLevel="1">
      <c r="A1825" s="381" t="s">
        <v>2019</v>
      </c>
      <c r="B1825" s="199">
        <v>486237.99</v>
      </c>
      <c r="C1825" s="200">
        <v>0</v>
      </c>
      <c r="D1825" s="200">
        <v>0</v>
      </c>
      <c r="E1825" s="200">
        <v>0</v>
      </c>
      <c r="F1825" s="200">
        <v>0</v>
      </c>
      <c r="G1825" s="200">
        <v>0</v>
      </c>
      <c r="H1825" s="200">
        <v>0</v>
      </c>
      <c r="I1825" s="348">
        <f t="shared" si="38"/>
        <v>486237.99</v>
      </c>
      <c r="J1825" s="192" t="s">
        <v>2020</v>
      </c>
    </row>
    <row r="1826" spans="1:10" hidden="1" outlineLevel="1">
      <c r="A1826" s="381" t="s">
        <v>1314</v>
      </c>
      <c r="B1826" s="199">
        <v>360009</v>
      </c>
      <c r="C1826" s="200">
        <v>0</v>
      </c>
      <c r="D1826" s="200">
        <v>0</v>
      </c>
      <c r="E1826" s="200">
        <v>0</v>
      </c>
      <c r="F1826" s="200">
        <v>0</v>
      </c>
      <c r="G1826" s="200">
        <v>0</v>
      </c>
      <c r="H1826" s="200">
        <v>0</v>
      </c>
      <c r="I1826" s="348">
        <f t="shared" si="38"/>
        <v>360009</v>
      </c>
      <c r="J1826" s="192" t="s">
        <v>1315</v>
      </c>
    </row>
    <row r="1827" spans="1:10" hidden="1" outlineLevel="1">
      <c r="A1827" s="381" t="s">
        <v>2021</v>
      </c>
      <c r="B1827" s="199">
        <v>257769.49</v>
      </c>
      <c r="C1827" s="200">
        <v>0</v>
      </c>
      <c r="D1827" s="200">
        <v>0</v>
      </c>
      <c r="E1827" s="200">
        <v>0</v>
      </c>
      <c r="F1827" s="200">
        <v>0</v>
      </c>
      <c r="G1827" s="200">
        <v>0</v>
      </c>
      <c r="H1827" s="200">
        <v>0</v>
      </c>
      <c r="I1827" s="348">
        <f t="shared" si="38"/>
        <v>257769.49</v>
      </c>
      <c r="J1827" s="192" t="s">
        <v>2022</v>
      </c>
    </row>
    <row r="1828" spans="1:10" hidden="1" outlineLevel="1">
      <c r="A1828" s="381" t="s">
        <v>2023</v>
      </c>
      <c r="B1828" s="199">
        <v>282542.90000000002</v>
      </c>
      <c r="C1828" s="200">
        <v>0</v>
      </c>
      <c r="D1828" s="200">
        <v>0</v>
      </c>
      <c r="E1828" s="200">
        <v>0</v>
      </c>
      <c r="F1828" s="200">
        <v>0</v>
      </c>
      <c r="G1828" s="200">
        <v>0</v>
      </c>
      <c r="H1828" s="200">
        <v>0</v>
      </c>
      <c r="I1828" s="348">
        <f t="shared" si="38"/>
        <v>282542.90000000002</v>
      </c>
      <c r="J1828" s="192" t="s">
        <v>2024</v>
      </c>
    </row>
    <row r="1829" spans="1:10" hidden="1" outlineLevel="1">
      <c r="A1829" s="381" t="s">
        <v>2025</v>
      </c>
      <c r="B1829" s="199">
        <v>101610.51</v>
      </c>
      <c r="C1829" s="200">
        <v>0</v>
      </c>
      <c r="D1829" s="200">
        <v>0</v>
      </c>
      <c r="E1829" s="200">
        <v>0</v>
      </c>
      <c r="F1829" s="200">
        <v>0</v>
      </c>
      <c r="G1829" s="200">
        <v>0</v>
      </c>
      <c r="H1829" s="200">
        <v>0</v>
      </c>
      <c r="I1829" s="348">
        <f t="shared" si="38"/>
        <v>101610.51</v>
      </c>
      <c r="J1829" s="192" t="s">
        <v>2026</v>
      </c>
    </row>
    <row r="1830" spans="1:10" hidden="1" outlineLevel="1">
      <c r="A1830" s="381" t="s">
        <v>2027</v>
      </c>
      <c r="B1830" s="199">
        <v>7621507.5099999998</v>
      </c>
      <c r="C1830" s="200">
        <v>0</v>
      </c>
      <c r="D1830" s="200">
        <v>0</v>
      </c>
      <c r="E1830" s="200">
        <v>0</v>
      </c>
      <c r="F1830" s="200">
        <v>24282.400000000001</v>
      </c>
      <c r="G1830" s="200">
        <v>0</v>
      </c>
      <c r="H1830" s="200">
        <v>0</v>
      </c>
      <c r="I1830" s="348">
        <f t="shared" si="38"/>
        <v>7645789.9100000001</v>
      </c>
      <c r="J1830" s="192" t="s">
        <v>2028</v>
      </c>
    </row>
    <row r="1831" spans="1:10" hidden="1" outlineLevel="1">
      <c r="A1831" s="381" t="s">
        <v>2029</v>
      </c>
      <c r="B1831" s="199">
        <v>375761.47</v>
      </c>
      <c r="C1831" s="200">
        <v>0</v>
      </c>
      <c r="D1831" s="200">
        <v>0</v>
      </c>
      <c r="E1831" s="200">
        <v>0</v>
      </c>
      <c r="F1831" s="200">
        <v>259.20999999999998</v>
      </c>
      <c r="G1831" s="200">
        <v>0</v>
      </c>
      <c r="H1831" s="200">
        <v>0</v>
      </c>
      <c r="I1831" s="348">
        <f t="shared" si="38"/>
        <v>376020.68</v>
      </c>
      <c r="J1831" s="192" t="s">
        <v>2030</v>
      </c>
    </row>
    <row r="1832" spans="1:10" hidden="1" outlineLevel="1">
      <c r="A1832" s="381" t="s">
        <v>2031</v>
      </c>
      <c r="B1832" s="199">
        <v>1545988.07</v>
      </c>
      <c r="C1832" s="200">
        <v>0</v>
      </c>
      <c r="D1832" s="200">
        <v>0</v>
      </c>
      <c r="E1832" s="200">
        <v>0</v>
      </c>
      <c r="F1832" s="200">
        <v>0</v>
      </c>
      <c r="G1832" s="200">
        <v>0</v>
      </c>
      <c r="H1832" s="200">
        <v>0</v>
      </c>
      <c r="I1832" s="348">
        <f t="shared" si="38"/>
        <v>1545988.07</v>
      </c>
      <c r="J1832" s="192" t="s">
        <v>2032</v>
      </c>
    </row>
    <row r="1833" spans="1:10" hidden="1" outlineLevel="1">
      <c r="A1833" s="381" t="s">
        <v>819</v>
      </c>
      <c r="B1833" s="199">
        <v>774483.86</v>
      </c>
      <c r="C1833" s="200">
        <v>0</v>
      </c>
      <c r="D1833" s="200">
        <v>0</v>
      </c>
      <c r="E1833" s="200">
        <v>0</v>
      </c>
      <c r="F1833" s="200">
        <v>172.27</v>
      </c>
      <c r="G1833" s="200">
        <v>0</v>
      </c>
      <c r="H1833" s="200">
        <v>0</v>
      </c>
      <c r="I1833" s="348">
        <f t="shared" si="38"/>
        <v>774656.13</v>
      </c>
      <c r="J1833" s="192" t="s">
        <v>820</v>
      </c>
    </row>
    <row r="1834" spans="1:10" hidden="1" outlineLevel="1">
      <c r="A1834" s="381" t="s">
        <v>2033</v>
      </c>
      <c r="B1834" s="199">
        <v>11824.4</v>
      </c>
      <c r="C1834" s="200">
        <v>0</v>
      </c>
      <c r="D1834" s="200">
        <v>0</v>
      </c>
      <c r="E1834" s="200">
        <v>0</v>
      </c>
      <c r="F1834" s="200">
        <v>0</v>
      </c>
      <c r="G1834" s="200">
        <v>0</v>
      </c>
      <c r="H1834" s="200">
        <v>0</v>
      </c>
      <c r="I1834" s="348">
        <f t="shared" si="38"/>
        <v>11824.4</v>
      </c>
      <c r="J1834" s="192" t="s">
        <v>2034</v>
      </c>
    </row>
    <row r="1835" spans="1:10" hidden="1" outlineLevel="1">
      <c r="A1835" s="381" t="s">
        <v>1202</v>
      </c>
      <c r="B1835" s="199">
        <v>570803.07999999996</v>
      </c>
      <c r="C1835" s="200">
        <v>0</v>
      </c>
      <c r="D1835" s="200">
        <v>0</v>
      </c>
      <c r="E1835" s="200">
        <v>0</v>
      </c>
      <c r="F1835" s="200">
        <v>0</v>
      </c>
      <c r="G1835" s="200">
        <v>0</v>
      </c>
      <c r="H1835" s="200">
        <v>0</v>
      </c>
      <c r="I1835" s="348">
        <f t="shared" si="38"/>
        <v>570803.07999999996</v>
      </c>
      <c r="J1835" s="192" t="s">
        <v>1203</v>
      </c>
    </row>
    <row r="1836" spans="1:10" hidden="1" outlineLevel="1">
      <c r="A1836" s="381" t="s">
        <v>2035</v>
      </c>
      <c r="B1836" s="199">
        <v>3103544.54</v>
      </c>
      <c r="C1836" s="200">
        <v>0</v>
      </c>
      <c r="D1836" s="200">
        <v>0</v>
      </c>
      <c r="E1836" s="200">
        <v>0</v>
      </c>
      <c r="F1836" s="200">
        <v>0</v>
      </c>
      <c r="G1836" s="200">
        <v>0</v>
      </c>
      <c r="H1836" s="200">
        <v>0</v>
      </c>
      <c r="I1836" s="348">
        <f t="shared" ref="I1836:I1843" si="39">SUM(B1836:H1836)</f>
        <v>3103544.54</v>
      </c>
      <c r="J1836" s="192" t="s">
        <v>2036</v>
      </c>
    </row>
    <row r="1837" spans="1:10" hidden="1" outlineLevel="1">
      <c r="A1837" s="381" t="s">
        <v>2037</v>
      </c>
      <c r="B1837" s="199">
        <v>883893.86</v>
      </c>
      <c r="C1837" s="200">
        <v>0</v>
      </c>
      <c r="D1837" s="200">
        <v>0</v>
      </c>
      <c r="E1837" s="200">
        <v>0</v>
      </c>
      <c r="F1837" s="200">
        <v>0</v>
      </c>
      <c r="G1837" s="200">
        <v>0</v>
      </c>
      <c r="H1837" s="200">
        <v>0</v>
      </c>
      <c r="I1837" s="348">
        <f t="shared" si="39"/>
        <v>883893.86</v>
      </c>
      <c r="J1837" s="192" t="s">
        <v>2038</v>
      </c>
    </row>
    <row r="1838" spans="1:10" hidden="1" outlineLevel="1">
      <c r="A1838" s="381" t="s">
        <v>2039</v>
      </c>
      <c r="B1838" s="199">
        <v>80951.77</v>
      </c>
      <c r="C1838" s="200">
        <v>0</v>
      </c>
      <c r="D1838" s="200">
        <v>0</v>
      </c>
      <c r="E1838" s="200">
        <v>0</v>
      </c>
      <c r="F1838" s="200">
        <v>0</v>
      </c>
      <c r="G1838" s="200">
        <v>0</v>
      </c>
      <c r="H1838" s="200">
        <v>0</v>
      </c>
      <c r="I1838" s="348">
        <f t="shared" si="39"/>
        <v>80951.77</v>
      </c>
      <c r="J1838" s="192" t="s">
        <v>2040</v>
      </c>
    </row>
    <row r="1839" spans="1:10" hidden="1" outlineLevel="1">
      <c r="A1839" s="381" t="s">
        <v>2041</v>
      </c>
      <c r="B1839" s="199">
        <v>4241241.6500000004</v>
      </c>
      <c r="C1839" s="200">
        <v>0</v>
      </c>
      <c r="D1839" s="200">
        <v>0</v>
      </c>
      <c r="E1839" s="200">
        <v>0</v>
      </c>
      <c r="F1839" s="200">
        <v>0</v>
      </c>
      <c r="G1839" s="200">
        <v>0</v>
      </c>
      <c r="H1839" s="200">
        <v>0</v>
      </c>
      <c r="I1839" s="348">
        <f t="shared" si="39"/>
        <v>4241241.6500000004</v>
      </c>
      <c r="J1839" s="192" t="s">
        <v>2042</v>
      </c>
    </row>
    <row r="1840" spans="1:10" hidden="1" outlineLevel="1">
      <c r="A1840" s="381" t="s">
        <v>2317</v>
      </c>
      <c r="B1840" s="199">
        <v>11872.33</v>
      </c>
      <c r="C1840" s="200">
        <v>0</v>
      </c>
      <c r="D1840" s="200">
        <v>0</v>
      </c>
      <c r="E1840" s="200">
        <v>0</v>
      </c>
      <c r="F1840" s="200">
        <v>0</v>
      </c>
      <c r="G1840" s="200">
        <v>0</v>
      </c>
      <c r="H1840" s="200">
        <v>0</v>
      </c>
      <c r="I1840" s="348">
        <f t="shared" si="39"/>
        <v>11872.33</v>
      </c>
      <c r="J1840" s="192" t="s">
        <v>2318</v>
      </c>
    </row>
    <row r="1841" spans="1:10" hidden="1" outlineLevel="1">
      <c r="A1841" s="381" t="s">
        <v>2043</v>
      </c>
      <c r="B1841" s="199">
        <v>116584.42</v>
      </c>
      <c r="C1841" s="200">
        <v>0</v>
      </c>
      <c r="D1841" s="200">
        <v>0</v>
      </c>
      <c r="E1841" s="200">
        <v>0</v>
      </c>
      <c r="F1841" s="200">
        <v>0</v>
      </c>
      <c r="G1841" s="200">
        <v>0</v>
      </c>
      <c r="H1841" s="200">
        <v>0</v>
      </c>
      <c r="I1841" s="348">
        <f t="shared" si="39"/>
        <v>116584.42</v>
      </c>
      <c r="J1841" s="192" t="s">
        <v>2044</v>
      </c>
    </row>
    <row r="1842" spans="1:10" hidden="1" outlineLevel="1">
      <c r="A1842" s="381" t="s">
        <v>2045</v>
      </c>
      <c r="B1842" s="199">
        <v>11866.48</v>
      </c>
      <c r="C1842" s="200">
        <v>0</v>
      </c>
      <c r="D1842" s="200">
        <v>0</v>
      </c>
      <c r="E1842" s="200">
        <v>0</v>
      </c>
      <c r="F1842" s="200">
        <v>0</v>
      </c>
      <c r="G1842" s="200">
        <v>0</v>
      </c>
      <c r="H1842" s="200">
        <v>0</v>
      </c>
      <c r="I1842" s="348">
        <f t="shared" si="39"/>
        <v>11866.48</v>
      </c>
      <c r="J1842" s="192" t="s">
        <v>2046</v>
      </c>
    </row>
    <row r="1843" spans="1:10" hidden="1" outlineLevel="1">
      <c r="A1843" s="381"/>
      <c r="B1843" s="207"/>
      <c r="C1843" s="125"/>
      <c r="D1843" s="125"/>
      <c r="E1843" s="125"/>
      <c r="F1843" s="200"/>
      <c r="G1843" s="200"/>
      <c r="H1843" s="200"/>
      <c r="I1843" s="348">
        <f t="shared" si="39"/>
        <v>0</v>
      </c>
    </row>
    <row r="1844" spans="1:10" ht="13.5" collapsed="1" thickBot="1">
      <c r="A1844" s="383" t="s">
        <v>2047</v>
      </c>
      <c r="B1844" s="203">
        <f t="shared" ref="B1844:I1844" si="40">B931+B1103+B1337+B1705</f>
        <v>871344147.44676018</v>
      </c>
      <c r="C1844" s="204">
        <f t="shared" si="40"/>
        <v>0</v>
      </c>
      <c r="D1844" s="204">
        <f t="shared" si="40"/>
        <v>350670.32</v>
      </c>
      <c r="E1844" s="218">
        <f t="shared" si="40"/>
        <v>0</v>
      </c>
      <c r="F1844" s="218">
        <f t="shared" si="40"/>
        <v>4032064.0127300001</v>
      </c>
      <c r="G1844" s="218">
        <f t="shared" si="40"/>
        <v>27767.694532000001</v>
      </c>
      <c r="H1844" s="218">
        <f t="shared" si="40"/>
        <v>5719.4654820000005</v>
      </c>
      <c r="I1844" s="205">
        <f t="shared" si="40"/>
        <v>875760368.93950415</v>
      </c>
    </row>
    <row r="1845" spans="1:10" ht="12" customHeight="1">
      <c r="A1845" s="6"/>
      <c r="B1845" s="176"/>
      <c r="C1845" s="176"/>
      <c r="D1845" s="176"/>
      <c r="E1845" s="176"/>
      <c r="F1845" s="176"/>
    </row>
    <row r="1846" spans="1:10" ht="12" hidden="1" customHeight="1">
      <c r="D1846" s="25"/>
    </row>
    <row r="1847" spans="1:10">
      <c r="D1847" s="25"/>
    </row>
    <row r="1848" spans="1:10" ht="15">
      <c r="A1848" s="1745" t="s">
        <v>2328</v>
      </c>
      <c r="D1848" s="25"/>
    </row>
    <row r="1849" spans="1:10" ht="13.5" thickBot="1">
      <c r="D1849" s="25"/>
    </row>
    <row r="1850" spans="1:10" ht="68.25" customHeight="1" thickBot="1">
      <c r="A1850" s="490"/>
      <c r="B1850" s="1744" t="s">
        <v>2320</v>
      </c>
      <c r="C1850" s="194" t="s">
        <v>2321</v>
      </c>
      <c r="D1850" s="194" t="s">
        <v>2322</v>
      </c>
      <c r="E1850" s="194" t="s">
        <v>2323</v>
      </c>
      <c r="F1850" s="194" t="s">
        <v>2324</v>
      </c>
      <c r="G1850" s="194" t="s">
        <v>2325</v>
      </c>
      <c r="H1850" s="194" t="s">
        <v>2326</v>
      </c>
      <c r="I1850" s="533" t="s">
        <v>2327</v>
      </c>
    </row>
    <row r="1851" spans="1:10" s="542" customFormat="1" ht="20.25" customHeight="1" thickBot="1">
      <c r="A1851" s="550"/>
      <c r="B1851" s="769" t="s">
        <v>2054</v>
      </c>
      <c r="C1851" s="537" t="s">
        <v>2054</v>
      </c>
      <c r="D1851" s="537" t="s">
        <v>2054</v>
      </c>
      <c r="E1851" s="537" t="s">
        <v>2054</v>
      </c>
      <c r="F1851" s="537" t="s">
        <v>2054</v>
      </c>
      <c r="G1851" s="537" t="s">
        <v>2054</v>
      </c>
      <c r="H1851" s="537" t="s">
        <v>2054</v>
      </c>
      <c r="I1851" s="791" t="s">
        <v>2054</v>
      </c>
      <c r="J1851" s="541"/>
    </row>
    <row r="1852" spans="1:10">
      <c r="A1852" s="755" t="str">
        <f>A7</f>
        <v>Regelzone 50Hertz (gesamt)</v>
      </c>
      <c r="B1852" s="771">
        <f t="shared" ref="B1852:I1852" si="41">+SUM(B1853:B2023)</f>
        <v>525769242.17903978</v>
      </c>
      <c r="C1852" s="766">
        <f t="shared" si="41"/>
        <v>0</v>
      </c>
      <c r="D1852" s="766">
        <f t="shared" si="41"/>
        <v>0</v>
      </c>
      <c r="E1852" s="766">
        <f t="shared" si="41"/>
        <v>0</v>
      </c>
      <c r="F1852" s="766">
        <f t="shared" si="41"/>
        <v>2964227.2958399993</v>
      </c>
      <c r="G1852" s="766">
        <f t="shared" si="41"/>
        <v>9140.2738559999998</v>
      </c>
      <c r="H1852" s="766">
        <f t="shared" si="41"/>
        <v>16665.711456000001</v>
      </c>
      <c r="I1852" s="1652">
        <f t="shared" si="41"/>
        <v>528759275.46019179</v>
      </c>
    </row>
    <row r="1853" spans="1:10" hidden="1" outlineLevel="1">
      <c r="A1853" s="756" t="s">
        <v>772</v>
      </c>
      <c r="B1853" s="772">
        <v>39310715.503199995</v>
      </c>
      <c r="C1853" s="760">
        <v>0</v>
      </c>
      <c r="D1853" s="760">
        <v>0</v>
      </c>
      <c r="E1853" s="760">
        <v>0</v>
      </c>
      <c r="F1853" s="761">
        <v>0</v>
      </c>
      <c r="G1853" s="712">
        <v>0</v>
      </c>
      <c r="H1853" s="712">
        <v>0</v>
      </c>
      <c r="I1853" s="775">
        <f t="shared" ref="I1853:I1916" si="42">SUM(B1853:H1853)</f>
        <v>39310715.503199995</v>
      </c>
      <c r="J1853" s="192" t="s">
        <v>773</v>
      </c>
    </row>
    <row r="1854" spans="1:10" hidden="1" outlineLevel="1">
      <c r="A1854" s="757" t="s">
        <v>758</v>
      </c>
      <c r="B1854" s="773">
        <v>14920238.104319999</v>
      </c>
      <c r="C1854" s="760">
        <v>0</v>
      </c>
      <c r="D1854" s="760">
        <v>0</v>
      </c>
      <c r="E1854" s="760">
        <v>0</v>
      </c>
      <c r="F1854" s="761">
        <v>0</v>
      </c>
      <c r="G1854" s="712">
        <v>0</v>
      </c>
      <c r="H1854" s="712">
        <v>0</v>
      </c>
      <c r="I1854" s="775">
        <f t="shared" si="42"/>
        <v>14920238.104319999</v>
      </c>
      <c r="J1854" s="192" t="s">
        <v>759</v>
      </c>
    </row>
    <row r="1855" spans="1:10" hidden="1" outlineLevel="1">
      <c r="A1855" s="757" t="s">
        <v>460</v>
      </c>
      <c r="B1855" s="773">
        <v>301256.81231999997</v>
      </c>
      <c r="C1855" s="760">
        <v>0</v>
      </c>
      <c r="D1855" s="760">
        <v>0</v>
      </c>
      <c r="E1855" s="760">
        <v>0</v>
      </c>
      <c r="F1855" s="761">
        <v>0</v>
      </c>
      <c r="G1855" s="712">
        <v>0</v>
      </c>
      <c r="H1855" s="712">
        <v>0</v>
      </c>
      <c r="I1855" s="775">
        <f t="shared" si="42"/>
        <v>301256.81231999997</v>
      </c>
      <c r="J1855" s="192" t="s">
        <v>2162</v>
      </c>
    </row>
    <row r="1856" spans="1:10" hidden="1" outlineLevel="1">
      <c r="A1856" s="756" t="s">
        <v>488</v>
      </c>
      <c r="B1856" s="773">
        <v>729038.91264</v>
      </c>
      <c r="C1856" s="760">
        <v>0</v>
      </c>
      <c r="D1856" s="760">
        <v>0</v>
      </c>
      <c r="E1856" s="760">
        <v>0</v>
      </c>
      <c r="F1856" s="761">
        <v>0</v>
      </c>
      <c r="G1856" s="712">
        <v>0</v>
      </c>
      <c r="H1856" s="712">
        <v>0</v>
      </c>
      <c r="I1856" s="775">
        <f t="shared" si="42"/>
        <v>729038.91264</v>
      </c>
      <c r="J1856" s="192" t="s">
        <v>489</v>
      </c>
    </row>
    <row r="1857" spans="1:10" hidden="1" outlineLevel="1">
      <c r="A1857" s="757" t="s">
        <v>943</v>
      </c>
      <c r="B1857" s="773">
        <v>923356.86863999988</v>
      </c>
      <c r="C1857" s="760">
        <v>0</v>
      </c>
      <c r="D1857" s="760">
        <v>0</v>
      </c>
      <c r="E1857" s="760">
        <v>0</v>
      </c>
      <c r="F1857" s="761">
        <v>1819775.7233279999</v>
      </c>
      <c r="G1857" s="712">
        <v>0</v>
      </c>
      <c r="H1857" s="712">
        <v>0</v>
      </c>
      <c r="I1857" s="775">
        <f t="shared" si="42"/>
        <v>2743132.5919679999</v>
      </c>
      <c r="J1857" s="192" t="s">
        <v>2163</v>
      </c>
    </row>
    <row r="1858" spans="1:10" hidden="1" outlineLevel="1">
      <c r="A1858" s="757" t="s">
        <v>943</v>
      </c>
      <c r="B1858" s="773">
        <v>1377979.4774399998</v>
      </c>
      <c r="C1858" s="760">
        <v>0</v>
      </c>
      <c r="D1858" s="760">
        <v>0</v>
      </c>
      <c r="E1858" s="760">
        <v>0</v>
      </c>
      <c r="F1858" s="761">
        <v>230100.04233600001</v>
      </c>
      <c r="G1858" s="712">
        <v>0</v>
      </c>
      <c r="H1858" s="712">
        <v>0</v>
      </c>
      <c r="I1858" s="775">
        <f t="shared" si="42"/>
        <v>1608079.5197759997</v>
      </c>
      <c r="J1858" s="192" t="s">
        <v>2164</v>
      </c>
    </row>
    <row r="1859" spans="1:10" hidden="1" outlineLevel="1">
      <c r="A1859" s="756" t="s">
        <v>728</v>
      </c>
      <c r="B1859" s="773">
        <v>15793585.490879998</v>
      </c>
      <c r="C1859" s="760">
        <v>0</v>
      </c>
      <c r="D1859" s="760">
        <v>0</v>
      </c>
      <c r="E1859" s="760">
        <v>0</v>
      </c>
      <c r="F1859" s="761">
        <v>35940.84648</v>
      </c>
      <c r="G1859" s="712">
        <v>4243.8984959999998</v>
      </c>
      <c r="H1859" s="712">
        <v>0</v>
      </c>
      <c r="I1859" s="775">
        <f t="shared" si="42"/>
        <v>15833770.235855998</v>
      </c>
      <c r="J1859" s="192" t="s">
        <v>729</v>
      </c>
    </row>
    <row r="1860" spans="1:10" hidden="1" outlineLevel="1">
      <c r="A1860" s="757" t="s">
        <v>598</v>
      </c>
      <c r="B1860" s="773">
        <v>56984549.532479994</v>
      </c>
      <c r="C1860" s="760">
        <v>0</v>
      </c>
      <c r="D1860" s="760">
        <v>0</v>
      </c>
      <c r="E1860" s="760">
        <v>0</v>
      </c>
      <c r="F1860" s="761">
        <v>0</v>
      </c>
      <c r="G1860" s="712">
        <v>3374.2628160000004</v>
      </c>
      <c r="H1860" s="712">
        <v>0</v>
      </c>
      <c r="I1860" s="775">
        <f t="shared" si="42"/>
        <v>56987923.795295991</v>
      </c>
      <c r="J1860" s="192" t="s">
        <v>599</v>
      </c>
    </row>
    <row r="1861" spans="1:10" hidden="1" outlineLevel="1">
      <c r="A1861" s="757" t="s">
        <v>799</v>
      </c>
      <c r="B1861" s="773">
        <v>52409.55023999999</v>
      </c>
      <c r="C1861" s="760">
        <v>0</v>
      </c>
      <c r="D1861" s="760">
        <v>0</v>
      </c>
      <c r="E1861" s="760">
        <v>0</v>
      </c>
      <c r="F1861" s="761">
        <v>0</v>
      </c>
      <c r="G1861" s="712">
        <v>0</v>
      </c>
      <c r="H1861" s="712">
        <v>0</v>
      </c>
      <c r="I1861" s="775">
        <f t="shared" si="42"/>
        <v>52409.55023999999</v>
      </c>
      <c r="J1861" s="192" t="s">
        <v>2165</v>
      </c>
    </row>
    <row r="1862" spans="1:10" hidden="1" outlineLevel="1">
      <c r="A1862" s="756" t="s">
        <v>542</v>
      </c>
      <c r="B1862" s="773">
        <v>18022.34736</v>
      </c>
      <c r="C1862" s="760">
        <v>0</v>
      </c>
      <c r="D1862" s="760">
        <v>0</v>
      </c>
      <c r="E1862" s="760">
        <v>0</v>
      </c>
      <c r="F1862" s="761">
        <v>0</v>
      </c>
      <c r="G1862" s="712">
        <v>0</v>
      </c>
      <c r="H1862" s="712">
        <v>0</v>
      </c>
      <c r="I1862" s="775">
        <f t="shared" si="42"/>
        <v>18022.34736</v>
      </c>
      <c r="J1862" s="192" t="s">
        <v>543</v>
      </c>
    </row>
    <row r="1863" spans="1:10" hidden="1" outlineLevel="1">
      <c r="A1863" s="757" t="s">
        <v>2166</v>
      </c>
      <c r="B1863" s="773">
        <v>261806.48447999998</v>
      </c>
      <c r="C1863" s="760">
        <v>0</v>
      </c>
      <c r="D1863" s="760">
        <v>0</v>
      </c>
      <c r="E1863" s="760">
        <v>0</v>
      </c>
      <c r="F1863" s="761">
        <v>0</v>
      </c>
      <c r="G1863" s="712">
        <v>0</v>
      </c>
      <c r="H1863" s="712">
        <v>0</v>
      </c>
      <c r="I1863" s="775">
        <f t="shared" si="42"/>
        <v>261806.48447999998</v>
      </c>
      <c r="J1863" s="192" t="s">
        <v>2167</v>
      </c>
    </row>
    <row r="1864" spans="1:10" hidden="1" outlineLevel="1">
      <c r="A1864" s="757" t="s">
        <v>508</v>
      </c>
      <c r="B1864" s="773">
        <v>47645.024159999994</v>
      </c>
      <c r="C1864" s="760">
        <v>0</v>
      </c>
      <c r="D1864" s="760">
        <v>0</v>
      </c>
      <c r="E1864" s="760">
        <v>0</v>
      </c>
      <c r="F1864" s="761">
        <v>0</v>
      </c>
      <c r="G1864" s="712">
        <v>0</v>
      </c>
      <c r="H1864" s="712">
        <v>0</v>
      </c>
      <c r="I1864" s="775">
        <f t="shared" si="42"/>
        <v>47645.024159999994</v>
      </c>
      <c r="J1864" s="192" t="s">
        <v>509</v>
      </c>
    </row>
    <row r="1865" spans="1:10" hidden="1" outlineLevel="1">
      <c r="A1865" s="756" t="s">
        <v>676</v>
      </c>
      <c r="B1865" s="773">
        <v>333685.42751999997</v>
      </c>
      <c r="C1865" s="760">
        <v>0</v>
      </c>
      <c r="D1865" s="760">
        <v>0</v>
      </c>
      <c r="E1865" s="760">
        <v>0</v>
      </c>
      <c r="F1865" s="761">
        <v>0</v>
      </c>
      <c r="G1865" s="712">
        <v>0</v>
      </c>
      <c r="H1865" s="712">
        <v>0</v>
      </c>
      <c r="I1865" s="775">
        <f t="shared" si="42"/>
        <v>333685.42751999997</v>
      </c>
      <c r="J1865" s="192" t="s">
        <v>677</v>
      </c>
    </row>
    <row r="1866" spans="1:10" hidden="1" outlineLevel="1">
      <c r="A1866" s="757" t="s">
        <v>2168</v>
      </c>
      <c r="B1866" s="773">
        <v>1500686.1955199998</v>
      </c>
      <c r="C1866" s="760">
        <v>0</v>
      </c>
      <c r="D1866" s="760">
        <v>0</v>
      </c>
      <c r="E1866" s="760">
        <v>0</v>
      </c>
      <c r="F1866" s="761">
        <v>0</v>
      </c>
      <c r="G1866" s="712">
        <v>0</v>
      </c>
      <c r="H1866" s="712">
        <v>0</v>
      </c>
      <c r="I1866" s="775">
        <f t="shared" si="42"/>
        <v>1500686.1955199998</v>
      </c>
      <c r="J1866" s="192" t="s">
        <v>2169</v>
      </c>
    </row>
    <row r="1867" spans="1:10" hidden="1" outlineLevel="1">
      <c r="A1867" s="757" t="s">
        <v>2170</v>
      </c>
      <c r="B1867" s="773">
        <v>809689.44767999987</v>
      </c>
      <c r="C1867" s="760">
        <v>0</v>
      </c>
      <c r="D1867" s="760">
        <v>0</v>
      </c>
      <c r="E1867" s="760">
        <v>0</v>
      </c>
      <c r="F1867" s="761">
        <v>0</v>
      </c>
      <c r="G1867" s="712">
        <v>0</v>
      </c>
      <c r="H1867" s="712">
        <v>0</v>
      </c>
      <c r="I1867" s="775">
        <f t="shared" si="42"/>
        <v>809689.44767999987</v>
      </c>
      <c r="J1867" s="192" t="s">
        <v>2171</v>
      </c>
    </row>
    <row r="1868" spans="1:10" hidden="1" outlineLevel="1">
      <c r="A1868" s="756" t="s">
        <v>2172</v>
      </c>
      <c r="B1868" s="773">
        <v>501206.83295999997</v>
      </c>
      <c r="C1868" s="760">
        <v>0</v>
      </c>
      <c r="D1868" s="760">
        <v>0</v>
      </c>
      <c r="E1868" s="760">
        <v>0</v>
      </c>
      <c r="F1868" s="761">
        <v>0</v>
      </c>
      <c r="G1868" s="712">
        <v>0</v>
      </c>
      <c r="H1868" s="712">
        <v>0</v>
      </c>
      <c r="I1868" s="775">
        <f t="shared" si="42"/>
        <v>501206.83295999997</v>
      </c>
      <c r="J1868" s="192" t="s">
        <v>2173</v>
      </c>
    </row>
    <row r="1869" spans="1:10" hidden="1" outlineLevel="1">
      <c r="A1869" s="757" t="s">
        <v>456</v>
      </c>
      <c r="B1869" s="773">
        <v>569137.57631999999</v>
      </c>
      <c r="C1869" s="760">
        <v>0</v>
      </c>
      <c r="D1869" s="760">
        <v>0</v>
      </c>
      <c r="E1869" s="760">
        <v>0</v>
      </c>
      <c r="F1869" s="761">
        <v>0</v>
      </c>
      <c r="G1869" s="712">
        <v>0</v>
      </c>
      <c r="H1869" s="712">
        <v>0</v>
      </c>
      <c r="I1869" s="775">
        <f t="shared" si="42"/>
        <v>569137.57631999999</v>
      </c>
      <c r="J1869" s="192" t="s">
        <v>457</v>
      </c>
    </row>
    <row r="1870" spans="1:10" hidden="1" outlineLevel="1">
      <c r="A1870" s="757" t="s">
        <v>768</v>
      </c>
      <c r="B1870" s="773">
        <v>590622.30959999992</v>
      </c>
      <c r="C1870" s="760">
        <v>0</v>
      </c>
      <c r="D1870" s="760">
        <v>0</v>
      </c>
      <c r="E1870" s="760">
        <v>0</v>
      </c>
      <c r="F1870" s="761">
        <v>0</v>
      </c>
      <c r="G1870" s="712">
        <v>0</v>
      </c>
      <c r="H1870" s="712">
        <v>0</v>
      </c>
      <c r="I1870" s="775">
        <f t="shared" si="42"/>
        <v>590622.30959999992</v>
      </c>
      <c r="J1870" s="192" t="s">
        <v>769</v>
      </c>
    </row>
    <row r="1871" spans="1:10" hidden="1" outlineLevel="1">
      <c r="A1871" s="756" t="s">
        <v>2174</v>
      </c>
      <c r="B1871" s="773">
        <v>137937.17856</v>
      </c>
      <c r="C1871" s="760">
        <v>0</v>
      </c>
      <c r="D1871" s="760">
        <v>0</v>
      </c>
      <c r="E1871" s="760">
        <v>0</v>
      </c>
      <c r="F1871" s="761">
        <v>0</v>
      </c>
      <c r="G1871" s="712">
        <v>0</v>
      </c>
      <c r="H1871" s="712">
        <v>0</v>
      </c>
      <c r="I1871" s="775">
        <f t="shared" si="42"/>
        <v>137937.17856</v>
      </c>
      <c r="J1871" s="192" t="s">
        <v>2175</v>
      </c>
    </row>
    <row r="1872" spans="1:10" hidden="1" outlineLevel="1">
      <c r="A1872" s="757" t="s">
        <v>738</v>
      </c>
      <c r="B1872" s="773">
        <v>2315333.8468800001</v>
      </c>
      <c r="C1872" s="760">
        <v>0</v>
      </c>
      <c r="D1872" s="760">
        <v>0</v>
      </c>
      <c r="E1872" s="760">
        <v>0</v>
      </c>
      <c r="F1872" s="761">
        <v>0</v>
      </c>
      <c r="G1872" s="712">
        <v>0</v>
      </c>
      <c r="H1872" s="712">
        <v>0</v>
      </c>
      <c r="I1872" s="775">
        <f t="shared" si="42"/>
        <v>2315333.8468800001</v>
      </c>
      <c r="J1872" s="192" t="s">
        <v>739</v>
      </c>
    </row>
    <row r="1873" spans="1:10" hidden="1" outlineLevel="1">
      <c r="A1873" s="757" t="s">
        <v>484</v>
      </c>
      <c r="B1873" s="773">
        <v>63364254.498719998</v>
      </c>
      <c r="C1873" s="760">
        <v>0</v>
      </c>
      <c r="D1873" s="760">
        <v>0</v>
      </c>
      <c r="E1873" s="760">
        <v>0</v>
      </c>
      <c r="F1873" s="761">
        <v>637.71216000000004</v>
      </c>
      <c r="G1873" s="712">
        <v>0</v>
      </c>
      <c r="H1873" s="712">
        <v>0</v>
      </c>
      <c r="I1873" s="775">
        <f t="shared" si="42"/>
        <v>63364892.210879996</v>
      </c>
      <c r="J1873" s="192" t="s">
        <v>485</v>
      </c>
    </row>
    <row r="1874" spans="1:10" hidden="1" outlineLevel="1">
      <c r="A1874" s="756" t="s">
        <v>564</v>
      </c>
      <c r="B1874" s="773">
        <v>144354.15359999999</v>
      </c>
      <c r="C1874" s="760">
        <v>0</v>
      </c>
      <c r="D1874" s="760">
        <v>0</v>
      </c>
      <c r="E1874" s="760">
        <v>0</v>
      </c>
      <c r="F1874" s="761">
        <v>0</v>
      </c>
      <c r="G1874" s="712">
        <v>0</v>
      </c>
      <c r="H1874" s="712">
        <v>0</v>
      </c>
      <c r="I1874" s="775">
        <f t="shared" si="42"/>
        <v>144354.15359999999</v>
      </c>
      <c r="J1874" s="192" t="s">
        <v>565</v>
      </c>
    </row>
    <row r="1875" spans="1:10" hidden="1" outlineLevel="1">
      <c r="A1875" s="757" t="s">
        <v>682</v>
      </c>
      <c r="B1875" s="773">
        <v>16683877.068479998</v>
      </c>
      <c r="C1875" s="760">
        <v>0</v>
      </c>
      <c r="D1875" s="760">
        <v>0</v>
      </c>
      <c r="E1875" s="760">
        <v>0</v>
      </c>
      <c r="F1875" s="761">
        <v>0</v>
      </c>
      <c r="G1875" s="712">
        <v>0</v>
      </c>
      <c r="H1875" s="712">
        <v>0</v>
      </c>
      <c r="I1875" s="775">
        <f t="shared" si="42"/>
        <v>16683877.068479998</v>
      </c>
      <c r="J1875" s="192" t="s">
        <v>683</v>
      </c>
    </row>
    <row r="1876" spans="1:10" hidden="1" outlineLevel="1">
      <c r="A1876" s="757" t="s">
        <v>722</v>
      </c>
      <c r="B1876" s="773">
        <v>85944175.389599994</v>
      </c>
      <c r="C1876" s="760">
        <v>0</v>
      </c>
      <c r="D1876" s="760">
        <v>0</v>
      </c>
      <c r="E1876" s="760">
        <v>0</v>
      </c>
      <c r="F1876" s="761">
        <v>640607.83963200008</v>
      </c>
      <c r="G1876" s="712">
        <v>0</v>
      </c>
      <c r="H1876" s="712">
        <v>0</v>
      </c>
      <c r="I1876" s="775">
        <f t="shared" si="42"/>
        <v>86584783.229231998</v>
      </c>
      <c r="J1876" s="192" t="s">
        <v>723</v>
      </c>
    </row>
    <row r="1877" spans="1:10" hidden="1" outlineLevel="1">
      <c r="A1877" s="756" t="s">
        <v>680</v>
      </c>
      <c r="B1877" s="773">
        <v>54864496.839839995</v>
      </c>
      <c r="C1877" s="760">
        <v>0</v>
      </c>
      <c r="D1877" s="760">
        <v>0</v>
      </c>
      <c r="E1877" s="760">
        <v>0</v>
      </c>
      <c r="F1877" s="761">
        <v>100170.21384000001</v>
      </c>
      <c r="G1877" s="712">
        <v>0</v>
      </c>
      <c r="H1877" s="712">
        <v>16665.711456000001</v>
      </c>
      <c r="I1877" s="775">
        <f t="shared" si="42"/>
        <v>54981332.765135996</v>
      </c>
      <c r="J1877" s="192" t="s">
        <v>2176</v>
      </c>
    </row>
    <row r="1878" spans="1:10" hidden="1" outlineLevel="1">
      <c r="A1878" s="757" t="s">
        <v>726</v>
      </c>
      <c r="B1878" s="773">
        <v>73275.453599999993</v>
      </c>
      <c r="C1878" s="760">
        <v>0</v>
      </c>
      <c r="D1878" s="760">
        <v>0</v>
      </c>
      <c r="E1878" s="760">
        <v>0</v>
      </c>
      <c r="F1878" s="761">
        <v>0</v>
      </c>
      <c r="G1878" s="712">
        <v>0</v>
      </c>
      <c r="H1878" s="712">
        <v>0</v>
      </c>
      <c r="I1878" s="775">
        <f t="shared" si="42"/>
        <v>73275.453599999993</v>
      </c>
      <c r="J1878" s="192" t="s">
        <v>727</v>
      </c>
    </row>
    <row r="1879" spans="1:10" hidden="1" outlineLevel="1">
      <c r="A1879" s="757" t="s">
        <v>568</v>
      </c>
      <c r="B1879" s="773">
        <v>679289.49791999999</v>
      </c>
      <c r="C1879" s="760">
        <v>0</v>
      </c>
      <c r="D1879" s="760">
        <v>0</v>
      </c>
      <c r="E1879" s="760">
        <v>0</v>
      </c>
      <c r="F1879" s="761">
        <v>0</v>
      </c>
      <c r="G1879" s="712">
        <v>0</v>
      </c>
      <c r="H1879" s="712">
        <v>0</v>
      </c>
      <c r="I1879" s="775">
        <f t="shared" si="42"/>
        <v>679289.49791999999</v>
      </c>
      <c r="J1879" s="192" t="s">
        <v>569</v>
      </c>
    </row>
    <row r="1880" spans="1:10" hidden="1" outlineLevel="1">
      <c r="A1880" s="756" t="s">
        <v>732</v>
      </c>
      <c r="B1880" s="773">
        <v>191565.80015999998</v>
      </c>
      <c r="C1880" s="760">
        <v>0</v>
      </c>
      <c r="D1880" s="760">
        <v>0</v>
      </c>
      <c r="E1880" s="760">
        <v>0</v>
      </c>
      <c r="F1880" s="761">
        <v>0</v>
      </c>
      <c r="G1880" s="712">
        <v>0</v>
      </c>
      <c r="H1880" s="712">
        <v>0</v>
      </c>
      <c r="I1880" s="775">
        <f t="shared" si="42"/>
        <v>191565.80015999998</v>
      </c>
      <c r="J1880" s="192" t="s">
        <v>733</v>
      </c>
    </row>
    <row r="1881" spans="1:10" hidden="1" outlineLevel="1">
      <c r="A1881" s="757" t="s">
        <v>578</v>
      </c>
      <c r="B1881" s="773">
        <v>736938.80447999993</v>
      </c>
      <c r="C1881" s="760">
        <v>0</v>
      </c>
      <c r="D1881" s="760">
        <v>0</v>
      </c>
      <c r="E1881" s="760">
        <v>0</v>
      </c>
      <c r="F1881" s="761">
        <v>0</v>
      </c>
      <c r="G1881" s="712">
        <v>0</v>
      </c>
      <c r="H1881" s="712">
        <v>0</v>
      </c>
      <c r="I1881" s="775">
        <f t="shared" si="42"/>
        <v>736938.80447999993</v>
      </c>
      <c r="J1881" s="192" t="s">
        <v>579</v>
      </c>
    </row>
    <row r="1882" spans="1:10" hidden="1" outlineLevel="1">
      <c r="A1882" s="757" t="s">
        <v>470</v>
      </c>
      <c r="B1882" s="773">
        <v>781115.55935999984</v>
      </c>
      <c r="C1882" s="760">
        <v>0</v>
      </c>
      <c r="D1882" s="760">
        <v>0</v>
      </c>
      <c r="E1882" s="760">
        <v>0</v>
      </c>
      <c r="F1882" s="761">
        <v>0</v>
      </c>
      <c r="G1882" s="712">
        <v>0</v>
      </c>
      <c r="H1882" s="712">
        <v>0</v>
      </c>
      <c r="I1882" s="775">
        <f t="shared" si="42"/>
        <v>781115.55935999984</v>
      </c>
      <c r="J1882" s="192" t="s">
        <v>471</v>
      </c>
    </row>
    <row r="1883" spans="1:10" hidden="1" outlineLevel="1">
      <c r="A1883" s="756" t="s">
        <v>694</v>
      </c>
      <c r="B1883" s="773">
        <v>601354.21919999993</v>
      </c>
      <c r="C1883" s="760">
        <v>0</v>
      </c>
      <c r="D1883" s="760">
        <v>0</v>
      </c>
      <c r="E1883" s="760">
        <v>0</v>
      </c>
      <c r="F1883" s="761">
        <v>0</v>
      </c>
      <c r="G1883" s="712">
        <v>0</v>
      </c>
      <c r="H1883" s="712">
        <v>0</v>
      </c>
      <c r="I1883" s="775">
        <f t="shared" si="42"/>
        <v>601354.21919999993</v>
      </c>
      <c r="J1883" s="192" t="s">
        <v>2177</v>
      </c>
    </row>
    <row r="1884" spans="1:10" hidden="1" outlineLevel="1">
      <c r="A1884" s="757" t="s">
        <v>748</v>
      </c>
      <c r="B1884" s="773">
        <v>896909.28863999993</v>
      </c>
      <c r="C1884" s="760">
        <v>0</v>
      </c>
      <c r="D1884" s="760">
        <v>0</v>
      </c>
      <c r="E1884" s="760">
        <v>0</v>
      </c>
      <c r="F1884" s="761">
        <v>0</v>
      </c>
      <c r="G1884" s="712">
        <v>0</v>
      </c>
      <c r="H1884" s="712">
        <v>0</v>
      </c>
      <c r="I1884" s="775">
        <f t="shared" si="42"/>
        <v>896909.28863999993</v>
      </c>
      <c r="J1884" s="192" t="s">
        <v>749</v>
      </c>
    </row>
    <row r="1885" spans="1:10" hidden="1" outlineLevel="1">
      <c r="A1885" s="757" t="s">
        <v>498</v>
      </c>
      <c r="B1885" s="773">
        <v>496413.85295999999</v>
      </c>
      <c r="C1885" s="760">
        <v>0</v>
      </c>
      <c r="D1885" s="760">
        <v>0</v>
      </c>
      <c r="E1885" s="760">
        <v>0</v>
      </c>
      <c r="F1885" s="761">
        <v>0</v>
      </c>
      <c r="G1885" s="712">
        <v>0</v>
      </c>
      <c r="H1885" s="712">
        <v>0</v>
      </c>
      <c r="I1885" s="775">
        <f t="shared" si="42"/>
        <v>496413.85295999999</v>
      </c>
      <c r="J1885" s="192" t="s">
        <v>499</v>
      </c>
    </row>
    <row r="1886" spans="1:10" hidden="1" outlineLevel="1">
      <c r="A1886" s="756" t="s">
        <v>644</v>
      </c>
      <c r="B1886" s="773">
        <v>403227.89327999996</v>
      </c>
      <c r="C1886" s="760">
        <v>0</v>
      </c>
      <c r="D1886" s="760">
        <v>0</v>
      </c>
      <c r="E1886" s="760">
        <v>0</v>
      </c>
      <c r="F1886" s="761">
        <v>0</v>
      </c>
      <c r="G1886" s="712">
        <v>0</v>
      </c>
      <c r="H1886" s="712">
        <v>0</v>
      </c>
      <c r="I1886" s="775">
        <f t="shared" si="42"/>
        <v>403227.89327999996</v>
      </c>
      <c r="J1886" s="192" t="s">
        <v>645</v>
      </c>
    </row>
    <row r="1887" spans="1:10" hidden="1" outlineLevel="1">
      <c r="A1887" s="757" t="s">
        <v>586</v>
      </c>
      <c r="B1887" s="773">
        <v>422232.68831999996</v>
      </c>
      <c r="C1887" s="760">
        <v>0</v>
      </c>
      <c r="D1887" s="760">
        <v>0</v>
      </c>
      <c r="E1887" s="760">
        <v>0</v>
      </c>
      <c r="F1887" s="761">
        <v>0</v>
      </c>
      <c r="G1887" s="712">
        <v>0</v>
      </c>
      <c r="H1887" s="712">
        <v>0</v>
      </c>
      <c r="I1887" s="775">
        <f t="shared" si="42"/>
        <v>422232.68831999996</v>
      </c>
      <c r="J1887" s="192" t="s">
        <v>587</v>
      </c>
    </row>
    <row r="1888" spans="1:10" hidden="1" outlineLevel="1">
      <c r="A1888" s="757" t="s">
        <v>604</v>
      </c>
      <c r="B1888" s="773">
        <v>976353.59615999996</v>
      </c>
      <c r="C1888" s="760">
        <v>0</v>
      </c>
      <c r="D1888" s="760">
        <v>0</v>
      </c>
      <c r="E1888" s="760">
        <v>0</v>
      </c>
      <c r="F1888" s="761">
        <v>0</v>
      </c>
      <c r="G1888" s="712">
        <v>0</v>
      </c>
      <c r="H1888" s="712">
        <v>0</v>
      </c>
      <c r="I1888" s="775">
        <f t="shared" si="42"/>
        <v>976353.59615999996</v>
      </c>
      <c r="J1888" s="192" t="s">
        <v>2178</v>
      </c>
    </row>
    <row r="1889" spans="1:10" hidden="1" outlineLevel="1">
      <c r="A1889" s="756" t="s">
        <v>666</v>
      </c>
      <c r="B1889" s="773">
        <v>773009.66015999985</v>
      </c>
      <c r="C1889" s="760">
        <v>0</v>
      </c>
      <c r="D1889" s="760">
        <v>0</v>
      </c>
      <c r="E1889" s="760">
        <v>0</v>
      </c>
      <c r="F1889" s="761">
        <v>0</v>
      </c>
      <c r="G1889" s="712">
        <v>0</v>
      </c>
      <c r="H1889" s="712">
        <v>0</v>
      </c>
      <c r="I1889" s="775">
        <f t="shared" si="42"/>
        <v>773009.66015999985</v>
      </c>
      <c r="J1889" s="192" t="s">
        <v>667</v>
      </c>
    </row>
    <row r="1890" spans="1:10" hidden="1" outlineLevel="1">
      <c r="A1890" s="757" t="s">
        <v>632</v>
      </c>
      <c r="B1890" s="773">
        <v>781933.99919999996</v>
      </c>
      <c r="C1890" s="760">
        <v>0</v>
      </c>
      <c r="D1890" s="760">
        <v>0</v>
      </c>
      <c r="E1890" s="760">
        <v>0</v>
      </c>
      <c r="F1890" s="761">
        <v>0</v>
      </c>
      <c r="G1890" s="712">
        <v>0</v>
      </c>
      <c r="H1890" s="712">
        <v>0</v>
      </c>
      <c r="I1890" s="775">
        <f t="shared" si="42"/>
        <v>781933.99919999996</v>
      </c>
      <c r="J1890" s="192" t="s">
        <v>633</v>
      </c>
    </row>
    <row r="1891" spans="1:10" hidden="1" outlineLevel="1">
      <c r="A1891" s="757" t="s">
        <v>500</v>
      </c>
      <c r="B1891" s="773">
        <v>245449.71551999997</v>
      </c>
      <c r="C1891" s="760">
        <v>0</v>
      </c>
      <c r="D1891" s="760">
        <v>0</v>
      </c>
      <c r="E1891" s="760">
        <v>0</v>
      </c>
      <c r="F1891" s="761">
        <v>0</v>
      </c>
      <c r="G1891" s="712">
        <v>0</v>
      </c>
      <c r="H1891" s="712">
        <v>0</v>
      </c>
      <c r="I1891" s="775">
        <f t="shared" si="42"/>
        <v>245449.71551999997</v>
      </c>
      <c r="J1891" s="192" t="s">
        <v>501</v>
      </c>
    </row>
    <row r="1892" spans="1:10" hidden="1" outlineLevel="1">
      <c r="A1892" s="756" t="s">
        <v>610</v>
      </c>
      <c r="B1892" s="773">
        <v>331909.79519999999</v>
      </c>
      <c r="C1892" s="760">
        <v>0</v>
      </c>
      <c r="D1892" s="760">
        <v>0</v>
      </c>
      <c r="E1892" s="760">
        <v>0</v>
      </c>
      <c r="F1892" s="761">
        <v>0</v>
      </c>
      <c r="G1892" s="712">
        <v>0</v>
      </c>
      <c r="H1892" s="712">
        <v>0</v>
      </c>
      <c r="I1892" s="775">
        <f t="shared" si="42"/>
        <v>331909.79519999999</v>
      </c>
      <c r="J1892" s="192" t="s">
        <v>611</v>
      </c>
    </row>
    <row r="1893" spans="1:10" hidden="1" outlineLevel="1">
      <c r="A1893" s="757" t="s">
        <v>688</v>
      </c>
      <c r="B1893" s="773">
        <v>1757015.8185599998</v>
      </c>
      <c r="C1893" s="760">
        <v>0</v>
      </c>
      <c r="D1893" s="760">
        <v>0</v>
      </c>
      <c r="E1893" s="760">
        <v>0</v>
      </c>
      <c r="F1893" s="761">
        <v>1535.9412960000002</v>
      </c>
      <c r="G1893" s="712">
        <v>0</v>
      </c>
      <c r="H1893" s="712">
        <v>0</v>
      </c>
      <c r="I1893" s="775">
        <f t="shared" si="42"/>
        <v>1758551.7598559998</v>
      </c>
      <c r="J1893" s="192" t="s">
        <v>689</v>
      </c>
    </row>
    <row r="1894" spans="1:10" hidden="1" outlineLevel="1">
      <c r="A1894" s="757" t="s">
        <v>528</v>
      </c>
      <c r="B1894" s="773">
        <v>596298.91151999997</v>
      </c>
      <c r="C1894" s="760">
        <v>0</v>
      </c>
      <c r="D1894" s="760">
        <v>0</v>
      </c>
      <c r="E1894" s="760">
        <v>0</v>
      </c>
      <c r="F1894" s="761">
        <v>0</v>
      </c>
      <c r="G1894" s="712">
        <v>0</v>
      </c>
      <c r="H1894" s="712">
        <v>0</v>
      </c>
      <c r="I1894" s="775">
        <f t="shared" si="42"/>
        <v>596298.91151999997</v>
      </c>
      <c r="J1894" s="192" t="s">
        <v>529</v>
      </c>
    </row>
    <row r="1895" spans="1:10" hidden="1" outlineLevel="1">
      <c r="A1895" s="756" t="s">
        <v>486</v>
      </c>
      <c r="B1895" s="773">
        <v>5387658.8169599995</v>
      </c>
      <c r="C1895" s="760">
        <v>0</v>
      </c>
      <c r="D1895" s="760">
        <v>0</v>
      </c>
      <c r="E1895" s="760">
        <v>0</v>
      </c>
      <c r="F1895" s="761">
        <v>9194.0221440000005</v>
      </c>
      <c r="G1895" s="712">
        <v>0</v>
      </c>
      <c r="H1895" s="712">
        <v>0</v>
      </c>
      <c r="I1895" s="775">
        <f t="shared" si="42"/>
        <v>5396852.8391039995</v>
      </c>
      <c r="J1895" s="192" t="s">
        <v>487</v>
      </c>
    </row>
    <row r="1896" spans="1:10" hidden="1" outlineLevel="1">
      <c r="A1896" s="757" t="s">
        <v>546</v>
      </c>
      <c r="B1896" s="773">
        <v>1756072.0247999998</v>
      </c>
      <c r="C1896" s="760">
        <v>0</v>
      </c>
      <c r="D1896" s="760">
        <v>0</v>
      </c>
      <c r="E1896" s="760">
        <v>0</v>
      </c>
      <c r="F1896" s="761">
        <v>2736.8378880000005</v>
      </c>
      <c r="G1896" s="712">
        <v>0</v>
      </c>
      <c r="H1896" s="712">
        <v>0</v>
      </c>
      <c r="I1896" s="775">
        <f t="shared" si="42"/>
        <v>1758808.8626879998</v>
      </c>
      <c r="J1896" s="192" t="s">
        <v>547</v>
      </c>
    </row>
    <row r="1897" spans="1:10" hidden="1" outlineLevel="1">
      <c r="A1897" s="757" t="s">
        <v>582</v>
      </c>
      <c r="B1897" s="773">
        <v>483467.42544000002</v>
      </c>
      <c r="C1897" s="760">
        <v>0</v>
      </c>
      <c r="D1897" s="760">
        <v>0</v>
      </c>
      <c r="E1897" s="760">
        <v>0</v>
      </c>
      <c r="F1897" s="761">
        <v>0</v>
      </c>
      <c r="G1897" s="712">
        <v>0</v>
      </c>
      <c r="H1897" s="712">
        <v>0</v>
      </c>
      <c r="I1897" s="775">
        <f t="shared" si="42"/>
        <v>483467.42544000002</v>
      </c>
      <c r="J1897" s="192" t="s">
        <v>583</v>
      </c>
    </row>
    <row r="1898" spans="1:10" hidden="1" outlineLevel="1">
      <c r="A1898" s="756" t="s">
        <v>634</v>
      </c>
      <c r="B1898" s="773">
        <v>2060846.0011199999</v>
      </c>
      <c r="C1898" s="760">
        <v>0</v>
      </c>
      <c r="D1898" s="760">
        <v>0</v>
      </c>
      <c r="E1898" s="760">
        <v>0</v>
      </c>
      <c r="F1898" s="761">
        <v>0</v>
      </c>
      <c r="G1898" s="712">
        <v>0</v>
      </c>
      <c r="H1898" s="712">
        <v>0</v>
      </c>
      <c r="I1898" s="775">
        <f t="shared" si="42"/>
        <v>2060846.0011199999</v>
      </c>
      <c r="J1898" s="192" t="s">
        <v>635</v>
      </c>
    </row>
    <row r="1899" spans="1:10" hidden="1" outlineLevel="1">
      <c r="A1899" s="757" t="s">
        <v>710</v>
      </c>
      <c r="B1899" s="773">
        <v>687605.28047999996</v>
      </c>
      <c r="C1899" s="760">
        <v>0</v>
      </c>
      <c r="D1899" s="760">
        <v>0</v>
      </c>
      <c r="E1899" s="760">
        <v>0</v>
      </c>
      <c r="F1899" s="761">
        <v>0</v>
      </c>
      <c r="G1899" s="712">
        <v>0</v>
      </c>
      <c r="H1899" s="712">
        <v>0</v>
      </c>
      <c r="I1899" s="775">
        <f t="shared" si="42"/>
        <v>687605.28047999996</v>
      </c>
      <c r="J1899" s="192" t="s">
        <v>711</v>
      </c>
    </row>
    <row r="1900" spans="1:10" hidden="1" outlineLevel="1">
      <c r="A1900" s="757" t="s">
        <v>576</v>
      </c>
      <c r="B1900" s="773">
        <v>6099.1267199999993</v>
      </c>
      <c r="C1900" s="760">
        <v>0</v>
      </c>
      <c r="D1900" s="760">
        <v>0</v>
      </c>
      <c r="E1900" s="760">
        <v>0</v>
      </c>
      <c r="F1900" s="761">
        <v>0</v>
      </c>
      <c r="G1900" s="712">
        <v>0</v>
      </c>
      <c r="H1900" s="712">
        <v>0</v>
      </c>
      <c r="I1900" s="775">
        <f t="shared" si="42"/>
        <v>6099.1267199999993</v>
      </c>
      <c r="J1900" s="192" t="s">
        <v>2179</v>
      </c>
    </row>
    <row r="1901" spans="1:10" hidden="1" outlineLevel="1">
      <c r="A1901" s="756" t="s">
        <v>712</v>
      </c>
      <c r="B1901" s="773">
        <v>307846.98336000001</v>
      </c>
      <c r="C1901" s="760">
        <v>0</v>
      </c>
      <c r="D1901" s="760">
        <v>0</v>
      </c>
      <c r="E1901" s="760">
        <v>0</v>
      </c>
      <c r="F1901" s="761">
        <v>0</v>
      </c>
      <c r="G1901" s="712">
        <v>0</v>
      </c>
      <c r="H1901" s="712">
        <v>0</v>
      </c>
      <c r="I1901" s="775">
        <f t="shared" si="42"/>
        <v>307846.98336000001</v>
      </c>
      <c r="J1901" s="192" t="s">
        <v>713</v>
      </c>
    </row>
    <row r="1902" spans="1:10" hidden="1" outlineLevel="1">
      <c r="A1902" s="757" t="s">
        <v>756</v>
      </c>
      <c r="B1902" s="773">
        <v>1236107.8243199999</v>
      </c>
      <c r="C1902" s="760">
        <v>0</v>
      </c>
      <c r="D1902" s="760">
        <v>0</v>
      </c>
      <c r="E1902" s="760">
        <v>0</v>
      </c>
      <c r="F1902" s="761">
        <v>0</v>
      </c>
      <c r="G1902" s="712">
        <v>0</v>
      </c>
      <c r="H1902" s="712">
        <v>0</v>
      </c>
      <c r="I1902" s="775">
        <f t="shared" si="42"/>
        <v>1236107.8243199999</v>
      </c>
      <c r="J1902" s="192" t="s">
        <v>757</v>
      </c>
    </row>
    <row r="1903" spans="1:10" hidden="1" outlineLevel="1">
      <c r="A1903" s="757" t="s">
        <v>490</v>
      </c>
      <c r="B1903" s="773">
        <v>266766.38543999998</v>
      </c>
      <c r="C1903" s="760">
        <v>0</v>
      </c>
      <c r="D1903" s="760">
        <v>0</v>
      </c>
      <c r="E1903" s="760">
        <v>0</v>
      </c>
      <c r="F1903" s="761">
        <v>0</v>
      </c>
      <c r="G1903" s="712">
        <v>0</v>
      </c>
      <c r="H1903" s="712">
        <v>0</v>
      </c>
      <c r="I1903" s="775">
        <f t="shared" si="42"/>
        <v>266766.38543999998</v>
      </c>
      <c r="J1903" s="192" t="s">
        <v>491</v>
      </c>
    </row>
    <row r="1904" spans="1:10" hidden="1" outlineLevel="1">
      <c r="A1904" s="756" t="s">
        <v>462</v>
      </c>
      <c r="B1904" s="773">
        <v>471158.84063999995</v>
      </c>
      <c r="C1904" s="760">
        <v>0</v>
      </c>
      <c r="D1904" s="760">
        <v>0</v>
      </c>
      <c r="E1904" s="760">
        <v>0</v>
      </c>
      <c r="F1904" s="761">
        <v>0</v>
      </c>
      <c r="G1904" s="712">
        <v>0</v>
      </c>
      <c r="H1904" s="712">
        <v>0</v>
      </c>
      <c r="I1904" s="775">
        <f t="shared" si="42"/>
        <v>471158.84063999995</v>
      </c>
      <c r="J1904" s="192" t="s">
        <v>463</v>
      </c>
    </row>
    <row r="1905" spans="1:10" hidden="1" outlineLevel="1">
      <c r="A1905" s="757" t="s">
        <v>692</v>
      </c>
      <c r="B1905" s="773">
        <v>215004.34752000001</v>
      </c>
      <c r="C1905" s="760">
        <v>0</v>
      </c>
      <c r="D1905" s="760">
        <v>0</v>
      </c>
      <c r="E1905" s="760">
        <v>0</v>
      </c>
      <c r="F1905" s="761">
        <v>0</v>
      </c>
      <c r="G1905" s="712">
        <v>0</v>
      </c>
      <c r="H1905" s="712">
        <v>0</v>
      </c>
      <c r="I1905" s="775">
        <f t="shared" si="42"/>
        <v>215004.34752000001</v>
      </c>
      <c r="J1905" s="192" t="s">
        <v>693</v>
      </c>
    </row>
    <row r="1906" spans="1:10" hidden="1" outlineLevel="1">
      <c r="A1906" s="757" t="s">
        <v>506</v>
      </c>
      <c r="B1906" s="773">
        <v>1284640.9094399998</v>
      </c>
      <c r="C1906" s="760">
        <v>0</v>
      </c>
      <c r="D1906" s="760">
        <v>0</v>
      </c>
      <c r="E1906" s="760">
        <v>0</v>
      </c>
      <c r="F1906" s="761">
        <v>0</v>
      </c>
      <c r="G1906" s="712">
        <v>0</v>
      </c>
      <c r="H1906" s="712">
        <v>0</v>
      </c>
      <c r="I1906" s="775">
        <f t="shared" si="42"/>
        <v>1284640.9094399998</v>
      </c>
      <c r="J1906" s="192" t="s">
        <v>507</v>
      </c>
    </row>
    <row r="1907" spans="1:10" hidden="1" outlineLevel="1">
      <c r="A1907" s="756" t="s">
        <v>622</v>
      </c>
      <c r="B1907" s="773">
        <v>4998054.8188799992</v>
      </c>
      <c r="C1907" s="760">
        <v>0</v>
      </c>
      <c r="D1907" s="760">
        <v>0</v>
      </c>
      <c r="E1907" s="760">
        <v>0</v>
      </c>
      <c r="F1907" s="761">
        <v>13452.291216000001</v>
      </c>
      <c r="G1907" s="712">
        <v>0</v>
      </c>
      <c r="H1907" s="712">
        <v>0</v>
      </c>
      <c r="I1907" s="775">
        <f t="shared" si="42"/>
        <v>5011507.1100959992</v>
      </c>
      <c r="J1907" s="192" t="s">
        <v>2030</v>
      </c>
    </row>
    <row r="1908" spans="1:10" hidden="1" outlineLevel="1">
      <c r="A1908" s="757" t="s">
        <v>642</v>
      </c>
      <c r="B1908" s="773">
        <v>313121.15856000001</v>
      </c>
      <c r="C1908" s="760">
        <v>0</v>
      </c>
      <c r="D1908" s="760">
        <v>0</v>
      </c>
      <c r="E1908" s="760">
        <v>0</v>
      </c>
      <c r="F1908" s="761">
        <v>0</v>
      </c>
      <c r="G1908" s="712">
        <v>0</v>
      </c>
      <c r="H1908" s="712">
        <v>0</v>
      </c>
      <c r="I1908" s="775">
        <f t="shared" si="42"/>
        <v>313121.15856000001</v>
      </c>
      <c r="J1908" s="192" t="s">
        <v>643</v>
      </c>
    </row>
    <row r="1909" spans="1:10" hidden="1" outlineLevel="1">
      <c r="A1909" s="757" t="s">
        <v>510</v>
      </c>
      <c r="B1909" s="773">
        <v>372324.09647999995</v>
      </c>
      <c r="C1909" s="760">
        <v>0</v>
      </c>
      <c r="D1909" s="760">
        <v>0</v>
      </c>
      <c r="E1909" s="760">
        <v>0</v>
      </c>
      <c r="F1909" s="761">
        <v>0</v>
      </c>
      <c r="G1909" s="712">
        <v>0</v>
      </c>
      <c r="H1909" s="712">
        <v>0</v>
      </c>
      <c r="I1909" s="775">
        <f t="shared" si="42"/>
        <v>372324.09647999995</v>
      </c>
      <c r="J1909" s="192" t="s">
        <v>511</v>
      </c>
    </row>
    <row r="1910" spans="1:10" hidden="1" outlineLevel="1">
      <c r="A1910" s="756" t="s">
        <v>636</v>
      </c>
      <c r="B1910" s="773">
        <v>1592211.3259199997</v>
      </c>
      <c r="C1910" s="760">
        <v>0</v>
      </c>
      <c r="D1910" s="760">
        <v>0</v>
      </c>
      <c r="E1910" s="760">
        <v>0</v>
      </c>
      <c r="F1910" s="761">
        <v>2792.1463680000002</v>
      </c>
      <c r="G1910" s="712">
        <v>0</v>
      </c>
      <c r="H1910" s="712">
        <v>0</v>
      </c>
      <c r="I1910" s="775">
        <f t="shared" si="42"/>
        <v>1595003.4722879997</v>
      </c>
      <c r="J1910" s="192" t="s">
        <v>637</v>
      </c>
    </row>
    <row r="1911" spans="1:10" hidden="1" outlineLevel="1">
      <c r="A1911" s="757" t="s">
        <v>760</v>
      </c>
      <c r="B1911" s="773">
        <v>1156328.6467199998</v>
      </c>
      <c r="C1911" s="760">
        <v>0</v>
      </c>
      <c r="D1911" s="760">
        <v>0</v>
      </c>
      <c r="E1911" s="760">
        <v>0</v>
      </c>
      <c r="F1911" s="761">
        <v>0</v>
      </c>
      <c r="G1911" s="712">
        <v>0</v>
      </c>
      <c r="H1911" s="712">
        <v>0</v>
      </c>
      <c r="I1911" s="775">
        <f t="shared" si="42"/>
        <v>1156328.6467199998</v>
      </c>
      <c r="J1911" s="192" t="s">
        <v>761</v>
      </c>
    </row>
    <row r="1912" spans="1:10" hidden="1" outlineLevel="1">
      <c r="A1912" s="757" t="s">
        <v>736</v>
      </c>
      <c r="B1912" s="773">
        <v>621265.28015999997</v>
      </c>
      <c r="C1912" s="760">
        <v>0</v>
      </c>
      <c r="D1912" s="760">
        <v>0</v>
      </c>
      <c r="E1912" s="760">
        <v>0</v>
      </c>
      <c r="F1912" s="761">
        <v>0</v>
      </c>
      <c r="G1912" s="712">
        <v>0</v>
      </c>
      <c r="H1912" s="712">
        <v>0</v>
      </c>
      <c r="I1912" s="775">
        <f t="shared" si="42"/>
        <v>621265.28015999997</v>
      </c>
      <c r="J1912" s="192" t="s">
        <v>737</v>
      </c>
    </row>
    <row r="1913" spans="1:10" hidden="1" outlineLevel="1">
      <c r="A1913" s="756" t="s">
        <v>618</v>
      </c>
      <c r="B1913" s="773">
        <v>2155260.5222399998</v>
      </c>
      <c r="C1913" s="760">
        <v>0</v>
      </c>
      <c r="D1913" s="760">
        <v>0</v>
      </c>
      <c r="E1913" s="760">
        <v>0</v>
      </c>
      <c r="F1913" s="761">
        <v>3804.5061600000004</v>
      </c>
      <c r="G1913" s="712">
        <v>207.33580799999999</v>
      </c>
      <c r="H1913" s="712">
        <v>0</v>
      </c>
      <c r="I1913" s="775">
        <f t="shared" si="42"/>
        <v>2159272.3642079998</v>
      </c>
      <c r="J1913" s="192" t="s">
        <v>619</v>
      </c>
    </row>
    <row r="1914" spans="1:10" hidden="1" outlineLevel="1">
      <c r="A1914" s="757" t="s">
        <v>704</v>
      </c>
      <c r="B1914" s="773">
        <v>13441.38048</v>
      </c>
      <c r="C1914" s="760">
        <v>0</v>
      </c>
      <c r="D1914" s="760">
        <v>0</v>
      </c>
      <c r="E1914" s="760">
        <v>0</v>
      </c>
      <c r="F1914" s="761">
        <v>0</v>
      </c>
      <c r="G1914" s="712">
        <v>0</v>
      </c>
      <c r="H1914" s="712">
        <v>0</v>
      </c>
      <c r="I1914" s="775">
        <f t="shared" si="42"/>
        <v>13441.38048</v>
      </c>
      <c r="J1914" s="192" t="s">
        <v>705</v>
      </c>
    </row>
    <row r="1915" spans="1:10" hidden="1" outlineLevel="1">
      <c r="A1915" s="757" t="s">
        <v>668</v>
      </c>
      <c r="B1915" s="773">
        <v>494642.36592000001</v>
      </c>
      <c r="C1915" s="760">
        <v>0</v>
      </c>
      <c r="D1915" s="760">
        <v>0</v>
      </c>
      <c r="E1915" s="760">
        <v>0</v>
      </c>
      <c r="F1915" s="761">
        <v>0</v>
      </c>
      <c r="G1915" s="712">
        <v>0</v>
      </c>
      <c r="H1915" s="712">
        <v>0</v>
      </c>
      <c r="I1915" s="775">
        <f t="shared" si="42"/>
        <v>494642.36592000001</v>
      </c>
      <c r="J1915" s="192" t="s">
        <v>669</v>
      </c>
    </row>
    <row r="1916" spans="1:10" hidden="1" outlineLevel="1">
      <c r="A1916" s="756" t="s">
        <v>584</v>
      </c>
      <c r="B1916" s="773">
        <v>939054.25247999991</v>
      </c>
      <c r="C1916" s="760">
        <v>0</v>
      </c>
      <c r="D1916" s="760">
        <v>0</v>
      </c>
      <c r="E1916" s="760">
        <v>0</v>
      </c>
      <c r="F1916" s="761">
        <v>0</v>
      </c>
      <c r="G1916" s="712">
        <v>0</v>
      </c>
      <c r="H1916" s="712">
        <v>0</v>
      </c>
      <c r="I1916" s="775">
        <f t="shared" si="42"/>
        <v>939054.25247999991</v>
      </c>
      <c r="J1916" s="192" t="s">
        <v>585</v>
      </c>
    </row>
    <row r="1917" spans="1:10" hidden="1" outlineLevel="1">
      <c r="A1917" s="757" t="s">
        <v>658</v>
      </c>
      <c r="B1917" s="773">
        <v>1176885.6124799999</v>
      </c>
      <c r="C1917" s="760">
        <v>0</v>
      </c>
      <c r="D1917" s="760">
        <v>0</v>
      </c>
      <c r="E1917" s="760">
        <v>0</v>
      </c>
      <c r="F1917" s="761">
        <v>0</v>
      </c>
      <c r="G1917" s="712">
        <v>0</v>
      </c>
      <c r="H1917" s="712">
        <v>0</v>
      </c>
      <c r="I1917" s="775">
        <f t="shared" ref="I1917:I1980" si="43">SUM(B1917:H1917)</f>
        <v>1176885.6124799999</v>
      </c>
      <c r="J1917" s="192" t="s">
        <v>2180</v>
      </c>
    </row>
    <row r="1918" spans="1:10" hidden="1" outlineLevel="1">
      <c r="A1918" s="757" t="s">
        <v>524</v>
      </c>
      <c r="B1918" s="773">
        <v>1509160.0944000001</v>
      </c>
      <c r="C1918" s="760">
        <v>0</v>
      </c>
      <c r="D1918" s="760">
        <v>0</v>
      </c>
      <c r="E1918" s="760">
        <v>0</v>
      </c>
      <c r="F1918" s="761">
        <v>0</v>
      </c>
      <c r="G1918" s="712">
        <v>0</v>
      </c>
      <c r="H1918" s="712">
        <v>0</v>
      </c>
      <c r="I1918" s="775">
        <f t="shared" si="43"/>
        <v>1509160.0944000001</v>
      </c>
      <c r="J1918" s="192" t="s">
        <v>525</v>
      </c>
    </row>
    <row r="1919" spans="1:10" hidden="1" outlineLevel="1">
      <c r="A1919" s="756" t="s">
        <v>540</v>
      </c>
      <c r="B1919" s="773">
        <v>410814.79199999996</v>
      </c>
      <c r="C1919" s="760">
        <v>0</v>
      </c>
      <c r="D1919" s="760">
        <v>0</v>
      </c>
      <c r="E1919" s="760">
        <v>0</v>
      </c>
      <c r="F1919" s="761">
        <v>0</v>
      </c>
      <c r="G1919" s="712">
        <v>0</v>
      </c>
      <c r="H1919" s="712">
        <v>0</v>
      </c>
      <c r="I1919" s="775">
        <f t="shared" si="43"/>
        <v>410814.79199999996</v>
      </c>
      <c r="J1919" s="192" t="s">
        <v>541</v>
      </c>
    </row>
    <row r="1920" spans="1:10" hidden="1" outlineLevel="1">
      <c r="A1920" s="757" t="s">
        <v>762</v>
      </c>
      <c r="B1920" s="773">
        <v>214589.71343999996</v>
      </c>
      <c r="C1920" s="760">
        <v>0</v>
      </c>
      <c r="D1920" s="760">
        <v>0</v>
      </c>
      <c r="E1920" s="760">
        <v>0</v>
      </c>
      <c r="F1920" s="761">
        <v>0</v>
      </c>
      <c r="G1920" s="712">
        <v>0</v>
      </c>
      <c r="H1920" s="712">
        <v>0</v>
      </c>
      <c r="I1920" s="775">
        <f t="shared" si="43"/>
        <v>214589.71343999996</v>
      </c>
      <c r="J1920" s="192" t="s">
        <v>763</v>
      </c>
    </row>
    <row r="1921" spans="1:10" hidden="1" outlineLevel="1">
      <c r="A1921" s="757" t="s">
        <v>478</v>
      </c>
      <c r="B1921" s="773">
        <v>342646.31519999995</v>
      </c>
      <c r="C1921" s="760">
        <v>0</v>
      </c>
      <c r="D1921" s="760">
        <v>0</v>
      </c>
      <c r="E1921" s="760">
        <v>0</v>
      </c>
      <c r="F1921" s="761">
        <v>0</v>
      </c>
      <c r="G1921" s="712">
        <v>0</v>
      </c>
      <c r="H1921" s="712">
        <v>0</v>
      </c>
      <c r="I1921" s="775">
        <f t="shared" si="43"/>
        <v>342646.31519999995</v>
      </c>
      <c r="J1921" s="192" t="s">
        <v>479</v>
      </c>
    </row>
    <row r="1922" spans="1:10" hidden="1" outlineLevel="1">
      <c r="A1922" s="756" t="s">
        <v>742</v>
      </c>
      <c r="B1922" s="773">
        <v>623759.27807999996</v>
      </c>
      <c r="C1922" s="760">
        <v>0</v>
      </c>
      <c r="D1922" s="760">
        <v>0</v>
      </c>
      <c r="E1922" s="760">
        <v>0</v>
      </c>
      <c r="F1922" s="761">
        <v>0</v>
      </c>
      <c r="G1922" s="712">
        <v>0</v>
      </c>
      <c r="H1922" s="712">
        <v>0</v>
      </c>
      <c r="I1922" s="775">
        <f t="shared" si="43"/>
        <v>623759.27807999996</v>
      </c>
      <c r="J1922" s="192" t="s">
        <v>743</v>
      </c>
    </row>
    <row r="1923" spans="1:10" hidden="1" outlineLevel="1">
      <c r="A1923" s="757" t="s">
        <v>534</v>
      </c>
      <c r="B1923" s="773">
        <v>343421.31935999996</v>
      </c>
      <c r="C1923" s="760">
        <v>0</v>
      </c>
      <c r="D1923" s="760">
        <v>0</v>
      </c>
      <c r="E1923" s="760">
        <v>0</v>
      </c>
      <c r="F1923" s="761">
        <v>0</v>
      </c>
      <c r="G1923" s="712">
        <v>0</v>
      </c>
      <c r="H1923" s="712">
        <v>0</v>
      </c>
      <c r="I1923" s="775">
        <f t="shared" si="43"/>
        <v>343421.31935999996</v>
      </c>
      <c r="J1923" s="192" t="s">
        <v>535</v>
      </c>
    </row>
    <row r="1924" spans="1:10" hidden="1" outlineLevel="1">
      <c r="A1924" s="757" t="s">
        <v>714</v>
      </c>
      <c r="B1924" s="773">
        <v>1031482.27056</v>
      </c>
      <c r="C1924" s="760">
        <v>0</v>
      </c>
      <c r="D1924" s="760">
        <v>0</v>
      </c>
      <c r="E1924" s="760">
        <v>0</v>
      </c>
      <c r="F1924" s="761">
        <v>0</v>
      </c>
      <c r="G1924" s="712">
        <v>0</v>
      </c>
      <c r="H1924" s="712">
        <v>0</v>
      </c>
      <c r="I1924" s="775">
        <f t="shared" si="43"/>
        <v>1031482.27056</v>
      </c>
      <c r="J1924" s="192" t="s">
        <v>2181</v>
      </c>
    </row>
    <row r="1925" spans="1:10" hidden="1" outlineLevel="1">
      <c r="A1925" s="756" t="s">
        <v>648</v>
      </c>
      <c r="B1925" s="773">
        <v>914728.4601599999</v>
      </c>
      <c r="C1925" s="760">
        <v>0</v>
      </c>
      <c r="D1925" s="760">
        <v>0</v>
      </c>
      <c r="E1925" s="760">
        <v>0</v>
      </c>
      <c r="F1925" s="761">
        <v>0</v>
      </c>
      <c r="G1925" s="712">
        <v>0</v>
      </c>
      <c r="H1925" s="712">
        <v>0</v>
      </c>
      <c r="I1925" s="775">
        <f t="shared" si="43"/>
        <v>914728.4601599999</v>
      </c>
      <c r="J1925" s="192" t="s">
        <v>649</v>
      </c>
    </row>
    <row r="1926" spans="1:10" hidden="1" outlineLevel="1">
      <c r="A1926" s="757" t="s">
        <v>740</v>
      </c>
      <c r="B1926" s="773">
        <v>5194340.8444799995</v>
      </c>
      <c r="C1926" s="760">
        <v>0</v>
      </c>
      <c r="D1926" s="760">
        <v>0</v>
      </c>
      <c r="E1926" s="760">
        <v>0</v>
      </c>
      <c r="F1926" s="761">
        <v>15383.799936000001</v>
      </c>
      <c r="G1926" s="712">
        <v>209.87520000000001</v>
      </c>
      <c r="H1926" s="712">
        <v>0</v>
      </c>
      <c r="I1926" s="775">
        <f t="shared" si="43"/>
        <v>5209934.5196159994</v>
      </c>
      <c r="J1926" s="192" t="s">
        <v>741</v>
      </c>
    </row>
    <row r="1927" spans="1:10" hidden="1" outlineLevel="1">
      <c r="A1927" s="757" t="s">
        <v>656</v>
      </c>
      <c r="B1927" s="773">
        <v>116960.88671999998</v>
      </c>
      <c r="C1927" s="760">
        <v>0</v>
      </c>
      <c r="D1927" s="760">
        <v>0</v>
      </c>
      <c r="E1927" s="760">
        <v>0</v>
      </c>
      <c r="F1927" s="761">
        <v>0</v>
      </c>
      <c r="G1927" s="712">
        <v>0</v>
      </c>
      <c r="H1927" s="712">
        <v>0</v>
      </c>
      <c r="I1927" s="775">
        <f t="shared" si="43"/>
        <v>116960.88671999998</v>
      </c>
      <c r="J1927" s="192" t="s">
        <v>657</v>
      </c>
    </row>
    <row r="1928" spans="1:10" hidden="1" outlineLevel="1">
      <c r="A1928" s="756" t="s">
        <v>628</v>
      </c>
      <c r="B1928" s="773">
        <v>697566.82895999996</v>
      </c>
      <c r="C1928" s="760">
        <v>0</v>
      </c>
      <c r="D1928" s="760">
        <v>0</v>
      </c>
      <c r="E1928" s="760">
        <v>0</v>
      </c>
      <c r="F1928" s="761">
        <v>0</v>
      </c>
      <c r="G1928" s="712">
        <v>0</v>
      </c>
      <c r="H1928" s="712">
        <v>0</v>
      </c>
      <c r="I1928" s="775">
        <f t="shared" si="43"/>
        <v>697566.82895999996</v>
      </c>
      <c r="J1928" s="192" t="s">
        <v>629</v>
      </c>
    </row>
    <row r="1929" spans="1:10" hidden="1" outlineLevel="1">
      <c r="A1929" s="757" t="s">
        <v>606</v>
      </c>
      <c r="B1929" s="773">
        <v>228703.24943999999</v>
      </c>
      <c r="C1929" s="760">
        <v>0</v>
      </c>
      <c r="D1929" s="760">
        <v>0</v>
      </c>
      <c r="E1929" s="760">
        <v>0</v>
      </c>
      <c r="F1929" s="761">
        <v>0</v>
      </c>
      <c r="G1929" s="712">
        <v>0</v>
      </c>
      <c r="H1929" s="712">
        <v>0</v>
      </c>
      <c r="I1929" s="775">
        <f t="shared" si="43"/>
        <v>228703.24943999999</v>
      </c>
      <c r="J1929" s="192" t="s">
        <v>607</v>
      </c>
    </row>
    <row r="1930" spans="1:10" hidden="1" outlineLevel="1">
      <c r="A1930" s="757" t="s">
        <v>614</v>
      </c>
      <c r="B1930" s="773">
        <v>617982.91200000001</v>
      </c>
      <c r="C1930" s="760">
        <v>0</v>
      </c>
      <c r="D1930" s="760">
        <v>0</v>
      </c>
      <c r="E1930" s="760">
        <v>0</v>
      </c>
      <c r="F1930" s="761">
        <v>0</v>
      </c>
      <c r="G1930" s="712">
        <v>0</v>
      </c>
      <c r="H1930" s="712">
        <v>0</v>
      </c>
      <c r="I1930" s="775">
        <f t="shared" si="43"/>
        <v>617982.91200000001</v>
      </c>
      <c r="J1930" s="192" t="s">
        <v>615</v>
      </c>
    </row>
    <row r="1931" spans="1:10" hidden="1" outlineLevel="1">
      <c r="A1931" s="756" t="s">
        <v>678</v>
      </c>
      <c r="B1931" s="773">
        <v>658749.68447999994</v>
      </c>
      <c r="C1931" s="760">
        <v>0</v>
      </c>
      <c r="D1931" s="760">
        <v>0</v>
      </c>
      <c r="E1931" s="760">
        <v>0</v>
      </c>
      <c r="F1931" s="761">
        <v>0</v>
      </c>
      <c r="G1931" s="712">
        <v>0</v>
      </c>
      <c r="H1931" s="712">
        <v>0</v>
      </c>
      <c r="I1931" s="775">
        <f t="shared" si="43"/>
        <v>658749.68447999994</v>
      </c>
      <c r="J1931" s="192" t="s">
        <v>679</v>
      </c>
    </row>
    <row r="1932" spans="1:10" hidden="1" outlineLevel="1">
      <c r="A1932" s="757" t="s">
        <v>702</v>
      </c>
      <c r="B1932" s="773">
        <v>280955.10768000002</v>
      </c>
      <c r="C1932" s="760">
        <v>0</v>
      </c>
      <c r="D1932" s="760">
        <v>0</v>
      </c>
      <c r="E1932" s="760">
        <v>0</v>
      </c>
      <c r="F1932" s="761">
        <v>0</v>
      </c>
      <c r="G1932" s="712">
        <v>0</v>
      </c>
      <c r="H1932" s="712">
        <v>0</v>
      </c>
      <c r="I1932" s="775">
        <f t="shared" si="43"/>
        <v>280955.10768000002</v>
      </c>
      <c r="J1932" s="192" t="s">
        <v>703</v>
      </c>
    </row>
    <row r="1933" spans="1:10" hidden="1" outlineLevel="1">
      <c r="A1933" s="757" t="s">
        <v>608</v>
      </c>
      <c r="B1933" s="773">
        <v>4888346.7115199994</v>
      </c>
      <c r="C1933" s="760">
        <v>0</v>
      </c>
      <c r="D1933" s="760">
        <v>0</v>
      </c>
      <c r="E1933" s="760">
        <v>0</v>
      </c>
      <c r="F1933" s="761">
        <v>6874.8146880000004</v>
      </c>
      <c r="G1933" s="712">
        <v>0</v>
      </c>
      <c r="H1933" s="712">
        <v>0</v>
      </c>
      <c r="I1933" s="775">
        <f t="shared" si="43"/>
        <v>4895221.5262079993</v>
      </c>
      <c r="J1933" s="192" t="s">
        <v>609</v>
      </c>
    </row>
    <row r="1934" spans="1:10" hidden="1" outlineLevel="1">
      <c r="A1934" s="756" t="s">
        <v>570</v>
      </c>
      <c r="B1934" s="773">
        <v>320277.57647999999</v>
      </c>
      <c r="C1934" s="760">
        <v>0</v>
      </c>
      <c r="D1934" s="760">
        <v>0</v>
      </c>
      <c r="E1934" s="760">
        <v>0</v>
      </c>
      <c r="F1934" s="761">
        <v>0</v>
      </c>
      <c r="G1934" s="712">
        <v>0</v>
      </c>
      <c r="H1934" s="712">
        <v>0</v>
      </c>
      <c r="I1934" s="775">
        <f t="shared" si="43"/>
        <v>320277.57647999999</v>
      </c>
      <c r="J1934" s="192" t="s">
        <v>571</v>
      </c>
    </row>
    <row r="1935" spans="1:10" hidden="1" outlineLevel="1">
      <c r="A1935" s="757" t="s">
        <v>620</v>
      </c>
      <c r="B1935" s="773">
        <v>13045228.987679999</v>
      </c>
      <c r="C1935" s="760">
        <v>0</v>
      </c>
      <c r="D1935" s="760">
        <v>0</v>
      </c>
      <c r="E1935" s="760">
        <v>0</v>
      </c>
      <c r="F1935" s="761">
        <v>45628.571472000003</v>
      </c>
      <c r="G1935" s="712">
        <v>0</v>
      </c>
      <c r="H1935" s="712">
        <v>0</v>
      </c>
      <c r="I1935" s="775">
        <f t="shared" si="43"/>
        <v>13090857.559152</v>
      </c>
      <c r="J1935" s="192" t="s">
        <v>621</v>
      </c>
    </row>
    <row r="1936" spans="1:10" hidden="1" outlineLevel="1">
      <c r="A1936" s="757" t="s">
        <v>526</v>
      </c>
      <c r="B1936" s="773">
        <v>329232.40943999996</v>
      </c>
      <c r="C1936" s="760">
        <v>0</v>
      </c>
      <c r="D1936" s="760">
        <v>0</v>
      </c>
      <c r="E1936" s="760">
        <v>0</v>
      </c>
      <c r="F1936" s="761">
        <v>0</v>
      </c>
      <c r="G1936" s="712">
        <v>0</v>
      </c>
      <c r="H1936" s="712">
        <v>0</v>
      </c>
      <c r="I1936" s="775">
        <f t="shared" si="43"/>
        <v>329232.40943999996</v>
      </c>
      <c r="J1936" s="192" t="s">
        <v>527</v>
      </c>
    </row>
    <row r="1937" spans="1:10" hidden="1" outlineLevel="1">
      <c r="A1937" s="756" t="s">
        <v>480</v>
      </c>
      <c r="B1937" s="773">
        <v>197026.06415999998</v>
      </c>
      <c r="C1937" s="760">
        <v>0</v>
      </c>
      <c r="D1937" s="760">
        <v>0</v>
      </c>
      <c r="E1937" s="760">
        <v>0</v>
      </c>
      <c r="F1937" s="761">
        <v>0</v>
      </c>
      <c r="G1937" s="712">
        <v>0</v>
      </c>
      <c r="H1937" s="712">
        <v>0</v>
      </c>
      <c r="I1937" s="775">
        <f t="shared" si="43"/>
        <v>197026.06415999998</v>
      </c>
      <c r="J1937" s="192" t="s">
        <v>481</v>
      </c>
    </row>
    <row r="1938" spans="1:10" hidden="1" outlineLevel="1">
      <c r="A1938" s="757" t="s">
        <v>514</v>
      </c>
      <c r="B1938" s="773">
        <v>803664.90336</v>
      </c>
      <c r="C1938" s="760">
        <v>0</v>
      </c>
      <c r="D1938" s="760">
        <v>0</v>
      </c>
      <c r="E1938" s="760">
        <v>0</v>
      </c>
      <c r="F1938" s="761">
        <v>0</v>
      </c>
      <c r="G1938" s="712">
        <v>0</v>
      </c>
      <c r="H1938" s="712">
        <v>0</v>
      </c>
      <c r="I1938" s="775">
        <f t="shared" si="43"/>
        <v>803664.90336</v>
      </c>
      <c r="J1938" s="192" t="s">
        <v>2182</v>
      </c>
    </row>
    <row r="1939" spans="1:10" hidden="1" outlineLevel="1">
      <c r="A1939" s="757" t="s">
        <v>602</v>
      </c>
      <c r="B1939" s="773">
        <v>502528.10831999994</v>
      </c>
      <c r="C1939" s="760">
        <v>0</v>
      </c>
      <c r="D1939" s="760">
        <v>0</v>
      </c>
      <c r="E1939" s="760">
        <v>0</v>
      </c>
      <c r="F1939" s="761">
        <v>0</v>
      </c>
      <c r="G1939" s="712">
        <v>0</v>
      </c>
      <c r="H1939" s="712">
        <v>0</v>
      </c>
      <c r="I1939" s="775">
        <f t="shared" si="43"/>
        <v>502528.10831999994</v>
      </c>
      <c r="J1939" s="192" t="s">
        <v>603</v>
      </c>
    </row>
    <row r="1940" spans="1:10" hidden="1" outlineLevel="1">
      <c r="A1940" s="756" t="s">
        <v>744</v>
      </c>
      <c r="B1940" s="773">
        <v>428960.81232000003</v>
      </c>
      <c r="C1940" s="760">
        <v>0</v>
      </c>
      <c r="D1940" s="760">
        <v>0</v>
      </c>
      <c r="E1940" s="760">
        <v>0</v>
      </c>
      <c r="F1940" s="761">
        <v>0</v>
      </c>
      <c r="G1940" s="712">
        <v>0</v>
      </c>
      <c r="H1940" s="712">
        <v>0</v>
      </c>
      <c r="I1940" s="775">
        <f t="shared" si="43"/>
        <v>428960.81232000003</v>
      </c>
      <c r="J1940" s="192" t="s">
        <v>745</v>
      </c>
    </row>
    <row r="1941" spans="1:10" hidden="1" outlineLevel="1">
      <c r="A1941" s="757" t="s">
        <v>532</v>
      </c>
      <c r="B1941" s="773">
        <v>299188.66031999997</v>
      </c>
      <c r="C1941" s="760">
        <v>0</v>
      </c>
      <c r="D1941" s="760">
        <v>0</v>
      </c>
      <c r="E1941" s="760">
        <v>0</v>
      </c>
      <c r="F1941" s="761">
        <v>0</v>
      </c>
      <c r="G1941" s="712">
        <v>0</v>
      </c>
      <c r="H1941" s="712">
        <v>0</v>
      </c>
      <c r="I1941" s="775">
        <f t="shared" si="43"/>
        <v>299188.66031999997</v>
      </c>
      <c r="J1941" s="192" t="s">
        <v>533</v>
      </c>
    </row>
    <row r="1942" spans="1:10" hidden="1" outlineLevel="1">
      <c r="A1942" s="757" t="s">
        <v>612</v>
      </c>
      <c r="B1942" s="773">
        <v>1024105.2878399999</v>
      </c>
      <c r="C1942" s="760">
        <v>0</v>
      </c>
      <c r="D1942" s="760">
        <v>0</v>
      </c>
      <c r="E1942" s="760">
        <v>0</v>
      </c>
      <c r="F1942" s="761">
        <v>0</v>
      </c>
      <c r="G1942" s="712">
        <v>0</v>
      </c>
      <c r="H1942" s="712">
        <v>0</v>
      </c>
      <c r="I1942" s="775">
        <f t="shared" si="43"/>
        <v>1024105.2878399999</v>
      </c>
      <c r="J1942" s="192" t="s">
        <v>613</v>
      </c>
    </row>
    <row r="1943" spans="1:10" hidden="1" outlineLevel="1">
      <c r="A1943" s="756" t="s">
        <v>552</v>
      </c>
      <c r="B1943" s="773">
        <v>2025019.4721599999</v>
      </c>
      <c r="C1943" s="760">
        <v>0</v>
      </c>
      <c r="D1943" s="760">
        <v>0</v>
      </c>
      <c r="E1943" s="760">
        <v>0</v>
      </c>
      <c r="F1943" s="761">
        <v>0</v>
      </c>
      <c r="G1943" s="712">
        <v>0</v>
      </c>
      <c r="H1943" s="712">
        <v>0</v>
      </c>
      <c r="I1943" s="775">
        <f t="shared" si="43"/>
        <v>2025019.4721599999</v>
      </c>
      <c r="J1943" s="192" t="s">
        <v>553</v>
      </c>
    </row>
    <row r="1944" spans="1:10" hidden="1" outlineLevel="1">
      <c r="A1944" s="757" t="s">
        <v>560</v>
      </c>
      <c r="B1944" s="773">
        <v>5948529.26064</v>
      </c>
      <c r="C1944" s="760">
        <v>0</v>
      </c>
      <c r="D1944" s="760">
        <v>0</v>
      </c>
      <c r="E1944" s="760">
        <v>0</v>
      </c>
      <c r="F1944" s="761">
        <v>17623.777872000002</v>
      </c>
      <c r="G1944" s="712">
        <v>0</v>
      </c>
      <c r="H1944" s="712">
        <v>0</v>
      </c>
      <c r="I1944" s="775">
        <f t="shared" si="43"/>
        <v>5966153.0385119999</v>
      </c>
      <c r="J1944" s="192" t="s">
        <v>561</v>
      </c>
    </row>
    <row r="1945" spans="1:10" hidden="1" outlineLevel="1">
      <c r="A1945" s="757" t="s">
        <v>616</v>
      </c>
      <c r="B1945" s="773">
        <v>157975.28255999999</v>
      </c>
      <c r="C1945" s="760">
        <v>0</v>
      </c>
      <c r="D1945" s="760">
        <v>0</v>
      </c>
      <c r="E1945" s="760">
        <v>0</v>
      </c>
      <c r="F1945" s="761">
        <v>0</v>
      </c>
      <c r="G1945" s="712">
        <v>0</v>
      </c>
      <c r="H1945" s="712">
        <v>0</v>
      </c>
      <c r="I1945" s="775">
        <f t="shared" si="43"/>
        <v>157975.28255999999</v>
      </c>
      <c r="J1945" s="192" t="s">
        <v>617</v>
      </c>
    </row>
    <row r="1946" spans="1:10" hidden="1" outlineLevel="1">
      <c r="A1946" s="756" t="s">
        <v>492</v>
      </c>
      <c r="B1946" s="773">
        <v>525994.74239999999</v>
      </c>
      <c r="C1946" s="760">
        <v>0</v>
      </c>
      <c r="D1946" s="760">
        <v>0</v>
      </c>
      <c r="E1946" s="760">
        <v>0</v>
      </c>
      <c r="F1946" s="761">
        <v>0</v>
      </c>
      <c r="G1946" s="712">
        <v>0</v>
      </c>
      <c r="H1946" s="712">
        <v>0</v>
      </c>
      <c r="I1946" s="775">
        <f t="shared" si="43"/>
        <v>525994.74239999999</v>
      </c>
      <c r="J1946" s="192" t="s">
        <v>493</v>
      </c>
    </row>
    <row r="1947" spans="1:10" hidden="1" outlineLevel="1">
      <c r="A1947" s="757" t="s">
        <v>520</v>
      </c>
      <c r="B1947" s="773">
        <v>660213.00095999998</v>
      </c>
      <c r="C1947" s="760">
        <v>0</v>
      </c>
      <c r="D1947" s="760">
        <v>0</v>
      </c>
      <c r="E1947" s="760">
        <v>0</v>
      </c>
      <c r="F1947" s="761">
        <v>0</v>
      </c>
      <c r="G1947" s="712">
        <v>0</v>
      </c>
      <c r="H1947" s="712">
        <v>0</v>
      </c>
      <c r="I1947" s="775">
        <f t="shared" si="43"/>
        <v>660213.00095999998</v>
      </c>
      <c r="J1947" s="192" t="s">
        <v>521</v>
      </c>
    </row>
    <row r="1948" spans="1:10" hidden="1" outlineLevel="1">
      <c r="A1948" s="757" t="s">
        <v>472</v>
      </c>
      <c r="B1948" s="773">
        <v>715247.40288000007</v>
      </c>
      <c r="C1948" s="760">
        <v>0</v>
      </c>
      <c r="D1948" s="760">
        <v>0</v>
      </c>
      <c r="E1948" s="760">
        <v>0</v>
      </c>
      <c r="F1948" s="761">
        <v>0</v>
      </c>
      <c r="G1948" s="712">
        <v>0</v>
      </c>
      <c r="H1948" s="712">
        <v>0</v>
      </c>
      <c r="I1948" s="775">
        <f t="shared" si="43"/>
        <v>715247.40288000007</v>
      </c>
      <c r="J1948" s="192" t="s">
        <v>473</v>
      </c>
    </row>
    <row r="1949" spans="1:10" hidden="1" outlineLevel="1">
      <c r="A1949" s="756" t="s">
        <v>464</v>
      </c>
      <c r="B1949" s="773">
        <v>673449.696</v>
      </c>
      <c r="C1949" s="760">
        <v>0</v>
      </c>
      <c r="D1949" s="760">
        <v>0</v>
      </c>
      <c r="E1949" s="760">
        <v>0</v>
      </c>
      <c r="F1949" s="761">
        <v>249.48139200000003</v>
      </c>
      <c r="G1949" s="712">
        <v>0</v>
      </c>
      <c r="H1949" s="712">
        <v>0</v>
      </c>
      <c r="I1949" s="775">
        <f t="shared" si="43"/>
        <v>673699.17739199998</v>
      </c>
      <c r="J1949" s="192" t="s">
        <v>465</v>
      </c>
    </row>
    <row r="1950" spans="1:10" hidden="1" outlineLevel="1">
      <c r="A1950" s="757" t="s">
        <v>548</v>
      </c>
      <c r="B1950" s="773">
        <v>779302.92143999995</v>
      </c>
      <c r="C1950" s="760">
        <v>0</v>
      </c>
      <c r="D1950" s="760">
        <v>0</v>
      </c>
      <c r="E1950" s="760">
        <v>0</v>
      </c>
      <c r="F1950" s="761">
        <v>0</v>
      </c>
      <c r="G1950" s="712">
        <v>0</v>
      </c>
      <c r="H1950" s="712">
        <v>0</v>
      </c>
      <c r="I1950" s="775">
        <f t="shared" si="43"/>
        <v>779302.92143999995</v>
      </c>
      <c r="J1950" s="192" t="s">
        <v>549</v>
      </c>
    </row>
    <row r="1951" spans="1:10" hidden="1" outlineLevel="1">
      <c r="A1951" s="757" t="s">
        <v>720</v>
      </c>
      <c r="B1951" s="773">
        <v>547489.4961600001</v>
      </c>
      <c r="C1951" s="760">
        <v>0</v>
      </c>
      <c r="D1951" s="760">
        <v>0</v>
      </c>
      <c r="E1951" s="760">
        <v>0</v>
      </c>
      <c r="F1951" s="761">
        <v>0</v>
      </c>
      <c r="G1951" s="712">
        <v>0</v>
      </c>
      <c r="H1951" s="712">
        <v>0</v>
      </c>
      <c r="I1951" s="775">
        <f t="shared" si="43"/>
        <v>547489.4961600001</v>
      </c>
      <c r="J1951" s="192" t="s">
        <v>721</v>
      </c>
    </row>
    <row r="1952" spans="1:10" hidden="1" outlineLevel="1">
      <c r="A1952" s="756" t="s">
        <v>588</v>
      </c>
      <c r="B1952" s="773">
        <v>1440494.39616</v>
      </c>
      <c r="C1952" s="760">
        <v>0</v>
      </c>
      <c r="D1952" s="760">
        <v>0</v>
      </c>
      <c r="E1952" s="760">
        <v>0</v>
      </c>
      <c r="F1952" s="761">
        <v>0</v>
      </c>
      <c r="G1952" s="712">
        <v>0</v>
      </c>
      <c r="H1952" s="712">
        <v>0</v>
      </c>
      <c r="I1952" s="775">
        <f t="shared" si="43"/>
        <v>1440494.39616</v>
      </c>
      <c r="J1952" s="192" t="s">
        <v>589</v>
      </c>
    </row>
    <row r="1953" spans="1:10" hidden="1" outlineLevel="1">
      <c r="A1953" s="757" t="s">
        <v>504</v>
      </c>
      <c r="B1953" s="773">
        <v>927018.34223999991</v>
      </c>
      <c r="C1953" s="760">
        <v>0</v>
      </c>
      <c r="D1953" s="760">
        <v>0</v>
      </c>
      <c r="E1953" s="760">
        <v>0</v>
      </c>
      <c r="F1953" s="761">
        <v>0</v>
      </c>
      <c r="G1953" s="712">
        <v>0</v>
      </c>
      <c r="H1953" s="712">
        <v>0</v>
      </c>
      <c r="I1953" s="775">
        <f t="shared" si="43"/>
        <v>927018.34223999991</v>
      </c>
      <c r="J1953" s="192" t="s">
        <v>505</v>
      </c>
    </row>
    <row r="1954" spans="1:10" hidden="1" outlineLevel="1">
      <c r="A1954" s="757" t="s">
        <v>544</v>
      </c>
      <c r="B1954" s="773">
        <v>225448.74768</v>
      </c>
      <c r="C1954" s="760">
        <v>0</v>
      </c>
      <c r="D1954" s="760">
        <v>0</v>
      </c>
      <c r="E1954" s="760">
        <v>0</v>
      </c>
      <c r="F1954" s="761">
        <v>0</v>
      </c>
      <c r="G1954" s="712">
        <v>0</v>
      </c>
      <c r="H1954" s="712">
        <v>0</v>
      </c>
      <c r="I1954" s="775">
        <f t="shared" si="43"/>
        <v>225448.74768</v>
      </c>
      <c r="J1954" s="192" t="s">
        <v>545</v>
      </c>
    </row>
    <row r="1955" spans="1:10" hidden="1" outlineLevel="1">
      <c r="A1955" s="756" t="s">
        <v>474</v>
      </c>
      <c r="B1955" s="773">
        <v>430915.09967999993</v>
      </c>
      <c r="C1955" s="760">
        <v>0</v>
      </c>
      <c r="D1955" s="760">
        <v>0</v>
      </c>
      <c r="E1955" s="760">
        <v>0</v>
      </c>
      <c r="F1955" s="761">
        <v>0</v>
      </c>
      <c r="G1955" s="712">
        <v>0</v>
      </c>
      <c r="H1955" s="712">
        <v>0</v>
      </c>
      <c r="I1955" s="775">
        <f t="shared" si="43"/>
        <v>430915.09967999993</v>
      </c>
      <c r="J1955" s="192" t="s">
        <v>475</v>
      </c>
    </row>
    <row r="1956" spans="1:10" hidden="1" outlineLevel="1">
      <c r="A1956" s="757" t="s">
        <v>662</v>
      </c>
      <c r="B1956" s="773">
        <v>276987.31584</v>
      </c>
      <c r="C1956" s="760">
        <v>0</v>
      </c>
      <c r="D1956" s="760">
        <v>0</v>
      </c>
      <c r="E1956" s="760">
        <v>0</v>
      </c>
      <c r="F1956" s="761">
        <v>0</v>
      </c>
      <c r="G1956" s="712">
        <v>0</v>
      </c>
      <c r="H1956" s="712">
        <v>0</v>
      </c>
      <c r="I1956" s="775">
        <f t="shared" si="43"/>
        <v>276987.31584</v>
      </c>
      <c r="J1956" s="192" t="s">
        <v>663</v>
      </c>
    </row>
    <row r="1957" spans="1:10" hidden="1" outlineLevel="1">
      <c r="A1957" s="757" t="s">
        <v>650</v>
      </c>
      <c r="B1957" s="773">
        <v>1169181.34032</v>
      </c>
      <c r="C1957" s="760">
        <v>0</v>
      </c>
      <c r="D1957" s="760">
        <v>0</v>
      </c>
      <c r="E1957" s="760">
        <v>0</v>
      </c>
      <c r="F1957" s="761">
        <v>0</v>
      </c>
      <c r="G1957" s="712">
        <v>0</v>
      </c>
      <c r="H1957" s="712">
        <v>0</v>
      </c>
      <c r="I1957" s="775">
        <f t="shared" si="43"/>
        <v>1169181.34032</v>
      </c>
      <c r="J1957" s="192" t="s">
        <v>651</v>
      </c>
    </row>
    <row r="1958" spans="1:10" hidden="1" outlineLevel="1">
      <c r="A1958" s="756" t="s">
        <v>596</v>
      </c>
      <c r="B1958" s="773">
        <v>267010.01856</v>
      </c>
      <c r="C1958" s="760">
        <v>0</v>
      </c>
      <c r="D1958" s="760">
        <v>0</v>
      </c>
      <c r="E1958" s="760">
        <v>0</v>
      </c>
      <c r="F1958" s="761">
        <v>0</v>
      </c>
      <c r="G1958" s="712">
        <v>0</v>
      </c>
      <c r="H1958" s="712">
        <v>0</v>
      </c>
      <c r="I1958" s="775">
        <f t="shared" si="43"/>
        <v>267010.01856</v>
      </c>
      <c r="J1958" s="192" t="s">
        <v>597</v>
      </c>
    </row>
    <row r="1959" spans="1:10" hidden="1" outlineLevel="1">
      <c r="A1959" s="757" t="s">
        <v>764</v>
      </c>
      <c r="B1959" s="773">
        <v>296886.16943999997</v>
      </c>
      <c r="C1959" s="760">
        <v>0</v>
      </c>
      <c r="D1959" s="760">
        <v>0</v>
      </c>
      <c r="E1959" s="760">
        <v>0</v>
      </c>
      <c r="F1959" s="761">
        <v>0</v>
      </c>
      <c r="G1959" s="712">
        <v>0</v>
      </c>
      <c r="H1959" s="712">
        <v>0</v>
      </c>
      <c r="I1959" s="775">
        <f t="shared" si="43"/>
        <v>296886.16943999997</v>
      </c>
      <c r="J1959" s="192" t="s">
        <v>765</v>
      </c>
    </row>
    <row r="1960" spans="1:10" hidden="1" outlineLevel="1">
      <c r="A1960" s="757" t="s">
        <v>624</v>
      </c>
      <c r="B1960" s="773">
        <v>1603046.2555199999</v>
      </c>
      <c r="C1960" s="760">
        <v>0</v>
      </c>
      <c r="D1960" s="760">
        <v>0</v>
      </c>
      <c r="E1960" s="760">
        <v>0</v>
      </c>
      <c r="F1960" s="761">
        <v>0</v>
      </c>
      <c r="G1960" s="712">
        <v>0</v>
      </c>
      <c r="H1960" s="712">
        <v>0</v>
      </c>
      <c r="I1960" s="775">
        <f t="shared" si="43"/>
        <v>1603046.2555199999</v>
      </c>
      <c r="J1960" s="192" t="s">
        <v>625</v>
      </c>
    </row>
    <row r="1961" spans="1:10" hidden="1" outlineLevel="1">
      <c r="A1961" s="756" t="s">
        <v>750</v>
      </c>
      <c r="B1961" s="773">
        <v>327828.93023999996</v>
      </c>
      <c r="C1961" s="760">
        <v>0</v>
      </c>
      <c r="D1961" s="760">
        <v>0</v>
      </c>
      <c r="E1961" s="760">
        <v>0</v>
      </c>
      <c r="F1961" s="761">
        <v>0</v>
      </c>
      <c r="G1961" s="712">
        <v>0</v>
      </c>
      <c r="H1961" s="712">
        <v>0</v>
      </c>
      <c r="I1961" s="775">
        <f t="shared" si="43"/>
        <v>327828.93023999996</v>
      </c>
      <c r="J1961" s="192" t="s">
        <v>751</v>
      </c>
    </row>
    <row r="1962" spans="1:10" hidden="1" outlineLevel="1">
      <c r="A1962" s="757" t="s">
        <v>770</v>
      </c>
      <c r="B1962" s="773">
        <v>426968.82575999998</v>
      </c>
      <c r="C1962" s="760">
        <v>0</v>
      </c>
      <c r="D1962" s="760">
        <v>0</v>
      </c>
      <c r="E1962" s="760">
        <v>0</v>
      </c>
      <c r="F1962" s="761">
        <v>0</v>
      </c>
      <c r="G1962" s="712">
        <v>0</v>
      </c>
      <c r="H1962" s="712">
        <v>0</v>
      </c>
      <c r="I1962" s="775">
        <f t="shared" si="43"/>
        <v>426968.82575999998</v>
      </c>
      <c r="J1962" s="192" t="s">
        <v>771</v>
      </c>
    </row>
    <row r="1963" spans="1:10" hidden="1" outlineLevel="1">
      <c r="A1963" s="757" t="s">
        <v>660</v>
      </c>
      <c r="B1963" s="773">
        <v>296872.02815999999</v>
      </c>
      <c r="C1963" s="760">
        <v>0</v>
      </c>
      <c r="D1963" s="760">
        <v>0</v>
      </c>
      <c r="E1963" s="760">
        <v>0</v>
      </c>
      <c r="F1963" s="761">
        <v>0</v>
      </c>
      <c r="G1963" s="712">
        <v>0</v>
      </c>
      <c r="H1963" s="712">
        <v>0</v>
      </c>
      <c r="I1963" s="775">
        <f t="shared" si="43"/>
        <v>296872.02815999999</v>
      </c>
      <c r="J1963" s="192" t="s">
        <v>661</v>
      </c>
    </row>
    <row r="1964" spans="1:10" hidden="1" outlineLevel="1">
      <c r="A1964" s="756" t="s">
        <v>530</v>
      </c>
      <c r="B1964" s="773">
        <v>928561.47167999996</v>
      </c>
      <c r="C1964" s="760">
        <v>0</v>
      </c>
      <c r="D1964" s="760">
        <v>0</v>
      </c>
      <c r="E1964" s="760">
        <v>0</v>
      </c>
      <c r="F1964" s="761">
        <v>0</v>
      </c>
      <c r="G1964" s="712">
        <v>0</v>
      </c>
      <c r="H1964" s="712">
        <v>0</v>
      </c>
      <c r="I1964" s="775">
        <f t="shared" si="43"/>
        <v>928561.47167999996</v>
      </c>
      <c r="J1964" s="192" t="s">
        <v>531</v>
      </c>
    </row>
    <row r="1965" spans="1:10" hidden="1" outlineLevel="1">
      <c r="A1965" s="757" t="s">
        <v>716</v>
      </c>
      <c r="B1965" s="773">
        <v>1526709.6676799997</v>
      </c>
      <c r="C1965" s="760">
        <v>0</v>
      </c>
      <c r="D1965" s="760">
        <v>0</v>
      </c>
      <c r="E1965" s="760">
        <v>0</v>
      </c>
      <c r="F1965" s="761">
        <v>1169.2806720000001</v>
      </c>
      <c r="G1965" s="712">
        <v>0</v>
      </c>
      <c r="H1965" s="712">
        <v>0</v>
      </c>
      <c r="I1965" s="775">
        <f t="shared" si="43"/>
        <v>1527878.9483519997</v>
      </c>
      <c r="J1965" s="192" t="s">
        <v>717</v>
      </c>
    </row>
    <row r="1966" spans="1:10" hidden="1" outlineLevel="1">
      <c r="A1966" s="757" t="s">
        <v>538</v>
      </c>
      <c r="B1966" s="773">
        <v>4234745.4158399999</v>
      </c>
      <c r="C1966" s="760">
        <v>0</v>
      </c>
      <c r="D1966" s="760">
        <v>0</v>
      </c>
      <c r="E1966" s="760">
        <v>0</v>
      </c>
      <c r="F1966" s="761">
        <v>9990.8045280000006</v>
      </c>
      <c r="G1966" s="712">
        <v>0</v>
      </c>
      <c r="H1966" s="712">
        <v>0</v>
      </c>
      <c r="I1966" s="775">
        <f t="shared" si="43"/>
        <v>4244736.2203679997</v>
      </c>
      <c r="J1966" s="192" t="s">
        <v>539</v>
      </c>
    </row>
    <row r="1967" spans="1:10" hidden="1" outlineLevel="1">
      <c r="A1967" s="756" t="s">
        <v>594</v>
      </c>
      <c r="B1967" s="773">
        <v>489706.79807999998</v>
      </c>
      <c r="C1967" s="760">
        <v>0</v>
      </c>
      <c r="D1967" s="760">
        <v>0</v>
      </c>
      <c r="E1967" s="760">
        <v>0</v>
      </c>
      <c r="F1967" s="761">
        <v>0</v>
      </c>
      <c r="G1967" s="712">
        <v>0</v>
      </c>
      <c r="H1967" s="712">
        <v>0</v>
      </c>
      <c r="I1967" s="775">
        <f t="shared" si="43"/>
        <v>489706.79807999998</v>
      </c>
      <c r="J1967" s="192" t="s">
        <v>595</v>
      </c>
    </row>
    <row r="1968" spans="1:10" hidden="1" outlineLevel="1">
      <c r="A1968" s="757" t="s">
        <v>754</v>
      </c>
      <c r="B1968" s="773">
        <v>240940.05888</v>
      </c>
      <c r="C1968" s="760">
        <v>0</v>
      </c>
      <c r="D1968" s="760">
        <v>0</v>
      </c>
      <c r="E1968" s="760">
        <v>0</v>
      </c>
      <c r="F1968" s="761">
        <v>0</v>
      </c>
      <c r="G1968" s="712">
        <v>0</v>
      </c>
      <c r="H1968" s="712">
        <v>0</v>
      </c>
      <c r="I1968" s="775">
        <f t="shared" si="43"/>
        <v>240940.05888</v>
      </c>
      <c r="J1968" s="192" t="s">
        <v>755</v>
      </c>
    </row>
    <row r="1969" spans="1:10" hidden="1" outlineLevel="1">
      <c r="A1969" s="757" t="s">
        <v>512</v>
      </c>
      <c r="B1969" s="773">
        <v>226360.68479999996</v>
      </c>
      <c r="C1969" s="760">
        <v>0</v>
      </c>
      <c r="D1969" s="760">
        <v>0</v>
      </c>
      <c r="E1969" s="760">
        <v>0</v>
      </c>
      <c r="F1969" s="761">
        <v>0</v>
      </c>
      <c r="G1969" s="712">
        <v>0</v>
      </c>
      <c r="H1969" s="712">
        <v>0</v>
      </c>
      <c r="I1969" s="775">
        <f t="shared" si="43"/>
        <v>226360.68479999996</v>
      </c>
      <c r="J1969" s="192" t="s">
        <v>513</v>
      </c>
    </row>
    <row r="1970" spans="1:10" hidden="1" outlineLevel="1">
      <c r="A1970" s="756" t="s">
        <v>684</v>
      </c>
      <c r="B1970" s="773">
        <v>684275.95967999997</v>
      </c>
      <c r="C1970" s="760">
        <v>0</v>
      </c>
      <c r="D1970" s="760">
        <v>0</v>
      </c>
      <c r="E1970" s="760">
        <v>0</v>
      </c>
      <c r="F1970" s="761">
        <v>0</v>
      </c>
      <c r="G1970" s="712">
        <v>0</v>
      </c>
      <c r="H1970" s="712">
        <v>0</v>
      </c>
      <c r="I1970" s="775">
        <f t="shared" si="43"/>
        <v>684275.95967999997</v>
      </c>
      <c r="J1970" s="192" t="s">
        <v>685</v>
      </c>
    </row>
    <row r="1971" spans="1:10" hidden="1" outlineLevel="1">
      <c r="A1971" s="757" t="s">
        <v>652</v>
      </c>
      <c r="B1971" s="773">
        <v>428180.92848</v>
      </c>
      <c r="C1971" s="760">
        <v>0</v>
      </c>
      <c r="D1971" s="760">
        <v>0</v>
      </c>
      <c r="E1971" s="760">
        <v>0</v>
      </c>
      <c r="F1971" s="761">
        <v>0</v>
      </c>
      <c r="G1971" s="712">
        <v>0</v>
      </c>
      <c r="H1971" s="712">
        <v>0</v>
      </c>
      <c r="I1971" s="775">
        <f t="shared" si="43"/>
        <v>428180.92848</v>
      </c>
      <c r="J1971" s="192" t="s">
        <v>2183</v>
      </c>
    </row>
    <row r="1972" spans="1:10" hidden="1" outlineLevel="1">
      <c r="A1972" s="757" t="s">
        <v>580</v>
      </c>
      <c r="B1972" s="773">
        <v>449545.53023999999</v>
      </c>
      <c r="C1972" s="760">
        <v>0</v>
      </c>
      <c r="D1972" s="760">
        <v>0</v>
      </c>
      <c r="E1972" s="760">
        <v>0</v>
      </c>
      <c r="F1972" s="761">
        <v>0</v>
      </c>
      <c r="G1972" s="712">
        <v>0</v>
      </c>
      <c r="H1972" s="712">
        <v>0</v>
      </c>
      <c r="I1972" s="775">
        <f t="shared" si="43"/>
        <v>449545.53023999999</v>
      </c>
      <c r="J1972" s="192" t="s">
        <v>581</v>
      </c>
    </row>
    <row r="1973" spans="1:10" hidden="1" outlineLevel="1">
      <c r="A1973" s="756" t="s">
        <v>626</v>
      </c>
      <c r="B1973" s="773">
        <v>666196.77791999991</v>
      </c>
      <c r="C1973" s="760">
        <v>0</v>
      </c>
      <c r="D1973" s="760">
        <v>0</v>
      </c>
      <c r="E1973" s="760">
        <v>0</v>
      </c>
      <c r="F1973" s="761">
        <v>0</v>
      </c>
      <c r="G1973" s="712">
        <v>0</v>
      </c>
      <c r="H1973" s="712">
        <v>0</v>
      </c>
      <c r="I1973" s="775">
        <f t="shared" si="43"/>
        <v>666196.77791999991</v>
      </c>
      <c r="J1973" s="192" t="s">
        <v>627</v>
      </c>
    </row>
    <row r="1974" spans="1:10" hidden="1" outlineLevel="1">
      <c r="A1974" s="757" t="s">
        <v>590</v>
      </c>
      <c r="B1974" s="773">
        <v>5371593.7843199996</v>
      </c>
      <c r="C1974" s="760">
        <v>0</v>
      </c>
      <c r="D1974" s="760">
        <v>0</v>
      </c>
      <c r="E1974" s="760">
        <v>0</v>
      </c>
      <c r="F1974" s="761">
        <v>0</v>
      </c>
      <c r="G1974" s="712">
        <v>0</v>
      </c>
      <c r="H1974" s="712">
        <v>0</v>
      </c>
      <c r="I1974" s="775">
        <f t="shared" si="43"/>
        <v>5371593.7843199996</v>
      </c>
      <c r="J1974" s="192" t="s">
        <v>591</v>
      </c>
    </row>
    <row r="1975" spans="1:10" hidden="1" outlineLevel="1">
      <c r="A1975" s="757" t="s">
        <v>630</v>
      </c>
      <c r="B1975" s="773">
        <v>613363.12800000003</v>
      </c>
      <c r="C1975" s="760">
        <v>0</v>
      </c>
      <c r="D1975" s="760">
        <v>0</v>
      </c>
      <c r="E1975" s="760">
        <v>0</v>
      </c>
      <c r="F1975" s="761">
        <v>0</v>
      </c>
      <c r="G1975" s="712">
        <v>0</v>
      </c>
      <c r="H1975" s="712">
        <v>0</v>
      </c>
      <c r="I1975" s="775">
        <f t="shared" si="43"/>
        <v>613363.12800000003</v>
      </c>
      <c r="J1975" s="192" t="s">
        <v>631</v>
      </c>
    </row>
    <row r="1976" spans="1:10" hidden="1" outlineLevel="1">
      <c r="A1976" s="756" t="s">
        <v>646</v>
      </c>
      <c r="B1976" s="773">
        <v>599108.29343999992</v>
      </c>
      <c r="C1976" s="760">
        <v>0</v>
      </c>
      <c r="D1976" s="760">
        <v>0</v>
      </c>
      <c r="E1976" s="760">
        <v>0</v>
      </c>
      <c r="F1976" s="761">
        <v>0</v>
      </c>
      <c r="G1976" s="712">
        <v>0</v>
      </c>
      <c r="H1976" s="712">
        <v>0</v>
      </c>
      <c r="I1976" s="775">
        <f t="shared" si="43"/>
        <v>599108.29343999992</v>
      </c>
      <c r="J1976" s="192" t="s">
        <v>647</v>
      </c>
    </row>
    <row r="1977" spans="1:10" hidden="1" outlineLevel="1">
      <c r="A1977" s="757" t="s">
        <v>516</v>
      </c>
      <c r="B1977" s="773">
        <v>642008.00015999994</v>
      </c>
      <c r="C1977" s="760">
        <v>0</v>
      </c>
      <c r="D1977" s="760">
        <v>0</v>
      </c>
      <c r="E1977" s="760">
        <v>0</v>
      </c>
      <c r="F1977" s="761">
        <v>0</v>
      </c>
      <c r="G1977" s="712">
        <v>0</v>
      </c>
      <c r="H1977" s="712">
        <v>0</v>
      </c>
      <c r="I1977" s="775">
        <f t="shared" si="43"/>
        <v>642008.00015999994</v>
      </c>
      <c r="J1977" s="192" t="s">
        <v>517</v>
      </c>
    </row>
    <row r="1978" spans="1:10" hidden="1" outlineLevel="1">
      <c r="A1978" s="757" t="s">
        <v>734</v>
      </c>
      <c r="B1978" s="773">
        <v>36363.660960000001</v>
      </c>
      <c r="C1978" s="760">
        <v>0</v>
      </c>
      <c r="D1978" s="760">
        <v>0</v>
      </c>
      <c r="E1978" s="760">
        <v>0</v>
      </c>
      <c r="F1978" s="761">
        <v>0</v>
      </c>
      <c r="G1978" s="712">
        <v>0</v>
      </c>
      <c r="H1978" s="712">
        <v>0</v>
      </c>
      <c r="I1978" s="775">
        <f t="shared" si="43"/>
        <v>36363.660960000001</v>
      </c>
      <c r="J1978" s="192" t="s">
        <v>735</v>
      </c>
    </row>
    <row r="1979" spans="1:10" hidden="1" outlineLevel="1">
      <c r="A1979" s="756" t="s">
        <v>600</v>
      </c>
      <c r="B1979" s="773">
        <v>705206.88192000007</v>
      </c>
      <c r="C1979" s="760">
        <v>0</v>
      </c>
      <c r="D1979" s="760">
        <v>0</v>
      </c>
      <c r="E1979" s="760">
        <v>0</v>
      </c>
      <c r="F1979" s="761">
        <v>0</v>
      </c>
      <c r="G1979" s="712">
        <v>0</v>
      </c>
      <c r="H1979" s="712">
        <v>0</v>
      </c>
      <c r="I1979" s="775">
        <f t="shared" si="43"/>
        <v>705206.88192000007</v>
      </c>
      <c r="J1979" s="192" t="s">
        <v>601</v>
      </c>
    </row>
    <row r="1980" spans="1:10" hidden="1" outlineLevel="1">
      <c r="A1980" s="757" t="s">
        <v>2184</v>
      </c>
      <c r="B1980" s="773">
        <v>187082.05967999998</v>
      </c>
      <c r="C1980" s="760">
        <v>0</v>
      </c>
      <c r="D1980" s="760">
        <v>0</v>
      </c>
      <c r="E1980" s="760">
        <v>0</v>
      </c>
      <c r="F1980" s="761">
        <v>0</v>
      </c>
      <c r="G1980" s="712">
        <v>0</v>
      </c>
      <c r="H1980" s="712">
        <v>0</v>
      </c>
      <c r="I1980" s="775">
        <f t="shared" si="43"/>
        <v>187082.05967999998</v>
      </c>
      <c r="J1980" s="192" t="s">
        <v>2185</v>
      </c>
    </row>
    <row r="1981" spans="1:10" hidden="1" outlineLevel="1">
      <c r="A1981" s="757" t="s">
        <v>724</v>
      </c>
      <c r="B1981" s="773">
        <v>480902.63951999997</v>
      </c>
      <c r="C1981" s="760">
        <v>0</v>
      </c>
      <c r="D1981" s="760">
        <v>0</v>
      </c>
      <c r="E1981" s="760">
        <v>0</v>
      </c>
      <c r="F1981" s="761">
        <v>0</v>
      </c>
      <c r="G1981" s="712">
        <v>0</v>
      </c>
      <c r="H1981" s="712">
        <v>0</v>
      </c>
      <c r="I1981" s="775">
        <f t="shared" ref="I1981:I2023" si="44">SUM(B1981:H1981)</f>
        <v>480902.63951999997</v>
      </c>
      <c r="J1981" s="192" t="s">
        <v>725</v>
      </c>
    </row>
    <row r="1982" spans="1:10" hidden="1" outlineLevel="1">
      <c r="A1982" s="756" t="s">
        <v>574</v>
      </c>
      <c r="B1982" s="773">
        <v>974488.74239999999</v>
      </c>
      <c r="C1982" s="760">
        <v>0</v>
      </c>
      <c r="D1982" s="760">
        <v>0</v>
      </c>
      <c r="E1982" s="760">
        <v>0</v>
      </c>
      <c r="F1982" s="761">
        <v>0</v>
      </c>
      <c r="G1982" s="712">
        <v>0</v>
      </c>
      <c r="H1982" s="712">
        <v>0</v>
      </c>
      <c r="I1982" s="775">
        <f t="shared" si="44"/>
        <v>974488.74239999999</v>
      </c>
      <c r="J1982" s="192" t="s">
        <v>2186</v>
      </c>
    </row>
    <row r="1983" spans="1:10" hidden="1" outlineLevel="1">
      <c r="A1983" s="757" t="s">
        <v>746</v>
      </c>
      <c r="B1983" s="773">
        <v>336438.36671999999</v>
      </c>
      <c r="C1983" s="760">
        <v>0</v>
      </c>
      <c r="D1983" s="760">
        <v>0</v>
      </c>
      <c r="E1983" s="760">
        <v>0</v>
      </c>
      <c r="F1983" s="761">
        <v>0</v>
      </c>
      <c r="G1983" s="712">
        <v>0</v>
      </c>
      <c r="H1983" s="712">
        <v>0</v>
      </c>
      <c r="I1983" s="775">
        <f t="shared" si="44"/>
        <v>336438.36671999999</v>
      </c>
      <c r="J1983" s="192" t="s">
        <v>747</v>
      </c>
    </row>
    <row r="1984" spans="1:10" hidden="1" outlineLevel="1">
      <c r="A1984" s="757" t="s">
        <v>468</v>
      </c>
      <c r="B1984" s="773">
        <v>696855.52992</v>
      </c>
      <c r="C1984" s="760">
        <v>0</v>
      </c>
      <c r="D1984" s="760">
        <v>0</v>
      </c>
      <c r="E1984" s="760">
        <v>0</v>
      </c>
      <c r="F1984" s="761">
        <v>0</v>
      </c>
      <c r="G1984" s="712">
        <v>0</v>
      </c>
      <c r="H1984" s="712">
        <v>0</v>
      </c>
      <c r="I1984" s="775">
        <f t="shared" si="44"/>
        <v>696855.52992</v>
      </c>
      <c r="J1984" s="192" t="s">
        <v>469</v>
      </c>
    </row>
    <row r="1985" spans="1:10" hidden="1" outlineLevel="1">
      <c r="A1985" s="756" t="s">
        <v>466</v>
      </c>
      <c r="B1985" s="773">
        <v>2482487.2934399997</v>
      </c>
      <c r="C1985" s="760">
        <v>0</v>
      </c>
      <c r="D1985" s="760">
        <v>0</v>
      </c>
      <c r="E1985" s="760">
        <v>0</v>
      </c>
      <c r="F1985" s="761">
        <v>4379.7763680000007</v>
      </c>
      <c r="G1985" s="712">
        <v>1104.9015360000001</v>
      </c>
      <c r="H1985" s="712">
        <v>0</v>
      </c>
      <c r="I1985" s="775">
        <f t="shared" si="44"/>
        <v>2487971.9713439997</v>
      </c>
      <c r="J1985" s="192" t="s">
        <v>467</v>
      </c>
    </row>
    <row r="1986" spans="1:10" hidden="1" outlineLevel="1">
      <c r="A1986" s="757" t="s">
        <v>766</v>
      </c>
      <c r="B1986" s="773">
        <v>564274.32239999995</v>
      </c>
      <c r="C1986" s="760">
        <v>0</v>
      </c>
      <c r="D1986" s="760">
        <v>0</v>
      </c>
      <c r="E1986" s="760">
        <v>0</v>
      </c>
      <c r="F1986" s="761">
        <v>0</v>
      </c>
      <c r="G1986" s="712">
        <v>0</v>
      </c>
      <c r="H1986" s="712">
        <v>0</v>
      </c>
      <c r="I1986" s="775">
        <f t="shared" si="44"/>
        <v>564274.32239999995</v>
      </c>
      <c r="J1986" s="192" t="s">
        <v>767</v>
      </c>
    </row>
    <row r="1987" spans="1:10" hidden="1" outlineLevel="1">
      <c r="A1987" s="757" t="s">
        <v>550</v>
      </c>
      <c r="B1987" s="773">
        <v>370262.30927999993</v>
      </c>
      <c r="C1987" s="760">
        <v>0</v>
      </c>
      <c r="D1987" s="760">
        <v>0</v>
      </c>
      <c r="E1987" s="760">
        <v>0</v>
      </c>
      <c r="F1987" s="761">
        <v>0</v>
      </c>
      <c r="G1987" s="712">
        <v>0</v>
      </c>
      <c r="H1987" s="712">
        <v>0</v>
      </c>
      <c r="I1987" s="775">
        <f t="shared" si="44"/>
        <v>370262.30927999993</v>
      </c>
      <c r="J1987" s="192" t="s">
        <v>551</v>
      </c>
    </row>
    <row r="1988" spans="1:10" hidden="1" outlineLevel="1">
      <c r="A1988" s="756" t="s">
        <v>752</v>
      </c>
      <c r="B1988" s="773">
        <v>580835.18927999993</v>
      </c>
      <c r="C1988" s="760">
        <v>0</v>
      </c>
      <c r="D1988" s="760">
        <v>0</v>
      </c>
      <c r="E1988" s="760">
        <v>0</v>
      </c>
      <c r="F1988" s="761">
        <v>0</v>
      </c>
      <c r="G1988" s="712">
        <v>0</v>
      </c>
      <c r="H1988" s="712">
        <v>0</v>
      </c>
      <c r="I1988" s="775">
        <f t="shared" si="44"/>
        <v>580835.18927999993</v>
      </c>
      <c r="J1988" s="192" t="s">
        <v>753</v>
      </c>
    </row>
    <row r="1989" spans="1:10" hidden="1" outlineLevel="1">
      <c r="A1989" s="757" t="s">
        <v>502</v>
      </c>
      <c r="B1989" s="773">
        <v>701190.27695999993</v>
      </c>
      <c r="C1989" s="760">
        <v>0</v>
      </c>
      <c r="D1989" s="760">
        <v>0</v>
      </c>
      <c r="E1989" s="760">
        <v>0</v>
      </c>
      <c r="F1989" s="761">
        <v>0</v>
      </c>
      <c r="G1989" s="712">
        <v>0</v>
      </c>
      <c r="H1989" s="712">
        <v>0</v>
      </c>
      <c r="I1989" s="775">
        <f t="shared" si="44"/>
        <v>701190.27695999993</v>
      </c>
      <c r="J1989" s="192" t="s">
        <v>503</v>
      </c>
    </row>
    <row r="1990" spans="1:10" hidden="1" outlineLevel="1">
      <c r="A1990" s="757" t="s">
        <v>522</v>
      </c>
      <c r="B1990" s="773">
        <v>484082.01215999998</v>
      </c>
      <c r="C1990" s="760">
        <v>0</v>
      </c>
      <c r="D1990" s="760">
        <v>0</v>
      </c>
      <c r="E1990" s="760">
        <v>0</v>
      </c>
      <c r="F1990" s="761">
        <v>0</v>
      </c>
      <c r="G1990" s="712">
        <v>0</v>
      </c>
      <c r="H1990" s="712">
        <v>0</v>
      </c>
      <c r="I1990" s="775">
        <f t="shared" si="44"/>
        <v>484082.01215999998</v>
      </c>
      <c r="J1990" s="192" t="s">
        <v>523</v>
      </c>
    </row>
    <row r="1991" spans="1:10" hidden="1" outlineLevel="1">
      <c r="A1991" s="756" t="s">
        <v>708</v>
      </c>
      <c r="B1991" s="773">
        <v>150918.55536</v>
      </c>
      <c r="C1991" s="760">
        <v>0</v>
      </c>
      <c r="D1991" s="760">
        <v>0</v>
      </c>
      <c r="E1991" s="760">
        <v>0</v>
      </c>
      <c r="F1991" s="761">
        <v>0</v>
      </c>
      <c r="G1991" s="712">
        <v>0</v>
      </c>
      <c r="H1991" s="712">
        <v>0</v>
      </c>
      <c r="I1991" s="775">
        <f t="shared" si="44"/>
        <v>150918.55536</v>
      </c>
      <c r="J1991" s="192" t="s">
        <v>709</v>
      </c>
    </row>
    <row r="1992" spans="1:10" hidden="1" outlineLevel="1">
      <c r="A1992" s="757" t="s">
        <v>458</v>
      </c>
      <c r="B1992" s="773">
        <v>650251.0199999999</v>
      </c>
      <c r="C1992" s="760">
        <v>0</v>
      </c>
      <c r="D1992" s="760">
        <v>0</v>
      </c>
      <c r="E1992" s="760">
        <v>0</v>
      </c>
      <c r="F1992" s="761">
        <v>0</v>
      </c>
      <c r="G1992" s="712">
        <v>0</v>
      </c>
      <c r="H1992" s="712">
        <v>0</v>
      </c>
      <c r="I1992" s="775">
        <f t="shared" si="44"/>
        <v>650251.0199999999</v>
      </c>
      <c r="J1992" s="192" t="s">
        <v>459</v>
      </c>
    </row>
    <row r="1993" spans="1:10" hidden="1" outlineLevel="1">
      <c r="A1993" s="757" t="s">
        <v>638</v>
      </c>
      <c r="B1993" s="773">
        <v>720887.17056</v>
      </c>
      <c r="C1993" s="760">
        <v>0</v>
      </c>
      <c r="D1993" s="760">
        <v>0</v>
      </c>
      <c r="E1993" s="760">
        <v>0</v>
      </c>
      <c r="F1993" s="761">
        <v>0</v>
      </c>
      <c r="G1993" s="712">
        <v>0</v>
      </c>
      <c r="H1993" s="712">
        <v>0</v>
      </c>
      <c r="I1993" s="775">
        <f t="shared" si="44"/>
        <v>720887.17056</v>
      </c>
      <c r="J1993" s="192" t="s">
        <v>2187</v>
      </c>
    </row>
    <row r="1994" spans="1:10" hidden="1" outlineLevel="1">
      <c r="A1994" s="756" t="s">
        <v>482</v>
      </c>
      <c r="B1994" s="773">
        <v>169305.10800000001</v>
      </c>
      <c r="C1994" s="760">
        <v>0</v>
      </c>
      <c r="D1994" s="760">
        <v>0</v>
      </c>
      <c r="E1994" s="760">
        <v>0</v>
      </c>
      <c r="F1994" s="761">
        <v>0</v>
      </c>
      <c r="G1994" s="712">
        <v>0</v>
      </c>
      <c r="H1994" s="712">
        <v>0</v>
      </c>
      <c r="I1994" s="775">
        <f t="shared" si="44"/>
        <v>169305.10800000001</v>
      </c>
      <c r="J1994" s="192" t="s">
        <v>2188</v>
      </c>
    </row>
    <row r="1995" spans="1:10" hidden="1" outlineLevel="1">
      <c r="A1995" s="757" t="s">
        <v>482</v>
      </c>
      <c r="B1995" s="773">
        <v>1253780.0505599999</v>
      </c>
      <c r="C1995" s="760">
        <v>0</v>
      </c>
      <c r="D1995" s="760">
        <v>0</v>
      </c>
      <c r="E1995" s="760">
        <v>0</v>
      </c>
      <c r="F1995" s="761">
        <v>0</v>
      </c>
      <c r="G1995" s="712">
        <v>0</v>
      </c>
      <c r="H1995" s="712">
        <v>0</v>
      </c>
      <c r="I1995" s="775">
        <f t="shared" si="44"/>
        <v>1253780.0505599999</v>
      </c>
      <c r="J1995" s="192" t="s">
        <v>2189</v>
      </c>
    </row>
    <row r="1996" spans="1:10" hidden="1" outlineLevel="1">
      <c r="A1996" s="757" t="s">
        <v>706</v>
      </c>
      <c r="B1996" s="773">
        <v>558074.04431999999</v>
      </c>
      <c r="C1996" s="760">
        <v>0</v>
      </c>
      <c r="D1996" s="760">
        <v>0</v>
      </c>
      <c r="E1996" s="760">
        <v>0</v>
      </c>
      <c r="F1996" s="761">
        <v>0</v>
      </c>
      <c r="G1996" s="712">
        <v>0</v>
      </c>
      <c r="H1996" s="712">
        <v>0</v>
      </c>
      <c r="I1996" s="775">
        <f t="shared" si="44"/>
        <v>558074.04431999999</v>
      </c>
      <c r="J1996" s="192" t="s">
        <v>707</v>
      </c>
    </row>
    <row r="1997" spans="1:10" hidden="1" outlineLevel="1">
      <c r="A1997" s="756" t="s">
        <v>730</v>
      </c>
      <c r="B1997" s="773">
        <v>7215.6676799999996</v>
      </c>
      <c r="C1997" s="760">
        <v>0</v>
      </c>
      <c r="D1997" s="760">
        <v>0</v>
      </c>
      <c r="E1997" s="760">
        <v>0</v>
      </c>
      <c r="F1997" s="761">
        <v>0</v>
      </c>
      <c r="G1997" s="712">
        <v>0</v>
      </c>
      <c r="H1997" s="712">
        <v>0</v>
      </c>
      <c r="I1997" s="775">
        <f t="shared" si="44"/>
        <v>7215.6676799999996</v>
      </c>
      <c r="J1997" s="192" t="s">
        <v>731</v>
      </c>
    </row>
    <row r="1998" spans="1:10" hidden="1" outlineLevel="1">
      <c r="A1998" s="757" t="s">
        <v>562</v>
      </c>
      <c r="B1998" s="773">
        <v>433646.34143999993</v>
      </c>
      <c r="C1998" s="760">
        <v>0</v>
      </c>
      <c r="D1998" s="760">
        <v>0</v>
      </c>
      <c r="E1998" s="760">
        <v>0</v>
      </c>
      <c r="F1998" s="761">
        <v>0</v>
      </c>
      <c r="G1998" s="712">
        <v>0</v>
      </c>
      <c r="H1998" s="712">
        <v>0</v>
      </c>
      <c r="I1998" s="775">
        <f t="shared" si="44"/>
        <v>433646.34143999993</v>
      </c>
      <c r="J1998" s="192" t="s">
        <v>563</v>
      </c>
    </row>
    <row r="1999" spans="1:10" hidden="1" outlineLevel="1">
      <c r="A1999" s="757" t="s">
        <v>572</v>
      </c>
      <c r="B1999" s="773">
        <v>1255085.34864</v>
      </c>
      <c r="C1999" s="760">
        <v>0</v>
      </c>
      <c r="D1999" s="760">
        <v>0</v>
      </c>
      <c r="E1999" s="760">
        <v>0</v>
      </c>
      <c r="F1999" s="761">
        <v>0</v>
      </c>
      <c r="G1999" s="712">
        <v>0</v>
      </c>
      <c r="H1999" s="712">
        <v>0</v>
      </c>
      <c r="I1999" s="775">
        <f t="shared" si="44"/>
        <v>1255085.34864</v>
      </c>
      <c r="J1999" s="192" t="s">
        <v>573</v>
      </c>
    </row>
    <row r="2000" spans="1:10" hidden="1" outlineLevel="1">
      <c r="A2000" s="756" t="s">
        <v>554</v>
      </c>
      <c r="B2000" s="773">
        <v>306396.49439999997</v>
      </c>
      <c r="C2000" s="760">
        <v>0</v>
      </c>
      <c r="D2000" s="760">
        <v>0</v>
      </c>
      <c r="E2000" s="760">
        <v>0</v>
      </c>
      <c r="F2000" s="761">
        <v>0</v>
      </c>
      <c r="G2000" s="712">
        <v>0</v>
      </c>
      <c r="H2000" s="712">
        <v>0</v>
      </c>
      <c r="I2000" s="775">
        <f t="shared" si="44"/>
        <v>306396.49439999997</v>
      </c>
      <c r="J2000" s="192" t="s">
        <v>555</v>
      </c>
    </row>
    <row r="2001" spans="1:10" hidden="1" outlineLevel="1">
      <c r="A2001" s="757" t="s">
        <v>556</v>
      </c>
      <c r="B2001" s="773">
        <v>1067371.64784</v>
      </c>
      <c r="C2001" s="760">
        <v>0</v>
      </c>
      <c r="D2001" s="760">
        <v>0</v>
      </c>
      <c r="E2001" s="760">
        <v>0</v>
      </c>
      <c r="F2001" s="761">
        <v>0</v>
      </c>
      <c r="G2001" s="712">
        <v>0</v>
      </c>
      <c r="H2001" s="712">
        <v>0</v>
      </c>
      <c r="I2001" s="775">
        <f t="shared" si="44"/>
        <v>1067371.64784</v>
      </c>
      <c r="J2001" s="192" t="s">
        <v>557</v>
      </c>
    </row>
    <row r="2002" spans="1:10" hidden="1" outlineLevel="1">
      <c r="A2002" s="757" t="s">
        <v>640</v>
      </c>
      <c r="B2002" s="773">
        <v>371026.99103999994</v>
      </c>
      <c r="C2002" s="760">
        <v>0</v>
      </c>
      <c r="D2002" s="760">
        <v>0</v>
      </c>
      <c r="E2002" s="760">
        <v>0</v>
      </c>
      <c r="F2002" s="761">
        <v>0</v>
      </c>
      <c r="G2002" s="712">
        <v>0</v>
      </c>
      <c r="H2002" s="712">
        <v>0</v>
      </c>
      <c r="I2002" s="775">
        <f t="shared" si="44"/>
        <v>371026.99103999994</v>
      </c>
      <c r="J2002" s="192" t="s">
        <v>641</v>
      </c>
    </row>
    <row r="2003" spans="1:10" hidden="1" outlineLevel="1">
      <c r="A2003" s="756" t="s">
        <v>698</v>
      </c>
      <c r="B2003" s="773">
        <v>560411.73743999994</v>
      </c>
      <c r="C2003" s="760">
        <v>0</v>
      </c>
      <c r="D2003" s="760">
        <v>0</v>
      </c>
      <c r="E2003" s="760">
        <v>0</v>
      </c>
      <c r="F2003" s="761">
        <v>0</v>
      </c>
      <c r="G2003" s="712">
        <v>0</v>
      </c>
      <c r="H2003" s="712">
        <v>0</v>
      </c>
      <c r="I2003" s="775">
        <f t="shared" si="44"/>
        <v>560411.73743999994</v>
      </c>
      <c r="J2003" s="192" t="s">
        <v>699</v>
      </c>
    </row>
    <row r="2004" spans="1:10" hidden="1" outlineLevel="1">
      <c r="A2004" s="757" t="s">
        <v>670</v>
      </c>
      <c r="B2004" s="773">
        <v>1418530.1241599999</v>
      </c>
      <c r="C2004" s="760">
        <v>0</v>
      </c>
      <c r="D2004" s="760">
        <v>0</v>
      </c>
      <c r="E2004" s="760">
        <v>0</v>
      </c>
      <c r="F2004" s="761">
        <v>0</v>
      </c>
      <c r="G2004" s="712">
        <v>0</v>
      </c>
      <c r="H2004" s="712">
        <v>0</v>
      </c>
      <c r="I2004" s="775">
        <f t="shared" si="44"/>
        <v>1418530.1241599999</v>
      </c>
      <c r="J2004" s="192" t="s">
        <v>671</v>
      </c>
    </row>
    <row r="2005" spans="1:10" hidden="1" outlineLevel="1">
      <c r="A2005" s="757" t="s">
        <v>558</v>
      </c>
      <c r="B2005" s="773">
        <v>754839.9023999999</v>
      </c>
      <c r="C2005" s="760">
        <v>0</v>
      </c>
      <c r="D2005" s="760">
        <v>0</v>
      </c>
      <c r="E2005" s="760">
        <v>0</v>
      </c>
      <c r="F2005" s="761">
        <v>0</v>
      </c>
      <c r="G2005" s="712">
        <v>0</v>
      </c>
      <c r="H2005" s="712">
        <v>0</v>
      </c>
      <c r="I2005" s="775">
        <f t="shared" si="44"/>
        <v>754839.9023999999</v>
      </c>
      <c r="J2005" s="192" t="s">
        <v>559</v>
      </c>
    </row>
    <row r="2006" spans="1:10" hidden="1" outlineLevel="1">
      <c r="A2006" s="756" t="s">
        <v>494</v>
      </c>
      <c r="B2006" s="773">
        <v>281322.59327999997</v>
      </c>
      <c r="C2006" s="760">
        <v>0</v>
      </c>
      <c r="D2006" s="760">
        <v>0</v>
      </c>
      <c r="E2006" s="760">
        <v>0</v>
      </c>
      <c r="F2006" s="761">
        <v>0</v>
      </c>
      <c r="G2006" s="712">
        <v>0</v>
      </c>
      <c r="H2006" s="712">
        <v>0</v>
      </c>
      <c r="I2006" s="775">
        <f t="shared" si="44"/>
        <v>281322.59327999997</v>
      </c>
      <c r="J2006" s="192" t="s">
        <v>495</v>
      </c>
    </row>
    <row r="2007" spans="1:10" hidden="1" outlineLevel="1">
      <c r="A2007" s="757" t="s">
        <v>664</v>
      </c>
      <c r="B2007" s="773">
        <v>419090.98223999998</v>
      </c>
      <c r="C2007" s="760">
        <v>0</v>
      </c>
      <c r="D2007" s="760">
        <v>0</v>
      </c>
      <c r="E2007" s="760">
        <v>0</v>
      </c>
      <c r="F2007" s="761">
        <v>0</v>
      </c>
      <c r="G2007" s="712">
        <v>0</v>
      </c>
      <c r="H2007" s="712">
        <v>0</v>
      </c>
      <c r="I2007" s="775">
        <f t="shared" si="44"/>
        <v>419090.98223999998</v>
      </c>
      <c r="J2007" s="192" t="s">
        <v>665</v>
      </c>
    </row>
    <row r="2008" spans="1:10" hidden="1" outlineLevel="1">
      <c r="A2008" s="757" t="s">
        <v>476</v>
      </c>
      <c r="B2008" s="773">
        <v>1098810.4468799999</v>
      </c>
      <c r="C2008" s="760">
        <v>0</v>
      </c>
      <c r="D2008" s="760">
        <v>0</v>
      </c>
      <c r="E2008" s="760">
        <v>0</v>
      </c>
      <c r="F2008" s="761">
        <v>0</v>
      </c>
      <c r="G2008" s="712">
        <v>0</v>
      </c>
      <c r="H2008" s="712">
        <v>0</v>
      </c>
      <c r="I2008" s="775">
        <f t="shared" si="44"/>
        <v>1098810.4468799999</v>
      </c>
      <c r="J2008" s="192" t="s">
        <v>477</v>
      </c>
    </row>
    <row r="2009" spans="1:10" hidden="1" outlineLevel="1">
      <c r="A2009" s="756" t="s">
        <v>696</v>
      </c>
      <c r="B2009" s="773">
        <v>750273.17471999989</v>
      </c>
      <c r="C2009" s="760">
        <v>0</v>
      </c>
      <c r="D2009" s="760">
        <v>0</v>
      </c>
      <c r="E2009" s="760">
        <v>0</v>
      </c>
      <c r="F2009" s="761">
        <v>0</v>
      </c>
      <c r="G2009" s="712">
        <v>0</v>
      </c>
      <c r="H2009" s="712">
        <v>0</v>
      </c>
      <c r="I2009" s="775">
        <f t="shared" si="44"/>
        <v>750273.17471999989</v>
      </c>
      <c r="J2009" s="192" t="s">
        <v>697</v>
      </c>
    </row>
    <row r="2010" spans="1:10" hidden="1" outlineLevel="1">
      <c r="A2010" s="757" t="s">
        <v>674</v>
      </c>
      <c r="B2010" s="773">
        <v>1120077.07152</v>
      </c>
      <c r="C2010" s="760">
        <v>0</v>
      </c>
      <c r="D2010" s="760">
        <v>0</v>
      </c>
      <c r="E2010" s="760">
        <v>0</v>
      </c>
      <c r="F2010" s="761">
        <v>0</v>
      </c>
      <c r="G2010" s="712">
        <v>0</v>
      </c>
      <c r="H2010" s="712">
        <v>0</v>
      </c>
      <c r="I2010" s="775">
        <f t="shared" si="44"/>
        <v>1120077.07152</v>
      </c>
      <c r="J2010" s="192" t="s">
        <v>2190</v>
      </c>
    </row>
    <row r="2011" spans="1:10" hidden="1" outlineLevel="1">
      <c r="A2011" s="757" t="s">
        <v>592</v>
      </c>
      <c r="B2011" s="773">
        <v>442078.22447999998</v>
      </c>
      <c r="C2011" s="760">
        <v>0</v>
      </c>
      <c r="D2011" s="760">
        <v>0</v>
      </c>
      <c r="E2011" s="760">
        <v>0</v>
      </c>
      <c r="F2011" s="761">
        <v>0</v>
      </c>
      <c r="G2011" s="712">
        <v>0</v>
      </c>
      <c r="H2011" s="712">
        <v>0</v>
      </c>
      <c r="I2011" s="775">
        <f t="shared" si="44"/>
        <v>442078.22447999998</v>
      </c>
      <c r="J2011" s="192" t="s">
        <v>593</v>
      </c>
    </row>
    <row r="2012" spans="1:10" hidden="1" outlineLevel="1">
      <c r="A2012" s="756" t="s">
        <v>718</v>
      </c>
      <c r="B2012" s="773">
        <v>220434.75407999998</v>
      </c>
      <c r="C2012" s="760">
        <v>0</v>
      </c>
      <c r="D2012" s="760">
        <v>0</v>
      </c>
      <c r="E2012" s="760">
        <v>0</v>
      </c>
      <c r="F2012" s="761">
        <v>0</v>
      </c>
      <c r="G2012" s="712">
        <v>0</v>
      </c>
      <c r="H2012" s="712">
        <v>0</v>
      </c>
      <c r="I2012" s="775">
        <f t="shared" si="44"/>
        <v>220434.75407999998</v>
      </c>
      <c r="J2012" s="192" t="s">
        <v>719</v>
      </c>
    </row>
    <row r="2013" spans="1:10" hidden="1" outlineLevel="1">
      <c r="A2013" s="757" t="s">
        <v>690</v>
      </c>
      <c r="B2013" s="773">
        <v>288080.79504</v>
      </c>
      <c r="C2013" s="760">
        <v>0</v>
      </c>
      <c r="D2013" s="760">
        <v>0</v>
      </c>
      <c r="E2013" s="760">
        <v>0</v>
      </c>
      <c r="F2013" s="761">
        <v>0</v>
      </c>
      <c r="G2013" s="712">
        <v>0</v>
      </c>
      <c r="H2013" s="712">
        <v>0</v>
      </c>
      <c r="I2013" s="775">
        <f t="shared" si="44"/>
        <v>288080.79504</v>
      </c>
      <c r="J2013" s="192" t="s">
        <v>691</v>
      </c>
    </row>
    <row r="2014" spans="1:10" hidden="1" outlineLevel="1">
      <c r="A2014" s="757" t="s">
        <v>566</v>
      </c>
      <c r="B2014" s="773">
        <v>200209.61471999998</v>
      </c>
      <c r="C2014" s="760">
        <v>0</v>
      </c>
      <c r="D2014" s="760">
        <v>0</v>
      </c>
      <c r="E2014" s="760">
        <v>0</v>
      </c>
      <c r="F2014" s="761">
        <v>0</v>
      </c>
      <c r="G2014" s="712">
        <v>0</v>
      </c>
      <c r="H2014" s="712">
        <v>0</v>
      </c>
      <c r="I2014" s="775">
        <f t="shared" si="44"/>
        <v>200209.61471999998</v>
      </c>
      <c r="J2014" s="192" t="s">
        <v>567</v>
      </c>
    </row>
    <row r="2015" spans="1:10" hidden="1" outlineLevel="1">
      <c r="A2015" s="756" t="s">
        <v>672</v>
      </c>
      <c r="B2015" s="773">
        <v>468737.03423999995</v>
      </c>
      <c r="C2015" s="760">
        <v>0</v>
      </c>
      <c r="D2015" s="760">
        <v>0</v>
      </c>
      <c r="E2015" s="760">
        <v>0</v>
      </c>
      <c r="F2015" s="761">
        <v>0</v>
      </c>
      <c r="G2015" s="712">
        <v>0</v>
      </c>
      <c r="H2015" s="712">
        <v>0</v>
      </c>
      <c r="I2015" s="775">
        <f t="shared" si="44"/>
        <v>468737.03423999995</v>
      </c>
      <c r="J2015" s="192" t="s">
        <v>673</v>
      </c>
    </row>
    <row r="2016" spans="1:10" hidden="1" outlineLevel="1">
      <c r="A2016" s="756" t="s">
        <v>496</v>
      </c>
      <c r="B2016" s="773">
        <v>519665.81375999993</v>
      </c>
      <c r="C2016" s="760">
        <v>0</v>
      </c>
      <c r="D2016" s="760">
        <v>0</v>
      </c>
      <c r="E2016" s="760">
        <v>0</v>
      </c>
      <c r="F2016" s="761">
        <v>0</v>
      </c>
      <c r="G2016" s="712">
        <v>0</v>
      </c>
      <c r="H2016" s="712">
        <v>0</v>
      </c>
      <c r="I2016" s="775">
        <f t="shared" si="44"/>
        <v>519665.81375999993</v>
      </c>
      <c r="J2016" s="192" t="s">
        <v>497</v>
      </c>
    </row>
    <row r="2017" spans="1:10" hidden="1" outlineLevel="1">
      <c r="A2017" s="756" t="s">
        <v>700</v>
      </c>
      <c r="B2017" s="773">
        <v>363101.87663999997</v>
      </c>
      <c r="C2017" s="760">
        <v>0</v>
      </c>
      <c r="D2017" s="760">
        <v>0</v>
      </c>
      <c r="E2017" s="760">
        <v>0</v>
      </c>
      <c r="F2017" s="761">
        <v>0</v>
      </c>
      <c r="G2017" s="712">
        <v>0</v>
      </c>
      <c r="H2017" s="712">
        <v>0</v>
      </c>
      <c r="I2017" s="775">
        <f t="shared" si="44"/>
        <v>363101.87663999997</v>
      </c>
      <c r="J2017" s="192" t="s">
        <v>701</v>
      </c>
    </row>
    <row r="2018" spans="1:10" hidden="1" outlineLevel="1">
      <c r="A2018" s="756" t="s">
        <v>654</v>
      </c>
      <c r="B2018" s="773">
        <v>513360.21455999999</v>
      </c>
      <c r="C2018" s="760">
        <v>0</v>
      </c>
      <c r="D2018" s="760">
        <v>0</v>
      </c>
      <c r="E2018" s="760">
        <v>0</v>
      </c>
      <c r="F2018" s="761">
        <v>0</v>
      </c>
      <c r="G2018" s="712">
        <v>0</v>
      </c>
      <c r="H2018" s="712">
        <v>0</v>
      </c>
      <c r="I2018" s="775">
        <f t="shared" si="44"/>
        <v>513360.21455999999</v>
      </c>
      <c r="J2018" s="192" t="s">
        <v>655</v>
      </c>
    </row>
    <row r="2019" spans="1:10" hidden="1" outlineLevel="1">
      <c r="A2019" s="756" t="s">
        <v>518</v>
      </c>
      <c r="B2019" s="773">
        <v>1992523.6103999999</v>
      </c>
      <c r="C2019" s="760">
        <v>0</v>
      </c>
      <c r="D2019" s="760">
        <v>0</v>
      </c>
      <c r="E2019" s="760">
        <v>0</v>
      </c>
      <c r="F2019" s="761">
        <v>2178.8660640000003</v>
      </c>
      <c r="G2019" s="712">
        <v>0</v>
      </c>
      <c r="H2019" s="712">
        <v>0</v>
      </c>
      <c r="I2019" s="775">
        <f t="shared" si="44"/>
        <v>1994702.4764639998</v>
      </c>
      <c r="J2019" s="192" t="s">
        <v>519</v>
      </c>
    </row>
    <row r="2020" spans="1:10" hidden="1" outlineLevel="1">
      <c r="A2020" s="756" t="s">
        <v>686</v>
      </c>
      <c r="B2020" s="773">
        <v>22832699.322719999</v>
      </c>
      <c r="C2020" s="760">
        <v>0</v>
      </c>
      <c r="D2020" s="760">
        <v>0</v>
      </c>
      <c r="E2020" s="760">
        <v>0</v>
      </c>
      <c r="F2020" s="761">
        <v>0</v>
      </c>
      <c r="G2020" s="712">
        <v>0</v>
      </c>
      <c r="H2020" s="712">
        <v>0</v>
      </c>
      <c r="I2020" s="775">
        <f t="shared" si="44"/>
        <v>22832699.322719999</v>
      </c>
      <c r="J2020" s="192" t="s">
        <v>687</v>
      </c>
    </row>
    <row r="2021" spans="1:10" hidden="1" outlineLevel="1">
      <c r="A2021" s="756" t="s">
        <v>2191</v>
      </c>
      <c r="B2021" s="773">
        <v>64408.022399999994</v>
      </c>
      <c r="C2021" s="760">
        <v>0</v>
      </c>
      <c r="D2021" s="760">
        <v>0</v>
      </c>
      <c r="E2021" s="760">
        <v>0</v>
      </c>
      <c r="F2021" s="761">
        <v>0</v>
      </c>
      <c r="G2021" s="712">
        <v>0</v>
      </c>
      <c r="H2021" s="712">
        <v>0</v>
      </c>
      <c r="I2021" s="775">
        <f t="shared" si="44"/>
        <v>64408.022399999994</v>
      </c>
      <c r="J2021" s="192" t="s">
        <v>2192</v>
      </c>
    </row>
    <row r="2022" spans="1:10" hidden="1" outlineLevel="1">
      <c r="A2022" s="756" t="s">
        <v>536</v>
      </c>
      <c r="B2022" s="773">
        <v>6557957.61216</v>
      </c>
      <c r="C2022" s="760">
        <v>0</v>
      </c>
      <c r="D2022" s="760">
        <v>0</v>
      </c>
      <c r="E2022" s="760">
        <v>0</v>
      </c>
      <c r="F2022" s="761">
        <v>0</v>
      </c>
      <c r="G2022" s="712">
        <v>0</v>
      </c>
      <c r="H2022" s="712">
        <v>0</v>
      </c>
      <c r="I2022" s="775">
        <f t="shared" si="44"/>
        <v>6557957.61216</v>
      </c>
      <c r="J2022" s="192" t="s">
        <v>537</v>
      </c>
    </row>
    <row r="2023" spans="1:10" hidden="1" outlineLevel="1">
      <c r="A2023" s="756" t="s">
        <v>1196</v>
      </c>
      <c r="B2023" s="773">
        <v>290386.15007999999</v>
      </c>
      <c r="C2023" s="760">
        <v>0</v>
      </c>
      <c r="D2023" s="760">
        <v>0</v>
      </c>
      <c r="E2023" s="760">
        <v>0</v>
      </c>
      <c r="F2023" s="761">
        <v>0</v>
      </c>
      <c r="G2023" s="712">
        <v>0</v>
      </c>
      <c r="H2023" s="712">
        <v>0</v>
      </c>
      <c r="I2023" s="775">
        <f t="shared" si="44"/>
        <v>290386.15007999999</v>
      </c>
      <c r="J2023" s="192" t="s">
        <v>1197</v>
      </c>
    </row>
    <row r="2024" spans="1:10" collapsed="1">
      <c r="A2024" s="742" t="str">
        <f>A180</f>
        <v>Regelzone Amprion (gesamt)</v>
      </c>
      <c r="B2024" s="774">
        <f t="shared" ref="B2024:H2024" si="45">SUM(B2025:B2257)</f>
        <v>848587600.87</v>
      </c>
      <c r="C2024" s="763">
        <f t="shared" si="45"/>
        <v>0</v>
      </c>
      <c r="D2024" s="763">
        <f t="shared" si="45"/>
        <v>1022601.3699999999</v>
      </c>
      <c r="E2024" s="763">
        <f t="shared" si="45"/>
        <v>0</v>
      </c>
      <c r="F2024" s="767">
        <f t="shared" si="45"/>
        <v>3273221.1999999993</v>
      </c>
      <c r="G2024" s="195">
        <f t="shared" si="45"/>
        <v>26939.41</v>
      </c>
      <c r="H2024" s="195">
        <f t="shared" si="45"/>
        <v>0</v>
      </c>
      <c r="I2024" s="775">
        <f>SUM(B2024:H2024)</f>
        <v>852910362.85000002</v>
      </c>
    </row>
    <row r="2025" spans="1:10" hidden="1" outlineLevel="2">
      <c r="A2025" s="742" t="s">
        <v>775</v>
      </c>
      <c r="B2025" s="776">
        <v>743376.18</v>
      </c>
      <c r="C2025" s="762">
        <v>0</v>
      </c>
      <c r="D2025" s="199">
        <v>0</v>
      </c>
      <c r="E2025" s="199">
        <v>0</v>
      </c>
      <c r="F2025" s="764">
        <v>0</v>
      </c>
      <c r="G2025" s="199">
        <v>0</v>
      </c>
      <c r="H2025" s="199">
        <v>0</v>
      </c>
      <c r="I2025" s="775">
        <f t="shared" ref="I2025:I2045" si="46">SUM(B2025:H2025)</f>
        <v>743376.18</v>
      </c>
      <c r="J2025" s="192" t="s">
        <v>776</v>
      </c>
    </row>
    <row r="2026" spans="1:10" hidden="1" outlineLevel="2">
      <c r="A2026" s="742" t="s">
        <v>456</v>
      </c>
      <c r="B2026" s="776">
        <v>847018.68</v>
      </c>
      <c r="C2026" s="762">
        <v>0</v>
      </c>
      <c r="D2026" s="199">
        <v>0</v>
      </c>
      <c r="E2026" s="199">
        <v>0</v>
      </c>
      <c r="F2026" s="764">
        <v>0</v>
      </c>
      <c r="G2026" s="199">
        <v>0</v>
      </c>
      <c r="H2026" s="199">
        <v>0</v>
      </c>
      <c r="I2026" s="775">
        <f t="shared" si="46"/>
        <v>847018.68</v>
      </c>
      <c r="J2026" s="192" t="s">
        <v>457</v>
      </c>
    </row>
    <row r="2027" spans="1:10" hidden="1" outlineLevel="2">
      <c r="A2027" s="742" t="s">
        <v>777</v>
      </c>
      <c r="B2027" s="776">
        <v>981420.08</v>
      </c>
      <c r="C2027" s="762">
        <v>0</v>
      </c>
      <c r="D2027" s="199">
        <v>0</v>
      </c>
      <c r="E2027" s="199">
        <v>0</v>
      </c>
      <c r="F2027" s="764">
        <v>0</v>
      </c>
      <c r="G2027" s="199">
        <v>0</v>
      </c>
      <c r="H2027" s="199">
        <v>0</v>
      </c>
      <c r="I2027" s="775">
        <f t="shared" si="46"/>
        <v>981420.08</v>
      </c>
      <c r="J2027" s="192" t="s">
        <v>778</v>
      </c>
    </row>
    <row r="2028" spans="1:10" hidden="1" outlineLevel="2">
      <c r="A2028" s="742" t="s">
        <v>779</v>
      </c>
      <c r="B2028" s="776">
        <v>2431369.63</v>
      </c>
      <c r="C2028" s="762">
        <v>0</v>
      </c>
      <c r="D2028" s="199">
        <v>0</v>
      </c>
      <c r="E2028" s="199">
        <v>0</v>
      </c>
      <c r="F2028" s="764">
        <v>0</v>
      </c>
      <c r="G2028" s="199">
        <v>0</v>
      </c>
      <c r="H2028" s="199">
        <v>0</v>
      </c>
      <c r="I2028" s="775">
        <f t="shared" si="46"/>
        <v>2431369.63</v>
      </c>
      <c r="J2028" s="192" t="s">
        <v>780</v>
      </c>
    </row>
    <row r="2029" spans="1:10" hidden="1" outlineLevel="2">
      <c r="A2029" s="742" t="s">
        <v>781</v>
      </c>
      <c r="B2029" s="776">
        <v>7531894.71</v>
      </c>
      <c r="C2029" s="762">
        <v>0</v>
      </c>
      <c r="D2029" s="199">
        <v>0</v>
      </c>
      <c r="E2029" s="199">
        <v>0</v>
      </c>
      <c r="F2029" s="764">
        <v>6526.04</v>
      </c>
      <c r="G2029" s="199">
        <v>0</v>
      </c>
      <c r="H2029" s="199">
        <v>0</v>
      </c>
      <c r="I2029" s="775">
        <f t="shared" si="46"/>
        <v>7538420.75</v>
      </c>
      <c r="J2029" s="192" t="s">
        <v>782</v>
      </c>
    </row>
    <row r="2030" spans="1:10" hidden="1" outlineLevel="2">
      <c r="A2030" s="742" t="s">
        <v>783</v>
      </c>
      <c r="B2030" s="776">
        <v>1369062.93</v>
      </c>
      <c r="C2030" s="762">
        <v>0</v>
      </c>
      <c r="D2030" s="199">
        <v>0</v>
      </c>
      <c r="E2030" s="199">
        <v>0</v>
      </c>
      <c r="F2030" s="764">
        <v>0</v>
      </c>
      <c r="G2030" s="199">
        <v>0</v>
      </c>
      <c r="H2030" s="199">
        <v>0</v>
      </c>
      <c r="I2030" s="775">
        <f t="shared" si="46"/>
        <v>1369062.93</v>
      </c>
      <c r="J2030" s="192" t="s">
        <v>784</v>
      </c>
    </row>
    <row r="2031" spans="1:10" hidden="1" outlineLevel="2">
      <c r="A2031" s="742" t="s">
        <v>785</v>
      </c>
      <c r="B2031" s="776">
        <v>1011285.98</v>
      </c>
      <c r="C2031" s="762">
        <v>0</v>
      </c>
      <c r="D2031" s="199">
        <v>0</v>
      </c>
      <c r="E2031" s="199">
        <v>0</v>
      </c>
      <c r="F2031" s="764">
        <v>0</v>
      </c>
      <c r="G2031" s="199">
        <v>0</v>
      </c>
      <c r="H2031" s="199">
        <v>0</v>
      </c>
      <c r="I2031" s="775">
        <f t="shared" si="46"/>
        <v>1011285.98</v>
      </c>
      <c r="J2031" s="192" t="s">
        <v>786</v>
      </c>
    </row>
    <row r="2032" spans="1:10" hidden="1" outlineLevel="2">
      <c r="A2032" s="742" t="s">
        <v>787</v>
      </c>
      <c r="B2032" s="776">
        <v>19456159.870000001</v>
      </c>
      <c r="C2032" s="762">
        <v>0</v>
      </c>
      <c r="D2032" s="199">
        <v>0</v>
      </c>
      <c r="E2032" s="199">
        <v>0</v>
      </c>
      <c r="F2032" s="764">
        <v>0</v>
      </c>
      <c r="G2032" s="199">
        <v>5827.26</v>
      </c>
      <c r="H2032" s="199">
        <v>0</v>
      </c>
      <c r="I2032" s="775">
        <f t="shared" si="46"/>
        <v>19461987.130000003</v>
      </c>
      <c r="J2032" s="192" t="s">
        <v>788</v>
      </c>
    </row>
    <row r="2033" spans="1:10" hidden="1" outlineLevel="2">
      <c r="A2033" s="742" t="s">
        <v>789</v>
      </c>
      <c r="B2033" s="776">
        <v>29106981.940000001</v>
      </c>
      <c r="C2033" s="762">
        <v>0</v>
      </c>
      <c r="D2033" s="199">
        <v>0</v>
      </c>
      <c r="E2033" s="199">
        <v>0</v>
      </c>
      <c r="F2033" s="764">
        <v>1069.9100000000001</v>
      </c>
      <c r="G2033" s="199">
        <v>0</v>
      </c>
      <c r="H2033" s="199">
        <v>0</v>
      </c>
      <c r="I2033" s="775">
        <f t="shared" si="46"/>
        <v>29108051.850000001</v>
      </c>
      <c r="J2033" s="192" t="s">
        <v>790</v>
      </c>
    </row>
    <row r="2034" spans="1:10" hidden="1" outlineLevel="2">
      <c r="A2034" s="742" t="s">
        <v>791</v>
      </c>
      <c r="B2034" s="776">
        <v>998386.99</v>
      </c>
      <c r="C2034" s="762">
        <v>0</v>
      </c>
      <c r="D2034" s="199">
        <v>0</v>
      </c>
      <c r="E2034" s="199">
        <v>0</v>
      </c>
      <c r="F2034" s="764">
        <v>0</v>
      </c>
      <c r="G2034" s="199">
        <v>0</v>
      </c>
      <c r="H2034" s="199">
        <v>0</v>
      </c>
      <c r="I2034" s="775">
        <f t="shared" si="46"/>
        <v>998386.99</v>
      </c>
      <c r="J2034" s="192" t="s">
        <v>792</v>
      </c>
    </row>
    <row r="2035" spans="1:10" hidden="1" outlineLevel="2">
      <c r="A2035" s="742" t="s">
        <v>793</v>
      </c>
      <c r="B2035" s="776">
        <v>1211560.76</v>
      </c>
      <c r="C2035" s="762">
        <v>0</v>
      </c>
      <c r="D2035" s="199">
        <v>0</v>
      </c>
      <c r="E2035" s="199">
        <v>0</v>
      </c>
      <c r="F2035" s="764">
        <v>0</v>
      </c>
      <c r="G2035" s="199">
        <v>0</v>
      </c>
      <c r="H2035" s="199">
        <v>0</v>
      </c>
      <c r="I2035" s="775">
        <f t="shared" si="46"/>
        <v>1211560.76</v>
      </c>
      <c r="J2035" s="192" t="s">
        <v>794</v>
      </c>
    </row>
    <row r="2036" spans="1:10" hidden="1" outlineLevel="2">
      <c r="A2036" s="742" t="s">
        <v>795</v>
      </c>
      <c r="B2036" s="776">
        <v>4683270.6399999997</v>
      </c>
      <c r="C2036" s="762">
        <v>0</v>
      </c>
      <c r="D2036" s="199">
        <v>0</v>
      </c>
      <c r="E2036" s="199">
        <v>0</v>
      </c>
      <c r="F2036" s="764">
        <v>0</v>
      </c>
      <c r="G2036" s="199">
        <v>0</v>
      </c>
      <c r="H2036" s="199">
        <v>0</v>
      </c>
      <c r="I2036" s="775">
        <f t="shared" si="46"/>
        <v>4683270.6399999997</v>
      </c>
      <c r="J2036" s="192" t="s">
        <v>796</v>
      </c>
    </row>
    <row r="2037" spans="1:10" hidden="1" outlineLevel="2">
      <c r="A2037" s="742" t="s">
        <v>797</v>
      </c>
      <c r="B2037" s="776">
        <v>2876781.97</v>
      </c>
      <c r="C2037" s="762">
        <v>0</v>
      </c>
      <c r="D2037" s="199">
        <v>0</v>
      </c>
      <c r="E2037" s="199">
        <v>0</v>
      </c>
      <c r="F2037" s="764">
        <v>0</v>
      </c>
      <c r="G2037" s="199">
        <v>0</v>
      </c>
      <c r="H2037" s="199">
        <v>0</v>
      </c>
      <c r="I2037" s="775">
        <f t="shared" si="46"/>
        <v>2876781.97</v>
      </c>
      <c r="J2037" s="192" t="s">
        <v>798</v>
      </c>
    </row>
    <row r="2038" spans="1:10" hidden="1" outlineLevel="2">
      <c r="A2038" s="742" t="s">
        <v>799</v>
      </c>
      <c r="B2038" s="776">
        <v>414558.92</v>
      </c>
      <c r="C2038" s="762">
        <v>0</v>
      </c>
      <c r="D2038" s="199">
        <v>0</v>
      </c>
      <c r="E2038" s="199">
        <v>0</v>
      </c>
      <c r="F2038" s="764">
        <v>0</v>
      </c>
      <c r="G2038" s="199">
        <v>0</v>
      </c>
      <c r="H2038" s="199">
        <v>0</v>
      </c>
      <c r="I2038" s="775">
        <f t="shared" si="46"/>
        <v>414558.92</v>
      </c>
      <c r="J2038" s="192" t="s">
        <v>800</v>
      </c>
    </row>
    <row r="2039" spans="1:10" hidden="1" outlineLevel="2">
      <c r="A2039" s="742" t="s">
        <v>801</v>
      </c>
      <c r="B2039" s="776">
        <v>267054.99</v>
      </c>
      <c r="C2039" s="762">
        <v>0</v>
      </c>
      <c r="D2039" s="199">
        <v>0</v>
      </c>
      <c r="E2039" s="199">
        <v>0</v>
      </c>
      <c r="F2039" s="764">
        <v>0</v>
      </c>
      <c r="G2039" s="199">
        <v>0</v>
      </c>
      <c r="H2039" s="199">
        <v>0</v>
      </c>
      <c r="I2039" s="775">
        <f t="shared" si="46"/>
        <v>267054.99</v>
      </c>
      <c r="J2039" s="192" t="s">
        <v>802</v>
      </c>
    </row>
    <row r="2040" spans="1:10" hidden="1" outlineLevel="2">
      <c r="A2040" s="742" t="s">
        <v>803</v>
      </c>
      <c r="B2040" s="776">
        <v>9981187.1500000004</v>
      </c>
      <c r="C2040" s="762">
        <v>0</v>
      </c>
      <c r="D2040" s="199">
        <v>0</v>
      </c>
      <c r="E2040" s="199">
        <v>0</v>
      </c>
      <c r="F2040" s="764">
        <v>2291.69</v>
      </c>
      <c r="G2040" s="199">
        <v>0</v>
      </c>
      <c r="H2040" s="199">
        <v>0</v>
      </c>
      <c r="I2040" s="775">
        <f t="shared" si="46"/>
        <v>9983478.8399999999</v>
      </c>
      <c r="J2040" s="192" t="s">
        <v>804</v>
      </c>
    </row>
    <row r="2041" spans="1:10" hidden="1" outlineLevel="2">
      <c r="A2041" s="742" t="s">
        <v>805</v>
      </c>
      <c r="B2041" s="776">
        <v>1000750.23</v>
      </c>
      <c r="C2041" s="762">
        <v>0</v>
      </c>
      <c r="D2041" s="199">
        <v>0</v>
      </c>
      <c r="E2041" s="199">
        <v>0</v>
      </c>
      <c r="F2041" s="764">
        <v>0</v>
      </c>
      <c r="G2041" s="199">
        <v>0</v>
      </c>
      <c r="H2041" s="199">
        <v>0</v>
      </c>
      <c r="I2041" s="775">
        <f t="shared" si="46"/>
        <v>1000750.23</v>
      </c>
      <c r="J2041" s="192" t="s">
        <v>806</v>
      </c>
    </row>
    <row r="2042" spans="1:10" hidden="1" outlineLevel="2">
      <c r="A2042" s="742" t="s">
        <v>807</v>
      </c>
      <c r="B2042" s="776">
        <v>7819766.96</v>
      </c>
      <c r="C2042" s="762">
        <v>0</v>
      </c>
      <c r="D2042" s="199">
        <v>0</v>
      </c>
      <c r="E2042" s="199">
        <v>0</v>
      </c>
      <c r="F2042" s="764">
        <v>0</v>
      </c>
      <c r="G2042" s="199">
        <v>0</v>
      </c>
      <c r="H2042" s="199">
        <v>0</v>
      </c>
      <c r="I2042" s="775">
        <f t="shared" si="46"/>
        <v>7819766.96</v>
      </c>
      <c r="J2042" s="192" t="s">
        <v>808</v>
      </c>
    </row>
    <row r="2043" spans="1:10" hidden="1" outlineLevel="2">
      <c r="A2043" s="742" t="s">
        <v>809</v>
      </c>
      <c r="B2043" s="776">
        <v>1480610.42</v>
      </c>
      <c r="C2043" s="762">
        <v>0</v>
      </c>
      <c r="D2043" s="199">
        <v>0</v>
      </c>
      <c r="E2043" s="199">
        <v>0</v>
      </c>
      <c r="F2043" s="764">
        <v>0</v>
      </c>
      <c r="G2043" s="199">
        <v>0</v>
      </c>
      <c r="H2043" s="199">
        <v>0</v>
      </c>
      <c r="I2043" s="775">
        <f t="shared" si="46"/>
        <v>1480610.42</v>
      </c>
      <c r="J2043" s="192" t="s">
        <v>810</v>
      </c>
    </row>
    <row r="2044" spans="1:10" hidden="1" outlineLevel="2">
      <c r="A2044" s="742" t="s">
        <v>811</v>
      </c>
      <c r="B2044" s="776">
        <v>11375944.84</v>
      </c>
      <c r="C2044" s="762">
        <v>0</v>
      </c>
      <c r="D2044" s="199">
        <v>0</v>
      </c>
      <c r="E2044" s="199">
        <v>0</v>
      </c>
      <c r="F2044" s="764">
        <v>3516.07</v>
      </c>
      <c r="G2044" s="199">
        <v>0</v>
      </c>
      <c r="H2044" s="199">
        <v>0</v>
      </c>
      <c r="I2044" s="775">
        <f t="shared" si="46"/>
        <v>11379460.91</v>
      </c>
      <c r="J2044" s="192" t="s">
        <v>812</v>
      </c>
    </row>
    <row r="2045" spans="1:10" hidden="1" outlineLevel="2">
      <c r="A2045" s="742" t="s">
        <v>813</v>
      </c>
      <c r="B2045" s="776">
        <v>80731.33</v>
      </c>
      <c r="C2045" s="762">
        <v>0</v>
      </c>
      <c r="D2045" s="199">
        <v>0</v>
      </c>
      <c r="E2045" s="199">
        <v>0</v>
      </c>
      <c r="F2045" s="764">
        <v>0</v>
      </c>
      <c r="G2045" s="199">
        <v>0</v>
      </c>
      <c r="H2045" s="199">
        <v>0</v>
      </c>
      <c r="I2045" s="775">
        <f t="shared" si="46"/>
        <v>80731.33</v>
      </c>
      <c r="J2045" s="192" t="s">
        <v>814</v>
      </c>
    </row>
    <row r="2046" spans="1:10" hidden="1" outlineLevel="3">
      <c r="A2046" s="758" t="s">
        <v>815</v>
      </c>
      <c r="B2046" s="776">
        <v>1828345</v>
      </c>
      <c r="C2046" s="762">
        <v>0</v>
      </c>
      <c r="D2046" s="199">
        <v>0</v>
      </c>
      <c r="E2046" s="199">
        <v>0</v>
      </c>
      <c r="F2046" s="764">
        <v>0</v>
      </c>
      <c r="G2046" s="199">
        <v>0</v>
      </c>
      <c r="H2046" s="199">
        <v>0</v>
      </c>
      <c r="I2046" s="775">
        <f>SUM(B2046:H2046)</f>
        <v>1828345</v>
      </c>
      <c r="J2046" s="192" t="s">
        <v>816</v>
      </c>
    </row>
    <row r="2047" spans="1:10" hidden="1" outlineLevel="3">
      <c r="A2047" s="758" t="s">
        <v>817</v>
      </c>
      <c r="B2047" s="776">
        <v>876147.07</v>
      </c>
      <c r="C2047" s="762">
        <v>0</v>
      </c>
      <c r="D2047" s="199">
        <v>0</v>
      </c>
      <c r="E2047" s="199">
        <v>0</v>
      </c>
      <c r="F2047" s="764">
        <v>0</v>
      </c>
      <c r="G2047" s="199">
        <v>0</v>
      </c>
      <c r="H2047" s="199">
        <v>0</v>
      </c>
      <c r="I2047" s="775">
        <f t="shared" ref="I2047:I2110" si="47">SUM(B2047:H2047)</f>
        <v>876147.07</v>
      </c>
      <c r="J2047" s="192" t="s">
        <v>818</v>
      </c>
    </row>
    <row r="2048" spans="1:10" hidden="1" outlineLevel="3">
      <c r="A2048" s="758" t="s">
        <v>819</v>
      </c>
      <c r="B2048" s="776">
        <v>44382286.530000001</v>
      </c>
      <c r="C2048" s="762">
        <v>0</v>
      </c>
      <c r="D2048" s="199">
        <v>0</v>
      </c>
      <c r="E2048" s="199">
        <v>0</v>
      </c>
      <c r="F2048" s="764">
        <v>5080.8500000000004</v>
      </c>
      <c r="G2048" s="199">
        <v>0</v>
      </c>
      <c r="H2048" s="199">
        <v>0</v>
      </c>
      <c r="I2048" s="775">
        <f t="shared" si="47"/>
        <v>44387367.380000003</v>
      </c>
      <c r="J2048" s="192" t="s">
        <v>820</v>
      </c>
    </row>
    <row r="2049" spans="1:10" hidden="1" outlineLevel="3">
      <c r="A2049" s="758" t="s">
        <v>821</v>
      </c>
      <c r="B2049" s="776">
        <v>577103.27</v>
      </c>
      <c r="C2049" s="762">
        <v>0</v>
      </c>
      <c r="D2049" s="199">
        <v>0</v>
      </c>
      <c r="E2049" s="199">
        <v>0</v>
      </c>
      <c r="F2049" s="764">
        <v>0</v>
      </c>
      <c r="G2049" s="199">
        <v>0</v>
      </c>
      <c r="H2049" s="199">
        <v>0</v>
      </c>
      <c r="I2049" s="775">
        <f t="shared" si="47"/>
        <v>577103.27</v>
      </c>
      <c r="J2049" s="192" t="s">
        <v>822</v>
      </c>
    </row>
    <row r="2050" spans="1:10" hidden="1" outlineLevel="3">
      <c r="A2050" s="758" t="s">
        <v>823</v>
      </c>
      <c r="B2050" s="776">
        <v>2089233.88</v>
      </c>
      <c r="C2050" s="762">
        <v>0</v>
      </c>
      <c r="D2050" s="199">
        <v>0</v>
      </c>
      <c r="E2050" s="199">
        <v>0</v>
      </c>
      <c r="F2050" s="764">
        <v>0</v>
      </c>
      <c r="G2050" s="199">
        <v>0</v>
      </c>
      <c r="H2050" s="199">
        <v>0</v>
      </c>
      <c r="I2050" s="775">
        <f t="shared" si="47"/>
        <v>2089233.88</v>
      </c>
      <c r="J2050" s="192" t="s">
        <v>824</v>
      </c>
    </row>
    <row r="2051" spans="1:10" hidden="1" outlineLevel="3">
      <c r="A2051" s="758" t="s">
        <v>825</v>
      </c>
      <c r="B2051" s="776">
        <v>230671.63</v>
      </c>
      <c r="C2051" s="762">
        <v>0</v>
      </c>
      <c r="D2051" s="199">
        <v>0</v>
      </c>
      <c r="E2051" s="199">
        <v>0</v>
      </c>
      <c r="F2051" s="764">
        <v>0</v>
      </c>
      <c r="G2051" s="199">
        <v>0</v>
      </c>
      <c r="H2051" s="199">
        <v>0</v>
      </c>
      <c r="I2051" s="775">
        <f t="shared" si="47"/>
        <v>230671.63</v>
      </c>
      <c r="J2051" s="192" t="s">
        <v>826</v>
      </c>
    </row>
    <row r="2052" spans="1:10" hidden="1" outlineLevel="3">
      <c r="A2052" s="758" t="s">
        <v>827</v>
      </c>
      <c r="B2052" s="776">
        <v>38908.76</v>
      </c>
      <c r="C2052" s="762">
        <v>0</v>
      </c>
      <c r="D2052" s="199">
        <v>0</v>
      </c>
      <c r="E2052" s="199">
        <v>0</v>
      </c>
      <c r="F2052" s="764">
        <v>0</v>
      </c>
      <c r="G2052" s="199">
        <v>0</v>
      </c>
      <c r="H2052" s="199">
        <v>0</v>
      </c>
      <c r="I2052" s="775">
        <f t="shared" si="47"/>
        <v>38908.76</v>
      </c>
      <c r="J2052" s="192" t="s">
        <v>828</v>
      </c>
    </row>
    <row r="2053" spans="1:10" hidden="1" outlineLevel="3">
      <c r="A2053" s="758" t="s">
        <v>829</v>
      </c>
      <c r="B2053" s="776">
        <v>2369301.4500000002</v>
      </c>
      <c r="C2053" s="762">
        <v>0</v>
      </c>
      <c r="D2053" s="199">
        <v>0</v>
      </c>
      <c r="E2053" s="199">
        <v>0</v>
      </c>
      <c r="F2053" s="764">
        <v>0</v>
      </c>
      <c r="G2053" s="199">
        <v>0</v>
      </c>
      <c r="H2053" s="199">
        <v>0</v>
      </c>
      <c r="I2053" s="775">
        <f t="shared" si="47"/>
        <v>2369301.4500000002</v>
      </c>
      <c r="J2053" s="192" t="s">
        <v>830</v>
      </c>
    </row>
    <row r="2054" spans="1:10" hidden="1" outlineLevel="3">
      <c r="A2054" s="758" t="s">
        <v>831</v>
      </c>
      <c r="B2054" s="776">
        <v>243960.95999999999</v>
      </c>
      <c r="C2054" s="762">
        <v>0</v>
      </c>
      <c r="D2054" s="199">
        <v>0</v>
      </c>
      <c r="E2054" s="199">
        <v>0</v>
      </c>
      <c r="F2054" s="764">
        <v>0</v>
      </c>
      <c r="G2054" s="199">
        <v>0</v>
      </c>
      <c r="H2054" s="199">
        <v>0</v>
      </c>
      <c r="I2054" s="775">
        <f t="shared" si="47"/>
        <v>243960.95999999999</v>
      </c>
      <c r="J2054" s="192" t="s">
        <v>832</v>
      </c>
    </row>
    <row r="2055" spans="1:10" hidden="1" outlineLevel="3">
      <c r="A2055" s="758" t="s">
        <v>833</v>
      </c>
      <c r="B2055" s="776">
        <v>16982626.280000001</v>
      </c>
      <c r="C2055" s="762">
        <v>0</v>
      </c>
      <c r="D2055" s="199">
        <v>0</v>
      </c>
      <c r="E2055" s="199">
        <v>0</v>
      </c>
      <c r="F2055" s="764">
        <v>0</v>
      </c>
      <c r="G2055" s="199">
        <v>0</v>
      </c>
      <c r="H2055" s="199">
        <v>0</v>
      </c>
      <c r="I2055" s="775">
        <f t="shared" si="47"/>
        <v>16982626.280000001</v>
      </c>
      <c r="J2055" s="192" t="s">
        <v>834</v>
      </c>
    </row>
    <row r="2056" spans="1:10" hidden="1" outlineLevel="3">
      <c r="A2056" s="758" t="s">
        <v>835</v>
      </c>
      <c r="B2056" s="776">
        <v>48209.919999999998</v>
      </c>
      <c r="C2056" s="762">
        <v>0</v>
      </c>
      <c r="D2056" s="199">
        <v>0</v>
      </c>
      <c r="E2056" s="199">
        <v>0</v>
      </c>
      <c r="F2056" s="764">
        <v>0</v>
      </c>
      <c r="G2056" s="199">
        <v>0</v>
      </c>
      <c r="H2056" s="199">
        <v>0</v>
      </c>
      <c r="I2056" s="775">
        <f t="shared" si="47"/>
        <v>48209.919999999998</v>
      </c>
      <c r="J2056" s="192" t="s">
        <v>836</v>
      </c>
    </row>
    <row r="2057" spans="1:10" hidden="1" outlineLevel="3">
      <c r="A2057" s="758" t="s">
        <v>837</v>
      </c>
      <c r="B2057" s="776">
        <v>876184.98</v>
      </c>
      <c r="C2057" s="762">
        <v>0</v>
      </c>
      <c r="D2057" s="199">
        <v>0</v>
      </c>
      <c r="E2057" s="199">
        <v>0</v>
      </c>
      <c r="F2057" s="764">
        <v>0</v>
      </c>
      <c r="G2057" s="199">
        <v>0</v>
      </c>
      <c r="H2057" s="199">
        <v>0</v>
      </c>
      <c r="I2057" s="775">
        <f t="shared" si="47"/>
        <v>876184.98</v>
      </c>
      <c r="J2057" s="192" t="s">
        <v>838</v>
      </c>
    </row>
    <row r="2058" spans="1:10" hidden="1" outlineLevel="3">
      <c r="A2058" s="758" t="s">
        <v>839</v>
      </c>
      <c r="B2058" s="776">
        <v>181099676.24000001</v>
      </c>
      <c r="C2058" s="762">
        <v>0</v>
      </c>
      <c r="D2058" s="199">
        <v>92260.27</v>
      </c>
      <c r="E2058" s="199">
        <v>0</v>
      </c>
      <c r="F2058" s="764">
        <v>38023.019999999997</v>
      </c>
      <c r="G2058" s="199">
        <v>0</v>
      </c>
      <c r="H2058" s="199">
        <v>0</v>
      </c>
      <c r="I2058" s="775">
        <f t="shared" si="47"/>
        <v>181229959.53000003</v>
      </c>
      <c r="J2058" s="192" t="s">
        <v>840</v>
      </c>
    </row>
    <row r="2059" spans="1:10" hidden="1" outlineLevel="3">
      <c r="A2059" s="758" t="s">
        <v>841</v>
      </c>
      <c r="B2059" s="776">
        <v>1116459.3700000001</v>
      </c>
      <c r="C2059" s="762">
        <v>0</v>
      </c>
      <c r="D2059" s="199">
        <v>0</v>
      </c>
      <c r="E2059" s="199">
        <v>0</v>
      </c>
      <c r="F2059" s="764">
        <v>0</v>
      </c>
      <c r="G2059" s="199">
        <v>0</v>
      </c>
      <c r="H2059" s="199">
        <v>0</v>
      </c>
      <c r="I2059" s="775">
        <f t="shared" si="47"/>
        <v>1116459.3700000001</v>
      </c>
      <c r="J2059" s="192" t="s">
        <v>842</v>
      </c>
    </row>
    <row r="2060" spans="1:10" hidden="1" outlineLevel="3">
      <c r="A2060" s="758" t="s">
        <v>843</v>
      </c>
      <c r="B2060" s="776">
        <v>135180.56</v>
      </c>
      <c r="C2060" s="762">
        <v>0</v>
      </c>
      <c r="D2060" s="199">
        <v>0</v>
      </c>
      <c r="E2060" s="199">
        <v>0</v>
      </c>
      <c r="F2060" s="764">
        <v>0</v>
      </c>
      <c r="G2060" s="199">
        <v>0</v>
      </c>
      <c r="H2060" s="199">
        <v>0</v>
      </c>
      <c r="I2060" s="775">
        <f t="shared" si="47"/>
        <v>135180.56</v>
      </c>
      <c r="J2060" s="192" t="s">
        <v>844</v>
      </c>
    </row>
    <row r="2061" spans="1:10" hidden="1" outlineLevel="3">
      <c r="A2061" s="758" t="s">
        <v>845</v>
      </c>
      <c r="B2061" s="776">
        <v>478633.34</v>
      </c>
      <c r="C2061" s="762">
        <v>0</v>
      </c>
      <c r="D2061" s="199">
        <v>0</v>
      </c>
      <c r="E2061" s="199">
        <v>0</v>
      </c>
      <c r="F2061" s="764">
        <v>0</v>
      </c>
      <c r="G2061" s="199">
        <v>0</v>
      </c>
      <c r="H2061" s="199">
        <v>0</v>
      </c>
      <c r="I2061" s="775">
        <f t="shared" si="47"/>
        <v>478633.34</v>
      </c>
      <c r="J2061" s="192" t="s">
        <v>846</v>
      </c>
    </row>
    <row r="2062" spans="1:10" hidden="1" outlineLevel="3">
      <c r="A2062" s="758" t="s">
        <v>847</v>
      </c>
      <c r="B2062" s="776">
        <v>9795795.5899999999</v>
      </c>
      <c r="C2062" s="762">
        <v>0</v>
      </c>
      <c r="D2062" s="199">
        <v>30894.17</v>
      </c>
      <c r="E2062" s="199">
        <v>0</v>
      </c>
      <c r="F2062" s="764">
        <v>21324.66</v>
      </c>
      <c r="G2062" s="199">
        <v>0</v>
      </c>
      <c r="H2062" s="199">
        <v>0</v>
      </c>
      <c r="I2062" s="775">
        <f t="shared" si="47"/>
        <v>9848014.4199999999</v>
      </c>
      <c r="J2062" s="192" t="s">
        <v>848</v>
      </c>
    </row>
    <row r="2063" spans="1:10" hidden="1" outlineLevel="3">
      <c r="A2063" s="758" t="s">
        <v>849</v>
      </c>
      <c r="B2063" s="776">
        <v>1475100.34</v>
      </c>
      <c r="C2063" s="762">
        <v>0</v>
      </c>
      <c r="D2063" s="199">
        <v>0</v>
      </c>
      <c r="E2063" s="199">
        <v>0</v>
      </c>
      <c r="F2063" s="764">
        <v>0</v>
      </c>
      <c r="G2063" s="199">
        <v>0</v>
      </c>
      <c r="H2063" s="199">
        <v>0</v>
      </c>
      <c r="I2063" s="775">
        <f t="shared" si="47"/>
        <v>1475100.34</v>
      </c>
      <c r="J2063" s="192" t="s">
        <v>850</v>
      </c>
    </row>
    <row r="2064" spans="1:10" hidden="1" outlineLevel="3">
      <c r="A2064" s="758" t="s">
        <v>851</v>
      </c>
      <c r="B2064" s="776">
        <v>958974.95</v>
      </c>
      <c r="C2064" s="762">
        <v>0</v>
      </c>
      <c r="D2064" s="199">
        <v>0</v>
      </c>
      <c r="E2064" s="199">
        <v>0</v>
      </c>
      <c r="F2064" s="764">
        <v>0</v>
      </c>
      <c r="G2064" s="199">
        <v>0</v>
      </c>
      <c r="H2064" s="199">
        <v>0</v>
      </c>
      <c r="I2064" s="775">
        <f t="shared" si="47"/>
        <v>958974.95</v>
      </c>
      <c r="J2064" s="192" t="s">
        <v>852</v>
      </c>
    </row>
    <row r="2065" spans="1:10" hidden="1" outlineLevel="3">
      <c r="A2065" s="758" t="s">
        <v>853</v>
      </c>
      <c r="B2065" s="776">
        <v>52952644.560000002</v>
      </c>
      <c r="C2065" s="762">
        <v>0</v>
      </c>
      <c r="D2065" s="199">
        <v>0</v>
      </c>
      <c r="E2065" s="199">
        <v>0</v>
      </c>
      <c r="F2065" s="764">
        <v>88800.15</v>
      </c>
      <c r="G2065" s="199">
        <v>2318.4</v>
      </c>
      <c r="H2065" s="199">
        <v>0</v>
      </c>
      <c r="I2065" s="775">
        <f t="shared" si="47"/>
        <v>53043763.109999999</v>
      </c>
      <c r="J2065" s="192" t="s">
        <v>854</v>
      </c>
    </row>
    <row r="2066" spans="1:10" hidden="1" outlineLevel="3">
      <c r="A2066" s="758" t="s">
        <v>855</v>
      </c>
      <c r="B2066" s="776">
        <v>2770612.93</v>
      </c>
      <c r="C2066" s="762">
        <v>0</v>
      </c>
      <c r="D2066" s="199">
        <v>0</v>
      </c>
      <c r="E2066" s="199">
        <v>0</v>
      </c>
      <c r="F2066" s="764">
        <v>0</v>
      </c>
      <c r="G2066" s="199">
        <v>0</v>
      </c>
      <c r="H2066" s="199">
        <v>0</v>
      </c>
      <c r="I2066" s="775">
        <f t="shared" si="47"/>
        <v>2770612.93</v>
      </c>
      <c r="J2066" s="192" t="s">
        <v>856</v>
      </c>
    </row>
    <row r="2067" spans="1:10" hidden="1" outlineLevel="3">
      <c r="A2067" s="758" t="s">
        <v>857</v>
      </c>
      <c r="B2067" s="776">
        <v>559972.93999999994</v>
      </c>
      <c r="C2067" s="762">
        <v>0</v>
      </c>
      <c r="D2067" s="199">
        <v>0</v>
      </c>
      <c r="E2067" s="199">
        <v>0</v>
      </c>
      <c r="F2067" s="764">
        <v>0</v>
      </c>
      <c r="G2067" s="199">
        <v>0</v>
      </c>
      <c r="H2067" s="199">
        <v>0</v>
      </c>
      <c r="I2067" s="775">
        <f t="shared" si="47"/>
        <v>559972.93999999994</v>
      </c>
      <c r="J2067" s="192" t="s">
        <v>858</v>
      </c>
    </row>
    <row r="2068" spans="1:10" hidden="1" outlineLevel="3">
      <c r="A2068" s="758" t="s">
        <v>859</v>
      </c>
      <c r="B2068" s="776">
        <v>3581887.32</v>
      </c>
      <c r="C2068" s="762">
        <v>0</v>
      </c>
      <c r="D2068" s="199">
        <v>0</v>
      </c>
      <c r="E2068" s="199">
        <v>0</v>
      </c>
      <c r="F2068" s="764">
        <v>0</v>
      </c>
      <c r="G2068" s="199">
        <v>0</v>
      </c>
      <c r="H2068" s="199">
        <v>0</v>
      </c>
      <c r="I2068" s="775">
        <f t="shared" si="47"/>
        <v>3581887.32</v>
      </c>
      <c r="J2068" s="192" t="s">
        <v>860</v>
      </c>
    </row>
    <row r="2069" spans="1:10" hidden="1" outlineLevel="3">
      <c r="A2069" s="758" t="s">
        <v>861</v>
      </c>
      <c r="B2069" s="776">
        <v>154400.26</v>
      </c>
      <c r="C2069" s="762">
        <v>0</v>
      </c>
      <c r="D2069" s="199">
        <v>0</v>
      </c>
      <c r="E2069" s="199">
        <v>0</v>
      </c>
      <c r="F2069" s="764">
        <v>0</v>
      </c>
      <c r="G2069" s="199">
        <v>0</v>
      </c>
      <c r="H2069" s="199">
        <v>0</v>
      </c>
      <c r="I2069" s="775">
        <f t="shared" si="47"/>
        <v>154400.26</v>
      </c>
      <c r="J2069" s="192" t="s">
        <v>862</v>
      </c>
    </row>
    <row r="2070" spans="1:10" hidden="1" outlineLevel="3">
      <c r="A2070" s="758" t="s">
        <v>863</v>
      </c>
      <c r="B2070" s="776">
        <v>1724585.63</v>
      </c>
      <c r="C2070" s="762">
        <v>0</v>
      </c>
      <c r="D2070" s="199">
        <v>0</v>
      </c>
      <c r="E2070" s="199">
        <v>0</v>
      </c>
      <c r="F2070" s="764">
        <v>0</v>
      </c>
      <c r="G2070" s="199">
        <v>0</v>
      </c>
      <c r="H2070" s="199">
        <v>0</v>
      </c>
      <c r="I2070" s="775">
        <f t="shared" si="47"/>
        <v>1724585.63</v>
      </c>
      <c r="J2070" s="192" t="s">
        <v>864</v>
      </c>
    </row>
    <row r="2071" spans="1:10" hidden="1" outlineLevel="3">
      <c r="A2071" s="758" t="s">
        <v>865</v>
      </c>
      <c r="B2071" s="776">
        <v>6128132.1799999997</v>
      </c>
      <c r="C2071" s="762">
        <v>0</v>
      </c>
      <c r="D2071" s="199">
        <v>0</v>
      </c>
      <c r="E2071" s="199">
        <v>0</v>
      </c>
      <c r="F2071" s="764">
        <v>0</v>
      </c>
      <c r="G2071" s="199">
        <v>0</v>
      </c>
      <c r="H2071" s="199">
        <v>0</v>
      </c>
      <c r="I2071" s="775">
        <f t="shared" si="47"/>
        <v>6128132.1799999997</v>
      </c>
      <c r="J2071" s="192" t="s">
        <v>866</v>
      </c>
    </row>
    <row r="2072" spans="1:10" hidden="1" outlineLevel="3">
      <c r="A2072" s="758" t="s">
        <v>867</v>
      </c>
      <c r="B2072" s="776">
        <v>1374869.46</v>
      </c>
      <c r="C2072" s="762">
        <v>0</v>
      </c>
      <c r="D2072" s="199">
        <v>0</v>
      </c>
      <c r="E2072" s="199">
        <v>0</v>
      </c>
      <c r="F2072" s="764">
        <v>0</v>
      </c>
      <c r="G2072" s="199">
        <v>0</v>
      </c>
      <c r="H2072" s="199">
        <v>0</v>
      </c>
      <c r="I2072" s="775">
        <f t="shared" si="47"/>
        <v>1374869.46</v>
      </c>
      <c r="J2072" s="192" t="s">
        <v>868</v>
      </c>
    </row>
    <row r="2073" spans="1:10" hidden="1" outlineLevel="3">
      <c r="A2073" s="758" t="s">
        <v>869</v>
      </c>
      <c r="B2073" s="776">
        <v>119439.95</v>
      </c>
      <c r="C2073" s="762">
        <v>0</v>
      </c>
      <c r="D2073" s="199">
        <v>0</v>
      </c>
      <c r="E2073" s="199">
        <v>0</v>
      </c>
      <c r="F2073" s="764">
        <v>0</v>
      </c>
      <c r="G2073" s="199">
        <v>0</v>
      </c>
      <c r="H2073" s="199">
        <v>0</v>
      </c>
      <c r="I2073" s="775">
        <f t="shared" si="47"/>
        <v>119439.95</v>
      </c>
      <c r="J2073" s="192" t="s">
        <v>870</v>
      </c>
    </row>
    <row r="2074" spans="1:10" hidden="1" outlineLevel="3">
      <c r="A2074" s="758" t="s">
        <v>871</v>
      </c>
      <c r="B2074" s="776">
        <v>1153479.51</v>
      </c>
      <c r="C2074" s="762">
        <v>0</v>
      </c>
      <c r="D2074" s="199">
        <v>0</v>
      </c>
      <c r="E2074" s="199">
        <v>0</v>
      </c>
      <c r="F2074" s="764">
        <v>0</v>
      </c>
      <c r="G2074" s="199">
        <v>0</v>
      </c>
      <c r="H2074" s="199">
        <v>0</v>
      </c>
      <c r="I2074" s="775">
        <f t="shared" si="47"/>
        <v>1153479.51</v>
      </c>
      <c r="J2074" s="192" t="s">
        <v>872</v>
      </c>
    </row>
    <row r="2075" spans="1:10" hidden="1" outlineLevel="3">
      <c r="A2075" s="758" t="s">
        <v>873</v>
      </c>
      <c r="B2075" s="776">
        <v>9937156.3699999992</v>
      </c>
      <c r="C2075" s="762">
        <v>0</v>
      </c>
      <c r="D2075" s="199">
        <v>0</v>
      </c>
      <c r="E2075" s="199">
        <v>0</v>
      </c>
      <c r="F2075" s="764">
        <v>22450.38</v>
      </c>
      <c r="G2075" s="199">
        <v>838.26</v>
      </c>
      <c r="H2075" s="199">
        <v>0</v>
      </c>
      <c r="I2075" s="775">
        <f t="shared" si="47"/>
        <v>9960445.0099999998</v>
      </c>
      <c r="J2075" s="192" t="s">
        <v>874</v>
      </c>
    </row>
    <row r="2076" spans="1:10" hidden="1" outlineLevel="3">
      <c r="A2076" s="758" t="s">
        <v>875</v>
      </c>
      <c r="B2076" s="776">
        <v>874248.67</v>
      </c>
      <c r="C2076" s="762">
        <v>0</v>
      </c>
      <c r="D2076" s="199">
        <v>0</v>
      </c>
      <c r="E2076" s="199">
        <v>0</v>
      </c>
      <c r="F2076" s="764">
        <v>0</v>
      </c>
      <c r="G2076" s="199">
        <v>0</v>
      </c>
      <c r="H2076" s="199">
        <v>0</v>
      </c>
      <c r="I2076" s="775">
        <f t="shared" si="47"/>
        <v>874248.67</v>
      </c>
      <c r="J2076" s="192" t="s">
        <v>876</v>
      </c>
    </row>
    <row r="2077" spans="1:10" hidden="1" outlineLevel="3">
      <c r="A2077" s="758" t="s">
        <v>877</v>
      </c>
      <c r="B2077" s="776">
        <v>1002778.38</v>
      </c>
      <c r="C2077" s="762">
        <v>0</v>
      </c>
      <c r="D2077" s="199">
        <v>0</v>
      </c>
      <c r="E2077" s="199">
        <v>0</v>
      </c>
      <c r="F2077" s="764">
        <v>0</v>
      </c>
      <c r="G2077" s="199">
        <v>0</v>
      </c>
      <c r="H2077" s="199">
        <v>0</v>
      </c>
      <c r="I2077" s="775">
        <f t="shared" si="47"/>
        <v>1002778.38</v>
      </c>
      <c r="J2077" s="192" t="s">
        <v>878</v>
      </c>
    </row>
    <row r="2078" spans="1:10" hidden="1" outlineLevel="3">
      <c r="A2078" s="758" t="s">
        <v>879</v>
      </c>
      <c r="B2078" s="776">
        <v>973437.16</v>
      </c>
      <c r="C2078" s="762">
        <v>0</v>
      </c>
      <c r="D2078" s="199">
        <v>0</v>
      </c>
      <c r="E2078" s="199">
        <v>0</v>
      </c>
      <c r="F2078" s="764">
        <v>0</v>
      </c>
      <c r="G2078" s="199">
        <v>0</v>
      </c>
      <c r="H2078" s="199">
        <v>0</v>
      </c>
      <c r="I2078" s="775">
        <f t="shared" si="47"/>
        <v>973437.16</v>
      </c>
      <c r="J2078" s="192" t="s">
        <v>880</v>
      </c>
    </row>
    <row r="2079" spans="1:10" hidden="1" outlineLevel="3">
      <c r="A2079" s="758" t="s">
        <v>881</v>
      </c>
      <c r="B2079" s="776">
        <v>563.71</v>
      </c>
      <c r="C2079" s="762">
        <v>0</v>
      </c>
      <c r="D2079" s="199">
        <v>0</v>
      </c>
      <c r="E2079" s="199">
        <v>0</v>
      </c>
      <c r="F2079" s="764">
        <v>0</v>
      </c>
      <c r="G2079" s="199">
        <v>0</v>
      </c>
      <c r="H2079" s="199">
        <v>0</v>
      </c>
      <c r="I2079" s="775">
        <f t="shared" si="47"/>
        <v>563.71</v>
      </c>
      <c r="J2079" s="192" t="s">
        <v>882</v>
      </c>
    </row>
    <row r="2080" spans="1:10" hidden="1" outlineLevel="3">
      <c r="A2080" s="758" t="s">
        <v>542</v>
      </c>
      <c r="B2080" s="776">
        <v>88278.06</v>
      </c>
      <c r="C2080" s="762">
        <v>0</v>
      </c>
      <c r="D2080" s="199">
        <v>0</v>
      </c>
      <c r="E2080" s="199">
        <v>0</v>
      </c>
      <c r="F2080" s="764">
        <v>0</v>
      </c>
      <c r="G2080" s="199">
        <v>0</v>
      </c>
      <c r="H2080" s="199">
        <v>0</v>
      </c>
      <c r="I2080" s="775">
        <f t="shared" si="47"/>
        <v>88278.06</v>
      </c>
      <c r="J2080" s="192" t="s">
        <v>543</v>
      </c>
    </row>
    <row r="2081" spans="1:10" hidden="1" outlineLevel="3">
      <c r="A2081" s="758" t="s">
        <v>883</v>
      </c>
      <c r="B2081" s="776">
        <v>661989.67000000004</v>
      </c>
      <c r="C2081" s="762">
        <v>0</v>
      </c>
      <c r="D2081" s="199">
        <v>0</v>
      </c>
      <c r="E2081" s="199">
        <v>0</v>
      </c>
      <c r="F2081" s="764">
        <v>0</v>
      </c>
      <c r="G2081" s="199">
        <v>0</v>
      </c>
      <c r="H2081" s="199">
        <v>0</v>
      </c>
      <c r="I2081" s="775">
        <f t="shared" si="47"/>
        <v>661989.67000000004</v>
      </c>
      <c r="J2081" s="192" t="s">
        <v>884</v>
      </c>
    </row>
    <row r="2082" spans="1:10" hidden="1" outlineLevel="3">
      <c r="A2082" s="758" t="s">
        <v>885</v>
      </c>
      <c r="B2082" s="776">
        <v>28930.41</v>
      </c>
      <c r="C2082" s="762">
        <v>0</v>
      </c>
      <c r="D2082" s="199">
        <v>0</v>
      </c>
      <c r="E2082" s="199">
        <v>0</v>
      </c>
      <c r="F2082" s="764">
        <v>0</v>
      </c>
      <c r="G2082" s="199">
        <v>0</v>
      </c>
      <c r="H2082" s="199">
        <v>0</v>
      </c>
      <c r="I2082" s="775">
        <f t="shared" si="47"/>
        <v>28930.41</v>
      </c>
      <c r="J2082" s="192" t="s">
        <v>886</v>
      </c>
    </row>
    <row r="2083" spans="1:10" hidden="1" outlineLevel="3">
      <c r="A2083" s="758" t="s">
        <v>887</v>
      </c>
      <c r="B2083" s="776">
        <v>1129280.67</v>
      </c>
      <c r="C2083" s="762">
        <v>0</v>
      </c>
      <c r="D2083" s="199">
        <v>0</v>
      </c>
      <c r="E2083" s="199">
        <v>0</v>
      </c>
      <c r="F2083" s="764">
        <v>0</v>
      </c>
      <c r="G2083" s="199">
        <v>0</v>
      </c>
      <c r="H2083" s="199">
        <v>0</v>
      </c>
      <c r="I2083" s="775">
        <f t="shared" si="47"/>
        <v>1129280.67</v>
      </c>
      <c r="J2083" s="192" t="s">
        <v>888</v>
      </c>
    </row>
    <row r="2084" spans="1:10" hidden="1" outlineLevel="3">
      <c r="A2084" s="758" t="s">
        <v>889</v>
      </c>
      <c r="B2084" s="776">
        <v>758615.35</v>
      </c>
      <c r="C2084" s="762">
        <v>0</v>
      </c>
      <c r="D2084" s="199">
        <v>0</v>
      </c>
      <c r="E2084" s="199">
        <v>0</v>
      </c>
      <c r="F2084" s="764">
        <v>0</v>
      </c>
      <c r="G2084" s="199">
        <v>0</v>
      </c>
      <c r="H2084" s="199">
        <v>0</v>
      </c>
      <c r="I2084" s="775">
        <f t="shared" si="47"/>
        <v>758615.35</v>
      </c>
      <c r="J2084" s="192" t="s">
        <v>890</v>
      </c>
    </row>
    <row r="2085" spans="1:10" hidden="1" outlineLevel="3">
      <c r="A2085" s="758" t="s">
        <v>891</v>
      </c>
      <c r="B2085" s="776">
        <v>2482236.71</v>
      </c>
      <c r="C2085" s="762">
        <v>0</v>
      </c>
      <c r="D2085" s="199">
        <v>0</v>
      </c>
      <c r="E2085" s="199">
        <v>0</v>
      </c>
      <c r="F2085" s="764">
        <v>0</v>
      </c>
      <c r="G2085" s="199">
        <v>0</v>
      </c>
      <c r="H2085" s="199">
        <v>0</v>
      </c>
      <c r="I2085" s="775">
        <f t="shared" si="47"/>
        <v>2482236.71</v>
      </c>
      <c r="J2085" s="192" t="s">
        <v>892</v>
      </c>
    </row>
    <row r="2086" spans="1:10" hidden="1" outlineLevel="3">
      <c r="A2086" s="758" t="s">
        <v>893</v>
      </c>
      <c r="B2086" s="776">
        <v>157108.54</v>
      </c>
      <c r="C2086" s="762">
        <v>0</v>
      </c>
      <c r="D2086" s="199">
        <v>0</v>
      </c>
      <c r="E2086" s="199">
        <v>0</v>
      </c>
      <c r="F2086" s="764">
        <v>0</v>
      </c>
      <c r="G2086" s="199">
        <v>0</v>
      </c>
      <c r="H2086" s="199">
        <v>0</v>
      </c>
      <c r="I2086" s="775">
        <f t="shared" si="47"/>
        <v>157108.54</v>
      </c>
      <c r="J2086" s="192" t="s">
        <v>894</v>
      </c>
    </row>
    <row r="2087" spans="1:10" hidden="1" outlineLevel="3">
      <c r="A2087" s="758" t="s">
        <v>895</v>
      </c>
      <c r="B2087" s="776">
        <v>1459040.17</v>
      </c>
      <c r="C2087" s="762">
        <v>0</v>
      </c>
      <c r="D2087" s="199">
        <v>0</v>
      </c>
      <c r="E2087" s="199">
        <v>0</v>
      </c>
      <c r="F2087" s="764">
        <v>0</v>
      </c>
      <c r="G2087" s="199">
        <v>0</v>
      </c>
      <c r="H2087" s="199">
        <v>0</v>
      </c>
      <c r="I2087" s="775">
        <f t="shared" si="47"/>
        <v>1459040.17</v>
      </c>
      <c r="J2087" s="192" t="s">
        <v>896</v>
      </c>
    </row>
    <row r="2088" spans="1:10" hidden="1" outlineLevel="3">
      <c r="A2088" s="758" t="s">
        <v>897</v>
      </c>
      <c r="B2088" s="776">
        <v>90432</v>
      </c>
      <c r="C2088" s="762">
        <v>0</v>
      </c>
      <c r="D2088" s="199">
        <v>0</v>
      </c>
      <c r="E2088" s="199">
        <v>0</v>
      </c>
      <c r="F2088" s="764">
        <v>0</v>
      </c>
      <c r="G2088" s="199">
        <v>0</v>
      </c>
      <c r="H2088" s="199">
        <v>0</v>
      </c>
      <c r="I2088" s="775">
        <f t="shared" si="47"/>
        <v>90432</v>
      </c>
      <c r="J2088" s="192" t="s">
        <v>898</v>
      </c>
    </row>
    <row r="2089" spans="1:10" hidden="1" outlineLevel="3">
      <c r="A2089" s="758" t="s">
        <v>899</v>
      </c>
      <c r="B2089" s="776">
        <v>2738277.29</v>
      </c>
      <c r="C2089" s="762">
        <v>0</v>
      </c>
      <c r="D2089" s="199">
        <v>0</v>
      </c>
      <c r="E2089" s="199">
        <v>0</v>
      </c>
      <c r="F2089" s="764">
        <v>0</v>
      </c>
      <c r="G2089" s="199">
        <v>0</v>
      </c>
      <c r="H2089" s="199">
        <v>0</v>
      </c>
      <c r="I2089" s="775">
        <f t="shared" si="47"/>
        <v>2738277.29</v>
      </c>
      <c r="J2089" s="192" t="s">
        <v>900</v>
      </c>
    </row>
    <row r="2090" spans="1:10" hidden="1" outlineLevel="3">
      <c r="A2090" s="758" t="s">
        <v>901</v>
      </c>
      <c r="B2090" s="776">
        <v>2009764.65</v>
      </c>
      <c r="C2090" s="762">
        <v>0</v>
      </c>
      <c r="D2090" s="199">
        <v>0</v>
      </c>
      <c r="E2090" s="199">
        <v>0</v>
      </c>
      <c r="F2090" s="764">
        <v>0</v>
      </c>
      <c r="G2090" s="199">
        <v>0</v>
      </c>
      <c r="H2090" s="199">
        <v>0</v>
      </c>
      <c r="I2090" s="775">
        <f t="shared" si="47"/>
        <v>2009764.65</v>
      </c>
      <c r="J2090" s="192" t="s">
        <v>902</v>
      </c>
    </row>
    <row r="2091" spans="1:10" hidden="1" outlineLevel="3">
      <c r="A2091" s="758" t="s">
        <v>903</v>
      </c>
      <c r="B2091" s="776">
        <v>1104875.0900000001</v>
      </c>
      <c r="C2091" s="762">
        <v>0</v>
      </c>
      <c r="D2091" s="199">
        <v>0</v>
      </c>
      <c r="E2091" s="199">
        <v>0</v>
      </c>
      <c r="F2091" s="764">
        <v>0</v>
      </c>
      <c r="G2091" s="199">
        <v>0</v>
      </c>
      <c r="H2091" s="199">
        <v>0</v>
      </c>
      <c r="I2091" s="775">
        <f t="shared" si="47"/>
        <v>1104875.0900000001</v>
      </c>
      <c r="J2091" s="192" t="s">
        <v>904</v>
      </c>
    </row>
    <row r="2092" spans="1:10" hidden="1" outlineLevel="3">
      <c r="A2092" s="758" t="s">
        <v>905</v>
      </c>
      <c r="B2092" s="776">
        <v>249098.61</v>
      </c>
      <c r="C2092" s="762">
        <v>0</v>
      </c>
      <c r="D2092" s="199">
        <v>0</v>
      </c>
      <c r="E2092" s="199">
        <v>0</v>
      </c>
      <c r="F2092" s="764">
        <v>0</v>
      </c>
      <c r="G2092" s="199">
        <v>0</v>
      </c>
      <c r="H2092" s="199">
        <v>0</v>
      </c>
      <c r="I2092" s="775">
        <f t="shared" si="47"/>
        <v>249098.61</v>
      </c>
      <c r="J2092" s="192" t="s">
        <v>906</v>
      </c>
    </row>
    <row r="2093" spans="1:10" hidden="1" outlineLevel="3">
      <c r="A2093" s="758" t="s">
        <v>907</v>
      </c>
      <c r="B2093" s="776">
        <v>1066857.58</v>
      </c>
      <c r="C2093" s="762">
        <v>0</v>
      </c>
      <c r="D2093" s="199">
        <v>0</v>
      </c>
      <c r="E2093" s="199">
        <v>0</v>
      </c>
      <c r="F2093" s="764">
        <v>0</v>
      </c>
      <c r="G2093" s="199">
        <v>0</v>
      </c>
      <c r="H2093" s="199">
        <v>0</v>
      </c>
      <c r="I2093" s="775">
        <f t="shared" si="47"/>
        <v>1066857.58</v>
      </c>
      <c r="J2093" s="192" t="s">
        <v>908</v>
      </c>
    </row>
    <row r="2094" spans="1:10" hidden="1" outlineLevel="3">
      <c r="A2094" s="758" t="s">
        <v>909</v>
      </c>
      <c r="B2094" s="776">
        <v>20748280.239999998</v>
      </c>
      <c r="C2094" s="762">
        <v>0</v>
      </c>
      <c r="D2094" s="199">
        <v>0</v>
      </c>
      <c r="E2094" s="199">
        <v>0</v>
      </c>
      <c r="F2094" s="764">
        <v>40223.800000000003</v>
      </c>
      <c r="G2094" s="199">
        <v>0</v>
      </c>
      <c r="H2094" s="199">
        <v>0</v>
      </c>
      <c r="I2094" s="775">
        <f t="shared" si="47"/>
        <v>20788504.039999999</v>
      </c>
      <c r="J2094" s="192" t="s">
        <v>910</v>
      </c>
    </row>
    <row r="2095" spans="1:10" hidden="1" outlineLevel="3">
      <c r="A2095" s="758" t="s">
        <v>911</v>
      </c>
      <c r="B2095" s="776">
        <v>2313175.1800000002</v>
      </c>
      <c r="C2095" s="762">
        <v>0</v>
      </c>
      <c r="D2095" s="199">
        <v>0</v>
      </c>
      <c r="E2095" s="199">
        <v>0</v>
      </c>
      <c r="F2095" s="764">
        <v>0</v>
      </c>
      <c r="G2095" s="199">
        <v>0</v>
      </c>
      <c r="H2095" s="199">
        <v>0</v>
      </c>
      <c r="I2095" s="775">
        <f t="shared" si="47"/>
        <v>2313175.1800000002</v>
      </c>
      <c r="J2095" s="192" t="s">
        <v>912</v>
      </c>
    </row>
    <row r="2096" spans="1:10" hidden="1" outlineLevel="3">
      <c r="A2096" s="758" t="s">
        <v>913</v>
      </c>
      <c r="B2096" s="776">
        <v>683619.76</v>
      </c>
      <c r="C2096" s="762">
        <v>0</v>
      </c>
      <c r="D2096" s="199">
        <v>0</v>
      </c>
      <c r="E2096" s="199">
        <v>0</v>
      </c>
      <c r="F2096" s="764">
        <v>0</v>
      </c>
      <c r="G2096" s="199">
        <v>0</v>
      </c>
      <c r="H2096" s="199">
        <v>0</v>
      </c>
      <c r="I2096" s="775">
        <f t="shared" si="47"/>
        <v>683619.76</v>
      </c>
      <c r="J2096" s="192" t="s">
        <v>914</v>
      </c>
    </row>
    <row r="2097" spans="1:10" hidden="1" outlineLevel="3">
      <c r="A2097" s="758" t="s">
        <v>915</v>
      </c>
      <c r="B2097" s="776">
        <v>1277063.04</v>
      </c>
      <c r="C2097" s="762">
        <v>0</v>
      </c>
      <c r="D2097" s="199">
        <v>0</v>
      </c>
      <c r="E2097" s="199">
        <v>0</v>
      </c>
      <c r="F2097" s="764">
        <v>0</v>
      </c>
      <c r="G2097" s="199">
        <v>0</v>
      </c>
      <c r="H2097" s="199">
        <v>0</v>
      </c>
      <c r="I2097" s="775">
        <f t="shared" si="47"/>
        <v>1277063.04</v>
      </c>
      <c r="J2097" s="192" t="s">
        <v>916</v>
      </c>
    </row>
    <row r="2098" spans="1:10" hidden="1" outlineLevel="3">
      <c r="A2098" s="758" t="s">
        <v>917</v>
      </c>
      <c r="B2098" s="776">
        <v>612776.95999999996</v>
      </c>
      <c r="C2098" s="762">
        <v>0</v>
      </c>
      <c r="D2098" s="199">
        <v>0</v>
      </c>
      <c r="E2098" s="199">
        <v>0</v>
      </c>
      <c r="F2098" s="764">
        <v>0</v>
      </c>
      <c r="G2098" s="199">
        <v>0</v>
      </c>
      <c r="H2098" s="199">
        <v>0</v>
      </c>
      <c r="I2098" s="775">
        <f t="shared" si="47"/>
        <v>612776.95999999996</v>
      </c>
      <c r="J2098" s="192" t="s">
        <v>918</v>
      </c>
    </row>
    <row r="2099" spans="1:10" hidden="1" outlineLevel="3">
      <c r="A2099" s="758" t="s">
        <v>919</v>
      </c>
      <c r="B2099" s="776">
        <v>3687169.93</v>
      </c>
      <c r="C2099" s="762">
        <v>0</v>
      </c>
      <c r="D2099" s="199">
        <v>0</v>
      </c>
      <c r="E2099" s="199">
        <v>0</v>
      </c>
      <c r="F2099" s="764">
        <v>6828.86</v>
      </c>
      <c r="G2099" s="199">
        <v>0</v>
      </c>
      <c r="H2099" s="199">
        <v>0</v>
      </c>
      <c r="I2099" s="775">
        <f t="shared" si="47"/>
        <v>3693998.79</v>
      </c>
      <c r="J2099" s="192" t="s">
        <v>920</v>
      </c>
    </row>
    <row r="2100" spans="1:10" hidden="1" outlineLevel="3">
      <c r="A2100" s="758" t="s">
        <v>921</v>
      </c>
      <c r="B2100" s="776">
        <v>2761544.41</v>
      </c>
      <c r="C2100" s="762">
        <v>0</v>
      </c>
      <c r="D2100" s="199">
        <v>0</v>
      </c>
      <c r="E2100" s="199">
        <v>0</v>
      </c>
      <c r="F2100" s="764">
        <v>0</v>
      </c>
      <c r="G2100" s="199">
        <v>0</v>
      </c>
      <c r="H2100" s="199">
        <v>0</v>
      </c>
      <c r="I2100" s="775">
        <f t="shared" si="47"/>
        <v>2761544.41</v>
      </c>
      <c r="J2100" s="192" t="s">
        <v>922</v>
      </c>
    </row>
    <row r="2101" spans="1:10" hidden="1" outlineLevel="3">
      <c r="A2101" s="758" t="s">
        <v>923</v>
      </c>
      <c r="B2101" s="776">
        <v>1368627.2</v>
      </c>
      <c r="C2101" s="762">
        <v>0</v>
      </c>
      <c r="D2101" s="199">
        <v>0</v>
      </c>
      <c r="E2101" s="199">
        <v>0</v>
      </c>
      <c r="F2101" s="764">
        <v>0</v>
      </c>
      <c r="G2101" s="199">
        <v>0</v>
      </c>
      <c r="H2101" s="199">
        <v>0</v>
      </c>
      <c r="I2101" s="775">
        <f t="shared" si="47"/>
        <v>1368627.2</v>
      </c>
      <c r="J2101" s="192" t="s">
        <v>924</v>
      </c>
    </row>
    <row r="2102" spans="1:10" hidden="1" outlineLevel="3">
      <c r="A2102" s="758" t="s">
        <v>925</v>
      </c>
      <c r="B2102" s="776">
        <v>116653.33</v>
      </c>
      <c r="C2102" s="762">
        <v>0</v>
      </c>
      <c r="D2102" s="199">
        <v>0</v>
      </c>
      <c r="E2102" s="199">
        <v>0</v>
      </c>
      <c r="F2102" s="764">
        <v>0</v>
      </c>
      <c r="G2102" s="199">
        <v>0</v>
      </c>
      <c r="H2102" s="199">
        <v>0</v>
      </c>
      <c r="I2102" s="775">
        <f t="shared" si="47"/>
        <v>116653.33</v>
      </c>
      <c r="J2102" s="192" t="s">
        <v>926</v>
      </c>
    </row>
    <row r="2103" spans="1:10" hidden="1" outlineLevel="3">
      <c r="A2103" s="758" t="s">
        <v>927</v>
      </c>
      <c r="B2103" s="776">
        <v>86147.76</v>
      </c>
      <c r="C2103" s="762">
        <v>0</v>
      </c>
      <c r="D2103" s="199">
        <v>0</v>
      </c>
      <c r="E2103" s="199">
        <v>0</v>
      </c>
      <c r="F2103" s="764">
        <v>0</v>
      </c>
      <c r="G2103" s="199">
        <v>0</v>
      </c>
      <c r="H2103" s="199">
        <v>0</v>
      </c>
      <c r="I2103" s="775">
        <f t="shared" si="47"/>
        <v>86147.76</v>
      </c>
      <c r="J2103" s="192" t="s">
        <v>928</v>
      </c>
    </row>
    <row r="2104" spans="1:10" hidden="1" outlineLevel="3">
      <c r="A2104" s="758" t="s">
        <v>929</v>
      </c>
      <c r="B2104" s="776">
        <v>609743.66</v>
      </c>
      <c r="C2104" s="762">
        <v>0</v>
      </c>
      <c r="D2104" s="199">
        <v>0</v>
      </c>
      <c r="E2104" s="199">
        <v>0</v>
      </c>
      <c r="F2104" s="764">
        <v>0</v>
      </c>
      <c r="G2104" s="199">
        <v>0</v>
      </c>
      <c r="H2104" s="199">
        <v>0</v>
      </c>
      <c r="I2104" s="775">
        <f t="shared" si="47"/>
        <v>609743.66</v>
      </c>
      <c r="J2104" s="192" t="s">
        <v>930</v>
      </c>
    </row>
    <row r="2105" spans="1:10" hidden="1" outlineLevel="3">
      <c r="A2105" s="758" t="s">
        <v>931</v>
      </c>
      <c r="B2105" s="776">
        <v>826512.41</v>
      </c>
      <c r="C2105" s="762">
        <v>0</v>
      </c>
      <c r="D2105" s="199">
        <v>0</v>
      </c>
      <c r="E2105" s="199">
        <v>0</v>
      </c>
      <c r="F2105" s="764">
        <v>0</v>
      </c>
      <c r="G2105" s="199">
        <v>0</v>
      </c>
      <c r="H2105" s="199">
        <v>0</v>
      </c>
      <c r="I2105" s="775">
        <f t="shared" si="47"/>
        <v>826512.41</v>
      </c>
      <c r="J2105" s="192" t="s">
        <v>932</v>
      </c>
    </row>
    <row r="2106" spans="1:10" hidden="1" outlineLevel="3">
      <c r="A2106" s="758" t="s">
        <v>933</v>
      </c>
      <c r="B2106" s="776">
        <v>18963315.09</v>
      </c>
      <c r="C2106" s="762">
        <v>0</v>
      </c>
      <c r="D2106" s="199">
        <v>0</v>
      </c>
      <c r="E2106" s="199">
        <v>0</v>
      </c>
      <c r="F2106" s="764">
        <v>380.89</v>
      </c>
      <c r="G2106" s="199">
        <v>813.19</v>
      </c>
      <c r="H2106" s="199">
        <v>0</v>
      </c>
      <c r="I2106" s="775">
        <f t="shared" si="47"/>
        <v>18964509.170000002</v>
      </c>
      <c r="J2106" s="192" t="s">
        <v>934</v>
      </c>
    </row>
    <row r="2107" spans="1:10" hidden="1" outlineLevel="3">
      <c r="A2107" s="758" t="s">
        <v>935</v>
      </c>
      <c r="B2107" s="776">
        <v>379108.69</v>
      </c>
      <c r="C2107" s="762">
        <v>0</v>
      </c>
      <c r="D2107" s="199">
        <v>0</v>
      </c>
      <c r="E2107" s="199">
        <v>0</v>
      </c>
      <c r="F2107" s="764">
        <v>0</v>
      </c>
      <c r="G2107" s="199">
        <v>0</v>
      </c>
      <c r="H2107" s="199">
        <v>0</v>
      </c>
      <c r="I2107" s="775">
        <f t="shared" si="47"/>
        <v>379108.69</v>
      </c>
      <c r="J2107" s="192" t="s">
        <v>936</v>
      </c>
    </row>
    <row r="2108" spans="1:10" hidden="1" outlineLevel="3">
      <c r="A2108" s="758" t="s">
        <v>937</v>
      </c>
      <c r="B2108" s="776">
        <v>327227.69</v>
      </c>
      <c r="C2108" s="762">
        <v>0</v>
      </c>
      <c r="D2108" s="199">
        <v>0</v>
      </c>
      <c r="E2108" s="199">
        <v>0</v>
      </c>
      <c r="F2108" s="764">
        <v>0</v>
      </c>
      <c r="G2108" s="199">
        <v>0</v>
      </c>
      <c r="H2108" s="199">
        <v>0</v>
      </c>
      <c r="I2108" s="775">
        <f t="shared" si="47"/>
        <v>327227.69</v>
      </c>
      <c r="J2108" s="192" t="s">
        <v>938</v>
      </c>
    </row>
    <row r="2109" spans="1:10" hidden="1" outlineLevel="3">
      <c r="A2109" s="758" t="s">
        <v>939</v>
      </c>
      <c r="B2109" s="776">
        <v>2071633.2</v>
      </c>
      <c r="C2109" s="762">
        <v>0</v>
      </c>
      <c r="D2109" s="199">
        <v>0</v>
      </c>
      <c r="E2109" s="199">
        <v>0</v>
      </c>
      <c r="F2109" s="764">
        <v>0</v>
      </c>
      <c r="G2109" s="199">
        <v>0</v>
      </c>
      <c r="H2109" s="199">
        <v>0</v>
      </c>
      <c r="I2109" s="775">
        <f t="shared" si="47"/>
        <v>2071633.2</v>
      </c>
      <c r="J2109" s="192" t="s">
        <v>940</v>
      </c>
    </row>
    <row r="2110" spans="1:10" hidden="1" outlineLevel="3">
      <c r="A2110" s="758" t="s">
        <v>941</v>
      </c>
      <c r="B2110" s="776">
        <v>843207.08</v>
      </c>
      <c r="C2110" s="762">
        <v>0</v>
      </c>
      <c r="D2110" s="199">
        <v>0</v>
      </c>
      <c r="E2110" s="199">
        <v>0</v>
      </c>
      <c r="F2110" s="764">
        <v>0</v>
      </c>
      <c r="G2110" s="199">
        <v>0</v>
      </c>
      <c r="H2110" s="199">
        <v>0</v>
      </c>
      <c r="I2110" s="775">
        <f t="shared" si="47"/>
        <v>843207.08</v>
      </c>
      <c r="J2110" s="192" t="s">
        <v>942</v>
      </c>
    </row>
    <row r="2111" spans="1:10" hidden="1" outlineLevel="3">
      <c r="A2111" s="758" t="s">
        <v>943</v>
      </c>
      <c r="B2111" s="776">
        <v>1459498.16</v>
      </c>
      <c r="C2111" s="762">
        <v>0</v>
      </c>
      <c r="D2111" s="199">
        <v>0</v>
      </c>
      <c r="E2111" s="199">
        <v>0</v>
      </c>
      <c r="F2111" s="764">
        <v>2884523.4</v>
      </c>
      <c r="G2111" s="199">
        <v>0</v>
      </c>
      <c r="H2111" s="199">
        <v>0</v>
      </c>
      <c r="I2111" s="775">
        <f t="shared" ref="I2111:I2174" si="48">SUM(B2111:H2111)</f>
        <v>4344021.5599999996</v>
      </c>
      <c r="J2111" s="192" t="s">
        <v>944</v>
      </c>
    </row>
    <row r="2112" spans="1:10" hidden="1" outlineLevel="3">
      <c r="A2112" s="758" t="s">
        <v>945</v>
      </c>
      <c r="B2112" s="776">
        <v>1129298.26</v>
      </c>
      <c r="C2112" s="762">
        <v>0</v>
      </c>
      <c r="D2112" s="199">
        <v>0</v>
      </c>
      <c r="E2112" s="199">
        <v>0</v>
      </c>
      <c r="F2112" s="764">
        <v>0</v>
      </c>
      <c r="G2112" s="199">
        <v>0</v>
      </c>
      <c r="H2112" s="199">
        <v>0</v>
      </c>
      <c r="I2112" s="775">
        <f t="shared" si="48"/>
        <v>1129298.26</v>
      </c>
      <c r="J2112" s="192" t="s">
        <v>946</v>
      </c>
    </row>
    <row r="2113" spans="1:10" hidden="1" outlineLevel="3">
      <c r="A2113" s="758" t="s">
        <v>947</v>
      </c>
      <c r="B2113" s="776">
        <v>249242.89</v>
      </c>
      <c r="C2113" s="762">
        <v>0</v>
      </c>
      <c r="D2113" s="199">
        <v>0</v>
      </c>
      <c r="E2113" s="199">
        <v>0</v>
      </c>
      <c r="F2113" s="764">
        <v>0</v>
      </c>
      <c r="G2113" s="199">
        <v>0</v>
      </c>
      <c r="H2113" s="199">
        <v>0</v>
      </c>
      <c r="I2113" s="775">
        <f t="shared" si="48"/>
        <v>249242.89</v>
      </c>
      <c r="J2113" s="192" t="s">
        <v>948</v>
      </c>
    </row>
    <row r="2114" spans="1:10" hidden="1" outlineLevel="3">
      <c r="A2114" s="758" t="s">
        <v>949</v>
      </c>
      <c r="B2114" s="776">
        <v>942301.72</v>
      </c>
      <c r="C2114" s="762">
        <v>0</v>
      </c>
      <c r="D2114" s="199">
        <v>0</v>
      </c>
      <c r="E2114" s="199">
        <v>0</v>
      </c>
      <c r="F2114" s="764">
        <v>0</v>
      </c>
      <c r="G2114" s="199">
        <v>0</v>
      </c>
      <c r="H2114" s="199">
        <v>0</v>
      </c>
      <c r="I2114" s="775">
        <f t="shared" si="48"/>
        <v>942301.72</v>
      </c>
      <c r="J2114" s="192" t="s">
        <v>950</v>
      </c>
    </row>
    <row r="2115" spans="1:10" hidden="1" outlineLevel="3">
      <c r="A2115" s="758" t="s">
        <v>951</v>
      </c>
      <c r="B2115" s="776">
        <v>16933.95</v>
      </c>
      <c r="C2115" s="762">
        <v>0</v>
      </c>
      <c r="D2115" s="199">
        <v>0</v>
      </c>
      <c r="E2115" s="199">
        <v>0</v>
      </c>
      <c r="F2115" s="764">
        <v>0</v>
      </c>
      <c r="G2115" s="199">
        <v>0</v>
      </c>
      <c r="H2115" s="199">
        <v>0</v>
      </c>
      <c r="I2115" s="775">
        <f t="shared" si="48"/>
        <v>16933.95</v>
      </c>
      <c r="J2115" s="192" t="s">
        <v>952</v>
      </c>
    </row>
    <row r="2116" spans="1:10" hidden="1" outlineLevel="3">
      <c r="A2116" s="758" t="s">
        <v>951</v>
      </c>
      <c r="B2116" s="776">
        <v>309763.71000000002</v>
      </c>
      <c r="C2116" s="762">
        <v>0</v>
      </c>
      <c r="D2116" s="199">
        <v>0</v>
      </c>
      <c r="E2116" s="199">
        <v>0</v>
      </c>
      <c r="F2116" s="764">
        <v>0</v>
      </c>
      <c r="G2116" s="199">
        <v>0</v>
      </c>
      <c r="H2116" s="199">
        <v>0</v>
      </c>
      <c r="I2116" s="775">
        <f t="shared" si="48"/>
        <v>309763.71000000002</v>
      </c>
      <c r="J2116" s="192" t="s">
        <v>952</v>
      </c>
    </row>
    <row r="2117" spans="1:10" hidden="1" outlineLevel="3">
      <c r="A2117" s="758" t="s">
        <v>953</v>
      </c>
      <c r="B2117" s="776">
        <v>560218.85</v>
      </c>
      <c r="C2117" s="762">
        <v>0</v>
      </c>
      <c r="D2117" s="199">
        <v>0</v>
      </c>
      <c r="E2117" s="199">
        <v>0</v>
      </c>
      <c r="F2117" s="764">
        <v>0</v>
      </c>
      <c r="G2117" s="199">
        <v>0</v>
      </c>
      <c r="H2117" s="199">
        <v>0</v>
      </c>
      <c r="I2117" s="775">
        <f t="shared" si="48"/>
        <v>560218.85</v>
      </c>
      <c r="J2117" s="192" t="s">
        <v>954</v>
      </c>
    </row>
    <row r="2118" spans="1:10" hidden="1" outlineLevel="3">
      <c r="A2118" s="758" t="s">
        <v>955</v>
      </c>
      <c r="B2118" s="776">
        <v>1165557.1100000001</v>
      </c>
      <c r="C2118" s="762">
        <v>0</v>
      </c>
      <c r="D2118" s="199">
        <v>0</v>
      </c>
      <c r="E2118" s="199">
        <v>0</v>
      </c>
      <c r="F2118" s="764">
        <v>0</v>
      </c>
      <c r="G2118" s="199">
        <v>0</v>
      </c>
      <c r="H2118" s="199">
        <v>0</v>
      </c>
      <c r="I2118" s="775">
        <f t="shared" si="48"/>
        <v>1165557.1100000001</v>
      </c>
      <c r="J2118" s="192" t="s">
        <v>956</v>
      </c>
    </row>
    <row r="2119" spans="1:10" hidden="1" outlineLevel="3">
      <c r="A2119" s="758" t="s">
        <v>957</v>
      </c>
      <c r="B2119" s="776">
        <v>4951086.41</v>
      </c>
      <c r="C2119" s="762">
        <v>0</v>
      </c>
      <c r="D2119" s="199">
        <v>0</v>
      </c>
      <c r="E2119" s="199">
        <v>0</v>
      </c>
      <c r="F2119" s="764">
        <v>0</v>
      </c>
      <c r="G2119" s="199">
        <v>0</v>
      </c>
      <c r="H2119" s="199">
        <v>0</v>
      </c>
      <c r="I2119" s="775">
        <f t="shared" si="48"/>
        <v>4951086.41</v>
      </c>
      <c r="J2119" s="192" t="s">
        <v>958</v>
      </c>
    </row>
    <row r="2120" spans="1:10" hidden="1" outlineLevel="3">
      <c r="A2120" s="758" t="s">
        <v>959</v>
      </c>
      <c r="B2120" s="776">
        <v>2170947.67</v>
      </c>
      <c r="C2120" s="762">
        <v>0</v>
      </c>
      <c r="D2120" s="199">
        <v>0</v>
      </c>
      <c r="E2120" s="199">
        <v>0</v>
      </c>
      <c r="F2120" s="764">
        <v>0</v>
      </c>
      <c r="G2120" s="199">
        <v>0</v>
      </c>
      <c r="H2120" s="199">
        <v>0</v>
      </c>
      <c r="I2120" s="775">
        <f t="shared" si="48"/>
        <v>2170947.67</v>
      </c>
      <c r="J2120" s="192" t="s">
        <v>960</v>
      </c>
    </row>
    <row r="2121" spans="1:10" hidden="1" outlineLevel="3">
      <c r="A2121" s="758" t="s">
        <v>961</v>
      </c>
      <c r="B2121" s="776">
        <v>2246188.6</v>
      </c>
      <c r="C2121" s="762">
        <v>0</v>
      </c>
      <c r="D2121" s="199">
        <v>0</v>
      </c>
      <c r="E2121" s="199">
        <v>0</v>
      </c>
      <c r="F2121" s="764">
        <v>0</v>
      </c>
      <c r="G2121" s="199">
        <v>0</v>
      </c>
      <c r="H2121" s="199">
        <v>0</v>
      </c>
      <c r="I2121" s="775">
        <f t="shared" si="48"/>
        <v>2246188.6</v>
      </c>
      <c r="J2121" s="192" t="s">
        <v>962</v>
      </c>
    </row>
    <row r="2122" spans="1:10" hidden="1" outlineLevel="3">
      <c r="A2122" s="758" t="s">
        <v>963</v>
      </c>
      <c r="B2122" s="776">
        <v>1338174.77</v>
      </c>
      <c r="C2122" s="762">
        <v>0</v>
      </c>
      <c r="D2122" s="199">
        <v>0</v>
      </c>
      <c r="E2122" s="199">
        <v>0</v>
      </c>
      <c r="F2122" s="764">
        <v>0</v>
      </c>
      <c r="G2122" s="199">
        <v>0</v>
      </c>
      <c r="H2122" s="199">
        <v>0</v>
      </c>
      <c r="I2122" s="775">
        <f t="shared" si="48"/>
        <v>1338174.77</v>
      </c>
      <c r="J2122" s="192" t="s">
        <v>964</v>
      </c>
    </row>
    <row r="2123" spans="1:10" hidden="1" outlineLevel="3">
      <c r="A2123" s="758" t="s">
        <v>965</v>
      </c>
      <c r="B2123" s="776">
        <v>789957.6</v>
      </c>
      <c r="C2123" s="762">
        <v>0</v>
      </c>
      <c r="D2123" s="199">
        <v>0</v>
      </c>
      <c r="E2123" s="199">
        <v>0</v>
      </c>
      <c r="F2123" s="764">
        <v>0</v>
      </c>
      <c r="G2123" s="199">
        <v>0</v>
      </c>
      <c r="H2123" s="199">
        <v>0</v>
      </c>
      <c r="I2123" s="775">
        <f t="shared" si="48"/>
        <v>789957.6</v>
      </c>
      <c r="J2123" s="192" t="s">
        <v>966</v>
      </c>
    </row>
    <row r="2124" spans="1:10" hidden="1" outlineLevel="3">
      <c r="A2124" s="758" t="s">
        <v>967</v>
      </c>
      <c r="B2124" s="776">
        <v>124465.95</v>
      </c>
      <c r="C2124" s="762">
        <v>0</v>
      </c>
      <c r="D2124" s="199">
        <v>0</v>
      </c>
      <c r="E2124" s="199">
        <v>0</v>
      </c>
      <c r="F2124" s="764">
        <v>0</v>
      </c>
      <c r="G2124" s="199">
        <v>0</v>
      </c>
      <c r="H2124" s="199">
        <v>0</v>
      </c>
      <c r="I2124" s="775">
        <f t="shared" si="48"/>
        <v>124465.95</v>
      </c>
      <c r="J2124" s="192" t="s">
        <v>968</v>
      </c>
    </row>
    <row r="2125" spans="1:10" hidden="1" outlineLevel="3">
      <c r="A2125" s="758" t="s">
        <v>969</v>
      </c>
      <c r="B2125" s="776">
        <v>970568.15</v>
      </c>
      <c r="C2125" s="762">
        <v>0</v>
      </c>
      <c r="D2125" s="199">
        <v>0</v>
      </c>
      <c r="E2125" s="199">
        <v>0</v>
      </c>
      <c r="F2125" s="764">
        <v>0</v>
      </c>
      <c r="G2125" s="199">
        <v>0</v>
      </c>
      <c r="H2125" s="199">
        <v>0</v>
      </c>
      <c r="I2125" s="775">
        <f t="shared" si="48"/>
        <v>970568.15</v>
      </c>
      <c r="J2125" s="192" t="s">
        <v>970</v>
      </c>
    </row>
    <row r="2126" spans="1:10" hidden="1" outlineLevel="3">
      <c r="A2126" s="758" t="s">
        <v>971</v>
      </c>
      <c r="B2126" s="776">
        <v>2201799.2799999998</v>
      </c>
      <c r="C2126" s="762">
        <v>0</v>
      </c>
      <c r="D2126" s="199">
        <v>0</v>
      </c>
      <c r="E2126" s="199">
        <v>0</v>
      </c>
      <c r="F2126" s="764">
        <v>0</v>
      </c>
      <c r="G2126" s="199">
        <v>0</v>
      </c>
      <c r="H2126" s="199">
        <v>0</v>
      </c>
      <c r="I2126" s="775">
        <f t="shared" si="48"/>
        <v>2201799.2799999998</v>
      </c>
      <c r="J2126" s="192" t="s">
        <v>972</v>
      </c>
    </row>
    <row r="2127" spans="1:10" hidden="1" outlineLevel="3">
      <c r="A2127" s="758" t="s">
        <v>973</v>
      </c>
      <c r="B2127" s="776">
        <v>139004.06</v>
      </c>
      <c r="C2127" s="762">
        <v>0</v>
      </c>
      <c r="D2127" s="199">
        <v>0</v>
      </c>
      <c r="E2127" s="199">
        <v>0</v>
      </c>
      <c r="F2127" s="764">
        <v>0</v>
      </c>
      <c r="G2127" s="199">
        <v>0</v>
      </c>
      <c r="H2127" s="199">
        <v>0</v>
      </c>
      <c r="I2127" s="775">
        <f t="shared" si="48"/>
        <v>139004.06</v>
      </c>
      <c r="J2127" s="192" t="s">
        <v>974</v>
      </c>
    </row>
    <row r="2128" spans="1:10" hidden="1" outlineLevel="3">
      <c r="A2128" s="758" t="s">
        <v>975</v>
      </c>
      <c r="B2128" s="776">
        <v>1381064.49</v>
      </c>
      <c r="C2128" s="762">
        <v>0</v>
      </c>
      <c r="D2128" s="199">
        <v>0</v>
      </c>
      <c r="E2128" s="199">
        <v>0</v>
      </c>
      <c r="F2128" s="764">
        <v>0</v>
      </c>
      <c r="G2128" s="199">
        <v>0</v>
      </c>
      <c r="H2128" s="199">
        <v>0</v>
      </c>
      <c r="I2128" s="775">
        <f t="shared" si="48"/>
        <v>1381064.49</v>
      </c>
      <c r="J2128" s="192" t="s">
        <v>976</v>
      </c>
    </row>
    <row r="2129" spans="1:10" hidden="1" outlineLevel="3">
      <c r="A2129" s="758" t="s">
        <v>977</v>
      </c>
      <c r="B2129" s="776">
        <v>48228.08</v>
      </c>
      <c r="C2129" s="762">
        <v>0</v>
      </c>
      <c r="D2129" s="199">
        <v>0</v>
      </c>
      <c r="E2129" s="199">
        <v>0</v>
      </c>
      <c r="F2129" s="764">
        <v>0</v>
      </c>
      <c r="G2129" s="199">
        <v>0</v>
      </c>
      <c r="H2129" s="199">
        <v>0</v>
      </c>
      <c r="I2129" s="775">
        <f t="shared" si="48"/>
        <v>48228.08</v>
      </c>
      <c r="J2129" s="192" t="s">
        <v>978</v>
      </c>
    </row>
    <row r="2130" spans="1:10" hidden="1" outlineLevel="3">
      <c r="A2130" s="758" t="s">
        <v>979</v>
      </c>
      <c r="B2130" s="776">
        <v>751044.25</v>
      </c>
      <c r="C2130" s="762">
        <v>0</v>
      </c>
      <c r="D2130" s="199">
        <v>0</v>
      </c>
      <c r="E2130" s="199">
        <v>0</v>
      </c>
      <c r="F2130" s="764">
        <v>0</v>
      </c>
      <c r="G2130" s="199">
        <v>0</v>
      </c>
      <c r="H2130" s="199">
        <v>0</v>
      </c>
      <c r="I2130" s="775">
        <f t="shared" si="48"/>
        <v>751044.25</v>
      </c>
      <c r="J2130" s="192" t="s">
        <v>980</v>
      </c>
    </row>
    <row r="2131" spans="1:10" hidden="1" outlineLevel="3">
      <c r="A2131" s="758" t="s">
        <v>981</v>
      </c>
      <c r="B2131" s="776">
        <v>486006.56</v>
      </c>
      <c r="C2131" s="762">
        <v>0</v>
      </c>
      <c r="D2131" s="199">
        <v>0</v>
      </c>
      <c r="E2131" s="199">
        <v>0</v>
      </c>
      <c r="F2131" s="764">
        <v>0</v>
      </c>
      <c r="G2131" s="199">
        <v>0</v>
      </c>
      <c r="H2131" s="199">
        <v>0</v>
      </c>
      <c r="I2131" s="775">
        <f t="shared" si="48"/>
        <v>486006.56</v>
      </c>
      <c r="J2131" s="192" t="s">
        <v>982</v>
      </c>
    </row>
    <row r="2132" spans="1:10" hidden="1" outlineLevel="3">
      <c r="A2132" s="758" t="s">
        <v>983</v>
      </c>
      <c r="B2132" s="776">
        <v>3240111.98</v>
      </c>
      <c r="C2132" s="762">
        <v>0</v>
      </c>
      <c r="D2132" s="199">
        <v>0</v>
      </c>
      <c r="E2132" s="199">
        <v>0</v>
      </c>
      <c r="F2132" s="764">
        <v>0</v>
      </c>
      <c r="G2132" s="199">
        <v>0</v>
      </c>
      <c r="H2132" s="199">
        <v>0</v>
      </c>
      <c r="I2132" s="775">
        <f t="shared" si="48"/>
        <v>3240111.98</v>
      </c>
      <c r="J2132" s="192" t="s">
        <v>984</v>
      </c>
    </row>
    <row r="2133" spans="1:10" hidden="1" outlineLevel="3">
      <c r="A2133" s="758" t="s">
        <v>985</v>
      </c>
      <c r="B2133" s="776">
        <v>7965197.3200000003</v>
      </c>
      <c r="C2133" s="762">
        <v>0</v>
      </c>
      <c r="D2133" s="199">
        <v>0</v>
      </c>
      <c r="E2133" s="199">
        <v>0</v>
      </c>
      <c r="F2133" s="764">
        <v>0</v>
      </c>
      <c r="G2133" s="199">
        <v>0</v>
      </c>
      <c r="H2133" s="199">
        <v>0</v>
      </c>
      <c r="I2133" s="775">
        <f t="shared" si="48"/>
        <v>7965197.3200000003</v>
      </c>
      <c r="J2133" s="192" t="s">
        <v>986</v>
      </c>
    </row>
    <row r="2134" spans="1:10" hidden="1" outlineLevel="3">
      <c r="A2134" s="758" t="s">
        <v>987</v>
      </c>
      <c r="B2134" s="776">
        <v>83697.36</v>
      </c>
      <c r="C2134" s="762">
        <v>0</v>
      </c>
      <c r="D2134" s="199">
        <v>0</v>
      </c>
      <c r="E2134" s="199">
        <v>0</v>
      </c>
      <c r="F2134" s="764">
        <v>0</v>
      </c>
      <c r="G2134" s="199">
        <v>0</v>
      </c>
      <c r="H2134" s="199">
        <v>0</v>
      </c>
      <c r="I2134" s="775">
        <f t="shared" si="48"/>
        <v>83697.36</v>
      </c>
      <c r="J2134" s="192" t="s">
        <v>988</v>
      </c>
    </row>
    <row r="2135" spans="1:10" hidden="1" outlineLevel="3">
      <c r="A2135" s="758" t="s">
        <v>989</v>
      </c>
      <c r="B2135" s="776">
        <v>59034.83</v>
      </c>
      <c r="C2135" s="762">
        <v>0</v>
      </c>
      <c r="D2135" s="199">
        <v>0</v>
      </c>
      <c r="E2135" s="199">
        <v>0</v>
      </c>
      <c r="F2135" s="764">
        <v>0</v>
      </c>
      <c r="G2135" s="199">
        <v>0</v>
      </c>
      <c r="H2135" s="199">
        <v>0</v>
      </c>
      <c r="I2135" s="775">
        <f t="shared" si="48"/>
        <v>59034.83</v>
      </c>
      <c r="J2135" s="192" t="s">
        <v>990</v>
      </c>
    </row>
    <row r="2136" spans="1:10" hidden="1" outlineLevel="3">
      <c r="A2136" s="758" t="s">
        <v>991</v>
      </c>
      <c r="B2136" s="776">
        <v>381574.85</v>
      </c>
      <c r="C2136" s="762">
        <v>0</v>
      </c>
      <c r="D2136" s="199">
        <v>0</v>
      </c>
      <c r="E2136" s="199">
        <v>0</v>
      </c>
      <c r="F2136" s="764">
        <v>0</v>
      </c>
      <c r="G2136" s="199">
        <v>0</v>
      </c>
      <c r="H2136" s="199">
        <v>0</v>
      </c>
      <c r="I2136" s="775">
        <f t="shared" si="48"/>
        <v>381574.85</v>
      </c>
      <c r="J2136" s="192" t="s">
        <v>992</v>
      </c>
    </row>
    <row r="2137" spans="1:10" hidden="1" outlineLevel="3">
      <c r="A2137" s="758" t="s">
        <v>993</v>
      </c>
      <c r="B2137" s="776">
        <v>2892581.99</v>
      </c>
      <c r="C2137" s="762">
        <v>0</v>
      </c>
      <c r="D2137" s="199">
        <v>0</v>
      </c>
      <c r="E2137" s="199">
        <v>0</v>
      </c>
      <c r="F2137" s="764">
        <v>1200.19</v>
      </c>
      <c r="G2137" s="199">
        <v>0</v>
      </c>
      <c r="H2137" s="199">
        <v>0</v>
      </c>
      <c r="I2137" s="775">
        <f t="shared" si="48"/>
        <v>2893782.18</v>
      </c>
      <c r="J2137" s="192" t="s">
        <v>994</v>
      </c>
    </row>
    <row r="2138" spans="1:10" hidden="1" outlineLevel="3">
      <c r="A2138" s="758" t="s">
        <v>995</v>
      </c>
      <c r="B2138" s="776">
        <v>881740.1</v>
      </c>
      <c r="C2138" s="762">
        <v>0</v>
      </c>
      <c r="D2138" s="199">
        <v>0</v>
      </c>
      <c r="E2138" s="199">
        <v>0</v>
      </c>
      <c r="F2138" s="764">
        <v>0</v>
      </c>
      <c r="G2138" s="199">
        <v>0</v>
      </c>
      <c r="H2138" s="199">
        <v>0</v>
      </c>
      <c r="I2138" s="775">
        <f t="shared" si="48"/>
        <v>881740.1</v>
      </c>
      <c r="J2138" s="192" t="s">
        <v>996</v>
      </c>
    </row>
    <row r="2139" spans="1:10" hidden="1" outlineLevel="3">
      <c r="A2139" s="758" t="s">
        <v>997</v>
      </c>
      <c r="B2139" s="776">
        <v>1166317.1599999999</v>
      </c>
      <c r="C2139" s="762">
        <v>0</v>
      </c>
      <c r="D2139" s="199">
        <v>0</v>
      </c>
      <c r="E2139" s="199">
        <v>0</v>
      </c>
      <c r="F2139" s="764">
        <v>0</v>
      </c>
      <c r="G2139" s="199">
        <v>0</v>
      </c>
      <c r="H2139" s="199">
        <v>0</v>
      </c>
      <c r="I2139" s="775">
        <f t="shared" si="48"/>
        <v>1166317.1599999999</v>
      </c>
      <c r="J2139" s="192" t="s">
        <v>998</v>
      </c>
    </row>
    <row r="2140" spans="1:10" hidden="1" outlineLevel="3">
      <c r="A2140" s="758" t="s">
        <v>999</v>
      </c>
      <c r="B2140" s="776">
        <v>239663.28</v>
      </c>
      <c r="C2140" s="762">
        <v>0</v>
      </c>
      <c r="D2140" s="199">
        <v>0</v>
      </c>
      <c r="E2140" s="199">
        <v>0</v>
      </c>
      <c r="F2140" s="764">
        <v>0</v>
      </c>
      <c r="G2140" s="199">
        <v>0</v>
      </c>
      <c r="H2140" s="199">
        <v>0</v>
      </c>
      <c r="I2140" s="775">
        <f t="shared" si="48"/>
        <v>239663.28</v>
      </c>
      <c r="J2140" s="192" t="s">
        <v>1000</v>
      </c>
    </row>
    <row r="2141" spans="1:10" hidden="1" outlineLevel="3">
      <c r="A2141" s="758" t="s">
        <v>1001</v>
      </c>
      <c r="B2141" s="776">
        <v>423993.01</v>
      </c>
      <c r="C2141" s="762">
        <v>0</v>
      </c>
      <c r="D2141" s="199">
        <v>0</v>
      </c>
      <c r="E2141" s="199">
        <v>0</v>
      </c>
      <c r="F2141" s="764">
        <v>0</v>
      </c>
      <c r="G2141" s="199">
        <v>0</v>
      </c>
      <c r="H2141" s="199">
        <v>0</v>
      </c>
      <c r="I2141" s="775">
        <f t="shared" si="48"/>
        <v>423993.01</v>
      </c>
      <c r="J2141" s="192" t="s">
        <v>1002</v>
      </c>
    </row>
    <row r="2142" spans="1:10" hidden="1" outlineLevel="3">
      <c r="A2142" s="758" t="s">
        <v>1003</v>
      </c>
      <c r="B2142" s="776">
        <v>450646.38</v>
      </c>
      <c r="C2142" s="762">
        <v>0</v>
      </c>
      <c r="D2142" s="199">
        <v>0</v>
      </c>
      <c r="E2142" s="199">
        <v>0</v>
      </c>
      <c r="F2142" s="764">
        <v>0</v>
      </c>
      <c r="G2142" s="199">
        <v>0</v>
      </c>
      <c r="H2142" s="199">
        <v>0</v>
      </c>
      <c r="I2142" s="775">
        <f t="shared" si="48"/>
        <v>450646.38</v>
      </c>
      <c r="J2142" s="192" t="s">
        <v>1004</v>
      </c>
    </row>
    <row r="2143" spans="1:10" hidden="1" outlineLevel="3">
      <c r="A2143" s="758" t="s">
        <v>1005</v>
      </c>
      <c r="B2143" s="776">
        <v>19274816.120000001</v>
      </c>
      <c r="C2143" s="762">
        <v>0</v>
      </c>
      <c r="D2143" s="199">
        <v>0</v>
      </c>
      <c r="E2143" s="199">
        <v>0</v>
      </c>
      <c r="F2143" s="764">
        <v>935.65</v>
      </c>
      <c r="G2143" s="199">
        <v>7860.39</v>
      </c>
      <c r="H2143" s="199">
        <v>0</v>
      </c>
      <c r="I2143" s="775">
        <f t="shared" si="48"/>
        <v>19283612.16</v>
      </c>
      <c r="J2143" s="192" t="s">
        <v>1006</v>
      </c>
    </row>
    <row r="2144" spans="1:10" hidden="1" outlineLevel="3">
      <c r="A2144" s="758" t="s">
        <v>1007</v>
      </c>
      <c r="B2144" s="776">
        <v>212758.82</v>
      </c>
      <c r="C2144" s="762">
        <v>0</v>
      </c>
      <c r="D2144" s="199">
        <v>0</v>
      </c>
      <c r="E2144" s="199">
        <v>0</v>
      </c>
      <c r="F2144" s="764">
        <v>0</v>
      </c>
      <c r="G2144" s="199">
        <v>0</v>
      </c>
      <c r="H2144" s="199">
        <v>0</v>
      </c>
      <c r="I2144" s="775">
        <f t="shared" si="48"/>
        <v>212758.82</v>
      </c>
      <c r="J2144" s="192" t="s">
        <v>1008</v>
      </c>
    </row>
    <row r="2145" spans="1:10" hidden="1" outlineLevel="3">
      <c r="A2145" s="758" t="s">
        <v>1009</v>
      </c>
      <c r="B2145" s="776">
        <v>741041.45</v>
      </c>
      <c r="C2145" s="762">
        <v>0</v>
      </c>
      <c r="D2145" s="199">
        <v>0</v>
      </c>
      <c r="E2145" s="199">
        <v>0</v>
      </c>
      <c r="F2145" s="764">
        <v>0</v>
      </c>
      <c r="G2145" s="199">
        <v>0</v>
      </c>
      <c r="H2145" s="199">
        <v>0</v>
      </c>
      <c r="I2145" s="775">
        <f t="shared" si="48"/>
        <v>741041.45</v>
      </c>
      <c r="J2145" s="192" t="s">
        <v>1010</v>
      </c>
    </row>
    <row r="2146" spans="1:10" hidden="1" outlineLevel="3">
      <c r="A2146" s="758" t="s">
        <v>1011</v>
      </c>
      <c r="B2146" s="776">
        <v>8233570.5499999998</v>
      </c>
      <c r="C2146" s="762">
        <v>0</v>
      </c>
      <c r="D2146" s="199">
        <v>0</v>
      </c>
      <c r="E2146" s="199">
        <v>0</v>
      </c>
      <c r="F2146" s="764">
        <v>0</v>
      </c>
      <c r="G2146" s="199">
        <v>0</v>
      </c>
      <c r="H2146" s="199">
        <v>0</v>
      </c>
      <c r="I2146" s="775">
        <f t="shared" si="48"/>
        <v>8233570.5499999998</v>
      </c>
      <c r="J2146" s="192" t="s">
        <v>1012</v>
      </c>
    </row>
    <row r="2147" spans="1:10" hidden="1" outlineLevel="3">
      <c r="A2147" s="758" t="s">
        <v>1013</v>
      </c>
      <c r="B2147" s="776">
        <v>726671.55</v>
      </c>
      <c r="C2147" s="762">
        <v>0</v>
      </c>
      <c r="D2147" s="199">
        <v>0</v>
      </c>
      <c r="E2147" s="199">
        <v>0</v>
      </c>
      <c r="F2147" s="764">
        <v>0</v>
      </c>
      <c r="G2147" s="199">
        <v>0</v>
      </c>
      <c r="H2147" s="199">
        <v>0</v>
      </c>
      <c r="I2147" s="775">
        <f t="shared" si="48"/>
        <v>726671.55</v>
      </c>
      <c r="J2147" s="192" t="s">
        <v>1014</v>
      </c>
    </row>
    <row r="2148" spans="1:10" hidden="1" outlineLevel="3">
      <c r="A2148" s="758" t="s">
        <v>1015</v>
      </c>
      <c r="B2148" s="776">
        <v>946741.94</v>
      </c>
      <c r="C2148" s="762">
        <v>0</v>
      </c>
      <c r="D2148" s="199">
        <v>0</v>
      </c>
      <c r="E2148" s="199">
        <v>0</v>
      </c>
      <c r="F2148" s="764">
        <v>0</v>
      </c>
      <c r="G2148" s="199">
        <v>0</v>
      </c>
      <c r="H2148" s="199">
        <v>0</v>
      </c>
      <c r="I2148" s="775">
        <f t="shared" si="48"/>
        <v>946741.94</v>
      </c>
      <c r="J2148" s="192" t="s">
        <v>1016</v>
      </c>
    </row>
    <row r="2149" spans="1:10" hidden="1" outlineLevel="3">
      <c r="A2149" s="758" t="s">
        <v>1017</v>
      </c>
      <c r="B2149" s="776">
        <v>10619050.52</v>
      </c>
      <c r="C2149" s="762">
        <v>0</v>
      </c>
      <c r="D2149" s="199">
        <v>0</v>
      </c>
      <c r="E2149" s="199">
        <v>0</v>
      </c>
      <c r="F2149" s="764">
        <v>5882.32</v>
      </c>
      <c r="G2149" s="199">
        <v>3700</v>
      </c>
      <c r="H2149" s="199">
        <v>0</v>
      </c>
      <c r="I2149" s="775">
        <f t="shared" si="48"/>
        <v>10628632.84</v>
      </c>
      <c r="J2149" s="192" t="s">
        <v>1018</v>
      </c>
    </row>
    <row r="2150" spans="1:10" hidden="1" outlineLevel="3">
      <c r="A2150" s="758" t="s">
        <v>1019</v>
      </c>
      <c r="B2150" s="776">
        <v>94708.77</v>
      </c>
      <c r="C2150" s="762">
        <v>0</v>
      </c>
      <c r="D2150" s="199">
        <v>0</v>
      </c>
      <c r="E2150" s="199">
        <v>0</v>
      </c>
      <c r="F2150" s="764">
        <v>0</v>
      </c>
      <c r="G2150" s="199">
        <v>0</v>
      </c>
      <c r="H2150" s="199">
        <v>0</v>
      </c>
      <c r="I2150" s="775">
        <f t="shared" si="48"/>
        <v>94708.77</v>
      </c>
      <c r="J2150" s="192" t="s">
        <v>1020</v>
      </c>
    </row>
    <row r="2151" spans="1:10" hidden="1" outlineLevel="3">
      <c r="A2151" s="758" t="s">
        <v>1021</v>
      </c>
      <c r="B2151" s="776">
        <v>524550.01</v>
      </c>
      <c r="C2151" s="762">
        <v>0</v>
      </c>
      <c r="D2151" s="199">
        <v>0</v>
      </c>
      <c r="E2151" s="199">
        <v>0</v>
      </c>
      <c r="F2151" s="764">
        <v>87561.76</v>
      </c>
      <c r="G2151" s="199">
        <v>0</v>
      </c>
      <c r="H2151" s="199">
        <v>0</v>
      </c>
      <c r="I2151" s="775">
        <f t="shared" si="48"/>
        <v>612111.77</v>
      </c>
      <c r="J2151" s="192" t="s">
        <v>944</v>
      </c>
    </row>
    <row r="2152" spans="1:10" hidden="1" outlineLevel="3">
      <c r="A2152" s="758" t="s">
        <v>1022</v>
      </c>
      <c r="B2152" s="776">
        <v>1059367.74</v>
      </c>
      <c r="C2152" s="762">
        <v>0</v>
      </c>
      <c r="D2152" s="199">
        <v>0</v>
      </c>
      <c r="E2152" s="199">
        <v>0</v>
      </c>
      <c r="F2152" s="764">
        <v>0</v>
      </c>
      <c r="G2152" s="199">
        <v>0</v>
      </c>
      <c r="H2152" s="199">
        <v>0</v>
      </c>
      <c r="I2152" s="775">
        <f t="shared" si="48"/>
        <v>1059367.74</v>
      </c>
      <c r="J2152" s="192" t="s">
        <v>1023</v>
      </c>
    </row>
    <row r="2153" spans="1:10" hidden="1" outlineLevel="3">
      <c r="A2153" s="758" t="s">
        <v>1024</v>
      </c>
      <c r="B2153" s="776">
        <v>706173.43</v>
      </c>
      <c r="C2153" s="762">
        <v>0</v>
      </c>
      <c r="D2153" s="199">
        <v>0</v>
      </c>
      <c r="E2153" s="199">
        <v>0</v>
      </c>
      <c r="F2153" s="764">
        <v>0</v>
      </c>
      <c r="G2153" s="199">
        <v>0</v>
      </c>
      <c r="H2153" s="199">
        <v>0</v>
      </c>
      <c r="I2153" s="775">
        <f t="shared" si="48"/>
        <v>706173.43</v>
      </c>
      <c r="J2153" s="192" t="s">
        <v>1025</v>
      </c>
    </row>
    <row r="2154" spans="1:10" hidden="1" outlineLevel="3">
      <c r="A2154" s="758" t="s">
        <v>1026</v>
      </c>
      <c r="B2154" s="776">
        <v>237545.26</v>
      </c>
      <c r="C2154" s="762">
        <v>0</v>
      </c>
      <c r="D2154" s="199">
        <v>0</v>
      </c>
      <c r="E2154" s="199">
        <v>0</v>
      </c>
      <c r="F2154" s="764">
        <v>0</v>
      </c>
      <c r="G2154" s="199">
        <v>0</v>
      </c>
      <c r="H2154" s="199">
        <v>0</v>
      </c>
      <c r="I2154" s="775">
        <f t="shared" si="48"/>
        <v>237545.26</v>
      </c>
      <c r="J2154" s="192" t="s">
        <v>1027</v>
      </c>
    </row>
    <row r="2155" spans="1:10" hidden="1" outlineLevel="3">
      <c r="A2155" s="758" t="s">
        <v>1028</v>
      </c>
      <c r="B2155" s="776">
        <v>14780489.43</v>
      </c>
      <c r="C2155" s="762">
        <v>0</v>
      </c>
      <c r="D2155" s="199">
        <v>0</v>
      </c>
      <c r="E2155" s="199">
        <v>0</v>
      </c>
      <c r="F2155" s="764">
        <v>1183.44</v>
      </c>
      <c r="G2155" s="199">
        <v>0</v>
      </c>
      <c r="H2155" s="199">
        <v>0</v>
      </c>
      <c r="I2155" s="775">
        <f t="shared" si="48"/>
        <v>14781672.869999999</v>
      </c>
      <c r="J2155" s="192" t="s">
        <v>1029</v>
      </c>
    </row>
    <row r="2156" spans="1:10" hidden="1" outlineLevel="3">
      <c r="A2156" s="758" t="s">
        <v>1030</v>
      </c>
      <c r="B2156" s="776">
        <v>3222954.52</v>
      </c>
      <c r="C2156" s="762">
        <v>0</v>
      </c>
      <c r="D2156" s="199">
        <v>0</v>
      </c>
      <c r="E2156" s="199">
        <v>0</v>
      </c>
      <c r="F2156" s="764">
        <v>0</v>
      </c>
      <c r="G2156" s="199">
        <v>0</v>
      </c>
      <c r="H2156" s="199">
        <v>0</v>
      </c>
      <c r="I2156" s="775">
        <f t="shared" si="48"/>
        <v>3222954.52</v>
      </c>
      <c r="J2156" s="192" t="s">
        <v>1031</v>
      </c>
    </row>
    <row r="2157" spans="1:10" hidden="1" outlineLevel="3">
      <c r="A2157" s="758" t="s">
        <v>1032</v>
      </c>
      <c r="B2157" s="776">
        <v>1768982.95</v>
      </c>
      <c r="C2157" s="762">
        <v>0</v>
      </c>
      <c r="D2157" s="199">
        <v>0</v>
      </c>
      <c r="E2157" s="199">
        <v>0</v>
      </c>
      <c r="F2157" s="764">
        <v>0</v>
      </c>
      <c r="G2157" s="199">
        <v>0</v>
      </c>
      <c r="H2157" s="199">
        <v>0</v>
      </c>
      <c r="I2157" s="775">
        <f t="shared" si="48"/>
        <v>1768982.95</v>
      </c>
      <c r="J2157" s="192" t="s">
        <v>1033</v>
      </c>
    </row>
    <row r="2158" spans="1:10" hidden="1" outlineLevel="3">
      <c r="A2158" s="758" t="s">
        <v>1034</v>
      </c>
      <c r="B2158" s="776">
        <v>124073.51</v>
      </c>
      <c r="C2158" s="762">
        <v>0</v>
      </c>
      <c r="D2158" s="199">
        <v>0</v>
      </c>
      <c r="E2158" s="199">
        <v>0</v>
      </c>
      <c r="F2158" s="764">
        <v>0</v>
      </c>
      <c r="G2158" s="199">
        <v>0</v>
      </c>
      <c r="H2158" s="199">
        <v>0</v>
      </c>
      <c r="I2158" s="775">
        <f t="shared" si="48"/>
        <v>124073.51</v>
      </c>
      <c r="J2158" s="192" t="s">
        <v>1035</v>
      </c>
    </row>
    <row r="2159" spans="1:10" hidden="1" outlineLevel="3">
      <c r="A2159" s="758" t="s">
        <v>1036</v>
      </c>
      <c r="B2159" s="776">
        <v>3452534.68</v>
      </c>
      <c r="C2159" s="762">
        <v>0</v>
      </c>
      <c r="D2159" s="199">
        <v>0</v>
      </c>
      <c r="E2159" s="199">
        <v>0</v>
      </c>
      <c r="F2159" s="764">
        <v>3595.16</v>
      </c>
      <c r="G2159" s="199">
        <v>0</v>
      </c>
      <c r="H2159" s="199">
        <v>0</v>
      </c>
      <c r="I2159" s="775">
        <f t="shared" si="48"/>
        <v>3456129.8400000003</v>
      </c>
      <c r="J2159" s="192" t="s">
        <v>1037</v>
      </c>
    </row>
    <row r="2160" spans="1:10" hidden="1" outlineLevel="3">
      <c r="A2160" s="758" t="s">
        <v>1038</v>
      </c>
      <c r="B2160" s="776">
        <v>729057.62</v>
      </c>
      <c r="C2160" s="762">
        <v>0</v>
      </c>
      <c r="D2160" s="199">
        <v>0</v>
      </c>
      <c r="E2160" s="199">
        <v>0</v>
      </c>
      <c r="F2160" s="764">
        <v>0</v>
      </c>
      <c r="G2160" s="199">
        <v>0</v>
      </c>
      <c r="H2160" s="199">
        <v>0</v>
      </c>
      <c r="I2160" s="775">
        <f t="shared" si="48"/>
        <v>729057.62</v>
      </c>
      <c r="J2160" s="192" t="s">
        <v>1039</v>
      </c>
    </row>
    <row r="2161" spans="1:10" hidden="1" outlineLevel="3">
      <c r="A2161" s="758" t="s">
        <v>1040</v>
      </c>
      <c r="B2161" s="776">
        <v>1414582.52</v>
      </c>
      <c r="C2161" s="762">
        <v>0</v>
      </c>
      <c r="D2161" s="199">
        <v>0</v>
      </c>
      <c r="E2161" s="199">
        <v>0</v>
      </c>
      <c r="F2161" s="764">
        <v>0</v>
      </c>
      <c r="G2161" s="199">
        <v>0</v>
      </c>
      <c r="H2161" s="199">
        <v>0</v>
      </c>
      <c r="I2161" s="775">
        <f t="shared" si="48"/>
        <v>1414582.52</v>
      </c>
      <c r="J2161" s="192" t="s">
        <v>1041</v>
      </c>
    </row>
    <row r="2162" spans="1:10" hidden="1" outlineLevel="3">
      <c r="A2162" s="758" t="s">
        <v>1042</v>
      </c>
      <c r="B2162" s="776">
        <v>974672.69</v>
      </c>
      <c r="C2162" s="762">
        <v>0</v>
      </c>
      <c r="D2162" s="199">
        <v>0</v>
      </c>
      <c r="E2162" s="199">
        <v>0</v>
      </c>
      <c r="F2162" s="764">
        <v>0</v>
      </c>
      <c r="G2162" s="199">
        <v>0</v>
      </c>
      <c r="H2162" s="199">
        <v>0</v>
      </c>
      <c r="I2162" s="775">
        <f t="shared" si="48"/>
        <v>974672.69</v>
      </c>
      <c r="J2162" s="192" t="s">
        <v>1043</v>
      </c>
    </row>
    <row r="2163" spans="1:10" hidden="1" outlineLevel="3">
      <c r="A2163" s="758" t="s">
        <v>1044</v>
      </c>
      <c r="B2163" s="776">
        <v>1322950.49</v>
      </c>
      <c r="C2163" s="762">
        <v>0</v>
      </c>
      <c r="D2163" s="199">
        <v>0</v>
      </c>
      <c r="E2163" s="199">
        <v>0</v>
      </c>
      <c r="F2163" s="764">
        <v>0</v>
      </c>
      <c r="G2163" s="199">
        <v>0</v>
      </c>
      <c r="H2163" s="199">
        <v>0</v>
      </c>
      <c r="I2163" s="775">
        <f t="shared" si="48"/>
        <v>1322950.49</v>
      </c>
      <c r="J2163" s="192" t="s">
        <v>1045</v>
      </c>
    </row>
    <row r="2164" spans="1:10" hidden="1" outlineLevel="3">
      <c r="A2164" s="758" t="s">
        <v>1046</v>
      </c>
      <c r="B2164" s="776">
        <v>2154369.5099999998</v>
      </c>
      <c r="C2164" s="762">
        <v>0</v>
      </c>
      <c r="D2164" s="199">
        <v>0</v>
      </c>
      <c r="E2164" s="199">
        <v>0</v>
      </c>
      <c r="F2164" s="764">
        <v>0</v>
      </c>
      <c r="G2164" s="199">
        <v>0</v>
      </c>
      <c r="H2164" s="199">
        <v>0</v>
      </c>
      <c r="I2164" s="775">
        <f t="shared" si="48"/>
        <v>2154369.5099999998</v>
      </c>
      <c r="J2164" s="192" t="s">
        <v>1047</v>
      </c>
    </row>
    <row r="2165" spans="1:10" hidden="1" outlineLevel="3">
      <c r="A2165" s="758" t="s">
        <v>1048</v>
      </c>
      <c r="B2165" s="776">
        <v>1899440.36</v>
      </c>
      <c r="C2165" s="762">
        <v>0</v>
      </c>
      <c r="D2165" s="199">
        <v>0</v>
      </c>
      <c r="E2165" s="199">
        <v>0</v>
      </c>
      <c r="F2165" s="764">
        <v>0</v>
      </c>
      <c r="G2165" s="199">
        <v>0</v>
      </c>
      <c r="H2165" s="199">
        <v>0</v>
      </c>
      <c r="I2165" s="775">
        <f t="shared" si="48"/>
        <v>1899440.36</v>
      </c>
      <c r="J2165" s="192" t="s">
        <v>1049</v>
      </c>
    </row>
    <row r="2166" spans="1:10" hidden="1" outlineLevel="3">
      <c r="A2166" s="758" t="s">
        <v>1050</v>
      </c>
      <c r="B2166" s="776">
        <v>1127635.3</v>
      </c>
      <c r="C2166" s="762">
        <v>0</v>
      </c>
      <c r="D2166" s="199">
        <v>0</v>
      </c>
      <c r="E2166" s="199">
        <v>0</v>
      </c>
      <c r="F2166" s="764">
        <v>0</v>
      </c>
      <c r="G2166" s="199">
        <v>0</v>
      </c>
      <c r="H2166" s="199">
        <v>0</v>
      </c>
      <c r="I2166" s="775">
        <f t="shared" si="48"/>
        <v>1127635.3</v>
      </c>
      <c r="J2166" s="192" t="s">
        <v>1051</v>
      </c>
    </row>
    <row r="2167" spans="1:10" hidden="1" outlineLevel="3">
      <c r="A2167" s="758" t="s">
        <v>1054</v>
      </c>
      <c r="B2167" s="776">
        <v>2837560.9</v>
      </c>
      <c r="C2167" s="762">
        <v>0</v>
      </c>
      <c r="D2167" s="199">
        <v>0</v>
      </c>
      <c r="E2167" s="199">
        <v>0</v>
      </c>
      <c r="F2167" s="764">
        <v>0</v>
      </c>
      <c r="G2167" s="199">
        <v>0</v>
      </c>
      <c r="H2167" s="199">
        <v>0</v>
      </c>
      <c r="I2167" s="775">
        <f t="shared" si="48"/>
        <v>2837560.9</v>
      </c>
      <c r="J2167" s="192" t="s">
        <v>1055</v>
      </c>
    </row>
    <row r="2168" spans="1:10" hidden="1" outlineLevel="3">
      <c r="A2168" s="758" t="s">
        <v>1056</v>
      </c>
      <c r="B2168" s="776">
        <v>859578.99</v>
      </c>
      <c r="C2168" s="762">
        <v>0</v>
      </c>
      <c r="D2168" s="199">
        <v>0</v>
      </c>
      <c r="E2168" s="199">
        <v>0</v>
      </c>
      <c r="F2168" s="764">
        <v>0</v>
      </c>
      <c r="G2168" s="199">
        <v>0</v>
      </c>
      <c r="H2168" s="199">
        <v>0</v>
      </c>
      <c r="I2168" s="775">
        <f t="shared" si="48"/>
        <v>859578.99</v>
      </c>
      <c r="J2168" s="192" t="s">
        <v>1057</v>
      </c>
    </row>
    <row r="2169" spans="1:10" hidden="1" outlineLevel="3">
      <c r="A2169" s="758" t="s">
        <v>1058</v>
      </c>
      <c r="B2169" s="776">
        <v>3594112.54</v>
      </c>
      <c r="C2169" s="762">
        <v>0</v>
      </c>
      <c r="D2169" s="199">
        <v>0</v>
      </c>
      <c r="E2169" s="199">
        <v>0</v>
      </c>
      <c r="F2169" s="764">
        <v>0</v>
      </c>
      <c r="G2169" s="199">
        <v>0</v>
      </c>
      <c r="H2169" s="199">
        <v>0</v>
      </c>
      <c r="I2169" s="775">
        <f t="shared" si="48"/>
        <v>3594112.54</v>
      </c>
      <c r="J2169" s="192" t="s">
        <v>1059</v>
      </c>
    </row>
    <row r="2170" spans="1:10" hidden="1" outlineLevel="3">
      <c r="A2170" s="758" t="s">
        <v>1060</v>
      </c>
      <c r="B2170" s="776">
        <v>24688.92</v>
      </c>
      <c r="C2170" s="762">
        <v>0</v>
      </c>
      <c r="D2170" s="199">
        <v>0</v>
      </c>
      <c r="E2170" s="199">
        <v>0</v>
      </c>
      <c r="F2170" s="764">
        <v>0</v>
      </c>
      <c r="G2170" s="199">
        <v>0</v>
      </c>
      <c r="H2170" s="199">
        <v>0</v>
      </c>
      <c r="I2170" s="775">
        <f t="shared" si="48"/>
        <v>24688.92</v>
      </c>
      <c r="J2170" s="192" t="s">
        <v>1061</v>
      </c>
    </row>
    <row r="2171" spans="1:10" hidden="1" outlineLevel="3">
      <c r="A2171" s="758" t="s">
        <v>1062</v>
      </c>
      <c r="B2171" s="776">
        <v>955559.53</v>
      </c>
      <c r="C2171" s="762">
        <v>0</v>
      </c>
      <c r="D2171" s="199">
        <v>0</v>
      </c>
      <c r="E2171" s="199">
        <v>0</v>
      </c>
      <c r="F2171" s="764">
        <v>0</v>
      </c>
      <c r="G2171" s="199">
        <v>0</v>
      </c>
      <c r="H2171" s="199">
        <v>0</v>
      </c>
      <c r="I2171" s="775">
        <f t="shared" si="48"/>
        <v>955559.53</v>
      </c>
      <c r="J2171" s="192" t="s">
        <v>1063</v>
      </c>
    </row>
    <row r="2172" spans="1:10" hidden="1" outlineLevel="3">
      <c r="A2172" s="758" t="s">
        <v>1064</v>
      </c>
      <c r="B2172" s="776">
        <v>5589013.1299999999</v>
      </c>
      <c r="C2172" s="762">
        <v>0</v>
      </c>
      <c r="D2172" s="199">
        <v>0</v>
      </c>
      <c r="E2172" s="199">
        <v>0</v>
      </c>
      <c r="F2172" s="764">
        <v>0</v>
      </c>
      <c r="G2172" s="199">
        <v>0</v>
      </c>
      <c r="H2172" s="199">
        <v>0</v>
      </c>
      <c r="I2172" s="775">
        <f t="shared" si="48"/>
        <v>5589013.1299999999</v>
      </c>
      <c r="J2172" s="192" t="s">
        <v>1065</v>
      </c>
    </row>
    <row r="2173" spans="1:10" hidden="1" outlineLevel="3">
      <c r="A2173" s="758" t="s">
        <v>1066</v>
      </c>
      <c r="B2173" s="776">
        <v>87658.16</v>
      </c>
      <c r="C2173" s="762">
        <v>0</v>
      </c>
      <c r="D2173" s="199">
        <v>0</v>
      </c>
      <c r="E2173" s="199">
        <v>0</v>
      </c>
      <c r="F2173" s="764">
        <v>0</v>
      </c>
      <c r="G2173" s="199">
        <v>0</v>
      </c>
      <c r="H2173" s="199">
        <v>0</v>
      </c>
      <c r="I2173" s="775">
        <f t="shared" si="48"/>
        <v>87658.16</v>
      </c>
      <c r="J2173" s="192" t="s">
        <v>1067</v>
      </c>
    </row>
    <row r="2174" spans="1:10" hidden="1" outlineLevel="3">
      <c r="A2174" s="758" t="s">
        <v>1068</v>
      </c>
      <c r="B2174" s="776">
        <v>3998236.65</v>
      </c>
      <c r="C2174" s="762">
        <v>0</v>
      </c>
      <c r="D2174" s="199">
        <v>0</v>
      </c>
      <c r="E2174" s="199">
        <v>0</v>
      </c>
      <c r="F2174" s="764">
        <v>0</v>
      </c>
      <c r="G2174" s="199">
        <v>0</v>
      </c>
      <c r="H2174" s="199">
        <v>0</v>
      </c>
      <c r="I2174" s="775">
        <f t="shared" si="48"/>
        <v>3998236.65</v>
      </c>
      <c r="J2174" s="192" t="s">
        <v>1069</v>
      </c>
    </row>
    <row r="2175" spans="1:10" hidden="1" outlineLevel="3">
      <c r="A2175" s="758" t="s">
        <v>1070</v>
      </c>
      <c r="B2175" s="776">
        <v>743379.92</v>
      </c>
      <c r="C2175" s="762">
        <v>0</v>
      </c>
      <c r="D2175" s="199">
        <v>0</v>
      </c>
      <c r="E2175" s="199">
        <v>0</v>
      </c>
      <c r="F2175" s="764">
        <v>0</v>
      </c>
      <c r="G2175" s="199">
        <v>0</v>
      </c>
      <c r="H2175" s="199">
        <v>0</v>
      </c>
      <c r="I2175" s="775">
        <f t="shared" ref="I2175:I2238" si="49">SUM(B2175:H2175)</f>
        <v>743379.92</v>
      </c>
      <c r="J2175" s="192" t="s">
        <v>1071</v>
      </c>
    </row>
    <row r="2176" spans="1:10" hidden="1" outlineLevel="3">
      <c r="A2176" s="758" t="s">
        <v>1072</v>
      </c>
      <c r="B2176" s="776">
        <v>2027415.26</v>
      </c>
      <c r="C2176" s="762">
        <v>0</v>
      </c>
      <c r="D2176" s="199">
        <v>0</v>
      </c>
      <c r="E2176" s="199">
        <v>0</v>
      </c>
      <c r="F2176" s="764">
        <v>0</v>
      </c>
      <c r="G2176" s="199">
        <v>0</v>
      </c>
      <c r="H2176" s="199">
        <v>0</v>
      </c>
      <c r="I2176" s="775">
        <f t="shared" si="49"/>
        <v>2027415.26</v>
      </c>
      <c r="J2176" s="192" t="s">
        <v>1073</v>
      </c>
    </row>
    <row r="2177" spans="1:10" hidden="1" outlineLevel="3">
      <c r="A2177" s="758" t="s">
        <v>1074</v>
      </c>
      <c r="B2177" s="776">
        <v>10119041.560000001</v>
      </c>
      <c r="C2177" s="762">
        <v>0</v>
      </c>
      <c r="D2177" s="199">
        <v>0</v>
      </c>
      <c r="E2177" s="199">
        <v>0</v>
      </c>
      <c r="F2177" s="764">
        <v>0</v>
      </c>
      <c r="G2177" s="199">
        <v>0</v>
      </c>
      <c r="H2177" s="199">
        <v>0</v>
      </c>
      <c r="I2177" s="775">
        <f t="shared" si="49"/>
        <v>10119041.560000001</v>
      </c>
      <c r="J2177" s="192" t="s">
        <v>1075</v>
      </c>
    </row>
    <row r="2178" spans="1:10" hidden="1" outlineLevel="3">
      <c r="A2178" s="758" t="s">
        <v>1076</v>
      </c>
      <c r="B2178" s="776">
        <v>961967.51</v>
      </c>
      <c r="C2178" s="762">
        <v>0</v>
      </c>
      <c r="D2178" s="199">
        <v>0</v>
      </c>
      <c r="E2178" s="199">
        <v>0</v>
      </c>
      <c r="F2178" s="764">
        <v>0</v>
      </c>
      <c r="G2178" s="199">
        <v>0</v>
      </c>
      <c r="H2178" s="199">
        <v>0</v>
      </c>
      <c r="I2178" s="775">
        <f t="shared" si="49"/>
        <v>961967.51</v>
      </c>
      <c r="J2178" s="192" t="s">
        <v>1077</v>
      </c>
    </row>
    <row r="2179" spans="1:10" hidden="1" outlineLevel="3">
      <c r="A2179" s="758" t="s">
        <v>1078</v>
      </c>
      <c r="B2179" s="776">
        <v>4098684.81</v>
      </c>
      <c r="C2179" s="762">
        <v>0</v>
      </c>
      <c r="D2179" s="199">
        <v>0</v>
      </c>
      <c r="E2179" s="199">
        <v>0</v>
      </c>
      <c r="F2179" s="764">
        <v>0</v>
      </c>
      <c r="G2179" s="199">
        <v>0</v>
      </c>
      <c r="H2179" s="199">
        <v>0</v>
      </c>
      <c r="I2179" s="775">
        <f t="shared" si="49"/>
        <v>4098684.81</v>
      </c>
      <c r="J2179" s="192" t="s">
        <v>1079</v>
      </c>
    </row>
    <row r="2180" spans="1:10" hidden="1" outlineLevel="3">
      <c r="A2180" s="758" t="s">
        <v>1080</v>
      </c>
      <c r="B2180" s="776">
        <v>249753.24</v>
      </c>
      <c r="C2180" s="762">
        <v>0</v>
      </c>
      <c r="D2180" s="199">
        <v>0</v>
      </c>
      <c r="E2180" s="199">
        <v>0</v>
      </c>
      <c r="F2180" s="764">
        <v>0</v>
      </c>
      <c r="G2180" s="199">
        <v>0</v>
      </c>
      <c r="H2180" s="199">
        <v>0</v>
      </c>
      <c r="I2180" s="775">
        <f t="shared" si="49"/>
        <v>249753.24</v>
      </c>
      <c r="J2180" s="192" t="s">
        <v>1081</v>
      </c>
    </row>
    <row r="2181" spans="1:10" hidden="1" outlineLevel="3">
      <c r="A2181" s="758" t="s">
        <v>1082</v>
      </c>
      <c r="B2181" s="776">
        <v>1739748.81</v>
      </c>
      <c r="C2181" s="762">
        <v>0</v>
      </c>
      <c r="D2181" s="199">
        <v>0</v>
      </c>
      <c r="E2181" s="199">
        <v>0</v>
      </c>
      <c r="F2181" s="764">
        <v>0</v>
      </c>
      <c r="G2181" s="199">
        <v>0</v>
      </c>
      <c r="H2181" s="199">
        <v>0</v>
      </c>
      <c r="I2181" s="775">
        <f t="shared" si="49"/>
        <v>1739748.81</v>
      </c>
      <c r="J2181" s="192" t="s">
        <v>1083</v>
      </c>
    </row>
    <row r="2182" spans="1:10" hidden="1" outlineLevel="3">
      <c r="A2182" s="758" t="s">
        <v>1084</v>
      </c>
      <c r="B2182" s="776">
        <v>1392833.84</v>
      </c>
      <c r="C2182" s="762">
        <v>0</v>
      </c>
      <c r="D2182" s="199">
        <v>0</v>
      </c>
      <c r="E2182" s="199">
        <v>0</v>
      </c>
      <c r="F2182" s="764">
        <v>0</v>
      </c>
      <c r="G2182" s="199">
        <v>0</v>
      </c>
      <c r="H2182" s="199">
        <v>0</v>
      </c>
      <c r="I2182" s="775">
        <f t="shared" si="49"/>
        <v>1392833.84</v>
      </c>
      <c r="J2182" s="192" t="s">
        <v>1085</v>
      </c>
    </row>
    <row r="2183" spans="1:10" hidden="1" outlineLevel="3">
      <c r="A2183" s="758" t="s">
        <v>1086</v>
      </c>
      <c r="B2183" s="776">
        <v>669452.19999999995</v>
      </c>
      <c r="C2183" s="762">
        <v>0</v>
      </c>
      <c r="D2183" s="199">
        <v>0</v>
      </c>
      <c r="E2183" s="199">
        <v>0</v>
      </c>
      <c r="F2183" s="764">
        <v>0</v>
      </c>
      <c r="G2183" s="199">
        <v>0</v>
      </c>
      <c r="H2183" s="199">
        <v>0</v>
      </c>
      <c r="I2183" s="775">
        <f t="shared" si="49"/>
        <v>669452.19999999995</v>
      </c>
      <c r="J2183" s="192" t="s">
        <v>1087</v>
      </c>
    </row>
    <row r="2184" spans="1:10" hidden="1" outlineLevel="3">
      <c r="A2184" s="758" t="s">
        <v>1088</v>
      </c>
      <c r="B2184" s="776">
        <v>360789.28</v>
      </c>
      <c r="C2184" s="762">
        <v>0</v>
      </c>
      <c r="D2184" s="199">
        <v>0</v>
      </c>
      <c r="E2184" s="199">
        <v>0</v>
      </c>
      <c r="F2184" s="764">
        <v>0</v>
      </c>
      <c r="G2184" s="199">
        <v>0</v>
      </c>
      <c r="H2184" s="199">
        <v>0</v>
      </c>
      <c r="I2184" s="775">
        <f t="shared" si="49"/>
        <v>360789.28</v>
      </c>
      <c r="J2184" s="192" t="s">
        <v>1089</v>
      </c>
    </row>
    <row r="2185" spans="1:10" hidden="1" outlineLevel="3">
      <c r="A2185" s="758" t="s">
        <v>1090</v>
      </c>
      <c r="B2185" s="776">
        <v>2362897.7200000002</v>
      </c>
      <c r="C2185" s="762">
        <v>0</v>
      </c>
      <c r="D2185" s="199">
        <v>0</v>
      </c>
      <c r="E2185" s="199">
        <v>0</v>
      </c>
      <c r="F2185" s="764">
        <v>0</v>
      </c>
      <c r="G2185" s="199">
        <v>0</v>
      </c>
      <c r="H2185" s="199">
        <v>0</v>
      </c>
      <c r="I2185" s="775">
        <f t="shared" si="49"/>
        <v>2362897.7200000002</v>
      </c>
      <c r="J2185" s="192" t="s">
        <v>1091</v>
      </c>
    </row>
    <row r="2186" spans="1:10" hidden="1" outlineLevel="3">
      <c r="A2186" s="758" t="s">
        <v>1092</v>
      </c>
      <c r="B2186" s="776">
        <v>3058796.06</v>
      </c>
      <c r="C2186" s="762">
        <v>0</v>
      </c>
      <c r="D2186" s="199">
        <v>0</v>
      </c>
      <c r="E2186" s="199">
        <v>0</v>
      </c>
      <c r="F2186" s="764">
        <v>2433.9699999999998</v>
      </c>
      <c r="G2186" s="199">
        <v>0</v>
      </c>
      <c r="H2186" s="199">
        <v>0</v>
      </c>
      <c r="I2186" s="775">
        <f t="shared" si="49"/>
        <v>3061230.0300000003</v>
      </c>
      <c r="J2186" s="192" t="s">
        <v>1093</v>
      </c>
    </row>
    <row r="2187" spans="1:10" hidden="1" outlineLevel="3">
      <c r="A2187" s="758" t="s">
        <v>1094</v>
      </c>
      <c r="B2187" s="776">
        <v>233691.14</v>
      </c>
      <c r="C2187" s="762">
        <v>0</v>
      </c>
      <c r="D2187" s="199">
        <v>0</v>
      </c>
      <c r="E2187" s="199">
        <v>0</v>
      </c>
      <c r="F2187" s="764">
        <v>0</v>
      </c>
      <c r="G2187" s="199">
        <v>0</v>
      </c>
      <c r="H2187" s="199">
        <v>0</v>
      </c>
      <c r="I2187" s="775">
        <f t="shared" si="49"/>
        <v>233691.14</v>
      </c>
      <c r="J2187" s="192" t="s">
        <v>1095</v>
      </c>
    </row>
    <row r="2188" spans="1:10" hidden="1" outlineLevel="3">
      <c r="A2188" s="758" t="s">
        <v>1096</v>
      </c>
      <c r="B2188" s="776">
        <v>930269.07</v>
      </c>
      <c r="C2188" s="762">
        <v>0</v>
      </c>
      <c r="D2188" s="199">
        <v>0</v>
      </c>
      <c r="E2188" s="199">
        <v>0</v>
      </c>
      <c r="F2188" s="764">
        <v>0</v>
      </c>
      <c r="G2188" s="199">
        <v>0</v>
      </c>
      <c r="H2188" s="199">
        <v>0</v>
      </c>
      <c r="I2188" s="775">
        <f t="shared" si="49"/>
        <v>930269.07</v>
      </c>
      <c r="J2188" s="192" t="s">
        <v>1097</v>
      </c>
    </row>
    <row r="2189" spans="1:10" hidden="1" outlineLevel="3">
      <c r="A2189" s="758" t="s">
        <v>1098</v>
      </c>
      <c r="B2189" s="776">
        <v>76079.05</v>
      </c>
      <c r="C2189" s="762">
        <v>0</v>
      </c>
      <c r="D2189" s="199">
        <v>0</v>
      </c>
      <c r="E2189" s="199">
        <v>0</v>
      </c>
      <c r="F2189" s="764">
        <v>0</v>
      </c>
      <c r="G2189" s="199">
        <v>0</v>
      </c>
      <c r="H2189" s="199">
        <v>0</v>
      </c>
      <c r="I2189" s="775">
        <f t="shared" si="49"/>
        <v>76079.05</v>
      </c>
      <c r="J2189" s="192" t="s">
        <v>1099</v>
      </c>
    </row>
    <row r="2190" spans="1:10" hidden="1" outlineLevel="3">
      <c r="A2190" s="758" t="s">
        <v>1100</v>
      </c>
      <c r="B2190" s="776">
        <v>9745136.5299999993</v>
      </c>
      <c r="C2190" s="762">
        <v>0</v>
      </c>
      <c r="D2190" s="199">
        <v>0</v>
      </c>
      <c r="E2190" s="199">
        <v>0</v>
      </c>
      <c r="F2190" s="764">
        <v>10891.75</v>
      </c>
      <c r="G2190" s="199">
        <v>0</v>
      </c>
      <c r="H2190" s="199">
        <v>0</v>
      </c>
      <c r="I2190" s="775">
        <f t="shared" si="49"/>
        <v>9756028.2799999993</v>
      </c>
      <c r="J2190" s="192" t="s">
        <v>1101</v>
      </c>
    </row>
    <row r="2191" spans="1:10" hidden="1" outlineLevel="3">
      <c r="A2191" s="758" t="s">
        <v>1102</v>
      </c>
      <c r="B2191" s="776">
        <v>562698.72</v>
      </c>
      <c r="C2191" s="762">
        <v>0</v>
      </c>
      <c r="D2191" s="199">
        <v>0</v>
      </c>
      <c r="E2191" s="199">
        <v>0</v>
      </c>
      <c r="F2191" s="764">
        <v>0</v>
      </c>
      <c r="G2191" s="199">
        <v>0</v>
      </c>
      <c r="H2191" s="199">
        <v>0</v>
      </c>
      <c r="I2191" s="775">
        <f t="shared" si="49"/>
        <v>562698.72</v>
      </c>
      <c r="J2191" s="192" t="s">
        <v>1103</v>
      </c>
    </row>
    <row r="2192" spans="1:10" hidden="1" outlineLevel="3">
      <c r="A2192" s="758" t="s">
        <v>1104</v>
      </c>
      <c r="B2192" s="776">
        <v>651537.43999999994</v>
      </c>
      <c r="C2192" s="762">
        <v>0</v>
      </c>
      <c r="D2192" s="199">
        <v>0</v>
      </c>
      <c r="E2192" s="199">
        <v>0</v>
      </c>
      <c r="F2192" s="764">
        <v>0</v>
      </c>
      <c r="G2192" s="199">
        <v>0</v>
      </c>
      <c r="H2192" s="199">
        <v>0</v>
      </c>
      <c r="I2192" s="775">
        <f t="shared" si="49"/>
        <v>651537.43999999994</v>
      </c>
      <c r="J2192" s="192" t="s">
        <v>1105</v>
      </c>
    </row>
    <row r="2193" spans="1:10" hidden="1" outlineLevel="3">
      <c r="A2193" s="758" t="s">
        <v>1106</v>
      </c>
      <c r="B2193" s="776">
        <v>195979.3</v>
      </c>
      <c r="C2193" s="762">
        <v>0</v>
      </c>
      <c r="D2193" s="199">
        <v>0</v>
      </c>
      <c r="E2193" s="199">
        <v>0</v>
      </c>
      <c r="F2193" s="764">
        <v>0</v>
      </c>
      <c r="G2193" s="199">
        <v>0</v>
      </c>
      <c r="H2193" s="199">
        <v>0</v>
      </c>
      <c r="I2193" s="775">
        <f t="shared" si="49"/>
        <v>195979.3</v>
      </c>
      <c r="J2193" s="192" t="s">
        <v>1107</v>
      </c>
    </row>
    <row r="2194" spans="1:10" hidden="1" outlineLevel="3">
      <c r="A2194" s="758" t="s">
        <v>1108</v>
      </c>
      <c r="B2194" s="776">
        <v>2774780.51</v>
      </c>
      <c r="C2194" s="762">
        <v>0</v>
      </c>
      <c r="D2194" s="199">
        <v>0</v>
      </c>
      <c r="E2194" s="199">
        <v>0</v>
      </c>
      <c r="F2194" s="764">
        <v>0</v>
      </c>
      <c r="G2194" s="199">
        <v>0</v>
      </c>
      <c r="H2194" s="199">
        <v>0</v>
      </c>
      <c r="I2194" s="775">
        <f t="shared" si="49"/>
        <v>2774780.51</v>
      </c>
      <c r="J2194" s="192" t="s">
        <v>1109</v>
      </c>
    </row>
    <row r="2195" spans="1:10" hidden="1" outlineLevel="3">
      <c r="A2195" s="758" t="s">
        <v>1110</v>
      </c>
      <c r="B2195" s="776">
        <v>750495.74</v>
      </c>
      <c r="C2195" s="762">
        <v>0</v>
      </c>
      <c r="D2195" s="199">
        <v>0</v>
      </c>
      <c r="E2195" s="199">
        <v>0</v>
      </c>
      <c r="F2195" s="764">
        <v>0</v>
      </c>
      <c r="G2195" s="199">
        <v>0</v>
      </c>
      <c r="H2195" s="199">
        <v>0</v>
      </c>
      <c r="I2195" s="775">
        <f t="shared" si="49"/>
        <v>750495.74</v>
      </c>
      <c r="J2195" s="192" t="s">
        <v>1111</v>
      </c>
    </row>
    <row r="2196" spans="1:10" hidden="1" outlineLevel="3">
      <c r="A2196" s="758" t="s">
        <v>1112</v>
      </c>
      <c r="B2196" s="776">
        <v>7764937.79</v>
      </c>
      <c r="C2196" s="762">
        <v>0</v>
      </c>
      <c r="D2196" s="199">
        <v>0</v>
      </c>
      <c r="E2196" s="199">
        <v>0</v>
      </c>
      <c r="F2196" s="764">
        <v>0</v>
      </c>
      <c r="G2196" s="199">
        <v>0</v>
      </c>
      <c r="H2196" s="199">
        <v>0</v>
      </c>
      <c r="I2196" s="775">
        <f t="shared" si="49"/>
        <v>7764937.79</v>
      </c>
      <c r="J2196" s="192" t="s">
        <v>1113</v>
      </c>
    </row>
    <row r="2197" spans="1:10" hidden="1" outlineLevel="3">
      <c r="A2197" s="758" t="s">
        <v>1114</v>
      </c>
      <c r="B2197" s="776">
        <v>366400.49</v>
      </c>
      <c r="C2197" s="762">
        <v>0</v>
      </c>
      <c r="D2197" s="199">
        <v>0</v>
      </c>
      <c r="E2197" s="199">
        <v>0</v>
      </c>
      <c r="F2197" s="764">
        <v>0</v>
      </c>
      <c r="G2197" s="199">
        <v>0</v>
      </c>
      <c r="H2197" s="199">
        <v>0</v>
      </c>
      <c r="I2197" s="775">
        <f t="shared" si="49"/>
        <v>366400.49</v>
      </c>
      <c r="J2197" s="192" t="s">
        <v>1115</v>
      </c>
    </row>
    <row r="2198" spans="1:10" hidden="1" outlineLevel="3">
      <c r="A2198" s="758" t="s">
        <v>1116</v>
      </c>
      <c r="B2198" s="776">
        <v>1014478.91</v>
      </c>
      <c r="C2198" s="762">
        <v>0</v>
      </c>
      <c r="D2198" s="199">
        <v>0</v>
      </c>
      <c r="E2198" s="199">
        <v>0</v>
      </c>
      <c r="F2198" s="764">
        <v>841.11</v>
      </c>
      <c r="G2198" s="199">
        <v>0</v>
      </c>
      <c r="H2198" s="199">
        <v>0</v>
      </c>
      <c r="I2198" s="775">
        <f t="shared" si="49"/>
        <v>1015320.02</v>
      </c>
      <c r="J2198" s="192" t="s">
        <v>1117</v>
      </c>
    </row>
    <row r="2199" spans="1:10" hidden="1" outlineLevel="3">
      <c r="A2199" s="758" t="s">
        <v>1118</v>
      </c>
      <c r="B2199" s="776">
        <v>9566595.1199999992</v>
      </c>
      <c r="C2199" s="762">
        <v>0</v>
      </c>
      <c r="D2199" s="199">
        <v>0</v>
      </c>
      <c r="E2199" s="199">
        <v>0</v>
      </c>
      <c r="F2199" s="764">
        <v>0</v>
      </c>
      <c r="G2199" s="199">
        <v>0</v>
      </c>
      <c r="H2199" s="199">
        <v>0</v>
      </c>
      <c r="I2199" s="775">
        <f t="shared" si="49"/>
        <v>9566595.1199999992</v>
      </c>
      <c r="J2199" s="192" t="s">
        <v>1119</v>
      </c>
    </row>
    <row r="2200" spans="1:10" hidden="1" outlineLevel="3">
      <c r="A2200" s="758" t="s">
        <v>1120</v>
      </c>
      <c r="B2200" s="776">
        <v>23823454.09</v>
      </c>
      <c r="C2200" s="762">
        <v>0</v>
      </c>
      <c r="D2200" s="199">
        <v>0</v>
      </c>
      <c r="E2200" s="199">
        <v>0</v>
      </c>
      <c r="F2200" s="764">
        <v>0</v>
      </c>
      <c r="G2200" s="199">
        <v>0</v>
      </c>
      <c r="H2200" s="199">
        <v>0</v>
      </c>
      <c r="I2200" s="775">
        <f t="shared" si="49"/>
        <v>23823454.09</v>
      </c>
      <c r="J2200" s="192" t="s">
        <v>1121</v>
      </c>
    </row>
    <row r="2201" spans="1:10" hidden="1" outlineLevel="3">
      <c r="A2201" s="758" t="s">
        <v>1122</v>
      </c>
      <c r="B2201" s="776">
        <v>1619688</v>
      </c>
      <c r="C2201" s="762">
        <v>0</v>
      </c>
      <c r="D2201" s="199">
        <v>0</v>
      </c>
      <c r="E2201" s="199">
        <v>0</v>
      </c>
      <c r="F2201" s="764">
        <v>0</v>
      </c>
      <c r="G2201" s="199">
        <v>0</v>
      </c>
      <c r="H2201" s="199">
        <v>0</v>
      </c>
      <c r="I2201" s="775">
        <f t="shared" si="49"/>
        <v>1619688</v>
      </c>
      <c r="J2201" s="192" t="s">
        <v>1123</v>
      </c>
    </row>
    <row r="2202" spans="1:10" hidden="1" outlineLevel="3">
      <c r="A2202" s="758" t="s">
        <v>1122</v>
      </c>
      <c r="B2202" s="776">
        <v>1299960.52</v>
      </c>
      <c r="C2202" s="762">
        <v>0</v>
      </c>
      <c r="D2202" s="199">
        <v>0</v>
      </c>
      <c r="E2202" s="199">
        <v>0</v>
      </c>
      <c r="F2202" s="764">
        <v>0</v>
      </c>
      <c r="G2202" s="199">
        <v>0</v>
      </c>
      <c r="H2202" s="199">
        <v>0</v>
      </c>
      <c r="I2202" s="775">
        <f t="shared" si="49"/>
        <v>1299960.52</v>
      </c>
      <c r="J2202" s="192" t="s">
        <v>1123</v>
      </c>
    </row>
    <row r="2203" spans="1:10" hidden="1" outlineLevel="3">
      <c r="A2203" s="758" t="s">
        <v>1124</v>
      </c>
      <c r="B2203" s="776">
        <v>40472.36</v>
      </c>
      <c r="C2203" s="762">
        <v>0</v>
      </c>
      <c r="D2203" s="199">
        <v>0</v>
      </c>
      <c r="E2203" s="199">
        <v>0</v>
      </c>
      <c r="F2203" s="764">
        <v>0</v>
      </c>
      <c r="G2203" s="199">
        <v>0</v>
      </c>
      <c r="H2203" s="199">
        <v>0</v>
      </c>
      <c r="I2203" s="775">
        <f t="shared" si="49"/>
        <v>40472.36</v>
      </c>
      <c r="J2203" s="192" t="s">
        <v>1125</v>
      </c>
    </row>
    <row r="2204" spans="1:10" hidden="1" outlineLevel="3">
      <c r="A2204" s="758" t="s">
        <v>1126</v>
      </c>
      <c r="B2204" s="776">
        <v>793068.23</v>
      </c>
      <c r="C2204" s="762">
        <v>0</v>
      </c>
      <c r="D2204" s="199">
        <v>0</v>
      </c>
      <c r="E2204" s="199">
        <v>0</v>
      </c>
      <c r="F2204" s="764">
        <v>0</v>
      </c>
      <c r="G2204" s="199">
        <v>0</v>
      </c>
      <c r="H2204" s="199">
        <v>0</v>
      </c>
      <c r="I2204" s="775">
        <f t="shared" si="49"/>
        <v>793068.23</v>
      </c>
      <c r="J2204" s="192" t="s">
        <v>1127</v>
      </c>
    </row>
    <row r="2205" spans="1:10" hidden="1" outlineLevel="3">
      <c r="A2205" s="758" t="s">
        <v>1128</v>
      </c>
      <c r="B2205" s="776">
        <v>7477464.5700000003</v>
      </c>
      <c r="C2205" s="762">
        <v>0</v>
      </c>
      <c r="D2205" s="199">
        <v>0</v>
      </c>
      <c r="E2205" s="199">
        <v>0</v>
      </c>
      <c r="F2205" s="764">
        <v>0</v>
      </c>
      <c r="G2205" s="199">
        <v>0</v>
      </c>
      <c r="H2205" s="199">
        <v>0</v>
      </c>
      <c r="I2205" s="775">
        <f t="shared" si="49"/>
        <v>7477464.5700000003</v>
      </c>
      <c r="J2205" s="192" t="s">
        <v>1129</v>
      </c>
    </row>
    <row r="2206" spans="1:10" hidden="1" outlineLevel="3">
      <c r="A2206" s="758" t="s">
        <v>1130</v>
      </c>
      <c r="B2206" s="776">
        <v>763854.21</v>
      </c>
      <c r="C2206" s="762">
        <v>0</v>
      </c>
      <c r="D2206" s="199">
        <v>0</v>
      </c>
      <c r="E2206" s="199">
        <v>0</v>
      </c>
      <c r="F2206" s="764">
        <v>0</v>
      </c>
      <c r="G2206" s="199">
        <v>0</v>
      </c>
      <c r="H2206" s="199">
        <v>0</v>
      </c>
      <c r="I2206" s="775">
        <f t="shared" si="49"/>
        <v>763854.21</v>
      </c>
      <c r="J2206" s="192" t="s">
        <v>1131</v>
      </c>
    </row>
    <row r="2207" spans="1:10" hidden="1" outlineLevel="3">
      <c r="A2207" s="758" t="s">
        <v>1132</v>
      </c>
      <c r="B2207" s="776">
        <v>399115.23</v>
      </c>
      <c r="C2207" s="762">
        <v>0</v>
      </c>
      <c r="D2207" s="199">
        <v>0</v>
      </c>
      <c r="E2207" s="199">
        <v>0</v>
      </c>
      <c r="F2207" s="764">
        <v>0</v>
      </c>
      <c r="G2207" s="199">
        <v>0</v>
      </c>
      <c r="H2207" s="199">
        <v>0</v>
      </c>
      <c r="I2207" s="775">
        <f t="shared" si="49"/>
        <v>399115.23</v>
      </c>
      <c r="J2207" s="192" t="s">
        <v>1133</v>
      </c>
    </row>
    <row r="2208" spans="1:10" hidden="1" outlineLevel="3">
      <c r="A2208" s="758" t="s">
        <v>1134</v>
      </c>
      <c r="B2208" s="776">
        <v>465716.44</v>
      </c>
      <c r="C2208" s="762">
        <v>0</v>
      </c>
      <c r="D2208" s="199">
        <v>0</v>
      </c>
      <c r="E2208" s="199">
        <v>0</v>
      </c>
      <c r="F2208" s="764">
        <v>0</v>
      </c>
      <c r="G2208" s="199">
        <v>0</v>
      </c>
      <c r="H2208" s="199">
        <v>0</v>
      </c>
      <c r="I2208" s="775">
        <f t="shared" si="49"/>
        <v>465716.44</v>
      </c>
      <c r="J2208" s="192" t="s">
        <v>1135</v>
      </c>
    </row>
    <row r="2209" spans="1:10" hidden="1" outlineLevel="3">
      <c r="A2209" s="758" t="s">
        <v>1136</v>
      </c>
      <c r="B2209" s="776">
        <v>875780.52</v>
      </c>
      <c r="C2209" s="762">
        <v>0</v>
      </c>
      <c r="D2209" s="199">
        <v>0</v>
      </c>
      <c r="E2209" s="199">
        <v>0</v>
      </c>
      <c r="F2209" s="764">
        <v>0</v>
      </c>
      <c r="G2209" s="199">
        <v>0</v>
      </c>
      <c r="H2209" s="199">
        <v>0</v>
      </c>
      <c r="I2209" s="775">
        <f t="shared" si="49"/>
        <v>875780.52</v>
      </c>
      <c r="J2209" s="192" t="s">
        <v>1137</v>
      </c>
    </row>
    <row r="2210" spans="1:10" hidden="1" outlineLevel="3">
      <c r="A2210" s="758" t="s">
        <v>1138</v>
      </c>
      <c r="B2210" s="776">
        <v>11910756.26</v>
      </c>
      <c r="C2210" s="762">
        <v>0</v>
      </c>
      <c r="D2210" s="199">
        <v>0</v>
      </c>
      <c r="E2210" s="199">
        <v>0</v>
      </c>
      <c r="F2210" s="764">
        <v>0</v>
      </c>
      <c r="G2210" s="199">
        <v>0</v>
      </c>
      <c r="H2210" s="199">
        <v>0</v>
      </c>
      <c r="I2210" s="775">
        <f t="shared" si="49"/>
        <v>11910756.26</v>
      </c>
      <c r="J2210" s="192" t="s">
        <v>1139</v>
      </c>
    </row>
    <row r="2211" spans="1:10" hidden="1" outlineLevel="3">
      <c r="A2211" s="758" t="s">
        <v>726</v>
      </c>
      <c r="B2211" s="776">
        <v>6401.51</v>
      </c>
      <c r="C2211" s="762">
        <v>0</v>
      </c>
      <c r="D2211" s="199">
        <v>0</v>
      </c>
      <c r="E2211" s="199">
        <v>0</v>
      </c>
      <c r="F2211" s="764">
        <v>0</v>
      </c>
      <c r="G2211" s="199">
        <v>0</v>
      </c>
      <c r="H2211" s="199">
        <v>0</v>
      </c>
      <c r="I2211" s="775">
        <f t="shared" si="49"/>
        <v>6401.51</v>
      </c>
      <c r="J2211" s="192" t="s">
        <v>727</v>
      </c>
    </row>
    <row r="2212" spans="1:10" hidden="1" outlineLevel="3">
      <c r="A2212" s="758" t="s">
        <v>1140</v>
      </c>
      <c r="B2212" s="776">
        <v>9096428.8300000001</v>
      </c>
      <c r="C2212" s="762">
        <v>0</v>
      </c>
      <c r="D2212" s="199">
        <v>0</v>
      </c>
      <c r="E2212" s="199">
        <v>0</v>
      </c>
      <c r="F2212" s="764">
        <v>0</v>
      </c>
      <c r="G2212" s="199">
        <v>0</v>
      </c>
      <c r="H2212" s="199">
        <v>0</v>
      </c>
      <c r="I2212" s="775">
        <f t="shared" si="49"/>
        <v>9096428.8300000001</v>
      </c>
      <c r="J2212" s="192" t="s">
        <v>1141</v>
      </c>
    </row>
    <row r="2213" spans="1:10" hidden="1" outlineLevel="3">
      <c r="A2213" s="758" t="s">
        <v>1142</v>
      </c>
      <c r="B2213" s="776">
        <v>14829924.439999999</v>
      </c>
      <c r="C2213" s="762">
        <v>0</v>
      </c>
      <c r="D2213" s="199">
        <v>0</v>
      </c>
      <c r="E2213" s="199">
        <v>0</v>
      </c>
      <c r="F2213" s="764">
        <v>33688.86</v>
      </c>
      <c r="G2213" s="199">
        <v>5581.91</v>
      </c>
      <c r="H2213" s="199">
        <v>0</v>
      </c>
      <c r="I2213" s="775">
        <f t="shared" si="49"/>
        <v>14869195.209999999</v>
      </c>
      <c r="J2213" s="192" t="s">
        <v>1143</v>
      </c>
    </row>
    <row r="2214" spans="1:10" hidden="1" outlineLevel="3">
      <c r="A2214" s="758" t="s">
        <v>730</v>
      </c>
      <c r="B2214" s="776">
        <v>73193.45</v>
      </c>
      <c r="C2214" s="762">
        <v>0</v>
      </c>
      <c r="D2214" s="199">
        <v>0</v>
      </c>
      <c r="E2214" s="199">
        <v>0</v>
      </c>
      <c r="F2214" s="764">
        <v>0</v>
      </c>
      <c r="G2214" s="199">
        <v>0</v>
      </c>
      <c r="H2214" s="199">
        <v>0</v>
      </c>
      <c r="I2214" s="775">
        <f t="shared" si="49"/>
        <v>73193.45</v>
      </c>
      <c r="J2214" s="192" t="s">
        <v>731</v>
      </c>
    </row>
    <row r="2215" spans="1:10" hidden="1" outlineLevel="3">
      <c r="A2215" s="758" t="s">
        <v>1144</v>
      </c>
      <c r="B2215" s="776">
        <v>969405.45</v>
      </c>
      <c r="C2215" s="762">
        <v>0</v>
      </c>
      <c r="D2215" s="199">
        <v>0</v>
      </c>
      <c r="E2215" s="199">
        <v>0</v>
      </c>
      <c r="F2215" s="764">
        <v>0</v>
      </c>
      <c r="G2215" s="199">
        <v>0</v>
      </c>
      <c r="H2215" s="199">
        <v>0</v>
      </c>
      <c r="I2215" s="775">
        <f t="shared" si="49"/>
        <v>969405.45</v>
      </c>
      <c r="J2215" s="192" t="s">
        <v>1145</v>
      </c>
    </row>
    <row r="2216" spans="1:10" hidden="1" outlineLevel="3">
      <c r="A2216" s="758" t="s">
        <v>1146</v>
      </c>
      <c r="B2216" s="776">
        <v>1718275.72</v>
      </c>
      <c r="C2216" s="762">
        <v>0</v>
      </c>
      <c r="D2216" s="199">
        <v>0</v>
      </c>
      <c r="E2216" s="199">
        <v>0</v>
      </c>
      <c r="F2216" s="764">
        <v>0</v>
      </c>
      <c r="G2216" s="199">
        <v>0</v>
      </c>
      <c r="H2216" s="199">
        <v>0</v>
      </c>
      <c r="I2216" s="775">
        <f t="shared" si="49"/>
        <v>1718275.72</v>
      </c>
      <c r="J2216" s="192" t="s">
        <v>1147</v>
      </c>
    </row>
    <row r="2217" spans="1:10" hidden="1" outlineLevel="3">
      <c r="A2217" s="758" t="s">
        <v>1148</v>
      </c>
      <c r="B2217" s="776">
        <v>519290.15</v>
      </c>
      <c r="C2217" s="762">
        <v>0</v>
      </c>
      <c r="D2217" s="199">
        <v>0</v>
      </c>
      <c r="E2217" s="199">
        <v>0</v>
      </c>
      <c r="F2217" s="764">
        <v>0</v>
      </c>
      <c r="G2217" s="199">
        <v>0</v>
      </c>
      <c r="H2217" s="199">
        <v>0</v>
      </c>
      <c r="I2217" s="775">
        <f t="shared" si="49"/>
        <v>519290.15</v>
      </c>
      <c r="J2217" s="192" t="s">
        <v>1149</v>
      </c>
    </row>
    <row r="2218" spans="1:10" hidden="1" outlineLevel="3">
      <c r="A2218" s="758" t="s">
        <v>1150</v>
      </c>
      <c r="B2218" s="776">
        <v>3521494.83</v>
      </c>
      <c r="C2218" s="762">
        <v>0</v>
      </c>
      <c r="D2218" s="199">
        <v>0</v>
      </c>
      <c r="E2218" s="199">
        <v>0</v>
      </c>
      <c r="F2218" s="764">
        <v>0</v>
      </c>
      <c r="G2218" s="199">
        <v>0</v>
      </c>
      <c r="H2218" s="199">
        <v>0</v>
      </c>
      <c r="I2218" s="775">
        <f t="shared" si="49"/>
        <v>3521494.83</v>
      </c>
      <c r="J2218" s="192" t="s">
        <v>1151</v>
      </c>
    </row>
    <row r="2219" spans="1:10" hidden="1" outlineLevel="3">
      <c r="A2219" s="758" t="s">
        <v>1152</v>
      </c>
      <c r="B2219" s="776">
        <v>1106437.3899999999</v>
      </c>
      <c r="C2219" s="762">
        <v>0</v>
      </c>
      <c r="D2219" s="199">
        <v>0</v>
      </c>
      <c r="E2219" s="199">
        <v>0</v>
      </c>
      <c r="F2219" s="764">
        <v>0</v>
      </c>
      <c r="G2219" s="199">
        <v>0</v>
      </c>
      <c r="H2219" s="199">
        <v>0</v>
      </c>
      <c r="I2219" s="775">
        <f t="shared" si="49"/>
        <v>1106437.3899999999</v>
      </c>
      <c r="J2219" s="192" t="s">
        <v>1153</v>
      </c>
    </row>
    <row r="2220" spans="1:10" hidden="1" outlineLevel="3">
      <c r="A2220" s="758" t="s">
        <v>1154</v>
      </c>
      <c r="B2220" s="776">
        <v>14730.17</v>
      </c>
      <c r="C2220" s="762">
        <v>0</v>
      </c>
      <c r="D2220" s="199">
        <v>0</v>
      </c>
      <c r="E2220" s="199">
        <v>0</v>
      </c>
      <c r="F2220" s="764">
        <v>0</v>
      </c>
      <c r="G2220" s="199">
        <v>0</v>
      </c>
      <c r="H2220" s="199">
        <v>0</v>
      </c>
      <c r="I2220" s="775">
        <f t="shared" si="49"/>
        <v>14730.17</v>
      </c>
      <c r="J2220" s="192" t="s">
        <v>1155</v>
      </c>
    </row>
    <row r="2221" spans="1:10" hidden="1" outlineLevel="3">
      <c r="A2221" s="758" t="s">
        <v>1156</v>
      </c>
      <c r="B2221" s="776">
        <v>788100.7</v>
      </c>
      <c r="C2221" s="762">
        <v>0</v>
      </c>
      <c r="D2221" s="199">
        <v>0</v>
      </c>
      <c r="E2221" s="199">
        <v>0</v>
      </c>
      <c r="F2221" s="764">
        <v>0</v>
      </c>
      <c r="G2221" s="199">
        <v>0</v>
      </c>
      <c r="H2221" s="199">
        <v>0</v>
      </c>
      <c r="I2221" s="775">
        <f t="shared" si="49"/>
        <v>788100.7</v>
      </c>
      <c r="J2221" s="192" t="s">
        <v>1157</v>
      </c>
    </row>
    <row r="2222" spans="1:10" hidden="1" outlineLevel="3">
      <c r="A2222" s="758" t="s">
        <v>1158</v>
      </c>
      <c r="B2222" s="776">
        <v>1152138.6000000001</v>
      </c>
      <c r="C2222" s="762">
        <v>0</v>
      </c>
      <c r="D2222" s="199">
        <v>0</v>
      </c>
      <c r="E2222" s="199">
        <v>0</v>
      </c>
      <c r="F2222" s="764">
        <v>0</v>
      </c>
      <c r="G2222" s="199">
        <v>0</v>
      </c>
      <c r="H2222" s="199">
        <v>0</v>
      </c>
      <c r="I2222" s="775">
        <f t="shared" si="49"/>
        <v>1152138.6000000001</v>
      </c>
      <c r="J2222" s="192" t="s">
        <v>1159</v>
      </c>
    </row>
    <row r="2223" spans="1:10" hidden="1" outlineLevel="3">
      <c r="A2223" s="758" t="s">
        <v>1160</v>
      </c>
      <c r="B2223" s="776">
        <v>1217846.94</v>
      </c>
      <c r="C2223" s="762">
        <v>0</v>
      </c>
      <c r="D2223" s="199">
        <v>0</v>
      </c>
      <c r="E2223" s="199">
        <v>0</v>
      </c>
      <c r="F2223" s="764">
        <v>0</v>
      </c>
      <c r="G2223" s="199">
        <v>0</v>
      </c>
      <c r="H2223" s="199">
        <v>0</v>
      </c>
      <c r="I2223" s="775">
        <f t="shared" si="49"/>
        <v>1217846.94</v>
      </c>
      <c r="J2223" s="192" t="s">
        <v>1161</v>
      </c>
    </row>
    <row r="2224" spans="1:10" hidden="1" outlineLevel="3">
      <c r="A2224" s="758" t="s">
        <v>1162</v>
      </c>
      <c r="B2224" s="776">
        <v>294969.06</v>
      </c>
      <c r="C2224" s="762">
        <v>0</v>
      </c>
      <c r="D2224" s="199">
        <v>0</v>
      </c>
      <c r="E2224" s="199">
        <v>0</v>
      </c>
      <c r="F2224" s="764">
        <v>0</v>
      </c>
      <c r="G2224" s="199">
        <v>0</v>
      </c>
      <c r="H2224" s="199">
        <v>0</v>
      </c>
      <c r="I2224" s="775">
        <f t="shared" si="49"/>
        <v>294969.06</v>
      </c>
      <c r="J2224" s="192" t="s">
        <v>1163</v>
      </c>
    </row>
    <row r="2225" spans="1:10" hidden="1" outlineLevel="3">
      <c r="A2225" s="758" t="s">
        <v>1164</v>
      </c>
      <c r="B2225" s="776">
        <v>139101.60999999999</v>
      </c>
      <c r="C2225" s="762">
        <v>0</v>
      </c>
      <c r="D2225" s="199">
        <v>0</v>
      </c>
      <c r="E2225" s="199">
        <v>0</v>
      </c>
      <c r="F2225" s="764">
        <v>0</v>
      </c>
      <c r="G2225" s="199">
        <v>0</v>
      </c>
      <c r="H2225" s="199">
        <v>0</v>
      </c>
      <c r="I2225" s="775">
        <f t="shared" si="49"/>
        <v>139101.60999999999</v>
      </c>
      <c r="J2225" s="192" t="s">
        <v>1165</v>
      </c>
    </row>
    <row r="2226" spans="1:10" hidden="1" outlineLevel="3">
      <c r="A2226" s="758" t="s">
        <v>1166</v>
      </c>
      <c r="B2226" s="776">
        <v>185250.75</v>
      </c>
      <c r="C2226" s="762">
        <v>0</v>
      </c>
      <c r="D2226" s="199">
        <v>0</v>
      </c>
      <c r="E2226" s="199">
        <v>0</v>
      </c>
      <c r="F2226" s="764">
        <v>0</v>
      </c>
      <c r="G2226" s="199">
        <v>0</v>
      </c>
      <c r="H2226" s="199">
        <v>0</v>
      </c>
      <c r="I2226" s="775">
        <f t="shared" si="49"/>
        <v>185250.75</v>
      </c>
      <c r="J2226" s="192" t="s">
        <v>1167</v>
      </c>
    </row>
    <row r="2227" spans="1:10" hidden="1" outlineLevel="3">
      <c r="A2227" s="758" t="s">
        <v>1168</v>
      </c>
      <c r="B2227" s="776">
        <v>444187.65</v>
      </c>
      <c r="C2227" s="762">
        <v>0</v>
      </c>
      <c r="D2227" s="199">
        <v>0</v>
      </c>
      <c r="E2227" s="199">
        <v>0</v>
      </c>
      <c r="F2227" s="764">
        <v>0</v>
      </c>
      <c r="G2227" s="199">
        <v>0</v>
      </c>
      <c r="H2227" s="199">
        <v>0</v>
      </c>
      <c r="I2227" s="775">
        <f t="shared" si="49"/>
        <v>444187.65</v>
      </c>
      <c r="J2227" s="192" t="s">
        <v>1169</v>
      </c>
    </row>
    <row r="2228" spans="1:10" hidden="1" outlineLevel="3">
      <c r="A2228" s="758" t="s">
        <v>1170</v>
      </c>
      <c r="B2228" s="776">
        <v>2005454.24</v>
      </c>
      <c r="C2228" s="762">
        <v>0</v>
      </c>
      <c r="D2228" s="199">
        <v>0</v>
      </c>
      <c r="E2228" s="199">
        <v>0</v>
      </c>
      <c r="F2228" s="764">
        <v>0</v>
      </c>
      <c r="G2228" s="199">
        <v>0</v>
      </c>
      <c r="H2228" s="199">
        <v>0</v>
      </c>
      <c r="I2228" s="775">
        <f t="shared" si="49"/>
        <v>2005454.24</v>
      </c>
      <c r="J2228" s="192" t="s">
        <v>1171</v>
      </c>
    </row>
    <row r="2229" spans="1:10" hidden="1" outlineLevel="3">
      <c r="A2229" s="758" t="s">
        <v>1172</v>
      </c>
      <c r="B2229" s="776">
        <v>1147577.73</v>
      </c>
      <c r="C2229" s="762">
        <v>0</v>
      </c>
      <c r="D2229" s="199">
        <v>0</v>
      </c>
      <c r="E2229" s="199">
        <v>0</v>
      </c>
      <c r="F2229" s="764">
        <v>0</v>
      </c>
      <c r="G2229" s="199">
        <v>0</v>
      </c>
      <c r="H2229" s="199">
        <v>0</v>
      </c>
      <c r="I2229" s="775">
        <f t="shared" si="49"/>
        <v>1147577.73</v>
      </c>
      <c r="J2229" s="192" t="s">
        <v>1173</v>
      </c>
    </row>
    <row r="2230" spans="1:10" hidden="1" outlineLevel="3">
      <c r="A2230" s="758" t="s">
        <v>1174</v>
      </c>
      <c r="B2230" s="776">
        <v>6693550.9500000002</v>
      </c>
      <c r="C2230" s="762">
        <v>0</v>
      </c>
      <c r="D2230" s="199">
        <v>0</v>
      </c>
      <c r="E2230" s="199">
        <v>0</v>
      </c>
      <c r="F2230" s="764">
        <v>3967.27</v>
      </c>
      <c r="G2230" s="199">
        <v>0</v>
      </c>
      <c r="H2230" s="199">
        <v>0</v>
      </c>
      <c r="I2230" s="775">
        <f t="shared" si="49"/>
        <v>6697518.2199999997</v>
      </c>
      <c r="J2230" s="192" t="s">
        <v>1175</v>
      </c>
    </row>
    <row r="2231" spans="1:10" hidden="1" outlineLevel="3">
      <c r="A2231" s="758" t="s">
        <v>1176</v>
      </c>
      <c r="B2231" s="776">
        <v>1591825.61</v>
      </c>
      <c r="C2231" s="762">
        <v>0</v>
      </c>
      <c r="D2231" s="199">
        <v>0</v>
      </c>
      <c r="E2231" s="199">
        <v>0</v>
      </c>
      <c r="F2231" s="764">
        <v>0</v>
      </c>
      <c r="G2231" s="199">
        <v>0</v>
      </c>
      <c r="H2231" s="199">
        <v>0</v>
      </c>
      <c r="I2231" s="775">
        <f t="shared" si="49"/>
        <v>1591825.61</v>
      </c>
      <c r="J2231" s="192" t="s">
        <v>1177</v>
      </c>
    </row>
    <row r="2232" spans="1:10" hidden="1" outlineLevel="3">
      <c r="A2232" s="758" t="s">
        <v>1178</v>
      </c>
      <c r="B2232" s="776">
        <v>262291.28000000003</v>
      </c>
      <c r="C2232" s="762">
        <v>0</v>
      </c>
      <c r="D2232" s="199">
        <v>0</v>
      </c>
      <c r="E2232" s="199">
        <v>0</v>
      </c>
      <c r="F2232" s="764">
        <v>0</v>
      </c>
      <c r="G2232" s="199">
        <v>0</v>
      </c>
      <c r="H2232" s="199">
        <v>0</v>
      </c>
      <c r="I2232" s="775">
        <f t="shared" si="49"/>
        <v>262291.28000000003</v>
      </c>
      <c r="J2232" s="192" t="s">
        <v>1179</v>
      </c>
    </row>
    <row r="2233" spans="1:10" hidden="1" outlineLevel="3">
      <c r="A2233" s="758" t="s">
        <v>1180</v>
      </c>
      <c r="B2233" s="776">
        <v>668351.96</v>
      </c>
      <c r="C2233" s="762">
        <v>0</v>
      </c>
      <c r="D2233" s="199">
        <v>0</v>
      </c>
      <c r="E2233" s="199">
        <v>0</v>
      </c>
      <c r="F2233" s="764">
        <v>0</v>
      </c>
      <c r="G2233" s="199">
        <v>0</v>
      </c>
      <c r="H2233" s="199">
        <v>0</v>
      </c>
      <c r="I2233" s="775">
        <f t="shared" si="49"/>
        <v>668351.96</v>
      </c>
      <c r="J2233" s="192" t="s">
        <v>1181</v>
      </c>
    </row>
    <row r="2234" spans="1:10" hidden="1" outlineLevel="3">
      <c r="A2234" s="758" t="s">
        <v>1182</v>
      </c>
      <c r="B2234" s="776">
        <v>1281626.5</v>
      </c>
      <c r="C2234" s="762">
        <v>0</v>
      </c>
      <c r="D2234" s="199">
        <v>0</v>
      </c>
      <c r="E2234" s="199">
        <v>0</v>
      </c>
      <c r="F2234" s="764">
        <v>0</v>
      </c>
      <c r="G2234" s="199">
        <v>0</v>
      </c>
      <c r="H2234" s="199">
        <v>0</v>
      </c>
      <c r="I2234" s="775">
        <f t="shared" si="49"/>
        <v>1281626.5</v>
      </c>
      <c r="J2234" s="192" t="s">
        <v>1183</v>
      </c>
    </row>
    <row r="2235" spans="1:10" hidden="1" outlineLevel="3">
      <c r="A2235" s="758" t="s">
        <v>1184</v>
      </c>
      <c r="B2235" s="776">
        <v>80291.11</v>
      </c>
      <c r="C2235" s="762">
        <v>0</v>
      </c>
      <c r="D2235" s="199">
        <v>0</v>
      </c>
      <c r="E2235" s="199">
        <v>0</v>
      </c>
      <c r="F2235" s="764">
        <v>0</v>
      </c>
      <c r="G2235" s="199">
        <v>0</v>
      </c>
      <c r="H2235" s="199">
        <v>0</v>
      </c>
      <c r="I2235" s="775">
        <f t="shared" si="49"/>
        <v>80291.11</v>
      </c>
      <c r="J2235" s="192" t="s">
        <v>1185</v>
      </c>
    </row>
    <row r="2236" spans="1:10" hidden="1" outlineLevel="3">
      <c r="A2236" s="758" t="s">
        <v>1186</v>
      </c>
      <c r="B2236" s="776">
        <v>28670.92</v>
      </c>
      <c r="C2236" s="762">
        <v>0</v>
      </c>
      <c r="D2236" s="199">
        <v>504251.18</v>
      </c>
      <c r="E2236" s="199">
        <v>0</v>
      </c>
      <c r="F2236" s="764">
        <v>0</v>
      </c>
      <c r="G2236" s="199">
        <v>0</v>
      </c>
      <c r="H2236" s="199">
        <v>0</v>
      </c>
      <c r="I2236" s="775">
        <f t="shared" si="49"/>
        <v>532922.1</v>
      </c>
      <c r="J2236" s="192" t="s">
        <v>1187</v>
      </c>
    </row>
    <row r="2237" spans="1:10" hidden="1" outlineLevel="3">
      <c r="A2237" s="758" t="s">
        <v>1186</v>
      </c>
      <c r="B2237" s="776">
        <v>69503.89</v>
      </c>
      <c r="C2237" s="762">
        <v>0</v>
      </c>
      <c r="D2237" s="199">
        <v>21269.34</v>
      </c>
      <c r="E2237" s="199">
        <v>0</v>
      </c>
      <c r="F2237" s="764">
        <v>0</v>
      </c>
      <c r="G2237" s="199">
        <v>0</v>
      </c>
      <c r="H2237" s="199">
        <v>0</v>
      </c>
      <c r="I2237" s="775">
        <f t="shared" si="49"/>
        <v>90773.23</v>
      </c>
      <c r="J2237" s="192" t="s">
        <v>1187</v>
      </c>
    </row>
    <row r="2238" spans="1:10" hidden="1" outlineLevel="3">
      <c r="A2238" s="758" t="s">
        <v>1186</v>
      </c>
      <c r="B2238" s="776">
        <v>51545.56</v>
      </c>
      <c r="C2238" s="762">
        <v>0</v>
      </c>
      <c r="D2238" s="199">
        <v>373926.41</v>
      </c>
      <c r="E2238" s="199">
        <v>0</v>
      </c>
      <c r="F2238" s="764">
        <v>0</v>
      </c>
      <c r="G2238" s="199">
        <v>0</v>
      </c>
      <c r="H2238" s="199">
        <v>0</v>
      </c>
      <c r="I2238" s="775">
        <f t="shared" si="49"/>
        <v>425471.97</v>
      </c>
      <c r="J2238" s="192" t="s">
        <v>1187</v>
      </c>
    </row>
    <row r="2239" spans="1:10" hidden="1" outlineLevel="3">
      <c r="A2239" s="758" t="s">
        <v>1188</v>
      </c>
      <c r="B2239" s="776">
        <v>159047.09</v>
      </c>
      <c r="C2239" s="762">
        <v>0</v>
      </c>
      <c r="D2239" s="199">
        <v>0</v>
      </c>
      <c r="E2239" s="199">
        <v>0</v>
      </c>
      <c r="F2239" s="764">
        <v>0</v>
      </c>
      <c r="G2239" s="199">
        <v>0</v>
      </c>
      <c r="H2239" s="199">
        <v>0</v>
      </c>
      <c r="I2239" s="775">
        <f t="shared" ref="I2239:I2257" si="50">SUM(B2239:H2239)</f>
        <v>159047.09</v>
      </c>
      <c r="J2239" s="192" t="s">
        <v>1189</v>
      </c>
    </row>
    <row r="2240" spans="1:10" hidden="1" outlineLevel="3">
      <c r="A2240" s="758" t="s">
        <v>1190</v>
      </c>
      <c r="B2240" s="776">
        <v>554257.53</v>
      </c>
      <c r="C2240" s="762">
        <v>0</v>
      </c>
      <c r="D2240" s="199">
        <v>0</v>
      </c>
      <c r="E2240" s="199">
        <v>0</v>
      </c>
      <c r="F2240" s="764">
        <v>0</v>
      </c>
      <c r="G2240" s="199">
        <v>0</v>
      </c>
      <c r="H2240" s="199">
        <v>0</v>
      </c>
      <c r="I2240" s="775">
        <f t="shared" si="50"/>
        <v>554257.53</v>
      </c>
      <c r="J2240" s="192" t="s">
        <v>1191</v>
      </c>
    </row>
    <row r="2241" spans="1:10" hidden="1" outlineLevel="3">
      <c r="A2241" s="758" t="s">
        <v>1192</v>
      </c>
      <c r="B2241" s="776">
        <v>267941.28999999998</v>
      </c>
      <c r="C2241" s="762">
        <v>0</v>
      </c>
      <c r="D2241" s="199">
        <v>0</v>
      </c>
      <c r="E2241" s="199">
        <v>0</v>
      </c>
      <c r="F2241" s="764">
        <v>0</v>
      </c>
      <c r="G2241" s="199">
        <v>0</v>
      </c>
      <c r="H2241" s="199">
        <v>0</v>
      </c>
      <c r="I2241" s="775">
        <f t="shared" si="50"/>
        <v>267941.28999999998</v>
      </c>
      <c r="J2241" s="192" t="s">
        <v>1193</v>
      </c>
    </row>
    <row r="2242" spans="1:10" hidden="1" outlineLevel="3">
      <c r="A2242" s="758" t="s">
        <v>1194</v>
      </c>
      <c r="B2242" s="776">
        <v>306156.5</v>
      </c>
      <c r="C2242" s="762">
        <v>0</v>
      </c>
      <c r="D2242" s="199">
        <v>0</v>
      </c>
      <c r="E2242" s="199">
        <v>0</v>
      </c>
      <c r="F2242" s="764">
        <v>0</v>
      </c>
      <c r="G2242" s="199">
        <v>0</v>
      </c>
      <c r="H2242" s="199">
        <v>0</v>
      </c>
      <c r="I2242" s="775">
        <f t="shared" si="50"/>
        <v>306156.5</v>
      </c>
      <c r="J2242" s="192" t="s">
        <v>1195</v>
      </c>
    </row>
    <row r="2243" spans="1:10" hidden="1" outlineLevel="3">
      <c r="A2243" s="758" t="s">
        <v>1196</v>
      </c>
      <c r="B2243" s="776">
        <v>9903924.2699999996</v>
      </c>
      <c r="C2243" s="762">
        <v>0</v>
      </c>
      <c r="D2243" s="199">
        <v>0</v>
      </c>
      <c r="E2243" s="199">
        <v>0</v>
      </c>
      <c r="F2243" s="764">
        <v>0</v>
      </c>
      <c r="G2243" s="199">
        <v>0</v>
      </c>
      <c r="H2243" s="199">
        <v>0</v>
      </c>
      <c r="I2243" s="775">
        <f t="shared" si="50"/>
        <v>9903924.2699999996</v>
      </c>
      <c r="J2243" s="192" t="s">
        <v>1197</v>
      </c>
    </row>
    <row r="2244" spans="1:10" hidden="1" outlineLevel="3">
      <c r="A2244" s="758" t="s">
        <v>1198</v>
      </c>
      <c r="B2244" s="776">
        <v>757909.5</v>
      </c>
      <c r="C2244" s="762">
        <v>0</v>
      </c>
      <c r="D2244" s="199">
        <v>0</v>
      </c>
      <c r="E2244" s="199">
        <v>0</v>
      </c>
      <c r="F2244" s="764">
        <v>0</v>
      </c>
      <c r="G2244" s="199">
        <v>0</v>
      </c>
      <c r="H2244" s="199">
        <v>0</v>
      </c>
      <c r="I2244" s="775">
        <f t="shared" si="50"/>
        <v>757909.5</v>
      </c>
      <c r="J2244" s="192" t="s">
        <v>1199</v>
      </c>
    </row>
    <row r="2245" spans="1:10" hidden="1" outlineLevel="3">
      <c r="A2245" s="758" t="s">
        <v>1200</v>
      </c>
      <c r="B2245" s="776">
        <v>3427397.51</v>
      </c>
      <c r="C2245" s="762">
        <v>0</v>
      </c>
      <c r="D2245" s="199">
        <v>0</v>
      </c>
      <c r="E2245" s="199">
        <v>0</v>
      </c>
      <c r="F2245" s="764">
        <v>0</v>
      </c>
      <c r="G2245" s="199">
        <v>0</v>
      </c>
      <c r="H2245" s="199">
        <v>0</v>
      </c>
      <c r="I2245" s="775">
        <f t="shared" si="50"/>
        <v>3427397.51</v>
      </c>
      <c r="J2245" s="192" t="s">
        <v>1201</v>
      </c>
    </row>
    <row r="2246" spans="1:10" hidden="1" outlineLevel="3">
      <c r="A2246" s="758" t="s">
        <v>1202</v>
      </c>
      <c r="B2246" s="776">
        <v>327056.86</v>
      </c>
      <c r="C2246" s="762">
        <v>0</v>
      </c>
      <c r="D2246" s="199">
        <v>0</v>
      </c>
      <c r="E2246" s="199">
        <v>0</v>
      </c>
      <c r="F2246" s="764">
        <v>0</v>
      </c>
      <c r="G2246" s="199">
        <v>0</v>
      </c>
      <c r="H2246" s="199">
        <v>0</v>
      </c>
      <c r="I2246" s="775">
        <f t="shared" si="50"/>
        <v>327056.86</v>
      </c>
      <c r="J2246" s="192" t="s">
        <v>1203</v>
      </c>
    </row>
    <row r="2247" spans="1:10" hidden="1" outlineLevel="3">
      <c r="A2247" s="758" t="s">
        <v>1202</v>
      </c>
      <c r="B2247" s="776">
        <v>40822.58</v>
      </c>
      <c r="C2247" s="762">
        <v>0</v>
      </c>
      <c r="D2247" s="199">
        <v>0</v>
      </c>
      <c r="E2247" s="199">
        <v>0</v>
      </c>
      <c r="F2247" s="764">
        <v>0</v>
      </c>
      <c r="G2247" s="199">
        <v>0</v>
      </c>
      <c r="H2247" s="199">
        <v>0</v>
      </c>
      <c r="I2247" s="775">
        <f t="shared" si="50"/>
        <v>40822.58</v>
      </c>
      <c r="J2247" s="192" t="s">
        <v>1203</v>
      </c>
    </row>
    <row r="2248" spans="1:10" hidden="1" outlineLevel="3">
      <c r="A2248" s="758" t="s">
        <v>1202</v>
      </c>
      <c r="B2248" s="776">
        <v>203185.97</v>
      </c>
      <c r="C2248" s="762">
        <v>0</v>
      </c>
      <c r="D2248" s="199">
        <v>0</v>
      </c>
      <c r="E2248" s="199">
        <v>0</v>
      </c>
      <c r="F2248" s="764">
        <v>0</v>
      </c>
      <c r="G2248" s="199">
        <v>0</v>
      </c>
      <c r="H2248" s="199">
        <v>0</v>
      </c>
      <c r="I2248" s="775">
        <f t="shared" si="50"/>
        <v>203185.97</v>
      </c>
      <c r="J2248" s="192" t="s">
        <v>1203</v>
      </c>
    </row>
    <row r="2249" spans="1:10" hidden="1" outlineLevel="3">
      <c r="A2249" s="758" t="s">
        <v>1204</v>
      </c>
      <c r="B2249" s="776">
        <v>32413.439999999999</v>
      </c>
      <c r="C2249" s="762">
        <v>0</v>
      </c>
      <c r="D2249" s="199">
        <v>0</v>
      </c>
      <c r="E2249" s="199">
        <v>0</v>
      </c>
      <c r="F2249" s="764">
        <v>0</v>
      </c>
      <c r="G2249" s="199">
        <v>0</v>
      </c>
      <c r="H2249" s="199">
        <v>0</v>
      </c>
      <c r="I2249" s="775">
        <f t="shared" si="50"/>
        <v>32413.439999999999</v>
      </c>
      <c r="J2249" s="192" t="s">
        <v>1205</v>
      </c>
    </row>
    <row r="2250" spans="1:10" hidden="1" outlineLevel="3">
      <c r="A2250" s="758" t="s">
        <v>1206</v>
      </c>
      <c r="B2250" s="776">
        <v>419504.5</v>
      </c>
      <c r="C2250" s="762">
        <v>0</v>
      </c>
      <c r="D2250" s="199">
        <v>0</v>
      </c>
      <c r="E2250" s="199">
        <v>0</v>
      </c>
      <c r="F2250" s="764">
        <v>0</v>
      </c>
      <c r="G2250" s="199">
        <v>0</v>
      </c>
      <c r="H2250" s="199">
        <v>0</v>
      </c>
      <c r="I2250" s="775">
        <f t="shared" si="50"/>
        <v>419504.5</v>
      </c>
      <c r="J2250" s="192" t="s">
        <v>1207</v>
      </c>
    </row>
    <row r="2251" spans="1:10" hidden="1" outlineLevel="3">
      <c r="A2251" s="758" t="s">
        <v>1208</v>
      </c>
      <c r="B2251" s="776">
        <v>496587.28</v>
      </c>
      <c r="C2251" s="762">
        <v>0</v>
      </c>
      <c r="D2251" s="199">
        <v>0</v>
      </c>
      <c r="E2251" s="199">
        <v>0</v>
      </c>
      <c r="F2251" s="764">
        <v>0</v>
      </c>
      <c r="G2251" s="199">
        <v>0</v>
      </c>
      <c r="H2251" s="199">
        <v>0</v>
      </c>
      <c r="I2251" s="775">
        <f t="shared" si="50"/>
        <v>496587.28</v>
      </c>
      <c r="J2251" s="192" t="s">
        <v>1209</v>
      </c>
    </row>
    <row r="2252" spans="1:10" hidden="1" outlineLevel="3">
      <c r="A2252" s="758" t="s">
        <v>1210</v>
      </c>
      <c r="B2252" s="776">
        <v>5210377.7300000004</v>
      </c>
      <c r="C2252" s="762">
        <v>0</v>
      </c>
      <c r="D2252" s="199">
        <v>0</v>
      </c>
      <c r="E2252" s="199">
        <v>0</v>
      </c>
      <c r="F2252" s="764">
        <v>0</v>
      </c>
      <c r="G2252" s="199">
        <v>0</v>
      </c>
      <c r="H2252" s="199">
        <v>0</v>
      </c>
      <c r="I2252" s="775">
        <f t="shared" si="50"/>
        <v>5210377.7300000004</v>
      </c>
      <c r="J2252" s="192" t="s">
        <v>1211</v>
      </c>
    </row>
    <row r="2253" spans="1:10" hidden="1" outlineLevel="3">
      <c r="A2253" s="758" t="s">
        <v>1212</v>
      </c>
      <c r="B2253" s="776">
        <v>379414.16</v>
      </c>
      <c r="C2253" s="762">
        <v>0</v>
      </c>
      <c r="D2253" s="199">
        <v>0</v>
      </c>
      <c r="E2253" s="199">
        <v>0</v>
      </c>
      <c r="F2253" s="764">
        <v>0</v>
      </c>
      <c r="G2253" s="199">
        <v>0</v>
      </c>
      <c r="H2253" s="199">
        <v>0</v>
      </c>
      <c r="I2253" s="775">
        <f t="shared" si="50"/>
        <v>379414.16</v>
      </c>
      <c r="J2253" s="192" t="s">
        <v>1213</v>
      </c>
    </row>
    <row r="2254" spans="1:10" hidden="1" outlineLevel="3">
      <c r="A2254" s="758" t="s">
        <v>1214</v>
      </c>
      <c r="B2254" s="776">
        <v>949497.99</v>
      </c>
      <c r="C2254" s="762">
        <v>0</v>
      </c>
      <c r="D2254" s="199">
        <v>0</v>
      </c>
      <c r="E2254" s="199">
        <v>0</v>
      </c>
      <c r="F2254" s="764">
        <v>0</v>
      </c>
      <c r="G2254" s="199">
        <v>0</v>
      </c>
      <c r="H2254" s="199">
        <v>0</v>
      </c>
      <c r="I2254" s="775">
        <f t="shared" si="50"/>
        <v>949497.99</v>
      </c>
      <c r="J2254" s="192" t="s">
        <v>1215</v>
      </c>
    </row>
    <row r="2255" spans="1:10" hidden="1" outlineLevel="3">
      <c r="A2255" s="758" t="s">
        <v>768</v>
      </c>
      <c r="B2255" s="776">
        <v>224926.2</v>
      </c>
      <c r="C2255" s="762">
        <v>0</v>
      </c>
      <c r="D2255" s="199">
        <v>0</v>
      </c>
      <c r="E2255" s="199">
        <v>0</v>
      </c>
      <c r="F2255" s="764">
        <v>0</v>
      </c>
      <c r="G2255" s="199">
        <v>0</v>
      </c>
      <c r="H2255" s="199">
        <v>0</v>
      </c>
      <c r="I2255" s="775">
        <f t="shared" si="50"/>
        <v>224926.2</v>
      </c>
      <c r="J2255" s="192" t="s">
        <v>769</v>
      </c>
    </row>
    <row r="2256" spans="1:10" hidden="1" outlineLevel="3">
      <c r="A2256" s="758" t="s">
        <v>1216</v>
      </c>
      <c r="B2256" s="776">
        <v>102115.45</v>
      </c>
      <c r="C2256" s="762">
        <v>0</v>
      </c>
      <c r="D2256" s="199">
        <v>0</v>
      </c>
      <c r="E2256" s="199">
        <v>0</v>
      </c>
      <c r="F2256" s="764">
        <v>0</v>
      </c>
      <c r="G2256" s="199">
        <v>0</v>
      </c>
      <c r="H2256" s="199">
        <v>0</v>
      </c>
      <c r="I2256" s="775">
        <f t="shared" si="50"/>
        <v>102115.45</v>
      </c>
      <c r="J2256" s="192" t="s">
        <v>1217</v>
      </c>
    </row>
    <row r="2257" spans="1:10" hidden="1" outlineLevel="3">
      <c r="A2257" s="758" t="s">
        <v>1218</v>
      </c>
      <c r="B2257" s="776">
        <v>1188195.45</v>
      </c>
      <c r="C2257" s="762">
        <v>0</v>
      </c>
      <c r="D2257" s="199">
        <v>0</v>
      </c>
      <c r="E2257" s="199">
        <v>0</v>
      </c>
      <c r="F2257" s="764">
        <v>0</v>
      </c>
      <c r="G2257" s="199">
        <v>0</v>
      </c>
      <c r="H2257" s="199">
        <v>0</v>
      </c>
      <c r="I2257" s="775">
        <f t="shared" si="50"/>
        <v>1188195.45</v>
      </c>
      <c r="J2257" s="192" t="s">
        <v>1219</v>
      </c>
    </row>
    <row r="2258" spans="1:10" collapsed="1">
      <c r="A2258" s="742" t="str">
        <f>A414</f>
        <v>Regelzone TenneT (gesamt)</v>
      </c>
      <c r="B2258" s="774">
        <f t="shared" ref="B2258:H2258" si="51">SUM(B2259:B2625)</f>
        <v>824383544.51304007</v>
      </c>
      <c r="C2258" s="767">
        <f t="shared" si="51"/>
        <v>0</v>
      </c>
      <c r="D2258" s="393">
        <f t="shared" si="51"/>
        <v>10420.23</v>
      </c>
      <c r="E2258" s="393">
        <f t="shared" si="51"/>
        <v>0</v>
      </c>
      <c r="F2258" s="767">
        <f t="shared" si="51"/>
        <v>3785895.11</v>
      </c>
      <c r="G2258" s="393">
        <f t="shared" si="51"/>
        <v>42449.25</v>
      </c>
      <c r="H2258" s="393">
        <f t="shared" si="51"/>
        <v>182.97</v>
      </c>
      <c r="I2258" s="775">
        <f t="shared" ref="I2258:I2321" si="52">SUM(B2258:H2258)</f>
        <v>828222492.07304013</v>
      </c>
    </row>
    <row r="2259" spans="1:10" hidden="1" outlineLevel="1">
      <c r="A2259" s="759" t="s">
        <v>2193</v>
      </c>
      <c r="B2259" s="777">
        <v>48143.55</v>
      </c>
      <c r="C2259" s="768">
        <v>0</v>
      </c>
      <c r="D2259" s="715">
        <v>0</v>
      </c>
      <c r="E2259" s="715">
        <v>0</v>
      </c>
      <c r="F2259" s="715">
        <v>0</v>
      </c>
      <c r="G2259" s="715">
        <v>0</v>
      </c>
      <c r="H2259" s="715">
        <v>0</v>
      </c>
      <c r="I2259" s="775">
        <f t="shared" si="52"/>
        <v>48143.55</v>
      </c>
      <c r="J2259" s="192" t="s">
        <v>2194</v>
      </c>
    </row>
    <row r="2260" spans="1:10" hidden="1" outlineLevel="1">
      <c r="A2260" s="759" t="s">
        <v>1738</v>
      </c>
      <c r="B2260" s="777">
        <v>158850.64000000001</v>
      </c>
      <c r="C2260" s="768">
        <v>0</v>
      </c>
      <c r="D2260" s="715">
        <v>0</v>
      </c>
      <c r="E2260" s="715">
        <v>0</v>
      </c>
      <c r="F2260" s="715">
        <v>0</v>
      </c>
      <c r="G2260" s="715">
        <v>0</v>
      </c>
      <c r="H2260" s="715">
        <v>0</v>
      </c>
      <c r="I2260" s="775">
        <f t="shared" si="52"/>
        <v>158850.64000000001</v>
      </c>
      <c r="J2260" s="192" t="s">
        <v>1739</v>
      </c>
    </row>
    <row r="2261" spans="1:10" hidden="1" outlineLevel="1">
      <c r="A2261" s="759" t="s">
        <v>1812</v>
      </c>
      <c r="B2261" s="777">
        <v>257711.77</v>
      </c>
      <c r="C2261" s="768">
        <v>0</v>
      </c>
      <c r="D2261" s="715">
        <v>0</v>
      </c>
      <c r="E2261" s="715">
        <v>0</v>
      </c>
      <c r="F2261" s="715">
        <v>0</v>
      </c>
      <c r="G2261" s="715">
        <v>0</v>
      </c>
      <c r="H2261" s="715">
        <v>0</v>
      </c>
      <c r="I2261" s="775">
        <f t="shared" si="52"/>
        <v>257711.77</v>
      </c>
      <c r="J2261" s="192" t="s">
        <v>1813</v>
      </c>
    </row>
    <row r="2262" spans="1:10" hidden="1" outlineLevel="1">
      <c r="A2262" s="759" t="s">
        <v>1246</v>
      </c>
      <c r="B2262" s="777">
        <v>194580.65</v>
      </c>
      <c r="C2262" s="768">
        <v>0</v>
      </c>
      <c r="D2262" s="715">
        <v>0</v>
      </c>
      <c r="E2262" s="715">
        <v>0</v>
      </c>
      <c r="F2262" s="715">
        <v>0</v>
      </c>
      <c r="G2262" s="715">
        <v>0</v>
      </c>
      <c r="H2262" s="715">
        <v>0</v>
      </c>
      <c r="I2262" s="775">
        <f t="shared" si="52"/>
        <v>194580.65</v>
      </c>
      <c r="J2262" s="192" t="s">
        <v>2329</v>
      </c>
    </row>
    <row r="2263" spans="1:10" hidden="1" outlineLevel="1">
      <c r="A2263" s="759" t="s">
        <v>1582</v>
      </c>
      <c r="B2263" s="777">
        <v>330524.96999999997</v>
      </c>
      <c r="C2263" s="768">
        <v>0</v>
      </c>
      <c r="D2263" s="715">
        <v>0</v>
      </c>
      <c r="E2263" s="715">
        <v>0</v>
      </c>
      <c r="F2263" s="715">
        <v>0</v>
      </c>
      <c r="G2263" s="715">
        <v>0</v>
      </c>
      <c r="H2263" s="715">
        <v>0</v>
      </c>
      <c r="I2263" s="775">
        <f t="shared" si="52"/>
        <v>330524.96999999997</v>
      </c>
      <c r="J2263" s="192" t="s">
        <v>1247</v>
      </c>
    </row>
    <row r="2264" spans="1:10" hidden="1" outlineLevel="1">
      <c r="A2264" s="759" t="s">
        <v>1518</v>
      </c>
      <c r="B2264" s="777">
        <v>655717.29</v>
      </c>
      <c r="C2264" s="768">
        <v>0</v>
      </c>
      <c r="D2264" s="715">
        <v>0</v>
      </c>
      <c r="E2264" s="715">
        <v>0</v>
      </c>
      <c r="F2264" s="715">
        <v>0</v>
      </c>
      <c r="G2264" s="715">
        <v>0</v>
      </c>
      <c r="H2264" s="715">
        <v>0</v>
      </c>
      <c r="I2264" s="775">
        <f t="shared" si="52"/>
        <v>655717.29</v>
      </c>
      <c r="J2264" s="192" t="s">
        <v>1583</v>
      </c>
    </row>
    <row r="2265" spans="1:10" hidden="1" outlineLevel="1">
      <c r="A2265" s="759" t="s">
        <v>1570</v>
      </c>
      <c r="B2265" s="777">
        <v>1353513.06</v>
      </c>
      <c r="C2265" s="768">
        <v>0</v>
      </c>
      <c r="D2265" s="715">
        <v>0</v>
      </c>
      <c r="E2265" s="715">
        <v>0</v>
      </c>
      <c r="F2265" s="715">
        <v>0</v>
      </c>
      <c r="G2265" s="715">
        <v>0</v>
      </c>
      <c r="H2265" s="715">
        <v>0</v>
      </c>
      <c r="I2265" s="775">
        <f t="shared" si="52"/>
        <v>1353513.06</v>
      </c>
      <c r="J2265" s="192" t="s">
        <v>2330</v>
      </c>
    </row>
    <row r="2266" spans="1:10" hidden="1" outlineLevel="1">
      <c r="A2266" s="759" t="s">
        <v>1386</v>
      </c>
      <c r="B2266" s="777">
        <v>203046.06</v>
      </c>
      <c r="C2266" s="768">
        <v>0</v>
      </c>
      <c r="D2266" s="715">
        <v>0</v>
      </c>
      <c r="E2266" s="715">
        <v>0</v>
      </c>
      <c r="F2266" s="715">
        <v>0</v>
      </c>
      <c r="G2266" s="715">
        <v>0</v>
      </c>
      <c r="H2266" s="715">
        <v>0</v>
      </c>
      <c r="I2266" s="775">
        <f t="shared" si="52"/>
        <v>203046.06</v>
      </c>
      <c r="J2266" s="192" t="s">
        <v>1519</v>
      </c>
    </row>
    <row r="2267" spans="1:10" hidden="1" outlineLevel="1">
      <c r="A2267" s="759" t="s">
        <v>1320</v>
      </c>
      <c r="B2267" s="777">
        <v>3151134.86</v>
      </c>
      <c r="C2267" s="768">
        <v>0</v>
      </c>
      <c r="D2267" s="715">
        <v>0</v>
      </c>
      <c r="E2267" s="715">
        <v>0</v>
      </c>
      <c r="F2267" s="715">
        <v>0</v>
      </c>
      <c r="G2267" s="715">
        <v>0</v>
      </c>
      <c r="H2267" s="715">
        <v>0</v>
      </c>
      <c r="I2267" s="775">
        <f t="shared" si="52"/>
        <v>3151134.86</v>
      </c>
      <c r="J2267" s="192" t="s">
        <v>1571</v>
      </c>
    </row>
    <row r="2268" spans="1:10" hidden="1" outlineLevel="1">
      <c r="A2268" s="759" t="s">
        <v>1458</v>
      </c>
      <c r="B2268" s="777">
        <v>228326.21</v>
      </c>
      <c r="C2268" s="768">
        <v>0</v>
      </c>
      <c r="D2268" s="715">
        <v>0</v>
      </c>
      <c r="E2268" s="715">
        <v>0</v>
      </c>
      <c r="F2268" s="715">
        <v>0</v>
      </c>
      <c r="G2268" s="715">
        <v>0</v>
      </c>
      <c r="H2268" s="715">
        <v>0</v>
      </c>
      <c r="I2268" s="775">
        <f t="shared" si="52"/>
        <v>228326.21</v>
      </c>
      <c r="J2268" s="192" t="s">
        <v>1387</v>
      </c>
    </row>
    <row r="2269" spans="1:10" hidden="1" outlineLevel="1">
      <c r="A2269" s="759" t="s">
        <v>1225</v>
      </c>
      <c r="B2269" s="777">
        <v>230164.5</v>
      </c>
      <c r="C2269" s="768">
        <v>0</v>
      </c>
      <c r="D2269" s="715">
        <v>0</v>
      </c>
      <c r="E2269" s="715">
        <v>0</v>
      </c>
      <c r="F2269" s="715">
        <v>0</v>
      </c>
      <c r="G2269" s="715">
        <v>0</v>
      </c>
      <c r="H2269" s="715">
        <v>0</v>
      </c>
      <c r="I2269" s="775">
        <f t="shared" si="52"/>
        <v>230164.5</v>
      </c>
      <c r="J2269" s="192" t="s">
        <v>1321</v>
      </c>
    </row>
    <row r="2270" spans="1:10" hidden="1" outlineLevel="1">
      <c r="A2270" s="759" t="s">
        <v>692</v>
      </c>
      <c r="B2270" s="777">
        <v>336957.38</v>
      </c>
      <c r="C2270" s="768">
        <v>0</v>
      </c>
      <c r="D2270" s="715">
        <v>0</v>
      </c>
      <c r="E2270" s="715">
        <v>0</v>
      </c>
      <c r="F2270" s="715">
        <v>0</v>
      </c>
      <c r="G2270" s="715">
        <v>0</v>
      </c>
      <c r="H2270" s="715">
        <v>0</v>
      </c>
      <c r="I2270" s="775">
        <f t="shared" si="52"/>
        <v>336957.38</v>
      </c>
      <c r="J2270" s="192" t="s">
        <v>2331</v>
      </c>
    </row>
    <row r="2271" spans="1:10" hidden="1" outlineLevel="1">
      <c r="A2271" s="759" t="s">
        <v>1484</v>
      </c>
      <c r="B2271" s="777">
        <v>432859.97</v>
      </c>
      <c r="C2271" s="768">
        <v>0</v>
      </c>
      <c r="D2271" s="715">
        <v>0</v>
      </c>
      <c r="E2271" s="715">
        <v>0</v>
      </c>
      <c r="F2271" s="715">
        <v>0</v>
      </c>
      <c r="G2271" s="715">
        <v>0</v>
      </c>
      <c r="H2271" s="715">
        <v>0</v>
      </c>
      <c r="I2271" s="775">
        <f t="shared" si="52"/>
        <v>432859.97</v>
      </c>
      <c r="J2271" s="192" t="s">
        <v>1459</v>
      </c>
    </row>
    <row r="2272" spans="1:10" hidden="1" outlineLevel="1">
      <c r="A2272" s="759" t="s">
        <v>1283</v>
      </c>
      <c r="B2272" s="777">
        <v>1455336.73</v>
      </c>
      <c r="C2272" s="768">
        <v>0</v>
      </c>
      <c r="D2272" s="715">
        <v>0</v>
      </c>
      <c r="E2272" s="715">
        <v>0</v>
      </c>
      <c r="F2272" s="715">
        <v>0</v>
      </c>
      <c r="G2272" s="715">
        <v>0</v>
      </c>
      <c r="H2272" s="715">
        <v>0</v>
      </c>
      <c r="I2272" s="775">
        <f t="shared" si="52"/>
        <v>1455336.73</v>
      </c>
      <c r="J2272" s="192" t="s">
        <v>1226</v>
      </c>
    </row>
    <row r="2273" spans="1:10" hidden="1" outlineLevel="1">
      <c r="A2273" s="759" t="s">
        <v>1227</v>
      </c>
      <c r="B2273" s="777">
        <v>1603881.22</v>
      </c>
      <c r="C2273" s="768">
        <v>0</v>
      </c>
      <c r="D2273" s="715">
        <v>0</v>
      </c>
      <c r="E2273" s="715">
        <v>0</v>
      </c>
      <c r="F2273" s="715">
        <v>0</v>
      </c>
      <c r="G2273" s="715">
        <v>0</v>
      </c>
      <c r="H2273" s="715">
        <v>0</v>
      </c>
      <c r="I2273" s="775">
        <f t="shared" si="52"/>
        <v>1603881.22</v>
      </c>
      <c r="J2273" s="192" t="s">
        <v>693</v>
      </c>
    </row>
    <row r="2274" spans="1:10" hidden="1" outlineLevel="1">
      <c r="A2274" s="759" t="s">
        <v>1644</v>
      </c>
      <c r="B2274" s="777">
        <v>493183.49</v>
      </c>
      <c r="C2274" s="768">
        <v>0</v>
      </c>
      <c r="D2274" s="715">
        <v>0</v>
      </c>
      <c r="E2274" s="715">
        <v>0</v>
      </c>
      <c r="F2274" s="715">
        <v>0</v>
      </c>
      <c r="G2274" s="715">
        <v>0</v>
      </c>
      <c r="H2274" s="715">
        <v>0</v>
      </c>
      <c r="I2274" s="775">
        <f t="shared" si="52"/>
        <v>493183.49</v>
      </c>
      <c r="J2274" s="192" t="s">
        <v>1485</v>
      </c>
    </row>
    <row r="2275" spans="1:10" hidden="1" outlineLevel="1">
      <c r="A2275" s="759" t="s">
        <v>1598</v>
      </c>
      <c r="B2275" s="777">
        <v>316826.08</v>
      </c>
      <c r="C2275" s="768">
        <v>0</v>
      </c>
      <c r="D2275" s="715">
        <v>0</v>
      </c>
      <c r="E2275" s="715">
        <v>0</v>
      </c>
      <c r="F2275" s="715">
        <v>0</v>
      </c>
      <c r="G2275" s="715">
        <v>0</v>
      </c>
      <c r="H2275" s="715">
        <v>0</v>
      </c>
      <c r="I2275" s="775">
        <f t="shared" si="52"/>
        <v>316826.08</v>
      </c>
      <c r="J2275" s="192" t="s">
        <v>1284</v>
      </c>
    </row>
    <row r="2276" spans="1:10" hidden="1" outlineLevel="1">
      <c r="A2276" s="759" t="s">
        <v>1556</v>
      </c>
      <c r="B2276" s="777">
        <v>1527063.93</v>
      </c>
      <c r="C2276" s="768">
        <v>0</v>
      </c>
      <c r="D2276" s="715">
        <v>0</v>
      </c>
      <c r="E2276" s="715">
        <v>0</v>
      </c>
      <c r="F2276" s="715">
        <v>0</v>
      </c>
      <c r="G2276" s="715">
        <v>0</v>
      </c>
      <c r="H2276" s="715">
        <v>0</v>
      </c>
      <c r="I2276" s="775">
        <f t="shared" si="52"/>
        <v>1527063.93</v>
      </c>
      <c r="J2276" s="192" t="s">
        <v>1228</v>
      </c>
    </row>
    <row r="2277" spans="1:10" hidden="1" outlineLevel="1">
      <c r="A2277" s="759" t="s">
        <v>1626</v>
      </c>
      <c r="B2277" s="777">
        <v>57455.94</v>
      </c>
      <c r="C2277" s="768">
        <v>0</v>
      </c>
      <c r="D2277" s="715">
        <v>0</v>
      </c>
      <c r="E2277" s="715">
        <v>0</v>
      </c>
      <c r="F2277" s="715">
        <v>0</v>
      </c>
      <c r="G2277" s="715">
        <v>0</v>
      </c>
      <c r="H2277" s="715">
        <v>0</v>
      </c>
      <c r="I2277" s="775">
        <f t="shared" si="52"/>
        <v>57455.94</v>
      </c>
      <c r="J2277" s="192" t="s">
        <v>1645</v>
      </c>
    </row>
    <row r="2278" spans="1:10" hidden="1" outlineLevel="1">
      <c r="A2278" s="759" t="s">
        <v>1669</v>
      </c>
      <c r="B2278" s="777">
        <v>827356.2</v>
      </c>
      <c r="C2278" s="768">
        <v>0</v>
      </c>
      <c r="D2278" s="715">
        <v>0</v>
      </c>
      <c r="E2278" s="715">
        <v>0</v>
      </c>
      <c r="F2278" s="715">
        <v>0</v>
      </c>
      <c r="G2278" s="715">
        <v>0</v>
      </c>
      <c r="H2278" s="715">
        <v>0</v>
      </c>
      <c r="I2278" s="775">
        <f t="shared" si="52"/>
        <v>827356.2</v>
      </c>
      <c r="J2278" s="192" t="s">
        <v>1599</v>
      </c>
    </row>
    <row r="2279" spans="1:10" hidden="1" outlineLevel="1">
      <c r="A2279" s="759" t="s">
        <v>1758</v>
      </c>
      <c r="B2279" s="777">
        <v>1046712.22</v>
      </c>
      <c r="C2279" s="768">
        <v>0</v>
      </c>
      <c r="D2279" s="715">
        <v>0</v>
      </c>
      <c r="E2279" s="715">
        <v>0</v>
      </c>
      <c r="F2279" s="715">
        <v>0</v>
      </c>
      <c r="G2279" s="715">
        <v>0</v>
      </c>
      <c r="H2279" s="715">
        <v>0</v>
      </c>
      <c r="I2279" s="775">
        <f t="shared" si="52"/>
        <v>1046712.22</v>
      </c>
      <c r="J2279" s="192" t="s">
        <v>1557</v>
      </c>
    </row>
    <row r="2280" spans="1:10" hidden="1" outlineLevel="1">
      <c r="A2280" s="759" t="s">
        <v>2195</v>
      </c>
      <c r="B2280" s="777">
        <v>230023.49</v>
      </c>
      <c r="C2280" s="768">
        <v>0</v>
      </c>
      <c r="D2280" s="715">
        <v>0</v>
      </c>
      <c r="E2280" s="715">
        <v>0</v>
      </c>
      <c r="F2280" s="715">
        <v>0</v>
      </c>
      <c r="G2280" s="715">
        <v>0</v>
      </c>
      <c r="H2280" s="715">
        <v>0</v>
      </c>
      <c r="I2280" s="775">
        <f t="shared" si="52"/>
        <v>230023.49</v>
      </c>
      <c r="J2280" s="192" t="s">
        <v>2332</v>
      </c>
    </row>
    <row r="2281" spans="1:10" hidden="1" outlineLevel="1">
      <c r="A2281" s="759" t="s">
        <v>1722</v>
      </c>
      <c r="B2281" s="777">
        <v>380143.56</v>
      </c>
      <c r="C2281" s="768">
        <v>0</v>
      </c>
      <c r="D2281" s="715">
        <v>0</v>
      </c>
      <c r="E2281" s="715">
        <v>0</v>
      </c>
      <c r="F2281" s="715">
        <v>0</v>
      </c>
      <c r="G2281" s="715">
        <v>0</v>
      </c>
      <c r="H2281" s="715">
        <v>0</v>
      </c>
      <c r="I2281" s="775">
        <f t="shared" si="52"/>
        <v>380143.56</v>
      </c>
      <c r="J2281" s="192" t="s">
        <v>1670</v>
      </c>
    </row>
    <row r="2282" spans="1:10" hidden="1" outlineLevel="1">
      <c r="A2282" s="759" t="s">
        <v>1496</v>
      </c>
      <c r="B2282" s="777">
        <v>1443399.75</v>
      </c>
      <c r="C2282" s="768">
        <v>0</v>
      </c>
      <c r="D2282" s="715">
        <v>0</v>
      </c>
      <c r="E2282" s="715">
        <v>0</v>
      </c>
      <c r="F2282" s="715">
        <v>0</v>
      </c>
      <c r="G2282" s="715">
        <v>768.62</v>
      </c>
      <c r="H2282" s="715">
        <v>0</v>
      </c>
      <c r="I2282" s="775">
        <f t="shared" si="52"/>
        <v>1444168.37</v>
      </c>
      <c r="J2282" s="192" t="s">
        <v>1759</v>
      </c>
    </row>
    <row r="2283" spans="1:10" hidden="1" outlineLevel="1">
      <c r="A2283" s="759" t="s">
        <v>1236</v>
      </c>
      <c r="B2283" s="777">
        <v>1518885.23</v>
      </c>
      <c r="C2283" s="768">
        <v>0</v>
      </c>
      <c r="D2283" s="715">
        <v>0</v>
      </c>
      <c r="E2283" s="715">
        <v>0</v>
      </c>
      <c r="F2283" s="715">
        <v>0</v>
      </c>
      <c r="G2283" s="715">
        <v>0</v>
      </c>
      <c r="H2283" s="715">
        <v>0</v>
      </c>
      <c r="I2283" s="775">
        <f t="shared" si="52"/>
        <v>1518885.23</v>
      </c>
      <c r="J2283" s="192" t="s">
        <v>2196</v>
      </c>
    </row>
    <row r="2284" spans="1:10" hidden="1" outlineLevel="1">
      <c r="A2284" s="759" t="s">
        <v>1348</v>
      </c>
      <c r="B2284" s="777">
        <v>578095.91</v>
      </c>
      <c r="C2284" s="768">
        <v>0</v>
      </c>
      <c r="D2284" s="715">
        <v>0</v>
      </c>
      <c r="E2284" s="715">
        <v>0</v>
      </c>
      <c r="F2284" s="715">
        <v>0</v>
      </c>
      <c r="G2284" s="715">
        <v>0</v>
      </c>
      <c r="H2284" s="715">
        <v>0</v>
      </c>
      <c r="I2284" s="775">
        <f t="shared" si="52"/>
        <v>578095.91</v>
      </c>
      <c r="J2284" s="192" t="s">
        <v>1723</v>
      </c>
    </row>
    <row r="2285" spans="1:10" hidden="1" outlineLevel="1">
      <c r="A2285" s="759" t="s">
        <v>1814</v>
      </c>
      <c r="B2285" s="777">
        <v>1183358.52</v>
      </c>
      <c r="C2285" s="768">
        <v>0</v>
      </c>
      <c r="D2285" s="715">
        <v>0</v>
      </c>
      <c r="E2285" s="715">
        <v>0</v>
      </c>
      <c r="F2285" s="715">
        <v>0</v>
      </c>
      <c r="G2285" s="715">
        <v>0</v>
      </c>
      <c r="H2285" s="715">
        <v>0</v>
      </c>
      <c r="I2285" s="775">
        <f t="shared" si="52"/>
        <v>1183358.52</v>
      </c>
      <c r="J2285" s="192" t="s">
        <v>2333</v>
      </c>
    </row>
    <row r="2286" spans="1:10" hidden="1" outlineLevel="1">
      <c r="A2286" s="759" t="s">
        <v>1240</v>
      </c>
      <c r="B2286" s="777">
        <v>3644114.23</v>
      </c>
      <c r="C2286" s="768">
        <v>0</v>
      </c>
      <c r="D2286" s="715">
        <v>0</v>
      </c>
      <c r="E2286" s="715">
        <v>0</v>
      </c>
      <c r="F2286" s="715">
        <v>5827.21</v>
      </c>
      <c r="G2286" s="715">
        <v>0</v>
      </c>
      <c r="H2286" s="715">
        <v>0</v>
      </c>
      <c r="I2286" s="775">
        <f t="shared" si="52"/>
        <v>3649941.44</v>
      </c>
      <c r="J2286" s="192" t="s">
        <v>1497</v>
      </c>
    </row>
    <row r="2287" spans="1:10" hidden="1" outlineLevel="1">
      <c r="A2287" s="759" t="s">
        <v>1404</v>
      </c>
      <c r="B2287" s="777">
        <v>133009.53</v>
      </c>
      <c r="C2287" s="768">
        <v>0</v>
      </c>
      <c r="D2287" s="715">
        <v>0</v>
      </c>
      <c r="E2287" s="715">
        <v>0</v>
      </c>
      <c r="F2287" s="715">
        <v>0</v>
      </c>
      <c r="G2287" s="715">
        <v>0</v>
      </c>
      <c r="H2287" s="715">
        <v>0</v>
      </c>
      <c r="I2287" s="775">
        <f t="shared" si="52"/>
        <v>133009.53</v>
      </c>
      <c r="J2287" s="192" t="s">
        <v>1237</v>
      </c>
    </row>
    <row r="2288" spans="1:10" hidden="1" outlineLevel="1">
      <c r="A2288" s="759" t="s">
        <v>1584</v>
      </c>
      <c r="B2288" s="777">
        <v>935688.68</v>
      </c>
      <c r="C2288" s="768">
        <v>0</v>
      </c>
      <c r="D2288" s="715">
        <v>0</v>
      </c>
      <c r="E2288" s="715">
        <v>0</v>
      </c>
      <c r="F2288" s="715">
        <v>0</v>
      </c>
      <c r="G2288" s="715">
        <v>0</v>
      </c>
      <c r="H2288" s="715">
        <v>0</v>
      </c>
      <c r="I2288" s="775">
        <f t="shared" si="52"/>
        <v>935688.68</v>
      </c>
      <c r="J2288" s="192" t="s">
        <v>1349</v>
      </c>
    </row>
    <row r="2289" spans="1:10" hidden="1" outlineLevel="1">
      <c r="A2289" s="759" t="s">
        <v>1420</v>
      </c>
      <c r="B2289" s="777">
        <v>113411.87</v>
      </c>
      <c r="C2289" s="768">
        <v>0</v>
      </c>
      <c r="D2289" s="715">
        <v>0</v>
      </c>
      <c r="E2289" s="715">
        <v>0</v>
      </c>
      <c r="F2289" s="715">
        <v>0</v>
      </c>
      <c r="G2289" s="715">
        <v>0</v>
      </c>
      <c r="H2289" s="715">
        <v>0</v>
      </c>
      <c r="I2289" s="775">
        <f t="shared" si="52"/>
        <v>113411.87</v>
      </c>
      <c r="J2289" s="192" t="s">
        <v>1815</v>
      </c>
    </row>
    <row r="2290" spans="1:10" hidden="1" outlineLevel="1">
      <c r="A2290" s="759" t="s">
        <v>1438</v>
      </c>
      <c r="B2290" s="777">
        <v>1134098.25</v>
      </c>
      <c r="C2290" s="768">
        <v>0</v>
      </c>
      <c r="D2290" s="715">
        <v>0</v>
      </c>
      <c r="E2290" s="715">
        <v>0</v>
      </c>
      <c r="F2290" s="716">
        <v>0</v>
      </c>
      <c r="G2290" s="715">
        <v>0</v>
      </c>
      <c r="H2290" s="715">
        <v>0</v>
      </c>
      <c r="I2290" s="775">
        <f t="shared" si="52"/>
        <v>1134098.25</v>
      </c>
      <c r="J2290" s="192" t="s">
        <v>1241</v>
      </c>
    </row>
    <row r="2291" spans="1:10" hidden="1" outlineLevel="1">
      <c r="A2291" s="1591" t="s">
        <v>1504</v>
      </c>
      <c r="B2291" s="777">
        <f>3707780.09+(783624*0.00816)</f>
        <v>3714174.46184</v>
      </c>
      <c r="C2291" s="768">
        <v>0</v>
      </c>
      <c r="D2291" s="715">
        <v>0</v>
      </c>
      <c r="E2291" s="715">
        <v>0</v>
      </c>
      <c r="F2291" s="715">
        <v>0</v>
      </c>
      <c r="G2291" s="715">
        <v>0</v>
      </c>
      <c r="H2291" s="715">
        <v>0</v>
      </c>
      <c r="I2291" s="775">
        <f t="shared" si="52"/>
        <v>3714174.46184</v>
      </c>
      <c r="J2291" s="192" t="s">
        <v>1405</v>
      </c>
    </row>
    <row r="2292" spans="1:10" hidden="1" outlineLevel="1">
      <c r="A2292" s="759" t="s">
        <v>1275</v>
      </c>
      <c r="B2292" s="777">
        <v>87986.71</v>
      </c>
      <c r="C2292" s="768">
        <v>0</v>
      </c>
      <c r="D2292" s="715">
        <v>0</v>
      </c>
      <c r="E2292" s="715">
        <v>0</v>
      </c>
      <c r="F2292" s="715">
        <v>0</v>
      </c>
      <c r="G2292" s="715">
        <v>0</v>
      </c>
      <c r="H2292" s="715">
        <v>0</v>
      </c>
      <c r="I2292" s="775">
        <f t="shared" si="52"/>
        <v>87986.71</v>
      </c>
      <c r="J2292" s="192" t="s">
        <v>1585</v>
      </c>
    </row>
    <row r="2293" spans="1:10" hidden="1" outlineLevel="1">
      <c r="A2293" s="759" t="s">
        <v>1562</v>
      </c>
      <c r="B2293" s="777">
        <v>19182.98</v>
      </c>
      <c r="C2293" s="768">
        <v>0</v>
      </c>
      <c r="D2293" s="715">
        <v>0</v>
      </c>
      <c r="E2293" s="715">
        <v>0</v>
      </c>
      <c r="F2293" s="715">
        <v>0</v>
      </c>
      <c r="G2293" s="715">
        <v>0</v>
      </c>
      <c r="H2293" s="715">
        <v>0</v>
      </c>
      <c r="I2293" s="775">
        <f t="shared" si="52"/>
        <v>19182.98</v>
      </c>
      <c r="J2293" s="192" t="s">
        <v>1421</v>
      </c>
    </row>
    <row r="2294" spans="1:10" hidden="1" outlineLevel="1">
      <c r="A2294" s="759" t="s">
        <v>2197</v>
      </c>
      <c r="B2294" s="777">
        <v>47095.77</v>
      </c>
      <c r="C2294" s="768">
        <v>0</v>
      </c>
      <c r="D2294" s="715">
        <v>0</v>
      </c>
      <c r="E2294" s="715">
        <v>0</v>
      </c>
      <c r="F2294" s="715">
        <v>0</v>
      </c>
      <c r="G2294" s="715">
        <v>0</v>
      </c>
      <c r="H2294" s="715">
        <v>0</v>
      </c>
      <c r="I2294" s="775">
        <f t="shared" si="52"/>
        <v>47095.77</v>
      </c>
      <c r="J2294" s="192" t="s">
        <v>1439</v>
      </c>
    </row>
    <row r="2295" spans="1:10" hidden="1" outlineLevel="1">
      <c r="A2295" s="759" t="s">
        <v>1706</v>
      </c>
      <c r="B2295" s="777">
        <v>1833138.38</v>
      </c>
      <c r="C2295" s="768">
        <v>0</v>
      </c>
      <c r="D2295" s="715">
        <v>0</v>
      </c>
      <c r="E2295" s="715">
        <v>0</v>
      </c>
      <c r="F2295" s="715">
        <v>0</v>
      </c>
      <c r="G2295" s="715">
        <v>0</v>
      </c>
      <c r="H2295" s="715">
        <v>0</v>
      </c>
      <c r="I2295" s="775">
        <f t="shared" si="52"/>
        <v>1833138.38</v>
      </c>
      <c r="J2295" s="192" t="s">
        <v>1505</v>
      </c>
    </row>
    <row r="2296" spans="1:10" hidden="1" outlineLevel="1">
      <c r="A2296" s="759" t="s">
        <v>1454</v>
      </c>
      <c r="B2296" s="777">
        <v>816800.12</v>
      </c>
      <c r="C2296" s="768">
        <v>0</v>
      </c>
      <c r="D2296" s="715">
        <v>0</v>
      </c>
      <c r="E2296" s="715">
        <v>0</v>
      </c>
      <c r="F2296" s="715">
        <v>0</v>
      </c>
      <c r="G2296" s="715">
        <v>0</v>
      </c>
      <c r="H2296" s="715">
        <v>0</v>
      </c>
      <c r="I2296" s="775">
        <f t="shared" si="52"/>
        <v>816800.12</v>
      </c>
      <c r="J2296" s="192" t="s">
        <v>1276</v>
      </c>
    </row>
    <row r="2297" spans="1:10" hidden="1" outlineLevel="1">
      <c r="A2297" s="759" t="s">
        <v>1412</v>
      </c>
      <c r="B2297" s="777">
        <v>1674104.76</v>
      </c>
      <c r="C2297" s="768">
        <v>0</v>
      </c>
      <c r="D2297" s="715">
        <v>0</v>
      </c>
      <c r="E2297" s="715">
        <v>0</v>
      </c>
      <c r="F2297" s="715">
        <v>0</v>
      </c>
      <c r="G2297" s="715">
        <v>0</v>
      </c>
      <c r="H2297" s="715">
        <v>0</v>
      </c>
      <c r="I2297" s="775">
        <f t="shared" si="52"/>
        <v>1674104.76</v>
      </c>
      <c r="J2297" s="192" t="s">
        <v>1563</v>
      </c>
    </row>
    <row r="2298" spans="1:10" hidden="1" outlineLevel="1">
      <c r="A2298" s="759" t="s">
        <v>1548</v>
      </c>
      <c r="B2298" s="777">
        <v>175342.81</v>
      </c>
      <c r="C2298" s="768">
        <v>0</v>
      </c>
      <c r="D2298" s="715">
        <v>0</v>
      </c>
      <c r="E2298" s="715">
        <v>0</v>
      </c>
      <c r="F2298" s="715">
        <v>0</v>
      </c>
      <c r="G2298" s="715">
        <v>0</v>
      </c>
      <c r="H2298" s="715">
        <v>0</v>
      </c>
      <c r="I2298" s="775">
        <f t="shared" si="52"/>
        <v>175342.81</v>
      </c>
      <c r="J2298" s="192" t="s">
        <v>2198</v>
      </c>
    </row>
    <row r="2299" spans="1:10" hidden="1" outlineLevel="1">
      <c r="A2299" s="759" t="s">
        <v>1656</v>
      </c>
      <c r="B2299" s="777">
        <v>11662220.4</v>
      </c>
      <c r="C2299" s="768">
        <v>0</v>
      </c>
      <c r="D2299" s="715">
        <v>0</v>
      </c>
      <c r="E2299" s="715">
        <v>0</v>
      </c>
      <c r="F2299" s="715">
        <v>0</v>
      </c>
      <c r="G2299" s="715">
        <v>0</v>
      </c>
      <c r="H2299" s="715">
        <v>0</v>
      </c>
      <c r="I2299" s="775">
        <f t="shared" si="52"/>
        <v>11662220.4</v>
      </c>
      <c r="J2299" s="192" t="s">
        <v>1707</v>
      </c>
    </row>
    <row r="2300" spans="1:10" hidden="1" outlineLevel="1">
      <c r="A2300" s="759" t="s">
        <v>1221</v>
      </c>
      <c r="B2300" s="777">
        <v>4674308.8600000003</v>
      </c>
      <c r="C2300" s="768">
        <v>0</v>
      </c>
      <c r="D2300" s="715">
        <v>0</v>
      </c>
      <c r="E2300" s="715">
        <v>0</v>
      </c>
      <c r="F2300" s="715">
        <v>0</v>
      </c>
      <c r="G2300" s="715">
        <v>0</v>
      </c>
      <c r="H2300" s="715">
        <v>0</v>
      </c>
      <c r="I2300" s="775">
        <f t="shared" si="52"/>
        <v>4674308.8600000003</v>
      </c>
      <c r="J2300" s="192" t="s">
        <v>1455</v>
      </c>
    </row>
    <row r="2301" spans="1:10" hidden="1" outlineLevel="1">
      <c r="A2301" s="759" t="s">
        <v>1366</v>
      </c>
      <c r="B2301" s="777">
        <v>272849.86</v>
      </c>
      <c r="C2301" s="768">
        <v>0</v>
      </c>
      <c r="D2301" s="715">
        <v>0</v>
      </c>
      <c r="E2301" s="715">
        <v>0</v>
      </c>
      <c r="F2301" s="715">
        <v>0</v>
      </c>
      <c r="G2301" s="715">
        <v>0</v>
      </c>
      <c r="H2301" s="715">
        <v>0</v>
      </c>
      <c r="I2301" s="775">
        <f t="shared" si="52"/>
        <v>272849.86</v>
      </c>
      <c r="J2301" s="192" t="s">
        <v>1413</v>
      </c>
    </row>
    <row r="2302" spans="1:10" hidden="1" outlineLevel="1">
      <c r="A2302" s="759" t="s">
        <v>1610</v>
      </c>
      <c r="B2302" s="777">
        <v>385750.22</v>
      </c>
      <c r="C2302" s="768">
        <v>0</v>
      </c>
      <c r="D2302" s="715">
        <v>0</v>
      </c>
      <c r="E2302" s="715">
        <v>0</v>
      </c>
      <c r="F2302" s="715">
        <v>0</v>
      </c>
      <c r="G2302" s="715">
        <v>0</v>
      </c>
      <c r="H2302" s="715">
        <v>0</v>
      </c>
      <c r="I2302" s="775">
        <f t="shared" si="52"/>
        <v>385750.22</v>
      </c>
      <c r="J2302" s="192" t="s">
        <v>1549</v>
      </c>
    </row>
    <row r="2303" spans="1:10" hidden="1" outlineLevel="1">
      <c r="A2303" s="759" t="s">
        <v>1474</v>
      </c>
      <c r="B2303" s="777">
        <v>122794.08</v>
      </c>
      <c r="C2303" s="768">
        <v>0</v>
      </c>
      <c r="D2303" s="715">
        <v>0</v>
      </c>
      <c r="E2303" s="715">
        <v>0</v>
      </c>
      <c r="F2303" s="715">
        <v>0</v>
      </c>
      <c r="G2303" s="715">
        <v>0</v>
      </c>
      <c r="H2303" s="715">
        <v>0</v>
      </c>
      <c r="I2303" s="775">
        <f t="shared" si="52"/>
        <v>122794.08</v>
      </c>
      <c r="J2303" s="192" t="s">
        <v>1657</v>
      </c>
    </row>
    <row r="2304" spans="1:10" hidden="1" outlineLevel="1">
      <c r="A2304" s="759" t="s">
        <v>580</v>
      </c>
      <c r="B2304" s="777">
        <v>2198813.09</v>
      </c>
      <c r="C2304" s="768">
        <v>0</v>
      </c>
      <c r="D2304" s="715">
        <v>0</v>
      </c>
      <c r="E2304" s="715">
        <v>0</v>
      </c>
      <c r="F2304" s="715">
        <v>0</v>
      </c>
      <c r="G2304" s="715">
        <v>0</v>
      </c>
      <c r="H2304" s="715">
        <v>0</v>
      </c>
      <c r="I2304" s="775">
        <f t="shared" si="52"/>
        <v>2198813.09</v>
      </c>
      <c r="J2304" s="192" t="s">
        <v>1222</v>
      </c>
    </row>
    <row r="2305" spans="1:10" hidden="1" outlineLevel="1">
      <c r="A2305" s="759" t="s">
        <v>1592</v>
      </c>
      <c r="B2305" s="777">
        <v>968867.35</v>
      </c>
      <c r="C2305" s="768">
        <v>0</v>
      </c>
      <c r="D2305" s="715">
        <v>0</v>
      </c>
      <c r="E2305" s="715">
        <v>0</v>
      </c>
      <c r="F2305" s="715">
        <v>0</v>
      </c>
      <c r="G2305" s="715">
        <v>0</v>
      </c>
      <c r="H2305" s="715">
        <v>0</v>
      </c>
      <c r="I2305" s="775">
        <f t="shared" si="52"/>
        <v>968867.35</v>
      </c>
      <c r="J2305" s="192" t="s">
        <v>1367</v>
      </c>
    </row>
    <row r="2306" spans="1:10" hidden="1" outlineLevel="1">
      <c r="A2306" s="759" t="s">
        <v>1792</v>
      </c>
      <c r="B2306" s="777">
        <v>289322.45</v>
      </c>
      <c r="C2306" s="768">
        <v>0</v>
      </c>
      <c r="D2306" s="715">
        <v>0</v>
      </c>
      <c r="E2306" s="715">
        <v>0</v>
      </c>
      <c r="F2306" s="715">
        <v>0</v>
      </c>
      <c r="G2306" s="715">
        <v>0</v>
      </c>
      <c r="H2306" s="715">
        <v>0</v>
      </c>
      <c r="I2306" s="775">
        <f t="shared" si="52"/>
        <v>289322.45</v>
      </c>
      <c r="J2306" s="192" t="s">
        <v>1611</v>
      </c>
    </row>
    <row r="2307" spans="1:10" hidden="1" outlineLevel="1">
      <c r="A2307" s="759" t="s">
        <v>1322</v>
      </c>
      <c r="B2307" s="777">
        <v>90630.91</v>
      </c>
      <c r="C2307" s="768">
        <v>0</v>
      </c>
      <c r="D2307" s="715">
        <v>0</v>
      </c>
      <c r="E2307" s="715">
        <v>0</v>
      </c>
      <c r="F2307" s="715">
        <v>0</v>
      </c>
      <c r="G2307" s="715">
        <v>0</v>
      </c>
      <c r="H2307" s="715">
        <v>0</v>
      </c>
      <c r="I2307" s="775">
        <f t="shared" si="52"/>
        <v>90630.91</v>
      </c>
      <c r="J2307" s="192" t="s">
        <v>1475</v>
      </c>
    </row>
    <row r="2308" spans="1:10" hidden="1" outlineLevel="1">
      <c r="A2308" s="759" t="s">
        <v>1618</v>
      </c>
      <c r="B2308" s="777">
        <v>194537.16</v>
      </c>
      <c r="C2308" s="768">
        <v>0</v>
      </c>
      <c r="D2308" s="715">
        <v>0</v>
      </c>
      <c r="E2308" s="715">
        <v>0</v>
      </c>
      <c r="F2308" s="715">
        <v>0</v>
      </c>
      <c r="G2308" s="715">
        <v>0</v>
      </c>
      <c r="H2308" s="715">
        <v>0</v>
      </c>
      <c r="I2308" s="775">
        <f t="shared" si="52"/>
        <v>194537.16</v>
      </c>
      <c r="J2308" s="192" t="s">
        <v>581</v>
      </c>
    </row>
    <row r="2309" spans="1:10" hidden="1" outlineLevel="1">
      <c r="A2309" s="759" t="s">
        <v>1806</v>
      </c>
      <c r="B2309" s="777">
        <v>503654.34</v>
      </c>
      <c r="C2309" s="768">
        <v>0</v>
      </c>
      <c r="D2309" s="715">
        <v>0</v>
      </c>
      <c r="E2309" s="715">
        <v>0</v>
      </c>
      <c r="F2309" s="715">
        <v>0</v>
      </c>
      <c r="G2309" s="715">
        <v>0</v>
      </c>
      <c r="H2309" s="715">
        <v>0</v>
      </c>
      <c r="I2309" s="775">
        <f t="shared" si="52"/>
        <v>503654.34</v>
      </c>
      <c r="J2309" s="192" t="s">
        <v>1593</v>
      </c>
    </row>
    <row r="2310" spans="1:10" hidden="1" outlineLevel="1">
      <c r="A2310" s="759" t="s">
        <v>1342</v>
      </c>
      <c r="B2310" s="777">
        <v>1031882.01</v>
      </c>
      <c r="C2310" s="768">
        <v>0</v>
      </c>
      <c r="D2310" s="715">
        <v>0</v>
      </c>
      <c r="E2310" s="715">
        <v>0</v>
      </c>
      <c r="F2310" s="715">
        <v>0</v>
      </c>
      <c r="G2310" s="715">
        <v>0</v>
      </c>
      <c r="H2310" s="715">
        <v>0</v>
      </c>
      <c r="I2310" s="775">
        <f t="shared" si="52"/>
        <v>1031882.01</v>
      </c>
      <c r="J2310" s="192" t="s">
        <v>1793</v>
      </c>
    </row>
    <row r="2311" spans="1:10" hidden="1" outlineLevel="1">
      <c r="A2311" s="759" t="s">
        <v>1340</v>
      </c>
      <c r="B2311" s="777">
        <v>291972.27</v>
      </c>
      <c r="C2311" s="768">
        <v>0</v>
      </c>
      <c r="D2311" s="715">
        <v>0</v>
      </c>
      <c r="E2311" s="715">
        <v>0</v>
      </c>
      <c r="F2311" s="715">
        <v>0</v>
      </c>
      <c r="G2311" s="715">
        <v>0</v>
      </c>
      <c r="H2311" s="715">
        <v>0</v>
      </c>
      <c r="I2311" s="775">
        <f t="shared" si="52"/>
        <v>291972.27</v>
      </c>
      <c r="J2311" s="192" t="s">
        <v>1323</v>
      </c>
    </row>
    <row r="2312" spans="1:10" hidden="1" outlineLevel="1">
      <c r="A2312" s="759" t="s">
        <v>1326</v>
      </c>
      <c r="B2312" s="777">
        <v>793831.01</v>
      </c>
      <c r="C2312" s="768">
        <v>0</v>
      </c>
      <c r="D2312" s="715">
        <v>0</v>
      </c>
      <c r="E2312" s="715">
        <v>0</v>
      </c>
      <c r="F2312" s="715">
        <v>0</v>
      </c>
      <c r="G2312" s="715">
        <v>0</v>
      </c>
      <c r="H2312" s="715">
        <v>0</v>
      </c>
      <c r="I2312" s="775">
        <f t="shared" si="52"/>
        <v>793831.01</v>
      </c>
      <c r="J2312" s="192" t="s">
        <v>1619</v>
      </c>
    </row>
    <row r="2313" spans="1:10" hidden="1" outlineLevel="1">
      <c r="A2313" s="759" t="s">
        <v>1376</v>
      </c>
      <c r="B2313" s="777">
        <v>902329.54</v>
      </c>
      <c r="C2313" s="768">
        <v>0</v>
      </c>
      <c r="D2313" s="715">
        <v>0</v>
      </c>
      <c r="E2313" s="715">
        <v>0</v>
      </c>
      <c r="F2313" s="715">
        <v>0</v>
      </c>
      <c r="G2313" s="715">
        <v>0</v>
      </c>
      <c r="H2313" s="715">
        <v>0</v>
      </c>
      <c r="I2313" s="775">
        <f t="shared" si="52"/>
        <v>902329.54</v>
      </c>
      <c r="J2313" s="192" t="s">
        <v>2199</v>
      </c>
    </row>
    <row r="2314" spans="1:10" hidden="1" outlineLevel="1">
      <c r="A2314" s="759" t="s">
        <v>1628</v>
      </c>
      <c r="B2314" s="777">
        <v>1074707.19</v>
      </c>
      <c r="C2314" s="768">
        <v>0</v>
      </c>
      <c r="D2314" s="715">
        <v>0</v>
      </c>
      <c r="E2314" s="715">
        <v>0</v>
      </c>
      <c r="F2314" s="715">
        <v>0</v>
      </c>
      <c r="G2314" s="715">
        <v>0</v>
      </c>
      <c r="H2314" s="715">
        <v>0</v>
      </c>
      <c r="I2314" s="775">
        <f t="shared" si="52"/>
        <v>1074707.19</v>
      </c>
      <c r="J2314" s="192" t="s">
        <v>1343</v>
      </c>
    </row>
    <row r="2315" spans="1:10" hidden="1" outlineLevel="1">
      <c r="A2315" s="759" t="s">
        <v>2200</v>
      </c>
      <c r="B2315" s="777">
        <v>41982.73</v>
      </c>
      <c r="C2315" s="768">
        <v>0</v>
      </c>
      <c r="D2315" s="715">
        <v>0</v>
      </c>
      <c r="E2315" s="715">
        <v>0</v>
      </c>
      <c r="F2315" s="715">
        <v>0</v>
      </c>
      <c r="G2315" s="715">
        <v>0</v>
      </c>
      <c r="H2315" s="715">
        <v>0</v>
      </c>
      <c r="I2315" s="775">
        <f t="shared" si="52"/>
        <v>41982.73</v>
      </c>
      <c r="J2315" s="192" t="s">
        <v>1341</v>
      </c>
    </row>
    <row r="2316" spans="1:10" hidden="1" outlineLevel="1">
      <c r="A2316" s="759" t="s">
        <v>1293</v>
      </c>
      <c r="B2316" s="777">
        <v>2132266.59</v>
      </c>
      <c r="C2316" s="768">
        <v>0</v>
      </c>
      <c r="D2316" s="715">
        <v>0</v>
      </c>
      <c r="E2316" s="715">
        <v>0</v>
      </c>
      <c r="F2316" s="715">
        <v>0</v>
      </c>
      <c r="G2316" s="715">
        <v>0</v>
      </c>
      <c r="H2316" s="715">
        <v>0</v>
      </c>
      <c r="I2316" s="775">
        <f t="shared" si="52"/>
        <v>2132266.59</v>
      </c>
      <c r="J2316" s="192" t="s">
        <v>1327</v>
      </c>
    </row>
    <row r="2317" spans="1:10" hidden="1" outlineLevel="1">
      <c r="A2317" s="759" t="s">
        <v>1590</v>
      </c>
      <c r="B2317" s="777">
        <v>134953.78</v>
      </c>
      <c r="C2317" s="768">
        <v>0</v>
      </c>
      <c r="D2317" s="715">
        <v>0</v>
      </c>
      <c r="E2317" s="715">
        <v>0</v>
      </c>
      <c r="F2317" s="715">
        <v>0</v>
      </c>
      <c r="G2317" s="715">
        <v>0</v>
      </c>
      <c r="H2317" s="715">
        <v>0</v>
      </c>
      <c r="I2317" s="775">
        <f t="shared" si="52"/>
        <v>134953.78</v>
      </c>
      <c r="J2317" s="192" t="s">
        <v>1377</v>
      </c>
    </row>
    <row r="2318" spans="1:10" hidden="1" outlineLevel="1">
      <c r="A2318" s="759" t="s">
        <v>1464</v>
      </c>
      <c r="B2318" s="777">
        <v>372326.74</v>
      </c>
      <c r="C2318" s="768">
        <v>0</v>
      </c>
      <c r="D2318" s="715">
        <v>0</v>
      </c>
      <c r="E2318" s="715">
        <v>0</v>
      </c>
      <c r="F2318" s="715">
        <v>0</v>
      </c>
      <c r="G2318" s="715">
        <v>0</v>
      </c>
      <c r="H2318" s="715">
        <v>0</v>
      </c>
      <c r="I2318" s="775">
        <f t="shared" si="52"/>
        <v>372326.74</v>
      </c>
      <c r="J2318" s="192" t="s">
        <v>1629</v>
      </c>
    </row>
    <row r="2319" spans="1:10" hidden="1" outlineLevel="1">
      <c r="A2319" s="759" t="s">
        <v>2202</v>
      </c>
      <c r="B2319" s="777">
        <v>52785.2</v>
      </c>
      <c r="C2319" s="768">
        <v>0</v>
      </c>
      <c r="D2319" s="715">
        <v>0</v>
      </c>
      <c r="E2319" s="715">
        <v>0</v>
      </c>
      <c r="F2319" s="715">
        <v>0</v>
      </c>
      <c r="G2319" s="715">
        <v>0</v>
      </c>
      <c r="H2319" s="715">
        <v>0</v>
      </c>
      <c r="I2319" s="775">
        <f t="shared" si="52"/>
        <v>52785.2</v>
      </c>
      <c r="J2319" s="192" t="s">
        <v>2334</v>
      </c>
    </row>
    <row r="2320" spans="1:10" hidden="1" outlineLevel="1">
      <c r="A2320" s="759" t="s">
        <v>1586</v>
      </c>
      <c r="B2320" s="777">
        <v>214821.69</v>
      </c>
      <c r="C2320" s="768">
        <v>0</v>
      </c>
      <c r="D2320" s="715">
        <v>0</v>
      </c>
      <c r="E2320" s="715">
        <v>0</v>
      </c>
      <c r="F2320" s="715">
        <v>0</v>
      </c>
      <c r="G2320" s="715">
        <v>0</v>
      </c>
      <c r="H2320" s="715">
        <v>0</v>
      </c>
      <c r="I2320" s="775">
        <f t="shared" si="52"/>
        <v>214821.69</v>
      </c>
      <c r="J2320" s="192" t="s">
        <v>1294</v>
      </c>
    </row>
    <row r="2321" spans="1:10" hidden="1" outlineLevel="1">
      <c r="A2321" s="759" t="s">
        <v>1232</v>
      </c>
      <c r="B2321" s="777">
        <v>4120535.22</v>
      </c>
      <c r="C2321" s="768">
        <v>0</v>
      </c>
      <c r="D2321" s="715">
        <v>0</v>
      </c>
      <c r="E2321" s="715">
        <v>0</v>
      </c>
      <c r="F2321" s="715">
        <v>0</v>
      </c>
      <c r="G2321" s="715">
        <v>0</v>
      </c>
      <c r="H2321" s="715">
        <v>0</v>
      </c>
      <c r="I2321" s="775">
        <f t="shared" si="52"/>
        <v>4120535.22</v>
      </c>
      <c r="J2321" s="192" t="s">
        <v>2335</v>
      </c>
    </row>
    <row r="2322" spans="1:10" hidden="1" outlineLevel="1">
      <c r="A2322" s="759" t="s">
        <v>1444</v>
      </c>
      <c r="B2322" s="777">
        <v>7435856.8600000003</v>
      </c>
      <c r="C2322" s="768">
        <v>0</v>
      </c>
      <c r="D2322" s="715">
        <v>0</v>
      </c>
      <c r="E2322" s="715">
        <v>0</v>
      </c>
      <c r="F2322" s="715">
        <v>0</v>
      </c>
      <c r="G2322" s="715">
        <v>0</v>
      </c>
      <c r="H2322" s="715">
        <v>0</v>
      </c>
      <c r="I2322" s="775">
        <f t="shared" ref="I2322:I2385" si="53">SUM(B2322:H2322)</f>
        <v>7435856.8600000003</v>
      </c>
      <c r="J2322" s="192" t="s">
        <v>1591</v>
      </c>
    </row>
    <row r="2323" spans="1:10" hidden="1" outlineLevel="1">
      <c r="A2323" s="759" t="s">
        <v>1248</v>
      </c>
      <c r="B2323" s="777">
        <v>887883.05</v>
      </c>
      <c r="C2323" s="768">
        <v>0</v>
      </c>
      <c r="D2323" s="715">
        <v>0</v>
      </c>
      <c r="E2323" s="715">
        <v>0</v>
      </c>
      <c r="F2323" s="715">
        <v>0</v>
      </c>
      <c r="G2323" s="715">
        <v>0</v>
      </c>
      <c r="H2323" s="715">
        <v>0</v>
      </c>
      <c r="I2323" s="775">
        <f t="shared" si="53"/>
        <v>887883.05</v>
      </c>
      <c r="J2323" s="192" t="s">
        <v>1465</v>
      </c>
    </row>
    <row r="2324" spans="1:10" hidden="1" outlineLevel="1">
      <c r="A2324" s="759" t="s">
        <v>1675</v>
      </c>
      <c r="B2324" s="777">
        <v>2358780.63</v>
      </c>
      <c r="C2324" s="768">
        <v>0</v>
      </c>
      <c r="D2324" s="715">
        <v>0</v>
      </c>
      <c r="E2324" s="715">
        <v>0</v>
      </c>
      <c r="F2324" s="715">
        <v>0</v>
      </c>
      <c r="G2324" s="715">
        <v>0</v>
      </c>
      <c r="H2324" s="715">
        <v>0</v>
      </c>
      <c r="I2324" s="775">
        <f t="shared" si="53"/>
        <v>2358780.63</v>
      </c>
      <c r="J2324" s="192" t="s">
        <v>2203</v>
      </c>
    </row>
    <row r="2325" spans="1:10" hidden="1" outlineLevel="1">
      <c r="A2325" s="759" t="s">
        <v>1536</v>
      </c>
      <c r="B2325" s="777">
        <v>174735.43</v>
      </c>
      <c r="C2325" s="768">
        <v>0</v>
      </c>
      <c r="D2325" s="715">
        <v>0</v>
      </c>
      <c r="E2325" s="715">
        <v>0</v>
      </c>
      <c r="F2325" s="715">
        <v>0</v>
      </c>
      <c r="G2325" s="715">
        <v>0</v>
      </c>
      <c r="H2325" s="715">
        <v>0</v>
      </c>
      <c r="I2325" s="775">
        <f t="shared" si="53"/>
        <v>174735.43</v>
      </c>
      <c r="J2325" s="192" t="s">
        <v>1587</v>
      </c>
    </row>
    <row r="2326" spans="1:10" hidden="1" outlineLevel="1">
      <c r="A2326" s="759" t="s">
        <v>1374</v>
      </c>
      <c r="B2326" s="777">
        <v>663883.81000000006</v>
      </c>
      <c r="C2326" s="768">
        <v>0</v>
      </c>
      <c r="D2326" s="715">
        <v>0</v>
      </c>
      <c r="E2326" s="715">
        <v>0</v>
      </c>
      <c r="F2326" s="715">
        <v>0</v>
      </c>
      <c r="G2326" s="715">
        <v>0</v>
      </c>
      <c r="H2326" s="715">
        <v>0</v>
      </c>
      <c r="I2326" s="775">
        <f t="shared" si="53"/>
        <v>663883.81000000006</v>
      </c>
      <c r="J2326" s="192" t="s">
        <v>1233</v>
      </c>
    </row>
    <row r="2327" spans="1:10" hidden="1" outlineLevel="1">
      <c r="A2327" s="759" t="s">
        <v>1257</v>
      </c>
      <c r="B2327" s="777">
        <v>373122.31</v>
      </c>
      <c r="C2327" s="768">
        <v>0</v>
      </c>
      <c r="D2327" s="715">
        <v>0</v>
      </c>
      <c r="E2327" s="715">
        <v>0</v>
      </c>
      <c r="F2327" s="715">
        <v>0</v>
      </c>
      <c r="G2327" s="715">
        <v>0</v>
      </c>
      <c r="H2327" s="715">
        <v>0</v>
      </c>
      <c r="I2327" s="775">
        <f t="shared" si="53"/>
        <v>373122.31</v>
      </c>
      <c r="J2327" s="192" t="s">
        <v>1445</v>
      </c>
    </row>
    <row r="2328" spans="1:10" hidden="1" outlineLevel="1">
      <c r="A2328" s="759" t="s">
        <v>1714</v>
      </c>
      <c r="B2328" s="777">
        <v>1431863.35</v>
      </c>
      <c r="C2328" s="768">
        <v>0</v>
      </c>
      <c r="D2328" s="715">
        <v>0</v>
      </c>
      <c r="E2328" s="715">
        <v>0</v>
      </c>
      <c r="F2328" s="715">
        <v>0</v>
      </c>
      <c r="G2328" s="715">
        <v>0</v>
      </c>
      <c r="H2328" s="715">
        <v>0</v>
      </c>
      <c r="I2328" s="775">
        <f t="shared" si="53"/>
        <v>1431863.35</v>
      </c>
      <c r="J2328" s="192" t="s">
        <v>1249</v>
      </c>
    </row>
    <row r="2329" spans="1:10" hidden="1" outlineLevel="1">
      <c r="A2329" s="759" t="s">
        <v>1542</v>
      </c>
      <c r="B2329" s="777">
        <v>328114.34999999998</v>
      </c>
      <c r="C2329" s="768">
        <v>0</v>
      </c>
      <c r="D2329" s="715">
        <v>0</v>
      </c>
      <c r="E2329" s="715">
        <v>0</v>
      </c>
      <c r="F2329" s="715">
        <v>0</v>
      </c>
      <c r="G2329" s="715">
        <v>0</v>
      </c>
      <c r="H2329" s="715">
        <v>0</v>
      </c>
      <c r="I2329" s="775">
        <f t="shared" si="53"/>
        <v>328114.34999999998</v>
      </c>
      <c r="J2329" s="192" t="s">
        <v>2336</v>
      </c>
    </row>
    <row r="2330" spans="1:10" hidden="1" outlineLevel="1">
      <c r="A2330" s="759" t="s">
        <v>1526</v>
      </c>
      <c r="B2330" s="777">
        <v>409021.26</v>
      </c>
      <c r="C2330" s="768">
        <v>0</v>
      </c>
      <c r="D2330" s="715">
        <v>0</v>
      </c>
      <c r="E2330" s="715">
        <v>0</v>
      </c>
      <c r="F2330" s="715">
        <v>0</v>
      </c>
      <c r="G2330" s="715">
        <v>0</v>
      </c>
      <c r="H2330" s="715">
        <v>0</v>
      </c>
      <c r="I2330" s="775">
        <f t="shared" si="53"/>
        <v>409021.26</v>
      </c>
      <c r="J2330" s="192" t="s">
        <v>1676</v>
      </c>
    </row>
    <row r="2331" spans="1:10" hidden="1" outlineLevel="1">
      <c r="A2331" s="759" t="s">
        <v>1356</v>
      </c>
      <c r="B2331" s="777">
        <v>309380.15999999997</v>
      </c>
      <c r="C2331" s="768">
        <v>0</v>
      </c>
      <c r="D2331" s="715">
        <v>0</v>
      </c>
      <c r="E2331" s="715">
        <v>0</v>
      </c>
      <c r="F2331" s="715">
        <v>0</v>
      </c>
      <c r="G2331" s="715">
        <v>0</v>
      </c>
      <c r="H2331" s="715">
        <v>0</v>
      </c>
      <c r="I2331" s="775">
        <f t="shared" si="53"/>
        <v>309380.15999999997</v>
      </c>
      <c r="J2331" s="192" t="s">
        <v>1537</v>
      </c>
    </row>
    <row r="2332" spans="1:10" hidden="1" outlineLevel="1">
      <c r="A2332" s="759" t="s">
        <v>1712</v>
      </c>
      <c r="B2332" s="777">
        <v>127708.49</v>
      </c>
      <c r="C2332" s="768">
        <v>0</v>
      </c>
      <c r="D2332" s="715">
        <v>0</v>
      </c>
      <c r="E2332" s="715">
        <v>0</v>
      </c>
      <c r="F2332" s="715">
        <v>0</v>
      </c>
      <c r="G2332" s="715">
        <v>0</v>
      </c>
      <c r="H2332" s="715">
        <v>0</v>
      </c>
      <c r="I2332" s="775">
        <f t="shared" si="53"/>
        <v>127708.49</v>
      </c>
      <c r="J2332" s="192" t="s">
        <v>1375</v>
      </c>
    </row>
    <row r="2333" spans="1:10" hidden="1" outlineLevel="1">
      <c r="A2333" s="759" t="s">
        <v>1299</v>
      </c>
      <c r="B2333" s="777">
        <v>96205.95</v>
      </c>
      <c r="C2333" s="768">
        <v>0</v>
      </c>
      <c r="D2333" s="715">
        <v>0</v>
      </c>
      <c r="E2333" s="715">
        <v>0</v>
      </c>
      <c r="F2333" s="715">
        <v>0</v>
      </c>
      <c r="G2333" s="715">
        <v>0</v>
      </c>
      <c r="H2333" s="715">
        <v>0</v>
      </c>
      <c r="I2333" s="775">
        <f t="shared" si="53"/>
        <v>96205.95</v>
      </c>
      <c r="J2333" s="192" t="s">
        <v>1258</v>
      </c>
    </row>
    <row r="2334" spans="1:10" hidden="1" outlineLevel="1">
      <c r="A2334" s="759" t="s">
        <v>1754</v>
      </c>
      <c r="B2334" s="777">
        <v>170468.94</v>
      </c>
      <c r="C2334" s="768">
        <v>0</v>
      </c>
      <c r="D2334" s="715">
        <v>0</v>
      </c>
      <c r="E2334" s="715">
        <v>0</v>
      </c>
      <c r="F2334" s="715">
        <v>0</v>
      </c>
      <c r="G2334" s="715">
        <v>0</v>
      </c>
      <c r="H2334" s="715">
        <v>0</v>
      </c>
      <c r="I2334" s="775">
        <f t="shared" si="53"/>
        <v>170468.94</v>
      </c>
      <c r="J2334" s="192" t="s">
        <v>1715</v>
      </c>
    </row>
    <row r="2335" spans="1:10" hidden="1" outlineLevel="1">
      <c r="A2335" s="759" t="s">
        <v>1690</v>
      </c>
      <c r="B2335" s="777">
        <v>748892.23</v>
      </c>
      <c r="C2335" s="768">
        <v>0</v>
      </c>
      <c r="D2335" s="715">
        <v>0</v>
      </c>
      <c r="E2335" s="715">
        <v>0</v>
      </c>
      <c r="F2335" s="715">
        <v>0</v>
      </c>
      <c r="G2335" s="715">
        <v>0</v>
      </c>
      <c r="H2335" s="715">
        <v>0</v>
      </c>
      <c r="I2335" s="775">
        <f t="shared" si="53"/>
        <v>748892.23</v>
      </c>
      <c r="J2335" s="192" t="s">
        <v>1543</v>
      </c>
    </row>
    <row r="2336" spans="1:10" hidden="1" outlineLevel="1">
      <c r="A2336" s="759" t="s">
        <v>1251</v>
      </c>
      <c r="B2336" s="777">
        <v>346904.67</v>
      </c>
      <c r="C2336" s="768">
        <v>0</v>
      </c>
      <c r="D2336" s="715">
        <v>0</v>
      </c>
      <c r="E2336" s="715">
        <v>0</v>
      </c>
      <c r="F2336" s="715">
        <v>0</v>
      </c>
      <c r="G2336" s="715">
        <v>0</v>
      </c>
      <c r="H2336" s="715">
        <v>0</v>
      </c>
      <c r="I2336" s="775">
        <f t="shared" si="53"/>
        <v>346904.67</v>
      </c>
      <c r="J2336" s="192" t="s">
        <v>1527</v>
      </c>
    </row>
    <row r="2337" spans="1:10" hidden="1" outlineLevel="1">
      <c r="A2337" s="759" t="s">
        <v>1392</v>
      </c>
      <c r="B2337" s="777">
        <v>422401.06</v>
      </c>
      <c r="C2337" s="768">
        <v>0</v>
      </c>
      <c r="D2337" s="715">
        <v>0</v>
      </c>
      <c r="E2337" s="715">
        <v>0</v>
      </c>
      <c r="F2337" s="715">
        <v>0</v>
      </c>
      <c r="G2337" s="715">
        <v>0</v>
      </c>
      <c r="H2337" s="715">
        <v>0</v>
      </c>
      <c r="I2337" s="775">
        <f t="shared" si="53"/>
        <v>422401.06</v>
      </c>
      <c r="J2337" s="192" t="s">
        <v>1357</v>
      </c>
    </row>
    <row r="2338" spans="1:10" hidden="1" outlineLevel="1">
      <c r="A2338" s="759" t="s">
        <v>1662</v>
      </c>
      <c r="B2338" s="777">
        <v>114933.2</v>
      </c>
      <c r="C2338" s="768">
        <v>0</v>
      </c>
      <c r="D2338" s="715">
        <v>0</v>
      </c>
      <c r="E2338" s="715">
        <v>0</v>
      </c>
      <c r="F2338" s="715">
        <v>0</v>
      </c>
      <c r="G2338" s="715">
        <v>0</v>
      </c>
      <c r="H2338" s="715">
        <v>0</v>
      </c>
      <c r="I2338" s="775">
        <f t="shared" si="53"/>
        <v>114933.2</v>
      </c>
      <c r="J2338" s="192" t="s">
        <v>1713</v>
      </c>
    </row>
    <row r="2339" spans="1:10" hidden="1" outlineLevel="1">
      <c r="A2339" s="759" t="s">
        <v>1660</v>
      </c>
      <c r="B2339" s="777">
        <v>142756.32999999999</v>
      </c>
      <c r="C2339" s="768">
        <v>0</v>
      </c>
      <c r="D2339" s="715">
        <v>0</v>
      </c>
      <c r="E2339" s="715">
        <v>0</v>
      </c>
      <c r="F2339" s="715">
        <v>0</v>
      </c>
      <c r="G2339" s="715">
        <v>0</v>
      </c>
      <c r="H2339" s="715">
        <v>0</v>
      </c>
      <c r="I2339" s="775">
        <f t="shared" si="53"/>
        <v>142756.32999999999</v>
      </c>
      <c r="J2339" s="192" t="s">
        <v>1300</v>
      </c>
    </row>
    <row r="2340" spans="1:10" hidden="1" outlineLevel="1">
      <c r="A2340" s="759" t="s">
        <v>1564</v>
      </c>
      <c r="B2340" s="777">
        <v>45444.71</v>
      </c>
      <c r="C2340" s="768">
        <v>0</v>
      </c>
      <c r="D2340" s="715">
        <v>0</v>
      </c>
      <c r="E2340" s="715">
        <v>0</v>
      </c>
      <c r="F2340" s="715">
        <v>0</v>
      </c>
      <c r="G2340" s="715">
        <v>0</v>
      </c>
      <c r="H2340" s="715">
        <v>0</v>
      </c>
      <c r="I2340" s="775">
        <f t="shared" si="53"/>
        <v>45444.71</v>
      </c>
      <c r="J2340" s="192" t="s">
        <v>1755</v>
      </c>
    </row>
    <row r="2341" spans="1:10" hidden="1" outlineLevel="1">
      <c r="A2341" s="759" t="s">
        <v>1612</v>
      </c>
      <c r="B2341" s="777">
        <v>436032.07</v>
      </c>
      <c r="C2341" s="768">
        <v>0</v>
      </c>
      <c r="D2341" s="715">
        <v>0</v>
      </c>
      <c r="E2341" s="715">
        <v>0</v>
      </c>
      <c r="F2341" s="715">
        <v>0</v>
      </c>
      <c r="G2341" s="715">
        <v>0</v>
      </c>
      <c r="H2341" s="715">
        <v>0</v>
      </c>
      <c r="I2341" s="775">
        <f t="shared" si="53"/>
        <v>436032.07</v>
      </c>
      <c r="J2341" s="192" t="s">
        <v>1691</v>
      </c>
    </row>
    <row r="2342" spans="1:10" hidden="1" outlineLevel="1">
      <c r="A2342" s="759" t="s">
        <v>1544</v>
      </c>
      <c r="B2342" s="777">
        <v>60662.43</v>
      </c>
      <c r="C2342" s="768">
        <v>0</v>
      </c>
      <c r="D2342" s="715">
        <v>0</v>
      </c>
      <c r="E2342" s="715">
        <v>0</v>
      </c>
      <c r="F2342" s="715">
        <v>40.380000000000003</v>
      </c>
      <c r="G2342" s="715">
        <v>0</v>
      </c>
      <c r="H2342" s="715">
        <v>0</v>
      </c>
      <c r="I2342" s="775">
        <f t="shared" si="53"/>
        <v>60702.81</v>
      </c>
      <c r="J2342" s="192" t="s">
        <v>1252</v>
      </c>
    </row>
    <row r="2343" spans="1:10" hidden="1" outlineLevel="1">
      <c r="A2343" s="759" t="s">
        <v>1530</v>
      </c>
      <c r="B2343" s="777">
        <v>546963.56000000006</v>
      </c>
      <c r="C2343" s="768">
        <v>0</v>
      </c>
      <c r="D2343" s="715">
        <v>0</v>
      </c>
      <c r="E2343" s="715">
        <v>0</v>
      </c>
      <c r="F2343" s="715">
        <v>0</v>
      </c>
      <c r="G2343" s="715">
        <v>0</v>
      </c>
      <c r="H2343" s="715">
        <v>0</v>
      </c>
      <c r="I2343" s="775">
        <f t="shared" si="53"/>
        <v>546963.56000000006</v>
      </c>
      <c r="J2343" s="192" t="s">
        <v>1393</v>
      </c>
    </row>
    <row r="2344" spans="1:10" hidden="1" outlineLevel="1">
      <c r="A2344" s="759" t="s">
        <v>1452</v>
      </c>
      <c r="B2344" s="777">
        <v>1037650.76</v>
      </c>
      <c r="C2344" s="768">
        <v>0</v>
      </c>
      <c r="D2344" s="715">
        <v>0</v>
      </c>
      <c r="E2344" s="715">
        <v>0</v>
      </c>
      <c r="F2344" s="715">
        <v>0</v>
      </c>
      <c r="G2344" s="715">
        <v>0</v>
      </c>
      <c r="H2344" s="715">
        <v>0</v>
      </c>
      <c r="I2344" s="775">
        <f t="shared" si="53"/>
        <v>1037650.76</v>
      </c>
      <c r="J2344" s="192" t="s">
        <v>1663</v>
      </c>
    </row>
    <row r="2345" spans="1:10" hidden="1" outlineLevel="1">
      <c r="A2345" s="759" t="s">
        <v>1774</v>
      </c>
      <c r="B2345" s="777">
        <v>1944125.55</v>
      </c>
      <c r="C2345" s="768">
        <v>0</v>
      </c>
      <c r="D2345" s="715">
        <v>0</v>
      </c>
      <c r="E2345" s="715">
        <v>0</v>
      </c>
      <c r="F2345" s="715">
        <v>0</v>
      </c>
      <c r="G2345" s="715">
        <v>0</v>
      </c>
      <c r="H2345" s="715">
        <v>0</v>
      </c>
      <c r="I2345" s="775">
        <f t="shared" si="53"/>
        <v>1944125.55</v>
      </c>
      <c r="J2345" s="192" t="s">
        <v>1661</v>
      </c>
    </row>
    <row r="2346" spans="1:10" hidden="1" outlineLevel="1">
      <c r="A2346" s="759" t="s">
        <v>1402</v>
      </c>
      <c r="B2346" s="777">
        <v>6298504.25</v>
      </c>
      <c r="C2346" s="768">
        <v>0</v>
      </c>
      <c r="D2346" s="715">
        <v>0</v>
      </c>
      <c r="E2346" s="715">
        <v>0</v>
      </c>
      <c r="F2346" s="715">
        <v>14153.47</v>
      </c>
      <c r="G2346" s="715">
        <v>0</v>
      </c>
      <c r="H2346" s="715">
        <v>0</v>
      </c>
      <c r="I2346" s="775">
        <f t="shared" si="53"/>
        <v>6312657.7199999997</v>
      </c>
      <c r="J2346" s="192" t="s">
        <v>1565</v>
      </c>
    </row>
    <row r="2347" spans="1:10" hidden="1" outlineLevel="1">
      <c r="A2347" s="759" t="s">
        <v>1440</v>
      </c>
      <c r="B2347" s="777">
        <v>697848.4</v>
      </c>
      <c r="C2347" s="768">
        <v>0</v>
      </c>
      <c r="D2347" s="715">
        <v>0</v>
      </c>
      <c r="E2347" s="715">
        <v>0</v>
      </c>
      <c r="F2347" s="715">
        <v>0</v>
      </c>
      <c r="G2347" s="715">
        <v>0</v>
      </c>
      <c r="H2347" s="715">
        <v>0</v>
      </c>
      <c r="I2347" s="775">
        <f t="shared" si="53"/>
        <v>697848.4</v>
      </c>
      <c r="J2347" s="192" t="s">
        <v>1613</v>
      </c>
    </row>
    <row r="2348" spans="1:10" hidden="1" outlineLevel="1">
      <c r="A2348" s="759" t="s">
        <v>1606</v>
      </c>
      <c r="B2348" s="777">
        <v>142598.06</v>
      </c>
      <c r="C2348" s="768">
        <v>0</v>
      </c>
      <c r="D2348" s="715">
        <v>0</v>
      </c>
      <c r="E2348" s="715">
        <v>0</v>
      </c>
      <c r="F2348" s="715">
        <v>0</v>
      </c>
      <c r="G2348" s="715">
        <v>0</v>
      </c>
      <c r="H2348" s="715">
        <v>0</v>
      </c>
      <c r="I2348" s="775">
        <f t="shared" si="53"/>
        <v>142598.06</v>
      </c>
      <c r="J2348" s="192" t="s">
        <v>2337</v>
      </c>
    </row>
    <row r="2349" spans="1:10" hidden="1" outlineLevel="1">
      <c r="A2349" s="759" t="s">
        <v>1408</v>
      </c>
      <c r="B2349" s="777">
        <v>4979835.57</v>
      </c>
      <c r="C2349" s="768">
        <v>0</v>
      </c>
      <c r="D2349" s="715">
        <v>0</v>
      </c>
      <c r="E2349" s="715">
        <v>0</v>
      </c>
      <c r="F2349" s="715">
        <v>0</v>
      </c>
      <c r="G2349" s="715">
        <v>0</v>
      </c>
      <c r="H2349" s="715">
        <v>0</v>
      </c>
      <c r="I2349" s="775">
        <f t="shared" si="53"/>
        <v>4979835.57</v>
      </c>
      <c r="J2349" s="192" t="s">
        <v>1531</v>
      </c>
    </row>
    <row r="2350" spans="1:10" hidden="1" outlineLevel="1">
      <c r="A2350" s="759" t="s">
        <v>1253</v>
      </c>
      <c r="B2350" s="777">
        <v>62952.87</v>
      </c>
      <c r="C2350" s="768">
        <v>0</v>
      </c>
      <c r="D2350" s="715">
        <v>0</v>
      </c>
      <c r="E2350" s="715">
        <v>0</v>
      </c>
      <c r="F2350" s="715">
        <v>0</v>
      </c>
      <c r="G2350" s="715">
        <v>0</v>
      </c>
      <c r="H2350" s="715">
        <v>0</v>
      </c>
      <c r="I2350" s="775">
        <f t="shared" si="53"/>
        <v>62952.87</v>
      </c>
      <c r="J2350" s="192" t="s">
        <v>1453</v>
      </c>
    </row>
    <row r="2351" spans="1:10" hidden="1" outlineLevel="1">
      <c r="A2351" s="759" t="s">
        <v>1434</v>
      </c>
      <c r="B2351" s="777">
        <v>734926.44</v>
      </c>
      <c r="C2351" s="768">
        <v>0</v>
      </c>
      <c r="D2351" s="715">
        <v>0</v>
      </c>
      <c r="E2351" s="715">
        <v>0</v>
      </c>
      <c r="F2351" s="715">
        <v>0</v>
      </c>
      <c r="G2351" s="715">
        <v>0</v>
      </c>
      <c r="H2351" s="715">
        <v>0</v>
      </c>
      <c r="I2351" s="775">
        <f t="shared" si="53"/>
        <v>734926.44</v>
      </c>
      <c r="J2351" s="192" t="s">
        <v>1775</v>
      </c>
    </row>
    <row r="2352" spans="1:10" hidden="1" outlineLevel="1">
      <c r="A2352" s="759" t="s">
        <v>1702</v>
      </c>
      <c r="B2352" s="777">
        <v>178482.85</v>
      </c>
      <c r="C2352" s="768">
        <v>0</v>
      </c>
      <c r="D2352" s="715">
        <v>0</v>
      </c>
      <c r="E2352" s="715">
        <v>0</v>
      </c>
      <c r="F2352" s="716">
        <v>0</v>
      </c>
      <c r="G2352" s="715">
        <v>0</v>
      </c>
      <c r="H2352" s="715">
        <v>0</v>
      </c>
      <c r="I2352" s="775">
        <f t="shared" si="53"/>
        <v>178482.85</v>
      </c>
      <c r="J2352" s="192" t="s">
        <v>1403</v>
      </c>
    </row>
    <row r="2353" spans="1:10" hidden="1" outlineLevel="1">
      <c r="A2353" s="759" t="s">
        <v>1269</v>
      </c>
      <c r="B2353" s="777">
        <v>286268.12</v>
      </c>
      <c r="C2353" s="768">
        <v>0</v>
      </c>
      <c r="D2353" s="715">
        <v>0</v>
      </c>
      <c r="E2353" s="715">
        <v>0</v>
      </c>
      <c r="F2353" s="715">
        <v>0</v>
      </c>
      <c r="G2353" s="715">
        <v>0</v>
      </c>
      <c r="H2353" s="715">
        <v>0</v>
      </c>
      <c r="I2353" s="775">
        <f t="shared" si="53"/>
        <v>286268.12</v>
      </c>
      <c r="J2353" s="192" t="s">
        <v>1441</v>
      </c>
    </row>
    <row r="2354" spans="1:10" hidden="1" outlineLevel="1">
      <c r="A2354" s="759" t="s">
        <v>1259</v>
      </c>
      <c r="B2354" s="777">
        <v>197365.59</v>
      </c>
      <c r="C2354" s="768">
        <v>0</v>
      </c>
      <c r="D2354" s="715">
        <v>0</v>
      </c>
      <c r="E2354" s="715">
        <v>0</v>
      </c>
      <c r="F2354" s="715">
        <v>0</v>
      </c>
      <c r="G2354" s="715">
        <v>0</v>
      </c>
      <c r="H2354" s="715">
        <v>0</v>
      </c>
      <c r="I2354" s="775">
        <f t="shared" si="53"/>
        <v>197365.59</v>
      </c>
      <c r="J2354" s="192" t="s">
        <v>1607</v>
      </c>
    </row>
    <row r="2355" spans="1:10" hidden="1" outlineLevel="1">
      <c r="A2355" s="759" t="s">
        <v>1470</v>
      </c>
      <c r="B2355" s="777">
        <v>358275.11</v>
      </c>
      <c r="C2355" s="768">
        <v>0</v>
      </c>
      <c r="D2355" s="715">
        <v>0</v>
      </c>
      <c r="E2355" s="715">
        <v>0</v>
      </c>
      <c r="F2355" s="715">
        <v>0</v>
      </c>
      <c r="G2355" s="715">
        <v>0</v>
      </c>
      <c r="H2355" s="715">
        <v>0</v>
      </c>
      <c r="I2355" s="775">
        <f t="shared" si="53"/>
        <v>358275.11</v>
      </c>
      <c r="J2355" s="192" t="s">
        <v>1409</v>
      </c>
    </row>
    <row r="2356" spans="1:10" hidden="1" outlineLevel="1">
      <c r="A2356" s="759" t="s">
        <v>1742</v>
      </c>
      <c r="B2356" s="777">
        <v>207734.02</v>
      </c>
      <c r="C2356" s="768">
        <v>0</v>
      </c>
      <c r="D2356" s="715">
        <v>0</v>
      </c>
      <c r="E2356" s="715">
        <v>0</v>
      </c>
      <c r="F2356" s="715">
        <v>0</v>
      </c>
      <c r="G2356" s="715">
        <v>0</v>
      </c>
      <c r="H2356" s="715">
        <v>0</v>
      </c>
      <c r="I2356" s="775">
        <f t="shared" si="53"/>
        <v>207734.02</v>
      </c>
      <c r="J2356" s="192" t="s">
        <v>2338</v>
      </c>
    </row>
    <row r="2357" spans="1:10" hidden="1" outlineLevel="1">
      <c r="A2357" s="759" t="s">
        <v>1350</v>
      </c>
      <c r="B2357" s="777">
        <v>332516.05</v>
      </c>
      <c r="C2357" s="768">
        <v>0</v>
      </c>
      <c r="D2357" s="715">
        <v>0</v>
      </c>
      <c r="E2357" s="715">
        <v>0</v>
      </c>
      <c r="F2357" s="715">
        <v>0</v>
      </c>
      <c r="G2357" s="715">
        <v>0</v>
      </c>
      <c r="H2357" s="715">
        <v>0</v>
      </c>
      <c r="I2357" s="775">
        <f t="shared" si="53"/>
        <v>332516.05</v>
      </c>
      <c r="J2357" s="192" t="s">
        <v>2339</v>
      </c>
    </row>
    <row r="2358" spans="1:10" hidden="1" outlineLevel="1">
      <c r="A2358" s="759" t="s">
        <v>1424</v>
      </c>
      <c r="B2358" s="777">
        <v>493758.95</v>
      </c>
      <c r="C2358" s="768">
        <v>0</v>
      </c>
      <c r="D2358" s="715">
        <v>0</v>
      </c>
      <c r="E2358" s="715">
        <v>0</v>
      </c>
      <c r="F2358" s="715">
        <v>0</v>
      </c>
      <c r="G2358" s="715">
        <v>0</v>
      </c>
      <c r="H2358" s="715">
        <v>0</v>
      </c>
      <c r="I2358" s="775">
        <f t="shared" si="53"/>
        <v>493758.95</v>
      </c>
      <c r="J2358" s="192" t="s">
        <v>1435</v>
      </c>
    </row>
    <row r="2359" spans="1:10" hidden="1" outlineLevel="1">
      <c r="A2359" s="759" t="s">
        <v>1486</v>
      </c>
      <c r="B2359" s="777">
        <v>433522.64</v>
      </c>
      <c r="C2359" s="768">
        <v>0</v>
      </c>
      <c r="D2359" s="715">
        <v>0</v>
      </c>
      <c r="E2359" s="715">
        <v>0</v>
      </c>
      <c r="F2359" s="715">
        <v>0</v>
      </c>
      <c r="G2359" s="715">
        <v>0</v>
      </c>
      <c r="H2359" s="715">
        <v>0</v>
      </c>
      <c r="I2359" s="775">
        <f t="shared" si="53"/>
        <v>433522.64</v>
      </c>
      <c r="J2359" s="192" t="s">
        <v>1703</v>
      </c>
    </row>
    <row r="2360" spans="1:10" hidden="1" outlineLevel="1">
      <c r="A2360" s="759" t="s">
        <v>1532</v>
      </c>
      <c r="B2360" s="777">
        <v>1361262.75</v>
      </c>
      <c r="C2360" s="768">
        <v>0</v>
      </c>
      <c r="D2360" s="715">
        <v>0</v>
      </c>
      <c r="E2360" s="715">
        <v>0</v>
      </c>
      <c r="F2360" s="715">
        <v>0</v>
      </c>
      <c r="G2360" s="715">
        <v>0</v>
      </c>
      <c r="H2360" s="715">
        <v>0</v>
      </c>
      <c r="I2360" s="775">
        <f t="shared" si="53"/>
        <v>1361262.75</v>
      </c>
      <c r="J2360" s="192" t="s">
        <v>1270</v>
      </c>
    </row>
    <row r="2361" spans="1:10" hidden="1" outlineLevel="1">
      <c r="A2361" s="759" t="s">
        <v>1406</v>
      </c>
      <c r="B2361" s="777">
        <v>203875.12</v>
      </c>
      <c r="C2361" s="768">
        <v>0</v>
      </c>
      <c r="D2361" s="715">
        <v>0</v>
      </c>
      <c r="E2361" s="715">
        <v>0</v>
      </c>
      <c r="F2361" s="715">
        <v>0</v>
      </c>
      <c r="G2361" s="715">
        <v>0</v>
      </c>
      <c r="H2361" s="715">
        <v>0</v>
      </c>
      <c r="I2361" s="775">
        <f t="shared" si="53"/>
        <v>203875.12</v>
      </c>
      <c r="J2361" s="192" t="s">
        <v>1260</v>
      </c>
    </row>
    <row r="2362" spans="1:10" hidden="1" outlineLevel="1">
      <c r="A2362" s="759" t="s">
        <v>1820</v>
      </c>
      <c r="B2362" s="777">
        <v>1392095.29</v>
      </c>
      <c r="C2362" s="768">
        <v>0</v>
      </c>
      <c r="D2362" s="715">
        <v>0</v>
      </c>
      <c r="E2362" s="715">
        <v>0</v>
      </c>
      <c r="F2362" s="715">
        <v>0</v>
      </c>
      <c r="G2362" s="715">
        <v>0</v>
      </c>
      <c r="H2362" s="715">
        <v>0</v>
      </c>
      <c r="I2362" s="775">
        <f t="shared" si="53"/>
        <v>1392095.29</v>
      </c>
      <c r="J2362" s="192" t="s">
        <v>1471</v>
      </c>
    </row>
    <row r="2363" spans="1:10" hidden="1" outlineLevel="1">
      <c r="A2363" s="759" t="s">
        <v>1673</v>
      </c>
      <c r="B2363" s="777">
        <v>922476.23</v>
      </c>
      <c r="C2363" s="768">
        <v>0</v>
      </c>
      <c r="D2363" s="715">
        <v>0</v>
      </c>
      <c r="E2363" s="715">
        <v>0</v>
      </c>
      <c r="F2363" s="715">
        <v>0</v>
      </c>
      <c r="G2363" s="715">
        <v>0</v>
      </c>
      <c r="H2363" s="715">
        <v>0</v>
      </c>
      <c r="I2363" s="775">
        <f t="shared" si="53"/>
        <v>922476.23</v>
      </c>
      <c r="J2363" s="192" t="s">
        <v>2340</v>
      </c>
    </row>
    <row r="2364" spans="1:10" hidden="1" outlineLevel="1">
      <c r="A2364" s="759" t="s">
        <v>1580</v>
      </c>
      <c r="B2364" s="777">
        <v>600970.07999999996</v>
      </c>
      <c r="C2364" s="768">
        <v>0</v>
      </c>
      <c r="D2364" s="715">
        <v>0</v>
      </c>
      <c r="E2364" s="715">
        <v>0</v>
      </c>
      <c r="F2364" s="715">
        <v>0</v>
      </c>
      <c r="G2364" s="715">
        <v>0</v>
      </c>
      <c r="H2364" s="715">
        <v>0</v>
      </c>
      <c r="I2364" s="775">
        <f t="shared" si="53"/>
        <v>600970.07999999996</v>
      </c>
      <c r="J2364" s="192" t="s">
        <v>1351</v>
      </c>
    </row>
    <row r="2365" spans="1:10" hidden="1" outlineLevel="1">
      <c r="A2365" s="759" t="s">
        <v>1588</v>
      </c>
      <c r="B2365" s="777">
        <v>1159046.8500000001</v>
      </c>
      <c r="C2365" s="768">
        <v>0</v>
      </c>
      <c r="D2365" s="715">
        <v>0</v>
      </c>
      <c r="E2365" s="715">
        <v>0</v>
      </c>
      <c r="F2365" s="715">
        <v>0</v>
      </c>
      <c r="G2365" s="715">
        <v>0</v>
      </c>
      <c r="H2365" s="715">
        <v>0</v>
      </c>
      <c r="I2365" s="775">
        <f t="shared" si="53"/>
        <v>1159046.8500000001</v>
      </c>
      <c r="J2365" s="192" t="s">
        <v>1425</v>
      </c>
    </row>
    <row r="2366" spans="1:10" hidden="1" outlineLevel="1">
      <c r="A2366" s="759" t="s">
        <v>1568</v>
      </c>
      <c r="B2366" s="777">
        <v>68511.240000000005</v>
      </c>
      <c r="C2366" s="768">
        <v>0</v>
      </c>
      <c r="D2366" s="715">
        <v>0</v>
      </c>
      <c r="E2366" s="715">
        <v>0</v>
      </c>
      <c r="F2366" s="715">
        <v>0</v>
      </c>
      <c r="G2366" s="715">
        <v>0</v>
      </c>
      <c r="H2366" s="715">
        <v>0</v>
      </c>
      <c r="I2366" s="775">
        <f t="shared" si="53"/>
        <v>68511.240000000005</v>
      </c>
      <c r="J2366" s="192" t="s">
        <v>2341</v>
      </c>
    </row>
    <row r="2367" spans="1:10" hidden="1" outlineLevel="1">
      <c r="A2367" s="759" t="s">
        <v>1482</v>
      </c>
      <c r="B2367" s="777">
        <v>943766.85</v>
      </c>
      <c r="C2367" s="768">
        <v>0</v>
      </c>
      <c r="D2367" s="715">
        <v>0</v>
      </c>
      <c r="E2367" s="715">
        <v>0</v>
      </c>
      <c r="F2367" s="715">
        <v>0</v>
      </c>
      <c r="G2367" s="715">
        <v>0</v>
      </c>
      <c r="H2367" s="715">
        <v>0</v>
      </c>
      <c r="I2367" s="775">
        <f t="shared" si="53"/>
        <v>943766.85</v>
      </c>
      <c r="J2367" s="192" t="s">
        <v>1533</v>
      </c>
    </row>
    <row r="2368" spans="1:10" hidden="1" outlineLevel="1">
      <c r="A2368" s="759" t="s">
        <v>1506</v>
      </c>
      <c r="B2368" s="777">
        <v>612686.68000000005</v>
      </c>
      <c r="C2368" s="768">
        <v>0</v>
      </c>
      <c r="D2368" s="715">
        <v>0</v>
      </c>
      <c r="E2368" s="715">
        <v>0</v>
      </c>
      <c r="F2368" s="715">
        <v>0</v>
      </c>
      <c r="G2368" s="715">
        <v>0</v>
      </c>
      <c r="H2368" s="715">
        <v>0</v>
      </c>
      <c r="I2368" s="775">
        <f t="shared" si="53"/>
        <v>612686.68000000005</v>
      </c>
      <c r="J2368" s="192" t="s">
        <v>1407</v>
      </c>
    </row>
    <row r="2369" spans="1:10" hidden="1" outlineLevel="1">
      <c r="A2369" s="759" t="s">
        <v>1596</v>
      </c>
      <c r="B2369" s="777">
        <v>456501.66</v>
      </c>
      <c r="C2369" s="768">
        <v>0</v>
      </c>
      <c r="D2369" s="715">
        <v>0</v>
      </c>
      <c r="E2369" s="715">
        <v>0</v>
      </c>
      <c r="F2369" s="715">
        <v>0</v>
      </c>
      <c r="G2369" s="715">
        <v>0</v>
      </c>
      <c r="H2369" s="715">
        <v>0</v>
      </c>
      <c r="I2369" s="775">
        <f t="shared" si="53"/>
        <v>456501.66</v>
      </c>
      <c r="J2369" s="192" t="s">
        <v>1821</v>
      </c>
    </row>
    <row r="2370" spans="1:10" hidden="1" outlineLevel="1">
      <c r="A2370" s="759" t="s">
        <v>1330</v>
      </c>
      <c r="B2370" s="777">
        <v>1870357.38</v>
      </c>
      <c r="C2370" s="768">
        <v>0</v>
      </c>
      <c r="D2370" s="715">
        <v>0</v>
      </c>
      <c r="E2370" s="715">
        <v>0</v>
      </c>
      <c r="F2370" s="715">
        <v>0</v>
      </c>
      <c r="G2370" s="715">
        <v>0</v>
      </c>
      <c r="H2370" s="715">
        <v>0</v>
      </c>
      <c r="I2370" s="775">
        <f t="shared" si="53"/>
        <v>1870357.38</v>
      </c>
      <c r="J2370" s="192" t="s">
        <v>1674</v>
      </c>
    </row>
    <row r="2371" spans="1:10" hidden="1" outlineLevel="1">
      <c r="A2371" s="759" t="s">
        <v>1746</v>
      </c>
      <c r="B2371" s="777">
        <v>374097.57</v>
      </c>
      <c r="C2371" s="768">
        <v>0</v>
      </c>
      <c r="D2371" s="715">
        <v>0</v>
      </c>
      <c r="E2371" s="715">
        <v>0</v>
      </c>
      <c r="F2371" s="715">
        <v>0</v>
      </c>
      <c r="G2371" s="715">
        <v>0</v>
      </c>
      <c r="H2371" s="715">
        <v>0</v>
      </c>
      <c r="I2371" s="775">
        <f t="shared" si="53"/>
        <v>374097.57</v>
      </c>
      <c r="J2371" s="192" t="s">
        <v>1581</v>
      </c>
    </row>
    <row r="2372" spans="1:10" hidden="1" outlineLevel="1">
      <c r="A2372" s="759" t="s">
        <v>1390</v>
      </c>
      <c r="B2372" s="777">
        <v>488322.17</v>
      </c>
      <c r="C2372" s="768">
        <v>0</v>
      </c>
      <c r="D2372" s="715">
        <v>0</v>
      </c>
      <c r="E2372" s="715">
        <v>0</v>
      </c>
      <c r="F2372" s="715">
        <v>0</v>
      </c>
      <c r="G2372" s="715">
        <v>0</v>
      </c>
      <c r="H2372" s="715">
        <v>0</v>
      </c>
      <c r="I2372" s="775">
        <f t="shared" si="53"/>
        <v>488322.17</v>
      </c>
      <c r="J2372" s="192" t="s">
        <v>1589</v>
      </c>
    </row>
    <row r="2373" spans="1:10" hidden="1" outlineLevel="1">
      <c r="A2373" s="759" t="s">
        <v>1642</v>
      </c>
      <c r="B2373" s="777">
        <v>923513.55</v>
      </c>
      <c r="C2373" s="768">
        <v>0</v>
      </c>
      <c r="D2373" s="715">
        <v>0</v>
      </c>
      <c r="E2373" s="715">
        <v>0</v>
      </c>
      <c r="F2373" s="715">
        <v>0</v>
      </c>
      <c r="G2373" s="715">
        <v>0</v>
      </c>
      <c r="H2373" s="715">
        <v>0</v>
      </c>
      <c r="I2373" s="775">
        <f t="shared" si="53"/>
        <v>923513.55</v>
      </c>
      <c r="J2373" s="192" t="s">
        <v>1569</v>
      </c>
    </row>
    <row r="2374" spans="1:10" hidden="1" outlineLevel="1">
      <c r="A2374" s="759" t="s">
        <v>1574</v>
      </c>
      <c r="B2374" s="777">
        <v>331415.21000000002</v>
      </c>
      <c r="C2374" s="768">
        <v>0</v>
      </c>
      <c r="D2374" s="715">
        <v>0</v>
      </c>
      <c r="E2374" s="715">
        <v>0</v>
      </c>
      <c r="F2374" s="715">
        <v>0</v>
      </c>
      <c r="G2374" s="715">
        <v>0</v>
      </c>
      <c r="H2374" s="715">
        <v>0</v>
      </c>
      <c r="I2374" s="775">
        <f t="shared" si="53"/>
        <v>331415.21000000002</v>
      </c>
      <c r="J2374" s="192" t="s">
        <v>1483</v>
      </c>
    </row>
    <row r="2375" spans="1:10" hidden="1" outlineLevel="1">
      <c r="A2375" s="759" t="s">
        <v>1229</v>
      </c>
      <c r="B2375" s="777">
        <v>586447.62</v>
      </c>
      <c r="C2375" s="768">
        <v>0</v>
      </c>
      <c r="D2375" s="715">
        <v>0</v>
      </c>
      <c r="E2375" s="715">
        <v>0</v>
      </c>
      <c r="F2375" s="715">
        <v>0</v>
      </c>
      <c r="G2375" s="715">
        <v>0</v>
      </c>
      <c r="H2375" s="715">
        <v>0</v>
      </c>
      <c r="I2375" s="775">
        <f t="shared" si="53"/>
        <v>586447.62</v>
      </c>
      <c r="J2375" s="192" t="s">
        <v>1507</v>
      </c>
    </row>
    <row r="2376" spans="1:10" hidden="1" outlineLevel="1">
      <c r="A2376" s="759" t="s">
        <v>1572</v>
      </c>
      <c r="B2376" s="777">
        <v>784990.54</v>
      </c>
      <c r="C2376" s="768">
        <v>0</v>
      </c>
      <c r="D2376" s="715">
        <v>0</v>
      </c>
      <c r="E2376" s="715">
        <v>0</v>
      </c>
      <c r="F2376" s="715">
        <v>0</v>
      </c>
      <c r="G2376" s="715">
        <v>0</v>
      </c>
      <c r="H2376" s="715">
        <v>0</v>
      </c>
      <c r="I2376" s="775">
        <f t="shared" si="53"/>
        <v>784990.54</v>
      </c>
      <c r="J2376" s="192" t="s">
        <v>1597</v>
      </c>
    </row>
    <row r="2377" spans="1:10" hidden="1" outlineLevel="1">
      <c r="A2377" s="759" t="s">
        <v>1436</v>
      </c>
      <c r="B2377" s="777">
        <v>866926.58</v>
      </c>
      <c r="C2377" s="768">
        <v>0</v>
      </c>
      <c r="D2377" s="715">
        <v>0</v>
      </c>
      <c r="E2377" s="715">
        <v>0</v>
      </c>
      <c r="F2377" s="715">
        <v>0</v>
      </c>
      <c r="G2377" s="715">
        <v>0</v>
      </c>
      <c r="H2377" s="715">
        <v>0</v>
      </c>
      <c r="I2377" s="775">
        <f t="shared" si="53"/>
        <v>866926.58</v>
      </c>
      <c r="J2377" s="192" t="s">
        <v>1331</v>
      </c>
    </row>
    <row r="2378" spans="1:10" hidden="1" outlineLevel="1">
      <c r="A2378" s="759" t="s">
        <v>1600</v>
      </c>
      <c r="B2378" s="777">
        <v>493265.98</v>
      </c>
      <c r="C2378" s="768">
        <v>0</v>
      </c>
      <c r="D2378" s="715">
        <v>0</v>
      </c>
      <c r="E2378" s="715">
        <v>0</v>
      </c>
      <c r="F2378" s="715">
        <v>0</v>
      </c>
      <c r="G2378" s="715">
        <v>0</v>
      </c>
      <c r="H2378" s="715">
        <v>0</v>
      </c>
      <c r="I2378" s="775">
        <f t="shared" si="53"/>
        <v>493265.98</v>
      </c>
      <c r="J2378" s="192" t="s">
        <v>2342</v>
      </c>
    </row>
    <row r="2379" spans="1:10" hidden="1" outlineLevel="1">
      <c r="A2379" s="759" t="s">
        <v>1698</v>
      </c>
      <c r="B2379" s="777">
        <v>759170.59</v>
      </c>
      <c r="C2379" s="768">
        <v>0</v>
      </c>
      <c r="D2379" s="715">
        <v>0</v>
      </c>
      <c r="E2379" s="715">
        <v>0</v>
      </c>
      <c r="F2379" s="715">
        <v>0</v>
      </c>
      <c r="G2379" s="715">
        <v>0</v>
      </c>
      <c r="H2379" s="715">
        <v>0</v>
      </c>
      <c r="I2379" s="775">
        <f t="shared" si="53"/>
        <v>759170.59</v>
      </c>
      <c r="J2379" s="192" t="s">
        <v>1391</v>
      </c>
    </row>
    <row r="2380" spans="1:10" hidden="1" outlineLevel="1">
      <c r="A2380" s="759" t="s">
        <v>1616</v>
      </c>
      <c r="B2380" s="777">
        <v>953608.46</v>
      </c>
      <c r="C2380" s="768">
        <v>0</v>
      </c>
      <c r="D2380" s="715">
        <v>0</v>
      </c>
      <c r="E2380" s="715">
        <v>0</v>
      </c>
      <c r="F2380" s="715">
        <v>0</v>
      </c>
      <c r="G2380" s="715">
        <v>0</v>
      </c>
      <c r="H2380" s="715">
        <v>0</v>
      </c>
      <c r="I2380" s="775">
        <f t="shared" si="53"/>
        <v>953608.46</v>
      </c>
      <c r="J2380" s="192" t="s">
        <v>1643</v>
      </c>
    </row>
    <row r="2381" spans="1:10" hidden="1" outlineLevel="1">
      <c r="A2381" s="759" t="s">
        <v>1604</v>
      </c>
      <c r="B2381" s="777">
        <v>580436.68000000005</v>
      </c>
      <c r="C2381" s="768">
        <v>0</v>
      </c>
      <c r="D2381" s="715">
        <v>0</v>
      </c>
      <c r="E2381" s="715">
        <v>0</v>
      </c>
      <c r="F2381" s="715">
        <v>0</v>
      </c>
      <c r="G2381" s="715">
        <v>0</v>
      </c>
      <c r="H2381" s="715">
        <v>0</v>
      </c>
      <c r="I2381" s="775">
        <f t="shared" si="53"/>
        <v>580436.68000000005</v>
      </c>
      <c r="J2381" s="192" t="s">
        <v>1575</v>
      </c>
    </row>
    <row r="2382" spans="1:10" hidden="1" outlineLevel="1">
      <c r="A2382" s="759" t="s">
        <v>1554</v>
      </c>
      <c r="B2382" s="777">
        <v>235865.65</v>
      </c>
      <c r="C2382" s="768">
        <v>0</v>
      </c>
      <c r="D2382" s="715">
        <v>0</v>
      </c>
      <c r="E2382" s="715">
        <v>0</v>
      </c>
      <c r="F2382" s="715">
        <v>0</v>
      </c>
      <c r="G2382" s="715">
        <v>0</v>
      </c>
      <c r="H2382" s="715">
        <v>0</v>
      </c>
      <c r="I2382" s="775">
        <f t="shared" si="53"/>
        <v>235865.65</v>
      </c>
      <c r="J2382" s="192" t="s">
        <v>1230</v>
      </c>
    </row>
    <row r="2383" spans="1:10" hidden="1" outlineLevel="1">
      <c r="A2383" s="759" t="s">
        <v>1679</v>
      </c>
      <c r="B2383" s="777">
        <v>191803.51999999999</v>
      </c>
      <c r="C2383" s="768">
        <v>0</v>
      </c>
      <c r="D2383" s="715">
        <v>0</v>
      </c>
      <c r="E2383" s="715">
        <v>0</v>
      </c>
      <c r="F2383" s="715">
        <v>0</v>
      </c>
      <c r="G2383" s="715">
        <v>0</v>
      </c>
      <c r="H2383" s="715">
        <v>0</v>
      </c>
      <c r="I2383" s="775">
        <f t="shared" si="53"/>
        <v>191803.51999999999</v>
      </c>
      <c r="J2383" s="192" t="s">
        <v>1573</v>
      </c>
    </row>
    <row r="2384" spans="1:10" hidden="1" outlineLevel="1">
      <c r="A2384" s="759" t="s">
        <v>1756</v>
      </c>
      <c r="B2384" s="777">
        <v>7825241.3899999997</v>
      </c>
      <c r="C2384" s="768">
        <v>0</v>
      </c>
      <c r="D2384" s="715">
        <v>0</v>
      </c>
      <c r="E2384" s="715">
        <v>0</v>
      </c>
      <c r="F2384" s="715">
        <v>0</v>
      </c>
      <c r="G2384" s="715">
        <v>0</v>
      </c>
      <c r="H2384" s="715">
        <v>0</v>
      </c>
      <c r="I2384" s="775">
        <f t="shared" si="53"/>
        <v>7825241.3899999997</v>
      </c>
      <c r="J2384" s="192" t="s">
        <v>1437</v>
      </c>
    </row>
    <row r="2385" spans="1:10" hidden="1" outlineLevel="1">
      <c r="A2385" s="759" t="s">
        <v>891</v>
      </c>
      <c r="B2385" s="777">
        <v>169284.81</v>
      </c>
      <c r="C2385" s="768">
        <v>0</v>
      </c>
      <c r="D2385" s="715">
        <v>0</v>
      </c>
      <c r="E2385" s="715">
        <v>0</v>
      </c>
      <c r="F2385" s="715">
        <v>0</v>
      </c>
      <c r="G2385" s="715">
        <v>0</v>
      </c>
      <c r="H2385" s="715">
        <v>0</v>
      </c>
      <c r="I2385" s="775">
        <f t="shared" si="53"/>
        <v>169284.81</v>
      </c>
      <c r="J2385" s="192" t="s">
        <v>1601</v>
      </c>
    </row>
    <row r="2386" spans="1:10" hidden="1" outlineLevel="1">
      <c r="A2386" s="759" t="s">
        <v>1336</v>
      </c>
      <c r="B2386" s="777">
        <v>294435.63</v>
      </c>
      <c r="C2386" s="768">
        <v>0</v>
      </c>
      <c r="D2386" s="715">
        <v>0</v>
      </c>
      <c r="E2386" s="715">
        <v>0</v>
      </c>
      <c r="F2386" s="715">
        <v>0</v>
      </c>
      <c r="G2386" s="715">
        <v>0</v>
      </c>
      <c r="H2386" s="715">
        <v>0</v>
      </c>
      <c r="I2386" s="775">
        <f t="shared" ref="I2386:I2449" si="54">SUM(B2386:H2386)</f>
        <v>294435.63</v>
      </c>
      <c r="J2386" s="192" t="s">
        <v>1699</v>
      </c>
    </row>
    <row r="2387" spans="1:10" hidden="1" outlineLevel="1">
      <c r="A2387" s="759" t="s">
        <v>1550</v>
      </c>
      <c r="B2387" s="777">
        <v>268416.24</v>
      </c>
      <c r="C2387" s="768">
        <v>0</v>
      </c>
      <c r="D2387" s="715">
        <v>0</v>
      </c>
      <c r="E2387" s="715">
        <v>0</v>
      </c>
      <c r="F2387" s="715">
        <v>0</v>
      </c>
      <c r="G2387" s="715">
        <v>0</v>
      </c>
      <c r="H2387" s="715">
        <v>0</v>
      </c>
      <c r="I2387" s="775">
        <f t="shared" si="54"/>
        <v>268416.24</v>
      </c>
      <c r="J2387" s="192" t="s">
        <v>1617</v>
      </c>
    </row>
    <row r="2388" spans="1:10" hidden="1" outlineLevel="1">
      <c r="A2388" s="759" t="s">
        <v>1528</v>
      </c>
      <c r="B2388" s="777">
        <v>653967.21</v>
      </c>
      <c r="C2388" s="768">
        <v>0</v>
      </c>
      <c r="D2388" s="715">
        <v>0</v>
      </c>
      <c r="E2388" s="715">
        <v>0</v>
      </c>
      <c r="F2388" s="715">
        <v>0</v>
      </c>
      <c r="G2388" s="715">
        <v>0</v>
      </c>
      <c r="H2388" s="715">
        <v>0</v>
      </c>
      <c r="I2388" s="775">
        <f t="shared" si="54"/>
        <v>653967.21</v>
      </c>
      <c r="J2388" s="192" t="s">
        <v>1605</v>
      </c>
    </row>
    <row r="2389" spans="1:10" hidden="1" outlineLevel="1">
      <c r="A2389" s="759" t="s">
        <v>1360</v>
      </c>
      <c r="B2389" s="777">
        <v>333463.17</v>
      </c>
      <c r="C2389" s="768">
        <v>0</v>
      </c>
      <c r="D2389" s="715">
        <v>0</v>
      </c>
      <c r="E2389" s="715">
        <v>0</v>
      </c>
      <c r="F2389" s="715">
        <v>0</v>
      </c>
      <c r="G2389" s="715">
        <v>0</v>
      </c>
      <c r="H2389" s="715">
        <v>0</v>
      </c>
      <c r="I2389" s="775">
        <f t="shared" si="54"/>
        <v>333463.17</v>
      </c>
      <c r="J2389" s="192" t="s">
        <v>1555</v>
      </c>
    </row>
    <row r="2390" spans="1:10" hidden="1" outlineLevel="1">
      <c r="A2390" s="759" t="s">
        <v>1648</v>
      </c>
      <c r="B2390" s="777">
        <v>960478.91</v>
      </c>
      <c r="C2390" s="768">
        <v>0</v>
      </c>
      <c r="D2390" s="715">
        <v>0</v>
      </c>
      <c r="E2390" s="715">
        <v>0</v>
      </c>
      <c r="F2390" s="715">
        <v>0</v>
      </c>
      <c r="G2390" s="715">
        <v>0</v>
      </c>
      <c r="H2390" s="715">
        <v>0</v>
      </c>
      <c r="I2390" s="775">
        <f t="shared" si="54"/>
        <v>960478.91</v>
      </c>
      <c r="J2390" s="192" t="s">
        <v>1680</v>
      </c>
    </row>
    <row r="2391" spans="1:10" hidden="1" outlineLevel="1">
      <c r="A2391" s="759" t="s">
        <v>1494</v>
      </c>
      <c r="B2391" s="777">
        <v>620985.15</v>
      </c>
      <c r="C2391" s="768">
        <v>0</v>
      </c>
      <c r="D2391" s="715">
        <v>0</v>
      </c>
      <c r="E2391" s="715">
        <v>0</v>
      </c>
      <c r="F2391" s="715">
        <v>0</v>
      </c>
      <c r="G2391" s="715">
        <v>0</v>
      </c>
      <c r="H2391" s="715">
        <v>0</v>
      </c>
      <c r="I2391" s="775">
        <f t="shared" si="54"/>
        <v>620985.15</v>
      </c>
      <c r="J2391" s="192" t="s">
        <v>2343</v>
      </c>
    </row>
    <row r="2392" spans="1:10" hidden="1" outlineLevel="1">
      <c r="A2392" s="759" t="s">
        <v>1566</v>
      </c>
      <c r="B2392" s="777">
        <v>481365.25</v>
      </c>
      <c r="C2392" s="768">
        <v>0</v>
      </c>
      <c r="D2392" s="715">
        <v>0</v>
      </c>
      <c r="E2392" s="715">
        <v>0</v>
      </c>
      <c r="F2392" s="715">
        <v>0</v>
      </c>
      <c r="G2392" s="715">
        <v>0</v>
      </c>
      <c r="H2392" s="715">
        <v>0</v>
      </c>
      <c r="I2392" s="775">
        <f t="shared" si="54"/>
        <v>481365.25</v>
      </c>
      <c r="J2392" s="192" t="s">
        <v>892</v>
      </c>
    </row>
    <row r="2393" spans="1:10" hidden="1" outlineLevel="1">
      <c r="A2393" s="759" t="s">
        <v>1466</v>
      </c>
      <c r="B2393" s="777">
        <v>1164293.18</v>
      </c>
      <c r="C2393" s="768">
        <v>0</v>
      </c>
      <c r="D2393" s="715">
        <v>0</v>
      </c>
      <c r="E2393" s="715">
        <v>0</v>
      </c>
      <c r="F2393" s="715">
        <v>0</v>
      </c>
      <c r="G2393" s="715">
        <v>0</v>
      </c>
      <c r="H2393" s="715">
        <v>0</v>
      </c>
      <c r="I2393" s="775">
        <f t="shared" si="54"/>
        <v>1164293.18</v>
      </c>
      <c r="J2393" s="192" t="s">
        <v>1337</v>
      </c>
    </row>
    <row r="2394" spans="1:10" hidden="1" outlineLevel="1">
      <c r="A2394" s="759" t="s">
        <v>1772</v>
      </c>
      <c r="B2394" s="777">
        <v>128678.03</v>
      </c>
      <c r="C2394" s="768">
        <v>0</v>
      </c>
      <c r="D2394" s="715">
        <v>0</v>
      </c>
      <c r="E2394" s="715">
        <v>0</v>
      </c>
      <c r="F2394" s="715">
        <v>0</v>
      </c>
      <c r="G2394" s="715">
        <v>0</v>
      </c>
      <c r="H2394" s="715">
        <v>0</v>
      </c>
      <c r="I2394" s="775">
        <f t="shared" si="54"/>
        <v>128678.03</v>
      </c>
      <c r="J2394" s="192" t="s">
        <v>1551</v>
      </c>
    </row>
    <row r="2395" spans="1:10" hidden="1" outlineLevel="1">
      <c r="A2395" s="759" t="s">
        <v>1666</v>
      </c>
      <c r="B2395" s="777">
        <v>20003077.600000001</v>
      </c>
      <c r="C2395" s="768">
        <v>0</v>
      </c>
      <c r="D2395" s="715">
        <v>0</v>
      </c>
      <c r="E2395" s="715">
        <v>0</v>
      </c>
      <c r="F2395" s="715">
        <v>60169.19</v>
      </c>
      <c r="G2395" s="715">
        <v>7509.02</v>
      </c>
      <c r="H2395" s="715">
        <v>0</v>
      </c>
      <c r="I2395" s="775">
        <f t="shared" si="54"/>
        <v>20070755.810000002</v>
      </c>
      <c r="J2395" s="192" t="s">
        <v>1529</v>
      </c>
    </row>
    <row r="2396" spans="1:10" hidden="1" outlineLevel="1">
      <c r="A2396" s="759" t="s">
        <v>1720</v>
      </c>
      <c r="B2396" s="777">
        <v>2087907.86</v>
      </c>
      <c r="C2396" s="768">
        <v>0</v>
      </c>
      <c r="D2396" s="715">
        <v>0</v>
      </c>
      <c r="E2396" s="715">
        <v>0</v>
      </c>
      <c r="F2396" s="715">
        <v>0</v>
      </c>
      <c r="G2396" s="715">
        <v>0</v>
      </c>
      <c r="H2396" s="715">
        <v>0</v>
      </c>
      <c r="I2396" s="775">
        <f t="shared" si="54"/>
        <v>2087907.86</v>
      </c>
      <c r="J2396" s="192" t="s">
        <v>1361</v>
      </c>
    </row>
    <row r="2397" spans="1:10" hidden="1" outlineLevel="1">
      <c r="A2397" s="759" t="s">
        <v>2204</v>
      </c>
      <c r="B2397" s="777">
        <v>18861.59</v>
      </c>
      <c r="C2397" s="768">
        <v>0</v>
      </c>
      <c r="D2397" s="715">
        <v>0</v>
      </c>
      <c r="E2397" s="715">
        <v>0</v>
      </c>
      <c r="F2397" s="715">
        <v>0</v>
      </c>
      <c r="G2397" s="715">
        <v>0</v>
      </c>
      <c r="H2397" s="715">
        <v>0</v>
      </c>
      <c r="I2397" s="775">
        <f t="shared" si="54"/>
        <v>18861.59</v>
      </c>
      <c r="J2397" s="192" t="s">
        <v>1649</v>
      </c>
    </row>
    <row r="2398" spans="1:10" hidden="1" outlineLevel="1">
      <c r="A2398" s="759" t="s">
        <v>1372</v>
      </c>
      <c r="B2398" s="777">
        <v>307711.56</v>
      </c>
      <c r="C2398" s="768">
        <v>0</v>
      </c>
      <c r="D2398" s="715">
        <v>0</v>
      </c>
      <c r="E2398" s="715">
        <v>0</v>
      </c>
      <c r="F2398" s="715">
        <v>0</v>
      </c>
      <c r="G2398" s="715">
        <v>0</v>
      </c>
      <c r="H2398" s="715">
        <v>0</v>
      </c>
      <c r="I2398" s="775">
        <f t="shared" si="54"/>
        <v>307711.56</v>
      </c>
      <c r="J2398" s="192" t="s">
        <v>1495</v>
      </c>
    </row>
    <row r="2399" spans="1:10" hidden="1" outlineLevel="1">
      <c r="A2399" s="759" t="s">
        <v>1677</v>
      </c>
      <c r="B2399" s="777">
        <v>888047.72</v>
      </c>
      <c r="C2399" s="768">
        <v>0</v>
      </c>
      <c r="D2399" s="715">
        <v>0</v>
      </c>
      <c r="E2399" s="715">
        <v>0</v>
      </c>
      <c r="F2399" s="715">
        <v>0</v>
      </c>
      <c r="G2399" s="715">
        <v>0</v>
      </c>
      <c r="H2399" s="715">
        <v>0</v>
      </c>
      <c r="I2399" s="775">
        <f t="shared" si="54"/>
        <v>888047.72</v>
      </c>
      <c r="J2399" s="192" t="s">
        <v>1567</v>
      </c>
    </row>
    <row r="2400" spans="1:10" hidden="1" outlineLevel="1">
      <c r="A2400" s="759" t="s">
        <v>1456</v>
      </c>
      <c r="B2400" s="777">
        <v>219037.56</v>
      </c>
      <c r="C2400" s="768">
        <v>0</v>
      </c>
      <c r="D2400" s="715">
        <v>0</v>
      </c>
      <c r="E2400" s="715">
        <v>0</v>
      </c>
      <c r="F2400" s="715">
        <v>0</v>
      </c>
      <c r="G2400" s="715">
        <v>0</v>
      </c>
      <c r="H2400" s="715">
        <v>0</v>
      </c>
      <c r="I2400" s="775">
        <f t="shared" si="54"/>
        <v>219037.56</v>
      </c>
      <c r="J2400" s="192" t="s">
        <v>1467</v>
      </c>
    </row>
    <row r="2401" spans="1:10" hidden="1" outlineLevel="1">
      <c r="A2401" s="759" t="s">
        <v>1614</v>
      </c>
      <c r="B2401" s="777">
        <v>1031135.42</v>
      </c>
      <c r="C2401" s="768">
        <v>0</v>
      </c>
      <c r="D2401" s="715">
        <v>0</v>
      </c>
      <c r="E2401" s="715">
        <v>0</v>
      </c>
      <c r="F2401" s="715">
        <v>0</v>
      </c>
      <c r="G2401" s="715">
        <v>0</v>
      </c>
      <c r="H2401" s="715">
        <v>0</v>
      </c>
      <c r="I2401" s="775">
        <f t="shared" si="54"/>
        <v>1031135.42</v>
      </c>
      <c r="J2401" s="192" t="s">
        <v>1773</v>
      </c>
    </row>
    <row r="2402" spans="1:10" hidden="1" outlineLevel="1">
      <c r="A2402" s="759" t="s">
        <v>1314</v>
      </c>
      <c r="B2402" s="777">
        <v>142867.03</v>
      </c>
      <c r="C2402" s="768">
        <v>0</v>
      </c>
      <c r="D2402" s="715">
        <v>0</v>
      </c>
      <c r="E2402" s="715">
        <v>0</v>
      </c>
      <c r="F2402" s="716">
        <v>0</v>
      </c>
      <c r="G2402" s="716">
        <v>0</v>
      </c>
      <c r="H2402" s="715">
        <v>0</v>
      </c>
      <c r="I2402" s="775">
        <f t="shared" si="54"/>
        <v>142867.03</v>
      </c>
      <c r="J2402" s="192" t="s">
        <v>1667</v>
      </c>
    </row>
    <row r="2403" spans="1:10" hidden="1" outlineLevel="1">
      <c r="A2403" s="759" t="s">
        <v>1291</v>
      </c>
      <c r="B2403" s="777">
        <v>639643.56999999995</v>
      </c>
      <c r="C2403" s="768">
        <v>0</v>
      </c>
      <c r="D2403" s="715">
        <v>0</v>
      </c>
      <c r="E2403" s="715">
        <v>0</v>
      </c>
      <c r="F2403" s="715">
        <v>0</v>
      </c>
      <c r="G2403" s="715">
        <v>0</v>
      </c>
      <c r="H2403" s="715">
        <v>0</v>
      </c>
      <c r="I2403" s="775">
        <f t="shared" si="54"/>
        <v>639643.56999999995</v>
      </c>
      <c r="J2403" s="192" t="s">
        <v>2344</v>
      </c>
    </row>
    <row r="2404" spans="1:10" hidden="1" outlineLevel="1">
      <c r="A2404" s="759" t="s">
        <v>1279</v>
      </c>
      <c r="B2404" s="777">
        <v>132651.34</v>
      </c>
      <c r="C2404" s="768">
        <v>0</v>
      </c>
      <c r="D2404" s="715">
        <v>0</v>
      </c>
      <c r="E2404" s="715">
        <v>0</v>
      </c>
      <c r="F2404" s="715">
        <v>0</v>
      </c>
      <c r="G2404" s="715">
        <v>0</v>
      </c>
      <c r="H2404" s="715">
        <v>0</v>
      </c>
      <c r="I2404" s="775">
        <f t="shared" si="54"/>
        <v>132651.34</v>
      </c>
      <c r="J2404" s="192" t="s">
        <v>2205</v>
      </c>
    </row>
    <row r="2405" spans="1:10" hidden="1" outlineLevel="1">
      <c r="A2405" s="759" t="s">
        <v>1716</v>
      </c>
      <c r="B2405" s="777">
        <v>83771.850000000006</v>
      </c>
      <c r="C2405" s="768">
        <v>0</v>
      </c>
      <c r="D2405" s="715">
        <v>0</v>
      </c>
      <c r="E2405" s="715">
        <v>0</v>
      </c>
      <c r="F2405" s="715">
        <v>0</v>
      </c>
      <c r="G2405" s="715">
        <v>0</v>
      </c>
      <c r="H2405" s="715">
        <v>0</v>
      </c>
      <c r="I2405" s="775">
        <f t="shared" si="54"/>
        <v>83771.850000000006</v>
      </c>
      <c r="J2405" s="192" t="s">
        <v>1373</v>
      </c>
    </row>
    <row r="2406" spans="1:10" hidden="1" outlineLevel="1">
      <c r="A2406" s="759" t="s">
        <v>1694</v>
      </c>
      <c r="B2406" s="777">
        <v>1418561.28</v>
      </c>
      <c r="C2406" s="768">
        <v>0</v>
      </c>
      <c r="D2406" s="715">
        <v>0</v>
      </c>
      <c r="E2406" s="715">
        <v>0</v>
      </c>
      <c r="F2406" s="715">
        <v>0</v>
      </c>
      <c r="G2406" s="715">
        <v>0</v>
      </c>
      <c r="H2406" s="715">
        <v>0</v>
      </c>
      <c r="I2406" s="775">
        <f t="shared" si="54"/>
        <v>1418561.28</v>
      </c>
      <c r="J2406" s="192" t="s">
        <v>1678</v>
      </c>
    </row>
    <row r="2407" spans="1:10" hidden="1" outlineLevel="1">
      <c r="A2407" s="759" t="s">
        <v>1324</v>
      </c>
      <c r="B2407" s="777">
        <v>238781.51</v>
      </c>
      <c r="C2407" s="768">
        <v>0</v>
      </c>
      <c r="D2407" s="715">
        <v>0</v>
      </c>
      <c r="E2407" s="715">
        <v>0</v>
      </c>
      <c r="F2407" s="715">
        <v>0</v>
      </c>
      <c r="G2407" s="715">
        <v>0</v>
      </c>
      <c r="H2407" s="715">
        <v>0</v>
      </c>
      <c r="I2407" s="775">
        <f t="shared" si="54"/>
        <v>238781.51</v>
      </c>
      <c r="J2407" s="192" t="s">
        <v>1457</v>
      </c>
    </row>
    <row r="2408" spans="1:10" hidden="1" outlineLevel="1">
      <c r="A2408" s="759" t="s">
        <v>1730</v>
      </c>
      <c r="B2408" s="777">
        <v>274097.07</v>
      </c>
      <c r="C2408" s="768">
        <v>0</v>
      </c>
      <c r="D2408" s="715">
        <v>0</v>
      </c>
      <c r="E2408" s="715">
        <v>0</v>
      </c>
      <c r="F2408" s="715">
        <v>0</v>
      </c>
      <c r="G2408" s="715">
        <v>0</v>
      </c>
      <c r="H2408" s="715">
        <v>0</v>
      </c>
      <c r="I2408" s="775">
        <f t="shared" si="54"/>
        <v>274097.07</v>
      </c>
      <c r="J2408" s="192" t="s">
        <v>1615</v>
      </c>
    </row>
    <row r="2409" spans="1:10" hidden="1" outlineLevel="1">
      <c r="A2409" s="759" t="s">
        <v>1696</v>
      </c>
      <c r="B2409" s="777">
        <v>50117.55</v>
      </c>
      <c r="C2409" s="768">
        <v>0</v>
      </c>
      <c r="D2409" s="715">
        <v>0</v>
      </c>
      <c r="E2409" s="715">
        <v>0</v>
      </c>
      <c r="F2409" s="715">
        <v>0</v>
      </c>
      <c r="G2409" s="715">
        <v>0</v>
      </c>
      <c r="H2409" s="715">
        <v>0</v>
      </c>
      <c r="I2409" s="775">
        <f t="shared" si="54"/>
        <v>50117.55</v>
      </c>
      <c r="J2409" s="192" t="s">
        <v>1315</v>
      </c>
    </row>
    <row r="2410" spans="1:10" hidden="1" outlineLevel="1">
      <c r="A2410" s="759" t="s">
        <v>1726</v>
      </c>
      <c r="B2410" s="777">
        <v>272116.27</v>
      </c>
      <c r="C2410" s="768">
        <v>0</v>
      </c>
      <c r="D2410" s="715">
        <v>0</v>
      </c>
      <c r="E2410" s="715">
        <v>0</v>
      </c>
      <c r="F2410" s="715">
        <v>0</v>
      </c>
      <c r="G2410" s="715">
        <v>0</v>
      </c>
      <c r="H2410" s="715">
        <v>0</v>
      </c>
      <c r="I2410" s="775">
        <f t="shared" si="54"/>
        <v>272116.27</v>
      </c>
      <c r="J2410" s="192" t="s">
        <v>1292</v>
      </c>
    </row>
    <row r="2411" spans="1:10" hidden="1" outlineLevel="1">
      <c r="A2411" s="759" t="s">
        <v>1281</v>
      </c>
      <c r="B2411" s="777">
        <v>131269.66</v>
      </c>
      <c r="C2411" s="768">
        <v>0</v>
      </c>
      <c r="D2411" s="715">
        <v>0</v>
      </c>
      <c r="E2411" s="715">
        <v>0</v>
      </c>
      <c r="F2411" s="715">
        <v>0</v>
      </c>
      <c r="G2411" s="715">
        <v>0</v>
      </c>
      <c r="H2411" s="715">
        <v>0</v>
      </c>
      <c r="I2411" s="775">
        <f t="shared" si="54"/>
        <v>131269.66</v>
      </c>
      <c r="J2411" s="192" t="s">
        <v>1280</v>
      </c>
    </row>
    <row r="2412" spans="1:10" hidden="1" outlineLevel="1">
      <c r="A2412" s="759" t="s">
        <v>1802</v>
      </c>
      <c r="B2412" s="777">
        <v>70062.73</v>
      </c>
      <c r="C2412" s="768">
        <v>0</v>
      </c>
      <c r="D2412" s="715">
        <v>0</v>
      </c>
      <c r="E2412" s="715">
        <v>0</v>
      </c>
      <c r="F2412" s="715">
        <v>0</v>
      </c>
      <c r="G2412" s="715">
        <v>0</v>
      </c>
      <c r="H2412" s="715">
        <v>0</v>
      </c>
      <c r="I2412" s="775">
        <f t="shared" si="54"/>
        <v>70062.73</v>
      </c>
      <c r="J2412" s="192" t="s">
        <v>1717</v>
      </c>
    </row>
    <row r="2413" spans="1:10" hidden="1" outlineLevel="1">
      <c r="A2413" s="759" t="s">
        <v>1418</v>
      </c>
      <c r="B2413" s="777">
        <v>227296.97</v>
      </c>
      <c r="C2413" s="768">
        <v>0</v>
      </c>
      <c r="D2413" s="715">
        <v>0</v>
      </c>
      <c r="E2413" s="715">
        <v>0</v>
      </c>
      <c r="F2413" s="715">
        <v>0</v>
      </c>
      <c r="G2413" s="715">
        <v>0</v>
      </c>
      <c r="H2413" s="715">
        <v>0</v>
      </c>
      <c r="I2413" s="775">
        <f t="shared" si="54"/>
        <v>227296.97</v>
      </c>
      <c r="J2413" s="192" t="s">
        <v>1695</v>
      </c>
    </row>
    <row r="2414" spans="1:10" hidden="1" outlineLevel="1">
      <c r="A2414" s="759" t="s">
        <v>1338</v>
      </c>
      <c r="B2414" s="777">
        <v>172763.49</v>
      </c>
      <c r="C2414" s="768">
        <v>0</v>
      </c>
      <c r="D2414" s="715">
        <v>0</v>
      </c>
      <c r="E2414" s="715">
        <v>0</v>
      </c>
      <c r="F2414" s="715">
        <v>0</v>
      </c>
      <c r="G2414" s="715">
        <v>0</v>
      </c>
      <c r="H2414" s="715">
        <v>0</v>
      </c>
      <c r="I2414" s="775">
        <f t="shared" si="54"/>
        <v>172763.49</v>
      </c>
      <c r="J2414" s="192" t="s">
        <v>1325</v>
      </c>
    </row>
    <row r="2415" spans="1:10" hidden="1" outlineLevel="1">
      <c r="A2415" s="759" t="s">
        <v>1316</v>
      </c>
      <c r="B2415" s="777">
        <v>3076983.58</v>
      </c>
      <c r="C2415" s="768">
        <v>0</v>
      </c>
      <c r="D2415" s="715">
        <v>0</v>
      </c>
      <c r="E2415" s="715">
        <v>0</v>
      </c>
      <c r="F2415" s="715">
        <v>0</v>
      </c>
      <c r="G2415" s="715">
        <v>0</v>
      </c>
      <c r="H2415" s="715">
        <v>0</v>
      </c>
      <c r="I2415" s="775">
        <f t="shared" si="54"/>
        <v>3076983.58</v>
      </c>
      <c r="J2415" s="192" t="s">
        <v>1731</v>
      </c>
    </row>
    <row r="2416" spans="1:10" hidden="1" outlineLevel="1">
      <c r="A2416" s="759" t="s">
        <v>1289</v>
      </c>
      <c r="B2416" s="777">
        <v>667503.48</v>
      </c>
      <c r="C2416" s="768">
        <v>0</v>
      </c>
      <c r="D2416" s="715">
        <v>0</v>
      </c>
      <c r="E2416" s="715">
        <v>0</v>
      </c>
      <c r="F2416" s="715">
        <v>0</v>
      </c>
      <c r="G2416" s="715">
        <v>0</v>
      </c>
      <c r="H2416" s="715">
        <v>0</v>
      </c>
      <c r="I2416" s="775">
        <f t="shared" si="54"/>
        <v>667503.48</v>
      </c>
      <c r="J2416" s="192" t="s">
        <v>2345</v>
      </c>
    </row>
    <row r="2417" spans="1:10" hidden="1" outlineLevel="1">
      <c r="A2417" s="759" t="s">
        <v>1476</v>
      </c>
      <c r="B2417" s="777">
        <v>1075210</v>
      </c>
      <c r="C2417" s="768">
        <v>0</v>
      </c>
      <c r="D2417" s="715">
        <v>0</v>
      </c>
      <c r="E2417" s="715">
        <v>0</v>
      </c>
      <c r="F2417" s="715">
        <v>0</v>
      </c>
      <c r="G2417" s="715">
        <v>0</v>
      </c>
      <c r="H2417" s="715">
        <v>0</v>
      </c>
      <c r="I2417" s="775">
        <f t="shared" si="54"/>
        <v>1075210</v>
      </c>
      <c r="J2417" s="192" t="s">
        <v>1697</v>
      </c>
    </row>
    <row r="2418" spans="1:10" hidden="1" outlineLevel="1">
      <c r="A2418" s="759" t="s">
        <v>2206</v>
      </c>
      <c r="B2418" s="777">
        <v>26288.35</v>
      </c>
      <c r="C2418" s="768">
        <v>0</v>
      </c>
      <c r="D2418" s="715">
        <v>0</v>
      </c>
      <c r="E2418" s="715">
        <v>0</v>
      </c>
      <c r="F2418" s="715">
        <v>0</v>
      </c>
      <c r="G2418" s="715">
        <v>0</v>
      </c>
      <c r="H2418" s="715">
        <v>0</v>
      </c>
      <c r="I2418" s="775">
        <f t="shared" si="54"/>
        <v>26288.35</v>
      </c>
      <c r="J2418" s="192" t="s">
        <v>1727</v>
      </c>
    </row>
    <row r="2419" spans="1:10" hidden="1" outlineLevel="1">
      <c r="A2419" s="759" t="s">
        <v>1708</v>
      </c>
      <c r="B2419" s="777">
        <v>228991.8</v>
      </c>
      <c r="C2419" s="768">
        <v>0</v>
      </c>
      <c r="D2419" s="715">
        <v>0</v>
      </c>
      <c r="E2419" s="715">
        <v>0</v>
      </c>
      <c r="F2419" s="715">
        <v>0</v>
      </c>
      <c r="G2419" s="715">
        <v>0</v>
      </c>
      <c r="H2419" s="715">
        <v>0</v>
      </c>
      <c r="I2419" s="775">
        <f t="shared" si="54"/>
        <v>228991.8</v>
      </c>
      <c r="J2419" s="192" t="s">
        <v>1282</v>
      </c>
    </row>
    <row r="2420" spans="1:10" hidden="1" outlineLevel="1">
      <c r="A2420" s="759" t="s">
        <v>1638</v>
      </c>
      <c r="B2420" s="777">
        <v>417951.27</v>
      </c>
      <c r="C2420" s="768">
        <v>0</v>
      </c>
      <c r="D2420" s="715">
        <v>0</v>
      </c>
      <c r="E2420" s="715">
        <v>0</v>
      </c>
      <c r="F2420" s="715">
        <v>0</v>
      </c>
      <c r="G2420" s="715">
        <v>0</v>
      </c>
      <c r="H2420" s="715">
        <v>0</v>
      </c>
      <c r="I2420" s="775">
        <f t="shared" si="54"/>
        <v>417951.27</v>
      </c>
      <c r="J2420" s="192" t="s">
        <v>1803</v>
      </c>
    </row>
    <row r="2421" spans="1:10" hidden="1" outlineLevel="1">
      <c r="A2421" s="759" t="s">
        <v>1624</v>
      </c>
      <c r="B2421" s="777">
        <v>304683.90999999997</v>
      </c>
      <c r="C2421" s="768">
        <v>0</v>
      </c>
      <c r="D2421" s="715">
        <v>0</v>
      </c>
      <c r="E2421" s="715">
        <v>0</v>
      </c>
      <c r="F2421" s="715">
        <v>0</v>
      </c>
      <c r="G2421" s="715">
        <v>0</v>
      </c>
      <c r="H2421" s="715">
        <v>0</v>
      </c>
      <c r="I2421" s="775">
        <f t="shared" si="54"/>
        <v>304683.90999999997</v>
      </c>
      <c r="J2421" s="192" t="s">
        <v>1419</v>
      </c>
    </row>
    <row r="2422" spans="1:10" hidden="1" outlineLevel="1">
      <c r="A2422" s="759" t="s">
        <v>1780</v>
      </c>
      <c r="B2422" s="777">
        <v>2672126.23</v>
      </c>
      <c r="C2422" s="768">
        <v>0</v>
      </c>
      <c r="D2422" s="715">
        <v>0</v>
      </c>
      <c r="E2422" s="715">
        <v>0</v>
      </c>
      <c r="F2422" s="715">
        <v>0</v>
      </c>
      <c r="G2422" s="715">
        <v>0</v>
      </c>
      <c r="H2422" s="715">
        <v>0</v>
      </c>
      <c r="I2422" s="775">
        <f t="shared" si="54"/>
        <v>2672126.23</v>
      </c>
      <c r="J2422" s="192" t="s">
        <v>1339</v>
      </c>
    </row>
    <row r="2423" spans="1:10" hidden="1" outlineLevel="1">
      <c r="A2423" s="759" t="s">
        <v>1634</v>
      </c>
      <c r="B2423" s="777">
        <v>2911332.34</v>
      </c>
      <c r="C2423" s="768">
        <v>0</v>
      </c>
      <c r="D2423" s="715">
        <v>0</v>
      </c>
      <c r="E2423" s="715">
        <v>0</v>
      </c>
      <c r="F2423" s="715">
        <v>0</v>
      </c>
      <c r="G2423" s="715">
        <v>0</v>
      </c>
      <c r="H2423" s="715">
        <v>0</v>
      </c>
      <c r="I2423" s="775">
        <f t="shared" si="54"/>
        <v>2911332.34</v>
      </c>
      <c r="J2423" s="192" t="s">
        <v>1317</v>
      </c>
    </row>
    <row r="2424" spans="1:10" hidden="1" outlineLevel="1">
      <c r="A2424" s="759" t="s">
        <v>1261</v>
      </c>
      <c r="B2424" s="777">
        <v>146431.26999999999</v>
      </c>
      <c r="C2424" s="768">
        <v>0</v>
      </c>
      <c r="D2424" s="715">
        <v>0</v>
      </c>
      <c r="E2424" s="715">
        <v>0</v>
      </c>
      <c r="F2424" s="715">
        <v>0</v>
      </c>
      <c r="G2424" s="715">
        <v>0</v>
      </c>
      <c r="H2424" s="715">
        <v>0</v>
      </c>
      <c r="I2424" s="775">
        <f t="shared" si="54"/>
        <v>146431.26999999999</v>
      </c>
      <c r="J2424" s="192" t="s">
        <v>1290</v>
      </c>
    </row>
    <row r="2425" spans="1:10" hidden="1" outlineLevel="1">
      <c r="A2425" s="759" t="s">
        <v>1422</v>
      </c>
      <c r="B2425" s="777">
        <v>135389.67000000001</v>
      </c>
      <c r="C2425" s="768">
        <v>0</v>
      </c>
      <c r="D2425" s="715">
        <v>0</v>
      </c>
      <c r="E2425" s="715">
        <v>0</v>
      </c>
      <c r="F2425" s="715">
        <v>0</v>
      </c>
      <c r="G2425" s="715">
        <v>0</v>
      </c>
      <c r="H2425" s="715">
        <v>0</v>
      </c>
      <c r="I2425" s="775">
        <f t="shared" si="54"/>
        <v>135389.67000000001</v>
      </c>
      <c r="J2425" s="192" t="s">
        <v>1477</v>
      </c>
    </row>
    <row r="2426" spans="1:10" hidden="1" outlineLevel="1">
      <c r="A2426" s="759" t="s">
        <v>1502</v>
      </c>
      <c r="B2426" s="777">
        <v>169755.76</v>
      </c>
      <c r="C2426" s="768">
        <v>0</v>
      </c>
      <c r="D2426" s="715">
        <v>0</v>
      </c>
      <c r="E2426" s="715">
        <v>0</v>
      </c>
      <c r="F2426" s="715">
        <v>0</v>
      </c>
      <c r="G2426" s="715">
        <v>0</v>
      </c>
      <c r="H2426" s="715">
        <v>0</v>
      </c>
      <c r="I2426" s="775">
        <f t="shared" si="54"/>
        <v>169755.76</v>
      </c>
      <c r="J2426" s="192" t="s">
        <v>2207</v>
      </c>
    </row>
    <row r="2427" spans="1:10" hidden="1" outlineLevel="1">
      <c r="A2427" s="759" t="s">
        <v>1332</v>
      </c>
      <c r="B2427" s="777">
        <v>1131476.8400000001</v>
      </c>
      <c r="C2427" s="768">
        <v>0</v>
      </c>
      <c r="D2427" s="715">
        <v>0</v>
      </c>
      <c r="E2427" s="715">
        <v>0</v>
      </c>
      <c r="F2427" s="715">
        <v>0</v>
      </c>
      <c r="G2427" s="715">
        <v>0</v>
      </c>
      <c r="H2427" s="715">
        <v>0</v>
      </c>
      <c r="I2427" s="775">
        <f t="shared" si="54"/>
        <v>1131476.8400000001</v>
      </c>
      <c r="J2427" s="192" t="s">
        <v>1709</v>
      </c>
    </row>
    <row r="2428" spans="1:10" hidden="1" outlineLevel="1">
      <c r="A2428" s="759" t="s">
        <v>1576</v>
      </c>
      <c r="B2428" s="777">
        <v>732556.99</v>
      </c>
      <c r="C2428" s="768">
        <v>0</v>
      </c>
      <c r="D2428" s="715">
        <v>0</v>
      </c>
      <c r="E2428" s="715">
        <v>0</v>
      </c>
      <c r="F2428" s="715">
        <v>0</v>
      </c>
      <c r="G2428" s="715">
        <v>0</v>
      </c>
      <c r="H2428" s="715">
        <v>0</v>
      </c>
      <c r="I2428" s="775">
        <f t="shared" si="54"/>
        <v>732556.99</v>
      </c>
      <c r="J2428" s="192" t="s">
        <v>1639</v>
      </c>
    </row>
    <row r="2429" spans="1:10" hidden="1" outlineLevel="1">
      <c r="A2429" s="759" t="s">
        <v>1608</v>
      </c>
      <c r="B2429" s="777">
        <v>200289.1</v>
      </c>
      <c r="C2429" s="768">
        <v>0</v>
      </c>
      <c r="D2429" s="715">
        <v>0</v>
      </c>
      <c r="E2429" s="715">
        <v>0</v>
      </c>
      <c r="F2429" s="715">
        <v>0</v>
      </c>
      <c r="G2429" s="715">
        <v>0</v>
      </c>
      <c r="H2429" s="715">
        <v>0</v>
      </c>
      <c r="I2429" s="775">
        <f t="shared" si="54"/>
        <v>200289.1</v>
      </c>
      <c r="J2429" s="192" t="s">
        <v>1625</v>
      </c>
    </row>
    <row r="2430" spans="1:10" hidden="1" outlineLevel="1">
      <c r="A2430" s="759" t="s">
        <v>1255</v>
      </c>
      <c r="B2430" s="777">
        <v>953551.25</v>
      </c>
      <c r="C2430" s="768">
        <v>0</v>
      </c>
      <c r="D2430" s="715">
        <v>0</v>
      </c>
      <c r="E2430" s="715">
        <v>0</v>
      </c>
      <c r="F2430" s="715">
        <v>0</v>
      </c>
      <c r="G2430" s="715">
        <v>0</v>
      </c>
      <c r="H2430" s="715">
        <v>0</v>
      </c>
      <c r="I2430" s="775">
        <f t="shared" si="54"/>
        <v>953551.25</v>
      </c>
      <c r="J2430" s="192" t="s">
        <v>1781</v>
      </c>
    </row>
    <row r="2431" spans="1:10" hidden="1" outlineLevel="1">
      <c r="A2431" s="759" t="s">
        <v>1602</v>
      </c>
      <c r="B2431" s="777">
        <v>338917.25</v>
      </c>
      <c r="C2431" s="768">
        <v>0</v>
      </c>
      <c r="D2431" s="715">
        <v>0</v>
      </c>
      <c r="E2431" s="715">
        <v>0</v>
      </c>
      <c r="F2431" s="715">
        <v>0</v>
      </c>
      <c r="G2431" s="715">
        <v>0</v>
      </c>
      <c r="H2431" s="715">
        <v>0</v>
      </c>
      <c r="I2431" s="775">
        <f t="shared" si="54"/>
        <v>338917.25</v>
      </c>
      <c r="J2431" s="192" t="s">
        <v>1635</v>
      </c>
    </row>
    <row r="2432" spans="1:10" hidden="1" outlineLevel="1">
      <c r="A2432" s="759" t="s">
        <v>1354</v>
      </c>
      <c r="B2432" s="777">
        <v>804399.01</v>
      </c>
      <c r="C2432" s="768">
        <v>0</v>
      </c>
      <c r="D2432" s="715">
        <v>0</v>
      </c>
      <c r="E2432" s="715">
        <v>0</v>
      </c>
      <c r="F2432" s="715">
        <v>0</v>
      </c>
      <c r="G2432" s="715">
        <v>0</v>
      </c>
      <c r="H2432" s="715">
        <v>0</v>
      </c>
      <c r="I2432" s="775">
        <f t="shared" si="54"/>
        <v>804399.01</v>
      </c>
      <c r="J2432" s="192" t="s">
        <v>1262</v>
      </c>
    </row>
    <row r="2433" spans="1:10" hidden="1" outlineLevel="1">
      <c r="A2433" s="759" t="s">
        <v>1446</v>
      </c>
      <c r="B2433" s="777">
        <v>16643125.109999999</v>
      </c>
      <c r="C2433" s="768">
        <v>0</v>
      </c>
      <c r="D2433" s="715">
        <v>0</v>
      </c>
      <c r="E2433" s="715">
        <v>0</v>
      </c>
      <c r="F2433" s="715">
        <v>26032.29</v>
      </c>
      <c r="G2433" s="715">
        <v>0</v>
      </c>
      <c r="H2433" s="715">
        <v>0</v>
      </c>
      <c r="I2433" s="775">
        <f t="shared" si="54"/>
        <v>16669157.399999999</v>
      </c>
      <c r="J2433" s="192" t="s">
        <v>2346</v>
      </c>
    </row>
    <row r="2434" spans="1:10" hidden="1" outlineLevel="1">
      <c r="A2434" s="759" t="s">
        <v>1664</v>
      </c>
      <c r="B2434" s="777">
        <v>1749298.65</v>
      </c>
      <c r="C2434" s="768">
        <v>0</v>
      </c>
      <c r="D2434" s="715">
        <v>0</v>
      </c>
      <c r="E2434" s="715">
        <v>0</v>
      </c>
      <c r="F2434" s="715">
        <v>0</v>
      </c>
      <c r="G2434" s="715">
        <v>0</v>
      </c>
      <c r="H2434" s="715">
        <v>0</v>
      </c>
      <c r="I2434" s="775">
        <f t="shared" si="54"/>
        <v>1749298.65</v>
      </c>
      <c r="J2434" s="192" t="s">
        <v>2347</v>
      </c>
    </row>
    <row r="2435" spans="1:10" hidden="1" outlineLevel="1">
      <c r="A2435" s="759" t="s">
        <v>1788</v>
      </c>
      <c r="B2435" s="777">
        <v>127264.89</v>
      </c>
      <c r="C2435" s="768">
        <v>0</v>
      </c>
      <c r="D2435" s="715">
        <v>0</v>
      </c>
      <c r="E2435" s="715">
        <v>0</v>
      </c>
      <c r="F2435" s="715">
        <v>0</v>
      </c>
      <c r="G2435" s="715">
        <v>0</v>
      </c>
      <c r="H2435" s="715">
        <v>0</v>
      </c>
      <c r="I2435" s="775">
        <f t="shared" si="54"/>
        <v>127264.89</v>
      </c>
      <c r="J2435" s="192" t="s">
        <v>1503</v>
      </c>
    </row>
    <row r="2436" spans="1:10" hidden="1" outlineLevel="1">
      <c r="A2436" s="759" t="s">
        <v>1650</v>
      </c>
      <c r="B2436" s="777">
        <v>49806071.340000004</v>
      </c>
      <c r="C2436" s="768">
        <v>0</v>
      </c>
      <c r="D2436" s="715">
        <v>0</v>
      </c>
      <c r="E2436" s="715">
        <v>0</v>
      </c>
      <c r="F2436" s="715">
        <v>219561.58</v>
      </c>
      <c r="G2436" s="715">
        <v>0</v>
      </c>
      <c r="H2436" s="715">
        <v>0</v>
      </c>
      <c r="I2436" s="775">
        <f t="shared" si="54"/>
        <v>50025632.920000002</v>
      </c>
      <c r="J2436" s="192" t="s">
        <v>1333</v>
      </c>
    </row>
    <row r="2437" spans="1:10" hidden="1" outlineLevel="1">
      <c r="A2437" s="759" t="s">
        <v>1632</v>
      </c>
      <c r="B2437" s="777">
        <v>398257.09</v>
      </c>
      <c r="C2437" s="768">
        <v>0</v>
      </c>
      <c r="D2437" s="715">
        <v>0</v>
      </c>
      <c r="E2437" s="715">
        <v>0</v>
      </c>
      <c r="F2437" s="715">
        <v>0</v>
      </c>
      <c r="G2437" s="715">
        <v>0</v>
      </c>
      <c r="H2437" s="715">
        <v>0</v>
      </c>
      <c r="I2437" s="775">
        <f t="shared" si="54"/>
        <v>398257.09</v>
      </c>
      <c r="J2437" s="192" t="s">
        <v>1577</v>
      </c>
    </row>
    <row r="2438" spans="1:10" hidden="1" outlineLevel="1">
      <c r="A2438" s="759" t="s">
        <v>1344</v>
      </c>
      <c r="B2438" s="777">
        <v>7823510.6299999999</v>
      </c>
      <c r="C2438" s="768">
        <v>0</v>
      </c>
      <c r="D2438" s="715">
        <v>0</v>
      </c>
      <c r="E2438" s="715">
        <v>0</v>
      </c>
      <c r="F2438" s="715">
        <v>10543.88</v>
      </c>
      <c r="G2438" s="715">
        <v>1791.97</v>
      </c>
      <c r="H2438" s="715">
        <v>0</v>
      </c>
      <c r="I2438" s="775">
        <f t="shared" si="54"/>
        <v>7835846.4799999995</v>
      </c>
      <c r="J2438" s="192" t="s">
        <v>1609</v>
      </c>
    </row>
    <row r="2439" spans="1:10" hidden="1" outlineLevel="1">
      <c r="A2439" s="759" t="s">
        <v>1398</v>
      </c>
      <c r="B2439" s="777">
        <v>210305.75</v>
      </c>
      <c r="C2439" s="768">
        <v>0</v>
      </c>
      <c r="D2439" s="715">
        <v>0</v>
      </c>
      <c r="E2439" s="715">
        <v>0</v>
      </c>
      <c r="F2439" s="715">
        <v>0</v>
      </c>
      <c r="G2439" s="715">
        <v>1251.03</v>
      </c>
      <c r="H2439" s="715">
        <v>0</v>
      </c>
      <c r="I2439" s="775">
        <f t="shared" si="54"/>
        <v>211556.78</v>
      </c>
      <c r="J2439" s="192" t="s">
        <v>2348</v>
      </c>
    </row>
    <row r="2440" spans="1:10" hidden="1" outlineLevel="1">
      <c r="A2440" s="759" t="s">
        <v>1244</v>
      </c>
      <c r="B2440" s="777">
        <v>302698.42</v>
      </c>
      <c r="C2440" s="768">
        <v>0</v>
      </c>
      <c r="D2440" s="715">
        <v>0</v>
      </c>
      <c r="E2440" s="715">
        <v>0</v>
      </c>
      <c r="F2440" s="715">
        <v>0</v>
      </c>
      <c r="G2440" s="715">
        <v>0</v>
      </c>
      <c r="H2440" s="715">
        <v>0</v>
      </c>
      <c r="I2440" s="775">
        <f t="shared" si="54"/>
        <v>302698.42</v>
      </c>
      <c r="J2440" s="192" t="s">
        <v>1256</v>
      </c>
    </row>
    <row r="2441" spans="1:10" hidden="1" outlineLevel="1">
      <c r="A2441" s="759" t="s">
        <v>1301</v>
      </c>
      <c r="B2441" s="777">
        <v>474471.89</v>
      </c>
      <c r="C2441" s="768">
        <v>0</v>
      </c>
      <c r="D2441" s="715">
        <v>0</v>
      </c>
      <c r="E2441" s="715">
        <v>0</v>
      </c>
      <c r="F2441" s="715">
        <v>0</v>
      </c>
      <c r="G2441" s="715">
        <v>0</v>
      </c>
      <c r="H2441" s="715">
        <v>0</v>
      </c>
      <c r="I2441" s="775">
        <f t="shared" si="54"/>
        <v>474471.89</v>
      </c>
      <c r="J2441" s="192" t="s">
        <v>1603</v>
      </c>
    </row>
    <row r="2442" spans="1:10" hidden="1" outlineLevel="1">
      <c r="A2442" s="759" t="s">
        <v>1462</v>
      </c>
      <c r="B2442" s="777">
        <v>518821.32</v>
      </c>
      <c r="C2442" s="768">
        <v>0</v>
      </c>
      <c r="D2442" s="715">
        <v>0</v>
      </c>
      <c r="E2442" s="715">
        <v>0</v>
      </c>
      <c r="F2442" s="715">
        <v>0</v>
      </c>
      <c r="G2442" s="715">
        <v>0</v>
      </c>
      <c r="H2442" s="715">
        <v>0</v>
      </c>
      <c r="I2442" s="775">
        <f t="shared" si="54"/>
        <v>518821.32</v>
      </c>
      <c r="J2442" s="192" t="s">
        <v>1355</v>
      </c>
    </row>
    <row r="2443" spans="1:10" hidden="1" outlineLevel="1">
      <c r="A2443" s="759" t="s">
        <v>1794</v>
      </c>
      <c r="B2443" s="777">
        <v>1930223.03</v>
      </c>
      <c r="C2443" s="768">
        <v>0</v>
      </c>
      <c r="D2443" s="715">
        <v>0</v>
      </c>
      <c r="E2443" s="715">
        <v>0</v>
      </c>
      <c r="F2443" s="716">
        <v>0</v>
      </c>
      <c r="G2443" s="715">
        <v>0</v>
      </c>
      <c r="H2443" s="715">
        <v>0</v>
      </c>
      <c r="I2443" s="775">
        <f t="shared" si="54"/>
        <v>1930223.03</v>
      </c>
      <c r="J2443" s="192" t="s">
        <v>1447</v>
      </c>
    </row>
    <row r="2444" spans="1:10" hidden="1" outlineLevel="1">
      <c r="A2444" s="759" t="s">
        <v>1546</v>
      </c>
      <c r="B2444" s="777">
        <v>239590.17</v>
      </c>
      <c r="C2444" s="768">
        <v>0</v>
      </c>
      <c r="D2444" s="715">
        <v>0</v>
      </c>
      <c r="E2444" s="715">
        <v>0</v>
      </c>
      <c r="F2444" s="715">
        <v>0</v>
      </c>
      <c r="G2444" s="715">
        <v>0</v>
      </c>
      <c r="H2444" s="715">
        <v>0</v>
      </c>
      <c r="I2444" s="775">
        <f t="shared" si="54"/>
        <v>239590.17</v>
      </c>
      <c r="J2444" s="192" t="s">
        <v>1665</v>
      </c>
    </row>
    <row r="2445" spans="1:10" hidden="1" outlineLevel="1">
      <c r="A2445" s="759" t="s">
        <v>1426</v>
      </c>
      <c r="B2445" s="777">
        <v>437963.85</v>
      </c>
      <c r="C2445" s="768">
        <v>0</v>
      </c>
      <c r="D2445" s="715">
        <v>0</v>
      </c>
      <c r="E2445" s="715">
        <v>0</v>
      </c>
      <c r="F2445" s="715">
        <v>0</v>
      </c>
      <c r="G2445" s="715">
        <v>0</v>
      </c>
      <c r="H2445" s="715">
        <v>0</v>
      </c>
      <c r="I2445" s="775">
        <f t="shared" si="54"/>
        <v>437963.85</v>
      </c>
      <c r="J2445" s="192" t="s">
        <v>1789</v>
      </c>
    </row>
    <row r="2446" spans="1:10" hidden="1" outlineLevel="1">
      <c r="A2446" s="759" t="s">
        <v>1760</v>
      </c>
      <c r="B2446" s="777">
        <v>482476.65</v>
      </c>
      <c r="C2446" s="768">
        <v>0</v>
      </c>
      <c r="D2446" s="715">
        <v>0</v>
      </c>
      <c r="E2446" s="715">
        <v>0</v>
      </c>
      <c r="F2446" s="716">
        <v>0</v>
      </c>
      <c r="G2446" s="715">
        <v>0</v>
      </c>
      <c r="H2446" s="715">
        <v>0</v>
      </c>
      <c r="I2446" s="775">
        <f t="shared" si="54"/>
        <v>482476.65</v>
      </c>
      <c r="J2446" s="192" t="s">
        <v>1651</v>
      </c>
    </row>
    <row r="2447" spans="1:10" hidden="1" outlineLevel="1">
      <c r="A2447" s="759" t="s">
        <v>1798</v>
      </c>
      <c r="B2447" s="777">
        <v>1185703.3999999999</v>
      </c>
      <c r="C2447" s="768">
        <v>0</v>
      </c>
      <c r="D2447" s="715">
        <v>0</v>
      </c>
      <c r="E2447" s="715">
        <v>0</v>
      </c>
      <c r="F2447" s="715">
        <v>0</v>
      </c>
      <c r="G2447" s="715">
        <v>0</v>
      </c>
      <c r="H2447" s="715">
        <v>0</v>
      </c>
      <c r="I2447" s="775">
        <f t="shared" si="54"/>
        <v>1185703.3999999999</v>
      </c>
      <c r="J2447" s="192" t="s">
        <v>2349</v>
      </c>
    </row>
    <row r="2448" spans="1:10" hidden="1" outlineLevel="1">
      <c r="A2448" s="759" t="s">
        <v>1318</v>
      </c>
      <c r="B2448" s="777">
        <v>345196.6</v>
      </c>
      <c r="C2448" s="768">
        <v>0</v>
      </c>
      <c r="D2448" s="715">
        <v>0</v>
      </c>
      <c r="E2448" s="715">
        <v>0</v>
      </c>
      <c r="F2448" s="715">
        <v>0</v>
      </c>
      <c r="G2448" s="715">
        <v>0</v>
      </c>
      <c r="H2448" s="715">
        <v>0</v>
      </c>
      <c r="I2448" s="775">
        <f t="shared" si="54"/>
        <v>345196.6</v>
      </c>
      <c r="J2448" s="192" t="s">
        <v>1633</v>
      </c>
    </row>
    <row r="2449" spans="1:10" hidden="1" outlineLevel="1">
      <c r="A2449" s="759" t="s">
        <v>1764</v>
      </c>
      <c r="B2449" s="777">
        <v>173716.04</v>
      </c>
      <c r="C2449" s="768">
        <v>0</v>
      </c>
      <c r="D2449" s="715">
        <v>0</v>
      </c>
      <c r="E2449" s="715">
        <v>0</v>
      </c>
      <c r="F2449" s="715">
        <v>0</v>
      </c>
      <c r="G2449" s="715">
        <v>0</v>
      </c>
      <c r="H2449" s="715">
        <v>0</v>
      </c>
      <c r="I2449" s="775">
        <f t="shared" si="54"/>
        <v>173716.04</v>
      </c>
      <c r="J2449" s="192" t="s">
        <v>2350</v>
      </c>
    </row>
    <row r="2450" spans="1:10" hidden="1" outlineLevel="1">
      <c r="A2450" s="759" t="s">
        <v>1540</v>
      </c>
      <c r="B2450" s="777">
        <v>195457.66</v>
      </c>
      <c r="C2450" s="768">
        <v>0</v>
      </c>
      <c r="D2450" s="715">
        <v>0</v>
      </c>
      <c r="E2450" s="715">
        <v>0</v>
      </c>
      <c r="F2450" s="715">
        <v>0</v>
      </c>
      <c r="G2450" s="715">
        <v>0</v>
      </c>
      <c r="H2450" s="715">
        <v>0</v>
      </c>
      <c r="I2450" s="775">
        <f t="shared" ref="I2450:I2513" si="55">SUM(B2450:H2450)</f>
        <v>195457.66</v>
      </c>
      <c r="J2450" s="192" t="s">
        <v>2351</v>
      </c>
    </row>
    <row r="2451" spans="1:10" hidden="1" outlineLevel="1">
      <c r="A2451" s="759" t="s">
        <v>1396</v>
      </c>
      <c r="B2451" s="777">
        <v>445095.28</v>
      </c>
      <c r="C2451" s="768">
        <v>0</v>
      </c>
      <c r="D2451" s="715">
        <v>0</v>
      </c>
      <c r="E2451" s="715">
        <v>0</v>
      </c>
      <c r="F2451" s="715">
        <v>0</v>
      </c>
      <c r="G2451" s="715">
        <v>0</v>
      </c>
      <c r="H2451" s="715">
        <v>0</v>
      </c>
      <c r="I2451" s="775">
        <f t="shared" si="55"/>
        <v>445095.28</v>
      </c>
      <c r="J2451" s="192" t="s">
        <v>1399</v>
      </c>
    </row>
    <row r="2452" spans="1:10" hidden="1" outlineLevel="1">
      <c r="A2452" s="759" t="s">
        <v>1681</v>
      </c>
      <c r="B2452" s="777">
        <v>7740210.29</v>
      </c>
      <c r="C2452" s="768">
        <v>0</v>
      </c>
      <c r="D2452" s="715">
        <v>0</v>
      </c>
      <c r="E2452" s="715">
        <v>0</v>
      </c>
      <c r="F2452" s="715">
        <v>0</v>
      </c>
      <c r="G2452" s="715">
        <v>11745.51</v>
      </c>
      <c r="H2452" s="715">
        <v>0</v>
      </c>
      <c r="I2452" s="775">
        <f t="shared" si="55"/>
        <v>7751955.7999999998</v>
      </c>
      <c r="J2452" s="192" t="s">
        <v>1245</v>
      </c>
    </row>
    <row r="2453" spans="1:10" hidden="1" outlineLevel="1">
      <c r="A2453" s="759" t="s">
        <v>2208</v>
      </c>
      <c r="B2453" s="777">
        <v>49325.8</v>
      </c>
      <c r="C2453" s="768">
        <v>0</v>
      </c>
      <c r="D2453" s="715">
        <v>0</v>
      </c>
      <c r="E2453" s="715">
        <v>0</v>
      </c>
      <c r="F2453" s="715">
        <v>0</v>
      </c>
      <c r="G2453" s="715">
        <v>0</v>
      </c>
      <c r="H2453" s="715">
        <v>0</v>
      </c>
      <c r="I2453" s="775">
        <f t="shared" si="55"/>
        <v>49325.8</v>
      </c>
      <c r="J2453" s="192" t="s">
        <v>1302</v>
      </c>
    </row>
    <row r="2454" spans="1:10" hidden="1" outlineLevel="1">
      <c r="A2454" s="759" t="s">
        <v>1766</v>
      </c>
      <c r="B2454" s="777">
        <v>163891.41</v>
      </c>
      <c r="C2454" s="768">
        <v>0</v>
      </c>
      <c r="D2454" s="715">
        <v>0</v>
      </c>
      <c r="E2454" s="715">
        <v>0</v>
      </c>
      <c r="F2454" s="715">
        <v>0</v>
      </c>
      <c r="G2454" s="715">
        <v>0</v>
      </c>
      <c r="H2454" s="715">
        <v>0</v>
      </c>
      <c r="I2454" s="775">
        <f t="shared" si="55"/>
        <v>163891.41</v>
      </c>
      <c r="J2454" s="192" t="s">
        <v>1463</v>
      </c>
    </row>
    <row r="2455" spans="1:10" hidden="1" outlineLevel="1">
      <c r="A2455" s="759" t="s">
        <v>1448</v>
      </c>
      <c r="B2455" s="777">
        <v>1460672.83</v>
      </c>
      <c r="C2455" s="768">
        <v>0</v>
      </c>
      <c r="D2455" s="715">
        <v>0</v>
      </c>
      <c r="E2455" s="715">
        <v>0</v>
      </c>
      <c r="F2455" s="715">
        <v>0</v>
      </c>
      <c r="G2455" s="715">
        <v>0</v>
      </c>
      <c r="H2455" s="715">
        <v>0</v>
      </c>
      <c r="I2455" s="775">
        <f t="shared" si="55"/>
        <v>1460672.83</v>
      </c>
      <c r="J2455" s="192" t="s">
        <v>1795</v>
      </c>
    </row>
    <row r="2456" spans="1:10" hidden="1" outlineLevel="1">
      <c r="A2456" s="759" t="s">
        <v>1490</v>
      </c>
      <c r="B2456" s="777">
        <v>129505.87</v>
      </c>
      <c r="C2456" s="768">
        <v>0</v>
      </c>
      <c r="D2456" s="715">
        <v>0</v>
      </c>
      <c r="E2456" s="715">
        <v>0</v>
      </c>
      <c r="F2456" s="715">
        <v>0</v>
      </c>
      <c r="G2456" s="715">
        <v>0</v>
      </c>
      <c r="H2456" s="715">
        <v>0</v>
      </c>
      <c r="I2456" s="775">
        <f t="shared" si="55"/>
        <v>129505.87</v>
      </c>
      <c r="J2456" s="192" t="s">
        <v>1547</v>
      </c>
    </row>
    <row r="2457" spans="1:10" hidden="1" outlineLevel="1">
      <c r="A2457" s="759" t="s">
        <v>1724</v>
      </c>
      <c r="B2457" s="777">
        <v>981643.8</v>
      </c>
      <c r="C2457" s="768">
        <v>0</v>
      </c>
      <c r="D2457" s="715">
        <v>0</v>
      </c>
      <c r="E2457" s="715">
        <v>0</v>
      </c>
      <c r="F2457" s="715">
        <v>0</v>
      </c>
      <c r="G2457" s="715">
        <v>0</v>
      </c>
      <c r="H2457" s="715">
        <v>0</v>
      </c>
      <c r="I2457" s="775">
        <f t="shared" si="55"/>
        <v>981643.8</v>
      </c>
      <c r="J2457" s="192" t="s">
        <v>1427</v>
      </c>
    </row>
    <row r="2458" spans="1:10" hidden="1" outlineLevel="1">
      <c r="A2458" s="759" t="s">
        <v>1267</v>
      </c>
      <c r="B2458" s="777">
        <v>122935.2</v>
      </c>
      <c r="C2458" s="768">
        <v>0</v>
      </c>
      <c r="D2458" s="715">
        <v>0</v>
      </c>
      <c r="E2458" s="715">
        <v>0</v>
      </c>
      <c r="F2458" s="715">
        <v>0</v>
      </c>
      <c r="G2458" s="715">
        <v>0</v>
      </c>
      <c r="H2458" s="715">
        <v>0</v>
      </c>
      <c r="I2458" s="775">
        <f t="shared" si="55"/>
        <v>122935.2</v>
      </c>
      <c r="J2458" s="192" t="s">
        <v>1761</v>
      </c>
    </row>
    <row r="2459" spans="1:10" hidden="1" outlineLevel="1">
      <c r="A2459" s="759" t="s">
        <v>1358</v>
      </c>
      <c r="B2459" s="777">
        <v>2777342.49</v>
      </c>
      <c r="C2459" s="768">
        <v>0</v>
      </c>
      <c r="D2459" s="715">
        <v>0</v>
      </c>
      <c r="E2459" s="715">
        <v>0</v>
      </c>
      <c r="F2459" s="715">
        <v>0</v>
      </c>
      <c r="G2459" s="715">
        <v>0</v>
      </c>
      <c r="H2459" s="715">
        <v>0</v>
      </c>
      <c r="I2459" s="775">
        <f t="shared" si="55"/>
        <v>2777342.49</v>
      </c>
      <c r="J2459" s="192" t="s">
        <v>1799</v>
      </c>
    </row>
    <row r="2460" spans="1:10" hidden="1" outlineLevel="1">
      <c r="A2460" s="759" t="s">
        <v>1658</v>
      </c>
      <c r="B2460" s="777">
        <v>377945.88</v>
      </c>
      <c r="C2460" s="768">
        <v>0</v>
      </c>
      <c r="D2460" s="715">
        <v>0</v>
      </c>
      <c r="E2460" s="715">
        <v>0</v>
      </c>
      <c r="F2460" s="715">
        <v>0</v>
      </c>
      <c r="G2460" s="715">
        <v>0</v>
      </c>
      <c r="H2460" s="715">
        <v>0</v>
      </c>
      <c r="I2460" s="775">
        <f t="shared" si="55"/>
        <v>377945.88</v>
      </c>
      <c r="J2460" s="192" t="s">
        <v>1319</v>
      </c>
    </row>
    <row r="2461" spans="1:10" hidden="1" outlineLevel="1">
      <c r="A2461" s="759" t="s">
        <v>1552</v>
      </c>
      <c r="B2461" s="777">
        <v>852165.11</v>
      </c>
      <c r="C2461" s="768">
        <v>0</v>
      </c>
      <c r="D2461" s="715">
        <v>0</v>
      </c>
      <c r="E2461" s="715">
        <v>0</v>
      </c>
      <c r="F2461" s="715">
        <v>0</v>
      </c>
      <c r="G2461" s="715">
        <v>0</v>
      </c>
      <c r="H2461" s="715">
        <v>0</v>
      </c>
      <c r="I2461" s="775">
        <f t="shared" si="55"/>
        <v>852165.11</v>
      </c>
      <c r="J2461" s="192" t="s">
        <v>2352</v>
      </c>
    </row>
    <row r="2462" spans="1:10" hidden="1" outlineLevel="1">
      <c r="A2462" s="759" t="s">
        <v>1242</v>
      </c>
      <c r="B2462" s="777">
        <v>115199.42</v>
      </c>
      <c r="C2462" s="768">
        <v>0</v>
      </c>
      <c r="D2462" s="715">
        <v>0</v>
      </c>
      <c r="E2462" s="715">
        <v>0</v>
      </c>
      <c r="F2462" s="715">
        <v>0</v>
      </c>
      <c r="G2462" s="715">
        <v>0</v>
      </c>
      <c r="H2462" s="715">
        <v>0</v>
      </c>
      <c r="I2462" s="775">
        <f t="shared" si="55"/>
        <v>115199.42</v>
      </c>
      <c r="J2462" s="192" t="s">
        <v>1541</v>
      </c>
    </row>
    <row r="2463" spans="1:10" hidden="1" outlineLevel="1">
      <c r="A2463" s="759" t="s">
        <v>1752</v>
      </c>
      <c r="B2463" s="777">
        <v>140483.54</v>
      </c>
      <c r="C2463" s="768">
        <v>0</v>
      </c>
      <c r="D2463" s="715">
        <v>0</v>
      </c>
      <c r="E2463" s="715">
        <v>0</v>
      </c>
      <c r="F2463" s="715">
        <v>0</v>
      </c>
      <c r="G2463" s="715">
        <v>0</v>
      </c>
      <c r="H2463" s="715">
        <v>0</v>
      </c>
      <c r="I2463" s="775">
        <f t="shared" si="55"/>
        <v>140483.54</v>
      </c>
      <c r="J2463" s="192" t="s">
        <v>1397</v>
      </c>
    </row>
    <row r="2464" spans="1:10" hidden="1" outlineLevel="1">
      <c r="A2464" s="759" t="s">
        <v>1295</v>
      </c>
      <c r="B2464" s="777">
        <v>8889667.1999999993</v>
      </c>
      <c r="C2464" s="768">
        <v>0</v>
      </c>
      <c r="D2464" s="715">
        <v>0</v>
      </c>
      <c r="E2464" s="715">
        <v>0</v>
      </c>
      <c r="F2464" s="715">
        <v>12059.37</v>
      </c>
      <c r="G2464" s="716">
        <v>0</v>
      </c>
      <c r="H2464" s="715">
        <v>0</v>
      </c>
      <c r="I2464" s="775">
        <f t="shared" si="55"/>
        <v>8901726.5699999984</v>
      </c>
      <c r="J2464" s="192" t="s">
        <v>1682</v>
      </c>
    </row>
    <row r="2465" spans="1:10" hidden="1" outlineLevel="1">
      <c r="A2465" s="759" t="s">
        <v>1685</v>
      </c>
      <c r="B2465" s="777">
        <v>1249837.42</v>
      </c>
      <c r="C2465" s="768">
        <v>0</v>
      </c>
      <c r="D2465" s="715">
        <v>0</v>
      </c>
      <c r="E2465" s="715">
        <v>0</v>
      </c>
      <c r="F2465" s="715">
        <v>0</v>
      </c>
      <c r="G2465" s="715">
        <v>0</v>
      </c>
      <c r="H2465" s="715">
        <v>0</v>
      </c>
      <c r="I2465" s="775">
        <f t="shared" si="55"/>
        <v>1249837.42</v>
      </c>
      <c r="J2465" s="192" t="s">
        <v>2209</v>
      </c>
    </row>
    <row r="2466" spans="1:10" hidden="1" outlineLevel="1">
      <c r="A2466" s="759" t="s">
        <v>2210</v>
      </c>
      <c r="B2466" s="777">
        <v>14171.58</v>
      </c>
      <c r="C2466" s="768">
        <v>0</v>
      </c>
      <c r="D2466" s="715">
        <v>0</v>
      </c>
      <c r="E2466" s="715">
        <v>0</v>
      </c>
      <c r="F2466" s="715">
        <v>0</v>
      </c>
      <c r="G2466" s="715">
        <v>0</v>
      </c>
      <c r="H2466" s="715">
        <v>0</v>
      </c>
      <c r="I2466" s="775">
        <f t="shared" si="55"/>
        <v>14171.58</v>
      </c>
      <c r="J2466" s="192" t="s">
        <v>1767</v>
      </c>
    </row>
    <row r="2467" spans="1:10" hidden="1" outlineLevel="1">
      <c r="A2467" s="759" t="s">
        <v>2212</v>
      </c>
      <c r="B2467" s="777">
        <v>170926.01</v>
      </c>
      <c r="C2467" s="768">
        <v>0</v>
      </c>
      <c r="D2467" s="715">
        <v>0</v>
      </c>
      <c r="E2467" s="715">
        <v>0</v>
      </c>
      <c r="F2467" s="715">
        <v>0</v>
      </c>
      <c r="G2467" s="715">
        <v>0</v>
      </c>
      <c r="H2467" s="715">
        <v>0</v>
      </c>
      <c r="I2467" s="775">
        <f t="shared" si="55"/>
        <v>170926.01</v>
      </c>
      <c r="J2467" s="192" t="s">
        <v>1449</v>
      </c>
    </row>
    <row r="2468" spans="1:10" hidden="1" outlineLevel="1">
      <c r="A2468" s="759" t="s">
        <v>1400</v>
      </c>
      <c r="B2468" s="777">
        <v>164295.04000000001</v>
      </c>
      <c r="C2468" s="768">
        <v>0</v>
      </c>
      <c r="D2468" s="715">
        <v>0</v>
      </c>
      <c r="E2468" s="715">
        <v>0</v>
      </c>
      <c r="F2468" s="715">
        <v>0</v>
      </c>
      <c r="G2468" s="715">
        <v>0</v>
      </c>
      <c r="H2468" s="715">
        <v>0</v>
      </c>
      <c r="I2468" s="775">
        <f t="shared" si="55"/>
        <v>164295.04000000001</v>
      </c>
      <c r="J2468" s="192" t="s">
        <v>1491</v>
      </c>
    </row>
    <row r="2469" spans="1:10" hidden="1" outlineLevel="1">
      <c r="A2469" s="759" t="s">
        <v>1620</v>
      </c>
      <c r="B2469" s="777">
        <v>711683.87</v>
      </c>
      <c r="C2469" s="768">
        <v>0</v>
      </c>
      <c r="D2469" s="715">
        <v>0</v>
      </c>
      <c r="E2469" s="715">
        <v>0</v>
      </c>
      <c r="F2469" s="715">
        <v>0</v>
      </c>
      <c r="G2469" s="715">
        <v>0</v>
      </c>
      <c r="H2469" s="715">
        <v>0</v>
      </c>
      <c r="I2469" s="775">
        <f t="shared" si="55"/>
        <v>711683.87</v>
      </c>
      <c r="J2469" s="192" t="s">
        <v>1725</v>
      </c>
    </row>
    <row r="2470" spans="1:10" hidden="1" outlineLevel="1">
      <c r="A2470" s="759" t="s">
        <v>1671</v>
      </c>
      <c r="B2470" s="777">
        <v>602345.84</v>
      </c>
      <c r="C2470" s="768">
        <v>0</v>
      </c>
      <c r="D2470" s="715">
        <v>0</v>
      </c>
      <c r="E2470" s="715">
        <v>0</v>
      </c>
      <c r="F2470" s="715">
        <v>0</v>
      </c>
      <c r="G2470" s="715">
        <v>0</v>
      </c>
      <c r="H2470" s="715">
        <v>0</v>
      </c>
      <c r="I2470" s="775">
        <f t="shared" si="55"/>
        <v>602345.84</v>
      </c>
      <c r="J2470" s="192" t="s">
        <v>1268</v>
      </c>
    </row>
    <row r="2471" spans="1:10" hidden="1" outlineLevel="1">
      <c r="A2471" s="759" t="s">
        <v>1538</v>
      </c>
      <c r="B2471" s="777">
        <v>6468949.2300000004</v>
      </c>
      <c r="C2471" s="768">
        <v>0</v>
      </c>
      <c r="D2471" s="715">
        <v>0</v>
      </c>
      <c r="E2471" s="715">
        <v>0</v>
      </c>
      <c r="F2471" s="715">
        <v>0</v>
      </c>
      <c r="G2471" s="715">
        <v>0</v>
      </c>
      <c r="H2471" s="715">
        <v>0</v>
      </c>
      <c r="I2471" s="775">
        <f t="shared" si="55"/>
        <v>6468949.2300000004</v>
      </c>
      <c r="J2471" s="192" t="s">
        <v>1359</v>
      </c>
    </row>
    <row r="2472" spans="1:10" hidden="1" outlineLevel="1">
      <c r="A2472" s="759" t="s">
        <v>1382</v>
      </c>
      <c r="B2472" s="777">
        <v>539416.76</v>
      </c>
      <c r="C2472" s="768">
        <v>0</v>
      </c>
      <c r="D2472" s="715">
        <v>0</v>
      </c>
      <c r="E2472" s="715">
        <v>0</v>
      </c>
      <c r="F2472" s="715">
        <v>0</v>
      </c>
      <c r="G2472" s="715">
        <v>0</v>
      </c>
      <c r="H2472" s="715">
        <v>0</v>
      </c>
      <c r="I2472" s="775">
        <f t="shared" si="55"/>
        <v>539416.76</v>
      </c>
      <c r="J2472" s="192" t="s">
        <v>1659</v>
      </c>
    </row>
    <row r="2473" spans="1:10" hidden="1" outlineLevel="1">
      <c r="A2473" s="759" t="s">
        <v>1524</v>
      </c>
      <c r="B2473" s="777">
        <v>283673.33</v>
      </c>
      <c r="C2473" s="768">
        <v>0</v>
      </c>
      <c r="D2473" s="715">
        <v>0</v>
      </c>
      <c r="E2473" s="715">
        <v>0</v>
      </c>
      <c r="F2473" s="715">
        <v>0</v>
      </c>
      <c r="G2473" s="715">
        <v>0</v>
      </c>
      <c r="H2473" s="715">
        <v>0</v>
      </c>
      <c r="I2473" s="775">
        <f t="shared" si="55"/>
        <v>283673.33</v>
      </c>
      <c r="J2473" s="192" t="s">
        <v>1553</v>
      </c>
    </row>
    <row r="2474" spans="1:10" hidden="1" outlineLevel="1">
      <c r="A2474" s="759" t="s">
        <v>1818</v>
      </c>
      <c r="B2474" s="777">
        <v>1123897.26</v>
      </c>
      <c r="C2474" s="768">
        <v>0</v>
      </c>
      <c r="D2474" s="715">
        <v>0</v>
      </c>
      <c r="E2474" s="715">
        <v>0</v>
      </c>
      <c r="F2474" s="715">
        <v>0</v>
      </c>
      <c r="G2474" s="715">
        <v>0</v>
      </c>
      <c r="H2474" s="715">
        <v>0</v>
      </c>
      <c r="I2474" s="775">
        <f t="shared" si="55"/>
        <v>1123897.26</v>
      </c>
      <c r="J2474" s="192" t="s">
        <v>1243</v>
      </c>
    </row>
    <row r="2475" spans="1:10" hidden="1" outlineLevel="1">
      <c r="A2475" s="759" t="s">
        <v>1238</v>
      </c>
      <c r="B2475" s="777">
        <v>559522.13</v>
      </c>
      <c r="C2475" s="768">
        <v>0</v>
      </c>
      <c r="D2475" s="715">
        <v>0</v>
      </c>
      <c r="E2475" s="715">
        <v>0</v>
      </c>
      <c r="F2475" s="715">
        <v>0</v>
      </c>
      <c r="G2475" s="715">
        <v>0</v>
      </c>
      <c r="H2475" s="715">
        <v>0</v>
      </c>
      <c r="I2475" s="775">
        <f t="shared" si="55"/>
        <v>559522.13</v>
      </c>
      <c r="J2475" s="192" t="s">
        <v>1753</v>
      </c>
    </row>
    <row r="2476" spans="1:10" hidden="1" outlineLevel="1">
      <c r="A2476" s="759" t="s">
        <v>1800</v>
      </c>
      <c r="B2476" s="777">
        <v>273820.34999999998</v>
      </c>
      <c r="C2476" s="768">
        <v>0</v>
      </c>
      <c r="D2476" s="715">
        <v>0</v>
      </c>
      <c r="E2476" s="715">
        <v>0</v>
      </c>
      <c r="F2476" s="716">
        <v>0</v>
      </c>
      <c r="G2476" s="715">
        <v>0</v>
      </c>
      <c r="H2476" s="715">
        <v>0</v>
      </c>
      <c r="I2476" s="775">
        <f t="shared" si="55"/>
        <v>273820.34999999998</v>
      </c>
      <c r="J2476" s="192" t="s">
        <v>1296</v>
      </c>
    </row>
    <row r="2477" spans="1:10" hidden="1" outlineLevel="1">
      <c r="A2477" s="759" t="s">
        <v>2214</v>
      </c>
      <c r="B2477" s="777">
        <v>88534.18</v>
      </c>
      <c r="C2477" s="768">
        <v>0</v>
      </c>
      <c r="D2477" s="715">
        <v>0</v>
      </c>
      <c r="E2477" s="715">
        <v>0</v>
      </c>
      <c r="F2477" s="715">
        <v>0</v>
      </c>
      <c r="G2477" s="715">
        <v>0</v>
      </c>
      <c r="H2477" s="715">
        <v>0</v>
      </c>
      <c r="I2477" s="775">
        <f t="shared" si="55"/>
        <v>88534.18</v>
      </c>
      <c r="J2477" s="192" t="s">
        <v>1686</v>
      </c>
    </row>
    <row r="2478" spans="1:10" hidden="1" outlineLevel="1">
      <c r="A2478" s="759" t="s">
        <v>1704</v>
      </c>
      <c r="B2478" s="777">
        <v>384164.53</v>
      </c>
      <c r="C2478" s="768">
        <v>0</v>
      </c>
      <c r="D2478" s="715">
        <v>0</v>
      </c>
      <c r="E2478" s="715">
        <v>0</v>
      </c>
      <c r="F2478" s="715">
        <v>0</v>
      </c>
      <c r="G2478" s="715">
        <v>0</v>
      </c>
      <c r="H2478" s="715">
        <v>0</v>
      </c>
      <c r="I2478" s="775">
        <f t="shared" si="55"/>
        <v>384164.53</v>
      </c>
      <c r="J2478" s="192" t="s">
        <v>2211</v>
      </c>
    </row>
    <row r="2479" spans="1:10" hidden="1" outlineLevel="1">
      <c r="A2479" s="759" t="s">
        <v>1312</v>
      </c>
      <c r="B2479" s="777">
        <v>39521261.93</v>
      </c>
      <c r="C2479" s="768">
        <v>0</v>
      </c>
      <c r="D2479" s="715">
        <v>0</v>
      </c>
      <c r="E2479" s="715">
        <v>0</v>
      </c>
      <c r="F2479" s="715">
        <v>81165.070000000007</v>
      </c>
      <c r="G2479" s="715">
        <v>0</v>
      </c>
      <c r="H2479" s="715">
        <v>0</v>
      </c>
      <c r="I2479" s="775">
        <f t="shared" si="55"/>
        <v>39602427</v>
      </c>
      <c r="J2479" s="192" t="s">
        <v>2213</v>
      </c>
    </row>
    <row r="2480" spans="1:10" hidden="1" outlineLevel="1">
      <c r="A2480" s="759" t="s">
        <v>1468</v>
      </c>
      <c r="B2480" s="777">
        <v>285875.37</v>
      </c>
      <c r="C2480" s="768">
        <v>0</v>
      </c>
      <c r="D2480" s="715">
        <v>0</v>
      </c>
      <c r="E2480" s="715">
        <v>0</v>
      </c>
      <c r="F2480" s="715">
        <v>0</v>
      </c>
      <c r="G2480" s="715">
        <v>0</v>
      </c>
      <c r="H2480" s="715">
        <v>0</v>
      </c>
      <c r="I2480" s="775">
        <f t="shared" si="55"/>
        <v>285875.37</v>
      </c>
      <c r="J2480" s="192" t="s">
        <v>1401</v>
      </c>
    </row>
    <row r="2481" spans="1:10" hidden="1" outlineLevel="1">
      <c r="A2481" s="759" t="s">
        <v>1309</v>
      </c>
      <c r="B2481" s="777">
        <v>1595401.71</v>
      </c>
      <c r="C2481" s="768">
        <v>0</v>
      </c>
      <c r="D2481" s="715">
        <v>0</v>
      </c>
      <c r="E2481" s="715">
        <v>0</v>
      </c>
      <c r="F2481" s="715">
        <v>0</v>
      </c>
      <c r="G2481" s="715">
        <v>0</v>
      </c>
      <c r="H2481" s="715">
        <v>0</v>
      </c>
      <c r="I2481" s="775">
        <f t="shared" si="55"/>
        <v>1595401.71</v>
      </c>
      <c r="J2481" s="192" t="s">
        <v>1621</v>
      </c>
    </row>
    <row r="2482" spans="1:10" hidden="1" outlineLevel="1">
      <c r="A2482" s="759" t="s">
        <v>2216</v>
      </c>
      <c r="B2482" s="777">
        <v>55142.87</v>
      </c>
      <c r="C2482" s="768">
        <v>0</v>
      </c>
      <c r="D2482" s="715">
        <v>0</v>
      </c>
      <c r="E2482" s="715">
        <v>0</v>
      </c>
      <c r="F2482" s="715">
        <v>0</v>
      </c>
      <c r="G2482" s="715">
        <v>0</v>
      </c>
      <c r="H2482" s="715">
        <v>0</v>
      </c>
      <c r="I2482" s="775">
        <f t="shared" si="55"/>
        <v>55142.87</v>
      </c>
      <c r="J2482" s="192" t="s">
        <v>1672</v>
      </c>
    </row>
    <row r="2483" spans="1:10" hidden="1" outlineLevel="1">
      <c r="A2483" s="759" t="s">
        <v>1558</v>
      </c>
      <c r="B2483" s="777">
        <v>8733372.7200000007</v>
      </c>
      <c r="C2483" s="768">
        <v>0</v>
      </c>
      <c r="D2483" s="715">
        <v>10420.23</v>
      </c>
      <c r="E2483" s="715">
        <v>0</v>
      </c>
      <c r="F2483" s="715">
        <v>0</v>
      </c>
      <c r="G2483" s="715">
        <v>0</v>
      </c>
      <c r="H2483" s="715">
        <v>0</v>
      </c>
      <c r="I2483" s="775">
        <f t="shared" si="55"/>
        <v>8743792.9500000011</v>
      </c>
      <c r="J2483" s="192" t="s">
        <v>2353</v>
      </c>
    </row>
    <row r="2484" spans="1:10" hidden="1" outlineLevel="1">
      <c r="A2484" s="759" t="s">
        <v>1762</v>
      </c>
      <c r="B2484" s="777">
        <v>469206.4</v>
      </c>
      <c r="C2484" s="768">
        <v>0</v>
      </c>
      <c r="D2484" s="715">
        <v>0</v>
      </c>
      <c r="E2484" s="715">
        <v>0</v>
      </c>
      <c r="F2484" s="715">
        <v>0</v>
      </c>
      <c r="G2484" s="715">
        <v>0</v>
      </c>
      <c r="H2484" s="715">
        <v>0</v>
      </c>
      <c r="I2484" s="775">
        <f t="shared" si="55"/>
        <v>469206.4</v>
      </c>
      <c r="J2484" s="192" t="s">
        <v>1383</v>
      </c>
    </row>
    <row r="2485" spans="1:10" hidden="1" outlineLevel="1">
      <c r="A2485" s="759" t="s">
        <v>1442</v>
      </c>
      <c r="B2485" s="777">
        <v>50341.72</v>
      </c>
      <c r="C2485" s="768">
        <v>0</v>
      </c>
      <c r="D2485" s="715">
        <v>0</v>
      </c>
      <c r="E2485" s="715">
        <v>0</v>
      </c>
      <c r="F2485" s="715">
        <v>0</v>
      </c>
      <c r="G2485" s="715">
        <v>0</v>
      </c>
      <c r="H2485" s="715">
        <v>0</v>
      </c>
      <c r="I2485" s="775">
        <f t="shared" si="55"/>
        <v>50341.72</v>
      </c>
      <c r="J2485" s="192" t="s">
        <v>1525</v>
      </c>
    </row>
    <row r="2486" spans="1:10" hidden="1" outlineLevel="1">
      <c r="A2486" s="759" t="s">
        <v>1748</v>
      </c>
      <c r="B2486" s="777">
        <v>153014.66</v>
      </c>
      <c r="C2486" s="768">
        <v>0</v>
      </c>
      <c r="D2486" s="715">
        <v>0</v>
      </c>
      <c r="E2486" s="715">
        <v>0</v>
      </c>
      <c r="F2486" s="715">
        <v>0</v>
      </c>
      <c r="G2486" s="715">
        <v>0</v>
      </c>
      <c r="H2486" s="715">
        <v>0</v>
      </c>
      <c r="I2486" s="775">
        <f t="shared" si="55"/>
        <v>153014.66</v>
      </c>
      <c r="J2486" s="192" t="s">
        <v>1819</v>
      </c>
    </row>
    <row r="2487" spans="1:10" hidden="1" outlineLevel="1">
      <c r="A2487" s="759" t="s">
        <v>1790</v>
      </c>
      <c r="B2487" s="777">
        <v>63665.58</v>
      </c>
      <c r="C2487" s="768">
        <v>0</v>
      </c>
      <c r="D2487" s="715">
        <v>0</v>
      </c>
      <c r="E2487" s="715">
        <v>0</v>
      </c>
      <c r="F2487" s="715">
        <v>0</v>
      </c>
      <c r="G2487" s="715">
        <v>0</v>
      </c>
      <c r="H2487" s="715">
        <v>0</v>
      </c>
      <c r="I2487" s="775">
        <f t="shared" si="55"/>
        <v>63665.58</v>
      </c>
      <c r="J2487" s="192" t="s">
        <v>2354</v>
      </c>
    </row>
    <row r="2488" spans="1:10" hidden="1" outlineLevel="1">
      <c r="A2488" s="759" t="s">
        <v>2218</v>
      </c>
      <c r="B2488" s="777">
        <v>79764.92</v>
      </c>
      <c r="C2488" s="768">
        <v>0</v>
      </c>
      <c r="D2488" s="715">
        <v>0</v>
      </c>
      <c r="E2488" s="715">
        <v>0</v>
      </c>
      <c r="F2488" s="715">
        <v>0</v>
      </c>
      <c r="G2488" s="715">
        <v>0</v>
      </c>
      <c r="H2488" s="715">
        <v>0</v>
      </c>
      <c r="I2488" s="775">
        <f t="shared" si="55"/>
        <v>79764.92</v>
      </c>
      <c r="J2488" s="192" t="s">
        <v>1801</v>
      </c>
    </row>
    <row r="2489" spans="1:10" hidden="1" outlineLevel="1">
      <c r="A2489" s="759" t="s">
        <v>1334</v>
      </c>
      <c r="B2489" s="777">
        <v>540170.41</v>
      </c>
      <c r="C2489" s="768">
        <v>0</v>
      </c>
      <c r="D2489" s="715">
        <v>0</v>
      </c>
      <c r="E2489" s="715">
        <v>0</v>
      </c>
      <c r="F2489" s="715">
        <v>0</v>
      </c>
      <c r="G2489" s="715">
        <v>0</v>
      </c>
      <c r="H2489" s="715">
        <v>0</v>
      </c>
      <c r="I2489" s="775">
        <f t="shared" si="55"/>
        <v>540170.41</v>
      </c>
      <c r="J2489" s="192" t="s">
        <v>2355</v>
      </c>
    </row>
    <row r="2490" spans="1:10" hidden="1" outlineLevel="1">
      <c r="A2490" s="759" t="s">
        <v>2220</v>
      </c>
      <c r="B2490" s="777">
        <v>141745.13</v>
      </c>
      <c r="C2490" s="768">
        <v>0</v>
      </c>
      <c r="D2490" s="715">
        <v>0</v>
      </c>
      <c r="E2490" s="715">
        <v>0</v>
      </c>
      <c r="F2490" s="715">
        <v>0</v>
      </c>
      <c r="G2490" s="715">
        <v>0</v>
      </c>
      <c r="H2490" s="715">
        <v>0</v>
      </c>
      <c r="I2490" s="775">
        <f t="shared" si="55"/>
        <v>141745.13</v>
      </c>
      <c r="J2490" s="192" t="s">
        <v>1705</v>
      </c>
    </row>
    <row r="2491" spans="1:10" hidden="1" outlineLevel="1">
      <c r="A2491" s="759" t="s">
        <v>1263</v>
      </c>
      <c r="B2491" s="777">
        <v>200888.16</v>
      </c>
      <c r="C2491" s="768">
        <v>0</v>
      </c>
      <c r="D2491" s="715">
        <v>0</v>
      </c>
      <c r="E2491" s="715">
        <v>0</v>
      </c>
      <c r="F2491" s="716">
        <v>0</v>
      </c>
      <c r="G2491" s="715">
        <v>0</v>
      </c>
      <c r="H2491" s="715">
        <v>0</v>
      </c>
      <c r="I2491" s="775">
        <f t="shared" si="55"/>
        <v>200888.16</v>
      </c>
      <c r="J2491" s="192" t="s">
        <v>2356</v>
      </c>
    </row>
    <row r="2492" spans="1:10" hidden="1" outlineLevel="1">
      <c r="A2492" s="759" t="s">
        <v>1388</v>
      </c>
      <c r="B2492" s="777">
        <v>289991.52</v>
      </c>
      <c r="C2492" s="768">
        <v>0</v>
      </c>
      <c r="D2492" s="715">
        <v>0</v>
      </c>
      <c r="E2492" s="715">
        <v>0</v>
      </c>
      <c r="F2492" s="715">
        <v>0</v>
      </c>
      <c r="G2492" s="715">
        <v>0</v>
      </c>
      <c r="H2492" s="715">
        <v>0</v>
      </c>
      <c r="I2492" s="775">
        <f t="shared" si="55"/>
        <v>289991.52</v>
      </c>
      <c r="J2492" s="192" t="s">
        <v>1469</v>
      </c>
    </row>
    <row r="2493" spans="1:10" hidden="1" outlineLevel="1">
      <c r="A2493" s="759" t="s">
        <v>1277</v>
      </c>
      <c r="B2493" s="777">
        <v>567519.73</v>
      </c>
      <c r="C2493" s="768">
        <v>0</v>
      </c>
      <c r="D2493" s="715">
        <v>0</v>
      </c>
      <c r="E2493" s="715">
        <v>0</v>
      </c>
      <c r="F2493" s="715">
        <v>0</v>
      </c>
      <c r="G2493" s="715">
        <v>0</v>
      </c>
      <c r="H2493" s="715">
        <v>0</v>
      </c>
      <c r="I2493" s="775">
        <f t="shared" si="55"/>
        <v>567519.73</v>
      </c>
      <c r="J2493" s="192" t="s">
        <v>1310</v>
      </c>
    </row>
    <row r="2494" spans="1:10" hidden="1" outlineLevel="1">
      <c r="A2494" s="759" t="s">
        <v>1736</v>
      </c>
      <c r="B2494" s="777">
        <v>368998.56</v>
      </c>
      <c r="C2494" s="768">
        <v>0</v>
      </c>
      <c r="D2494" s="715">
        <v>0</v>
      </c>
      <c r="E2494" s="715">
        <v>0</v>
      </c>
      <c r="F2494" s="715">
        <v>0</v>
      </c>
      <c r="G2494" s="715">
        <v>0</v>
      </c>
      <c r="H2494" s="715">
        <v>0</v>
      </c>
      <c r="I2494" s="775">
        <f t="shared" si="55"/>
        <v>368998.56</v>
      </c>
      <c r="J2494" s="192" t="s">
        <v>2217</v>
      </c>
    </row>
    <row r="2495" spans="1:10" hidden="1" outlineLevel="1">
      <c r="A2495" s="759" t="s">
        <v>1297</v>
      </c>
      <c r="B2495" s="777">
        <v>585378.51</v>
      </c>
      <c r="C2495" s="768">
        <v>0</v>
      </c>
      <c r="D2495" s="716">
        <v>0</v>
      </c>
      <c r="E2495" s="715">
        <v>0</v>
      </c>
      <c r="F2495" s="715">
        <v>0</v>
      </c>
      <c r="G2495" s="715">
        <v>0</v>
      </c>
      <c r="H2495" s="715">
        <v>0</v>
      </c>
      <c r="I2495" s="775">
        <f t="shared" si="55"/>
        <v>585378.51</v>
      </c>
      <c r="J2495" s="192" t="s">
        <v>1559</v>
      </c>
    </row>
    <row r="2496" spans="1:10" hidden="1" outlineLevel="1">
      <c r="A2496" s="759" t="s">
        <v>2222</v>
      </c>
      <c r="B2496" s="777">
        <v>75218.81</v>
      </c>
      <c r="C2496" s="768">
        <v>0</v>
      </c>
      <c r="D2496" s="715">
        <v>0</v>
      </c>
      <c r="E2496" s="715">
        <v>0</v>
      </c>
      <c r="F2496" s="715">
        <v>0</v>
      </c>
      <c r="G2496" s="715">
        <v>0</v>
      </c>
      <c r="H2496" s="715">
        <v>0</v>
      </c>
      <c r="I2496" s="775">
        <f t="shared" si="55"/>
        <v>75218.81</v>
      </c>
      <c r="J2496" s="192" t="s">
        <v>2357</v>
      </c>
    </row>
    <row r="2497" spans="1:10" hidden="1" outlineLevel="1">
      <c r="A2497" s="759" t="s">
        <v>1750</v>
      </c>
      <c r="B2497" s="777">
        <v>457085.7</v>
      </c>
      <c r="C2497" s="768">
        <v>0</v>
      </c>
      <c r="D2497" s="715">
        <v>0</v>
      </c>
      <c r="E2497" s="715">
        <v>0</v>
      </c>
      <c r="F2497" s="715">
        <v>0</v>
      </c>
      <c r="G2497" s="715">
        <v>0</v>
      </c>
      <c r="H2497" s="715">
        <v>0</v>
      </c>
      <c r="I2497" s="775">
        <f t="shared" si="55"/>
        <v>457085.7</v>
      </c>
      <c r="J2497" s="192" t="s">
        <v>1763</v>
      </c>
    </row>
    <row r="2498" spans="1:10" hidden="1" outlineLevel="1">
      <c r="A2498" s="759" t="s">
        <v>1514</v>
      </c>
      <c r="B2498" s="777">
        <v>1142390.3999999999</v>
      </c>
      <c r="C2498" s="768">
        <v>0</v>
      </c>
      <c r="D2498" s="715">
        <v>0</v>
      </c>
      <c r="E2498" s="715">
        <v>0</v>
      </c>
      <c r="F2498" s="715">
        <v>0</v>
      </c>
      <c r="G2498" s="715">
        <v>0</v>
      </c>
      <c r="H2498" s="715">
        <v>0</v>
      </c>
      <c r="I2498" s="775">
        <f t="shared" si="55"/>
        <v>1142390.3999999999</v>
      </c>
      <c r="J2498" s="192" t="s">
        <v>1443</v>
      </c>
    </row>
    <row r="2499" spans="1:10" hidden="1" outlineLevel="1">
      <c r="A2499" s="759" t="s">
        <v>1578</v>
      </c>
      <c r="B2499" s="777">
        <v>422260.51</v>
      </c>
      <c r="C2499" s="768">
        <v>0</v>
      </c>
      <c r="D2499" s="715">
        <v>0</v>
      </c>
      <c r="E2499" s="715">
        <v>0</v>
      </c>
      <c r="F2499" s="715">
        <v>0</v>
      </c>
      <c r="G2499" s="715">
        <v>0</v>
      </c>
      <c r="H2499" s="715">
        <v>0</v>
      </c>
      <c r="I2499" s="775">
        <f t="shared" si="55"/>
        <v>422260.51</v>
      </c>
      <c r="J2499" s="192" t="s">
        <v>1749</v>
      </c>
    </row>
    <row r="2500" spans="1:10" hidden="1" outlineLevel="1">
      <c r="A2500" s="759" t="s">
        <v>1776</v>
      </c>
      <c r="B2500" s="777">
        <v>2262106.35</v>
      </c>
      <c r="C2500" s="768">
        <v>0</v>
      </c>
      <c r="D2500" s="715">
        <v>0</v>
      </c>
      <c r="E2500" s="715">
        <v>0</v>
      </c>
      <c r="F2500" s="715">
        <v>0</v>
      </c>
      <c r="G2500" s="715">
        <v>0</v>
      </c>
      <c r="H2500" s="715">
        <v>0</v>
      </c>
      <c r="I2500" s="775">
        <f t="shared" si="55"/>
        <v>2262106.35</v>
      </c>
      <c r="J2500" s="192" t="s">
        <v>1791</v>
      </c>
    </row>
    <row r="2501" spans="1:10" hidden="1" outlineLevel="1">
      <c r="A2501" s="759" t="s">
        <v>1710</v>
      </c>
      <c r="B2501" s="777">
        <v>1371057.55</v>
      </c>
      <c r="C2501" s="768">
        <v>0</v>
      </c>
      <c r="D2501" s="715">
        <v>0</v>
      </c>
      <c r="E2501" s="715">
        <v>0</v>
      </c>
      <c r="F2501" s="715">
        <v>0</v>
      </c>
      <c r="G2501" s="715">
        <v>0</v>
      </c>
      <c r="H2501" s="715">
        <v>0</v>
      </c>
      <c r="I2501" s="775">
        <f t="shared" si="55"/>
        <v>1371057.55</v>
      </c>
      <c r="J2501" s="192" t="s">
        <v>2219</v>
      </c>
    </row>
    <row r="2502" spans="1:10" hidden="1" outlineLevel="1">
      <c r="A2502" s="759" t="s">
        <v>1303</v>
      </c>
      <c r="B2502" s="777">
        <v>2676421.4700000002</v>
      </c>
      <c r="C2502" s="768">
        <v>0</v>
      </c>
      <c r="D2502" s="715">
        <v>0</v>
      </c>
      <c r="E2502" s="715">
        <v>0</v>
      </c>
      <c r="F2502" s="715">
        <v>0</v>
      </c>
      <c r="G2502" s="715">
        <v>0</v>
      </c>
      <c r="H2502" s="715">
        <v>0</v>
      </c>
      <c r="I2502" s="775">
        <f t="shared" si="55"/>
        <v>2676421.4700000002</v>
      </c>
      <c r="J2502" s="192" t="s">
        <v>1335</v>
      </c>
    </row>
    <row r="2503" spans="1:10" hidden="1" outlineLevel="1">
      <c r="A2503" s="759" t="s">
        <v>1512</v>
      </c>
      <c r="B2503" s="777">
        <v>107772.59</v>
      </c>
      <c r="C2503" s="768">
        <v>0</v>
      </c>
      <c r="D2503" s="715">
        <v>0</v>
      </c>
      <c r="E2503" s="715">
        <v>0</v>
      </c>
      <c r="F2503" s="715">
        <v>0</v>
      </c>
      <c r="G2503" s="715">
        <v>0</v>
      </c>
      <c r="H2503" s="715">
        <v>0</v>
      </c>
      <c r="I2503" s="775">
        <f t="shared" si="55"/>
        <v>107772.59</v>
      </c>
      <c r="J2503" s="192" t="s">
        <v>2221</v>
      </c>
    </row>
    <row r="2504" spans="1:10" hidden="1" outlineLevel="1">
      <c r="A2504" s="759" t="s">
        <v>1560</v>
      </c>
      <c r="B2504" s="777">
        <v>116625.66</v>
      </c>
      <c r="C2504" s="768">
        <v>0</v>
      </c>
      <c r="D2504" s="715">
        <v>0</v>
      </c>
      <c r="E2504" s="715">
        <v>0</v>
      </c>
      <c r="F2504" s="715">
        <v>0</v>
      </c>
      <c r="G2504" s="715">
        <v>0</v>
      </c>
      <c r="H2504" s="715">
        <v>0</v>
      </c>
      <c r="I2504" s="775">
        <f t="shared" si="55"/>
        <v>116625.66</v>
      </c>
      <c r="J2504" s="192" t="s">
        <v>1264</v>
      </c>
    </row>
    <row r="2505" spans="1:10" hidden="1" outlineLevel="1">
      <c r="A2505" s="759" t="s">
        <v>1636</v>
      </c>
      <c r="B2505" s="777">
        <v>472910.31</v>
      </c>
      <c r="C2505" s="768">
        <v>0</v>
      </c>
      <c r="D2505" s="715">
        <v>0</v>
      </c>
      <c r="E2505" s="715">
        <v>0</v>
      </c>
      <c r="F2505" s="715">
        <v>0</v>
      </c>
      <c r="G2505" s="715">
        <v>0</v>
      </c>
      <c r="H2505" s="715">
        <v>0</v>
      </c>
      <c r="I2505" s="775">
        <f t="shared" si="55"/>
        <v>472910.31</v>
      </c>
      <c r="J2505" s="192" t="s">
        <v>1389</v>
      </c>
    </row>
    <row r="2506" spans="1:10" hidden="1" outlineLevel="1">
      <c r="A2506" s="759" t="s">
        <v>1646</v>
      </c>
      <c r="B2506" s="777">
        <v>2683116.52</v>
      </c>
      <c r="C2506" s="768">
        <v>0</v>
      </c>
      <c r="D2506" s="715">
        <v>0</v>
      </c>
      <c r="E2506" s="715">
        <v>0</v>
      </c>
      <c r="F2506" s="715">
        <v>0</v>
      </c>
      <c r="G2506" s="715">
        <v>365.06</v>
      </c>
      <c r="H2506" s="715">
        <v>0</v>
      </c>
      <c r="I2506" s="775">
        <f t="shared" si="55"/>
        <v>2683481.58</v>
      </c>
      <c r="J2506" s="192" t="s">
        <v>1278</v>
      </c>
    </row>
    <row r="2507" spans="1:10" hidden="1" outlineLevel="1">
      <c r="A2507" s="759" t="s">
        <v>1718</v>
      </c>
      <c r="B2507" s="777">
        <v>6459257.5899999999</v>
      </c>
      <c r="C2507" s="768">
        <v>0</v>
      </c>
      <c r="D2507" s="715">
        <v>0</v>
      </c>
      <c r="E2507" s="715">
        <v>0</v>
      </c>
      <c r="F2507" s="715">
        <v>0</v>
      </c>
      <c r="G2507" s="715">
        <v>0</v>
      </c>
      <c r="H2507" s="715">
        <v>0</v>
      </c>
      <c r="I2507" s="775">
        <f t="shared" si="55"/>
        <v>6459257.5899999999</v>
      </c>
      <c r="J2507" s="192" t="s">
        <v>1737</v>
      </c>
    </row>
    <row r="2508" spans="1:10" hidden="1" outlineLevel="1">
      <c r="A2508" s="759" t="s">
        <v>1640</v>
      </c>
      <c r="B2508" s="777">
        <v>4708350.47</v>
      </c>
      <c r="C2508" s="768">
        <v>0</v>
      </c>
      <c r="D2508" s="715">
        <v>0</v>
      </c>
      <c r="E2508" s="715">
        <v>0</v>
      </c>
      <c r="F2508" s="715">
        <v>0</v>
      </c>
      <c r="G2508" s="715">
        <v>0</v>
      </c>
      <c r="H2508" s="715">
        <v>0</v>
      </c>
      <c r="I2508" s="775">
        <f t="shared" si="55"/>
        <v>4708350.47</v>
      </c>
      <c r="J2508" s="192" t="s">
        <v>2358</v>
      </c>
    </row>
    <row r="2509" spans="1:10" hidden="1" outlineLevel="1">
      <c r="A2509" s="759" t="s">
        <v>869</v>
      </c>
      <c r="B2509" s="777">
        <v>275440.21000000002</v>
      </c>
      <c r="C2509" s="768">
        <v>0</v>
      </c>
      <c r="D2509" s="715">
        <v>0</v>
      </c>
      <c r="E2509" s="715">
        <v>0</v>
      </c>
      <c r="F2509" s="715">
        <v>0</v>
      </c>
      <c r="G2509" s="715">
        <v>0</v>
      </c>
      <c r="H2509" s="715">
        <v>0</v>
      </c>
      <c r="I2509" s="775">
        <f t="shared" si="55"/>
        <v>275440.21000000002</v>
      </c>
      <c r="J2509" s="192" t="s">
        <v>2223</v>
      </c>
    </row>
    <row r="2510" spans="1:10" hidden="1" outlineLevel="1">
      <c r="A2510" s="759" t="s">
        <v>1744</v>
      </c>
      <c r="B2510" s="777">
        <v>2848971.76</v>
      </c>
      <c r="C2510" s="768">
        <v>0</v>
      </c>
      <c r="D2510" s="715">
        <v>0</v>
      </c>
      <c r="E2510" s="715">
        <v>0</v>
      </c>
      <c r="F2510" s="715">
        <v>0</v>
      </c>
      <c r="G2510" s="715">
        <v>0</v>
      </c>
      <c r="H2510" s="715">
        <v>0</v>
      </c>
      <c r="I2510" s="775">
        <f t="shared" si="55"/>
        <v>2848971.76</v>
      </c>
      <c r="J2510" s="192" t="s">
        <v>1751</v>
      </c>
    </row>
    <row r="2511" spans="1:10" hidden="1" outlineLevel="1">
      <c r="A2511" s="759" t="s">
        <v>1622</v>
      </c>
      <c r="B2511" s="777">
        <v>530650.31999999995</v>
      </c>
      <c r="C2511" s="768">
        <v>0</v>
      </c>
      <c r="D2511" s="715">
        <v>0</v>
      </c>
      <c r="E2511" s="715">
        <v>0</v>
      </c>
      <c r="F2511" s="715">
        <v>0</v>
      </c>
      <c r="G2511" s="715">
        <v>0</v>
      </c>
      <c r="H2511" s="715">
        <v>0</v>
      </c>
      <c r="I2511" s="775">
        <f t="shared" si="55"/>
        <v>530650.31999999995</v>
      </c>
      <c r="J2511" s="192" t="s">
        <v>1515</v>
      </c>
    </row>
    <row r="2512" spans="1:10" hidden="1" outlineLevel="1">
      <c r="A2512" s="759" t="s">
        <v>2224</v>
      </c>
      <c r="B2512" s="777">
        <v>91739.11</v>
      </c>
      <c r="C2512" s="768">
        <v>0</v>
      </c>
      <c r="D2512" s="715">
        <v>0</v>
      </c>
      <c r="E2512" s="715">
        <v>0</v>
      </c>
      <c r="F2512" s="715">
        <v>0</v>
      </c>
      <c r="G2512" s="715">
        <v>0</v>
      </c>
      <c r="H2512" s="715">
        <v>0</v>
      </c>
      <c r="I2512" s="775">
        <f t="shared" si="55"/>
        <v>91739.11</v>
      </c>
      <c r="J2512" s="192" t="s">
        <v>2359</v>
      </c>
    </row>
    <row r="2513" spans="1:10" hidden="1" outlineLevel="1">
      <c r="A2513" s="759" t="s">
        <v>1114</v>
      </c>
      <c r="B2513" s="777">
        <v>509460.59</v>
      </c>
      <c r="C2513" s="768">
        <v>0</v>
      </c>
      <c r="D2513" s="715">
        <v>0</v>
      </c>
      <c r="E2513" s="715">
        <v>0</v>
      </c>
      <c r="F2513" s="715">
        <v>0</v>
      </c>
      <c r="G2513" s="715">
        <v>0</v>
      </c>
      <c r="H2513" s="715">
        <v>0</v>
      </c>
      <c r="I2513" s="775">
        <f t="shared" si="55"/>
        <v>509460.59</v>
      </c>
      <c r="J2513" s="192" t="s">
        <v>1777</v>
      </c>
    </row>
    <row r="2514" spans="1:10" hidden="1" outlineLevel="1">
      <c r="A2514" s="759" t="s">
        <v>1414</v>
      </c>
      <c r="B2514" s="777">
        <v>305635.59000000003</v>
      </c>
      <c r="C2514" s="768">
        <v>0</v>
      </c>
      <c r="D2514" s="715">
        <v>0</v>
      </c>
      <c r="E2514" s="715">
        <v>0</v>
      </c>
      <c r="F2514" s="715">
        <v>0</v>
      </c>
      <c r="G2514" s="715">
        <v>0</v>
      </c>
      <c r="H2514" s="715">
        <v>0</v>
      </c>
      <c r="I2514" s="775">
        <f t="shared" ref="I2514:I2577" si="56">SUM(B2514:H2514)</f>
        <v>305635.59000000003</v>
      </c>
      <c r="J2514" s="192" t="s">
        <v>1711</v>
      </c>
    </row>
    <row r="2515" spans="1:10" hidden="1" outlineLevel="1">
      <c r="A2515" s="759" t="s">
        <v>1652</v>
      </c>
      <c r="B2515" s="777">
        <v>1262546.25</v>
      </c>
      <c r="C2515" s="768">
        <v>0</v>
      </c>
      <c r="D2515" s="715">
        <v>0</v>
      </c>
      <c r="E2515" s="715">
        <v>0</v>
      </c>
      <c r="F2515" s="715">
        <v>0</v>
      </c>
      <c r="G2515" s="715">
        <v>0</v>
      </c>
      <c r="H2515" s="715">
        <v>0</v>
      </c>
      <c r="I2515" s="775">
        <f t="shared" si="56"/>
        <v>1262546.25</v>
      </c>
      <c r="J2515" s="192" t="s">
        <v>1304</v>
      </c>
    </row>
    <row r="2516" spans="1:10" hidden="1" outlineLevel="1">
      <c r="A2516" s="759" t="s">
        <v>1428</v>
      </c>
      <c r="B2516" s="777">
        <v>481484.22</v>
      </c>
      <c r="C2516" s="768">
        <v>0</v>
      </c>
      <c r="D2516" s="715">
        <v>0</v>
      </c>
      <c r="E2516" s="715">
        <v>0</v>
      </c>
      <c r="F2516" s="715">
        <v>0</v>
      </c>
      <c r="G2516" s="715">
        <v>0</v>
      </c>
      <c r="H2516" s="715">
        <v>0</v>
      </c>
      <c r="I2516" s="775">
        <f t="shared" si="56"/>
        <v>481484.22</v>
      </c>
      <c r="J2516" s="192" t="s">
        <v>1513</v>
      </c>
    </row>
    <row r="2517" spans="1:10" hidden="1" outlineLevel="1">
      <c r="A2517" s="759" t="s">
        <v>1700</v>
      </c>
      <c r="B2517" s="777">
        <v>75113</v>
      </c>
      <c r="C2517" s="768">
        <v>0</v>
      </c>
      <c r="D2517" s="715">
        <v>0</v>
      </c>
      <c r="E2517" s="715">
        <v>0</v>
      </c>
      <c r="F2517" s="715">
        <v>0</v>
      </c>
      <c r="G2517" s="715">
        <v>0</v>
      </c>
      <c r="H2517" s="715">
        <v>0</v>
      </c>
      <c r="I2517" s="775">
        <f t="shared" si="56"/>
        <v>75113</v>
      </c>
      <c r="J2517" s="192" t="s">
        <v>1561</v>
      </c>
    </row>
    <row r="2518" spans="1:10" hidden="1" outlineLevel="1">
      <c r="A2518" s="759" t="s">
        <v>1734</v>
      </c>
      <c r="B2518" s="777">
        <v>508313.1</v>
      </c>
      <c r="C2518" s="768">
        <v>0</v>
      </c>
      <c r="D2518" s="715">
        <v>0</v>
      </c>
      <c r="E2518" s="715">
        <v>0</v>
      </c>
      <c r="F2518" s="715">
        <v>0</v>
      </c>
      <c r="G2518" s="715">
        <v>0</v>
      </c>
      <c r="H2518" s="715">
        <v>0</v>
      </c>
      <c r="I2518" s="775">
        <f t="shared" si="56"/>
        <v>508313.1</v>
      </c>
      <c r="J2518" s="192" t="s">
        <v>1637</v>
      </c>
    </row>
    <row r="2519" spans="1:10" hidden="1" outlineLevel="1">
      <c r="A2519" s="759" t="s">
        <v>2226</v>
      </c>
      <c r="B2519" s="777">
        <v>40345.53</v>
      </c>
      <c r="C2519" s="768">
        <v>0</v>
      </c>
      <c r="D2519" s="715">
        <v>0</v>
      </c>
      <c r="E2519" s="715">
        <v>0</v>
      </c>
      <c r="F2519" s="715">
        <v>0</v>
      </c>
      <c r="G2519" s="715">
        <v>0</v>
      </c>
      <c r="H2519" s="715">
        <v>0</v>
      </c>
      <c r="I2519" s="775">
        <f t="shared" si="56"/>
        <v>40345.53</v>
      </c>
      <c r="J2519" s="192" t="s">
        <v>1647</v>
      </c>
    </row>
    <row r="2520" spans="1:10" hidden="1" outlineLevel="1">
      <c r="A2520" s="759" t="s">
        <v>1824</v>
      </c>
      <c r="B2520" s="777">
        <v>13530.77</v>
      </c>
      <c r="C2520" s="768">
        <v>0</v>
      </c>
      <c r="D2520" s="715">
        <v>0</v>
      </c>
      <c r="E2520" s="715">
        <v>0</v>
      </c>
      <c r="F2520" s="715">
        <v>0</v>
      </c>
      <c r="G2520" s="715">
        <v>0</v>
      </c>
      <c r="H2520" s="715">
        <v>0</v>
      </c>
      <c r="I2520" s="775">
        <f t="shared" si="56"/>
        <v>13530.77</v>
      </c>
      <c r="J2520" s="192" t="s">
        <v>1719</v>
      </c>
    </row>
    <row r="2521" spans="1:10" hidden="1" outlineLevel="1">
      <c r="A2521" s="759" t="s">
        <v>2228</v>
      </c>
      <c r="B2521" s="777">
        <v>32709.35</v>
      </c>
      <c r="C2521" s="768">
        <v>0</v>
      </c>
      <c r="D2521" s="715">
        <v>0</v>
      </c>
      <c r="E2521" s="715">
        <v>0</v>
      </c>
      <c r="F2521" s="715">
        <v>0</v>
      </c>
      <c r="G2521" s="715">
        <v>0</v>
      </c>
      <c r="H2521" s="715">
        <v>0</v>
      </c>
      <c r="I2521" s="775">
        <f t="shared" si="56"/>
        <v>32709.35</v>
      </c>
      <c r="J2521" s="192" t="s">
        <v>1641</v>
      </c>
    </row>
    <row r="2522" spans="1:10" hidden="1" outlineLevel="1">
      <c r="A2522" s="759" t="s">
        <v>1732</v>
      </c>
      <c r="B2522" s="777">
        <v>2743914.39</v>
      </c>
      <c r="C2522" s="768">
        <v>0</v>
      </c>
      <c r="D2522" s="715">
        <v>0</v>
      </c>
      <c r="E2522" s="715">
        <v>0</v>
      </c>
      <c r="F2522" s="715">
        <v>0</v>
      </c>
      <c r="G2522" s="715">
        <v>0</v>
      </c>
      <c r="H2522" s="715">
        <v>0</v>
      </c>
      <c r="I2522" s="775">
        <f t="shared" si="56"/>
        <v>2743914.39</v>
      </c>
      <c r="J2522" s="192" t="s">
        <v>870</v>
      </c>
    </row>
    <row r="2523" spans="1:10" hidden="1" outlineLevel="1">
      <c r="A2523" s="759" t="s">
        <v>1728</v>
      </c>
      <c r="B2523" s="777">
        <v>342904.1</v>
      </c>
      <c r="C2523" s="768">
        <v>0</v>
      </c>
      <c r="D2523" s="715">
        <v>0</v>
      </c>
      <c r="E2523" s="715">
        <v>0</v>
      </c>
      <c r="F2523" s="715">
        <v>0</v>
      </c>
      <c r="G2523" s="715">
        <v>0</v>
      </c>
      <c r="H2523" s="715">
        <v>0</v>
      </c>
      <c r="I2523" s="775">
        <f t="shared" si="56"/>
        <v>342904.1</v>
      </c>
      <c r="J2523" s="192" t="s">
        <v>2360</v>
      </c>
    </row>
    <row r="2524" spans="1:10" hidden="1" outlineLevel="1">
      <c r="A2524" s="759" t="s">
        <v>1384</v>
      </c>
      <c r="B2524" s="777">
        <v>223691.89</v>
      </c>
      <c r="C2524" s="768">
        <v>0</v>
      </c>
      <c r="D2524" s="715">
        <v>0</v>
      </c>
      <c r="E2524" s="715">
        <v>0</v>
      </c>
      <c r="F2524" s="715">
        <v>0</v>
      </c>
      <c r="G2524" s="715">
        <v>0</v>
      </c>
      <c r="H2524" s="715">
        <v>0</v>
      </c>
      <c r="I2524" s="775">
        <f t="shared" si="56"/>
        <v>223691.89</v>
      </c>
      <c r="J2524" s="192" t="s">
        <v>1623</v>
      </c>
    </row>
    <row r="2525" spans="1:10" hidden="1" outlineLevel="1">
      <c r="A2525" s="759" t="s">
        <v>1804</v>
      </c>
      <c r="B2525" s="777">
        <v>787831.85</v>
      </c>
      <c r="C2525" s="768">
        <v>0</v>
      </c>
      <c r="D2525" s="715">
        <v>0</v>
      </c>
      <c r="E2525" s="715">
        <v>0</v>
      </c>
      <c r="F2525" s="715">
        <v>0</v>
      </c>
      <c r="G2525" s="715">
        <v>0</v>
      </c>
      <c r="H2525" s="715">
        <v>0</v>
      </c>
      <c r="I2525" s="775">
        <f t="shared" si="56"/>
        <v>787831.85</v>
      </c>
      <c r="J2525" s="192" t="s">
        <v>2225</v>
      </c>
    </row>
    <row r="2526" spans="1:10" hidden="1" outlineLevel="1">
      <c r="A2526" s="759" t="s">
        <v>1378</v>
      </c>
      <c r="B2526" s="777">
        <v>78519.86</v>
      </c>
      <c r="C2526" s="768">
        <v>0</v>
      </c>
      <c r="D2526" s="715">
        <v>0</v>
      </c>
      <c r="E2526" s="715">
        <v>0</v>
      </c>
      <c r="F2526" s="715">
        <v>0</v>
      </c>
      <c r="G2526" s="715">
        <v>0</v>
      </c>
      <c r="H2526" s="715">
        <v>0</v>
      </c>
      <c r="I2526" s="775">
        <f t="shared" si="56"/>
        <v>78519.86</v>
      </c>
      <c r="J2526" s="192" t="s">
        <v>1689</v>
      </c>
    </row>
    <row r="2527" spans="1:10" hidden="1" outlineLevel="1">
      <c r="A2527" s="759" t="s">
        <v>1740</v>
      </c>
      <c r="B2527" s="777">
        <v>47509.7</v>
      </c>
      <c r="C2527" s="768">
        <v>0</v>
      </c>
      <c r="D2527" s="715">
        <v>0</v>
      </c>
      <c r="E2527" s="715">
        <v>0</v>
      </c>
      <c r="F2527" s="715">
        <v>0</v>
      </c>
      <c r="G2527" s="715">
        <v>0</v>
      </c>
      <c r="H2527" s="715">
        <v>0</v>
      </c>
      <c r="I2527" s="775">
        <f t="shared" si="56"/>
        <v>47509.7</v>
      </c>
      <c r="J2527" s="192" t="s">
        <v>2361</v>
      </c>
    </row>
    <row r="2528" spans="1:10" hidden="1" outlineLevel="1">
      <c r="A2528" s="759" t="s">
        <v>1346</v>
      </c>
      <c r="B2528" s="777">
        <v>890286.81</v>
      </c>
      <c r="C2528" s="768">
        <v>0</v>
      </c>
      <c r="D2528" s="715">
        <v>0</v>
      </c>
      <c r="E2528" s="715">
        <v>0</v>
      </c>
      <c r="F2528" s="715">
        <v>0</v>
      </c>
      <c r="G2528" s="715">
        <v>0</v>
      </c>
      <c r="H2528" s="715">
        <v>0</v>
      </c>
      <c r="I2528" s="775">
        <f t="shared" si="56"/>
        <v>890286.81</v>
      </c>
      <c r="J2528" s="192" t="s">
        <v>1653</v>
      </c>
    </row>
    <row r="2529" spans="1:10" hidden="1" outlineLevel="1">
      <c r="A2529" s="759" t="s">
        <v>1287</v>
      </c>
      <c r="B2529" s="777">
        <v>1061579.3999999999</v>
      </c>
      <c r="C2529" s="768">
        <v>0</v>
      </c>
      <c r="D2529" s="715">
        <v>0</v>
      </c>
      <c r="E2529" s="715">
        <v>0</v>
      </c>
      <c r="F2529" s="715">
        <v>0</v>
      </c>
      <c r="G2529" s="715">
        <v>0</v>
      </c>
      <c r="H2529" s="715">
        <v>0</v>
      </c>
      <c r="I2529" s="775">
        <f t="shared" si="56"/>
        <v>1061579.3999999999</v>
      </c>
      <c r="J2529" s="192" t="s">
        <v>1429</v>
      </c>
    </row>
    <row r="2530" spans="1:10" hidden="1" outlineLevel="1">
      <c r="A2530" s="759" t="s">
        <v>2230</v>
      </c>
      <c r="B2530" s="777">
        <v>400542.38</v>
      </c>
      <c r="C2530" s="768">
        <v>0</v>
      </c>
      <c r="D2530" s="715">
        <v>0</v>
      </c>
      <c r="E2530" s="715">
        <v>0</v>
      </c>
      <c r="F2530" s="715">
        <v>0</v>
      </c>
      <c r="G2530" s="715">
        <v>0</v>
      </c>
      <c r="H2530" s="715">
        <v>0</v>
      </c>
      <c r="I2530" s="775">
        <f t="shared" si="56"/>
        <v>400542.38</v>
      </c>
      <c r="J2530" s="192" t="s">
        <v>1701</v>
      </c>
    </row>
    <row r="2531" spans="1:10" hidden="1" outlineLevel="1">
      <c r="A2531" s="759" t="s">
        <v>1594</v>
      </c>
      <c r="B2531" s="777">
        <v>67744.55</v>
      </c>
      <c r="C2531" s="768">
        <v>0</v>
      </c>
      <c r="D2531" s="715">
        <v>0</v>
      </c>
      <c r="E2531" s="715">
        <v>0</v>
      </c>
      <c r="F2531" s="715">
        <v>0</v>
      </c>
      <c r="G2531" s="715">
        <v>0</v>
      </c>
      <c r="H2531" s="715">
        <v>0</v>
      </c>
      <c r="I2531" s="775">
        <f t="shared" si="56"/>
        <v>67744.55</v>
      </c>
      <c r="J2531" s="192" t="s">
        <v>1735</v>
      </c>
    </row>
    <row r="2532" spans="1:10" hidden="1" outlineLevel="1">
      <c r="A2532" s="759" t="s">
        <v>779</v>
      </c>
      <c r="B2532" s="777">
        <v>428358.12</v>
      </c>
      <c r="C2532" s="768">
        <v>0</v>
      </c>
      <c r="D2532" s="715">
        <v>0</v>
      </c>
      <c r="E2532" s="715">
        <v>0</v>
      </c>
      <c r="F2532" s="715">
        <v>0</v>
      </c>
      <c r="G2532" s="715">
        <v>0</v>
      </c>
      <c r="H2532" s="715">
        <v>0</v>
      </c>
      <c r="I2532" s="775">
        <f t="shared" si="56"/>
        <v>428358.12</v>
      </c>
      <c r="J2532" s="192" t="s">
        <v>2227</v>
      </c>
    </row>
    <row r="2533" spans="1:10" hidden="1" outlineLevel="1">
      <c r="A2533" s="759" t="s">
        <v>1307</v>
      </c>
      <c r="B2533" s="777">
        <v>275062.74</v>
      </c>
      <c r="C2533" s="768">
        <v>0</v>
      </c>
      <c r="D2533" s="715">
        <v>0</v>
      </c>
      <c r="E2533" s="715">
        <v>0</v>
      </c>
      <c r="F2533" s="715">
        <v>0</v>
      </c>
      <c r="G2533" s="715">
        <v>0</v>
      </c>
      <c r="H2533" s="715">
        <v>0</v>
      </c>
      <c r="I2533" s="775">
        <f t="shared" si="56"/>
        <v>275062.74</v>
      </c>
      <c r="J2533" s="192" t="s">
        <v>1825</v>
      </c>
    </row>
    <row r="2534" spans="1:10" hidden="1" outlineLevel="1">
      <c r="A2534" s="759" t="s">
        <v>1510</v>
      </c>
      <c r="B2534" s="777">
        <v>831558.54</v>
      </c>
      <c r="C2534" s="768">
        <v>0</v>
      </c>
      <c r="D2534" s="715">
        <v>0</v>
      </c>
      <c r="E2534" s="715">
        <v>0</v>
      </c>
      <c r="F2534" s="715">
        <v>0</v>
      </c>
      <c r="G2534" s="715">
        <v>0</v>
      </c>
      <c r="H2534" s="715">
        <v>0</v>
      </c>
      <c r="I2534" s="775">
        <f t="shared" si="56"/>
        <v>831558.54</v>
      </c>
      <c r="J2534" s="192" t="s">
        <v>2229</v>
      </c>
    </row>
    <row r="2535" spans="1:10" hidden="1" outlineLevel="1">
      <c r="A2535" s="759" t="s">
        <v>1328</v>
      </c>
      <c r="B2535" s="777">
        <v>26466.02</v>
      </c>
      <c r="C2535" s="768">
        <v>0</v>
      </c>
      <c r="D2535" s="715">
        <v>0</v>
      </c>
      <c r="E2535" s="715">
        <v>0</v>
      </c>
      <c r="F2535" s="715">
        <v>0</v>
      </c>
      <c r="G2535" s="715">
        <v>0</v>
      </c>
      <c r="H2535" s="715">
        <v>0</v>
      </c>
      <c r="I2535" s="775">
        <f t="shared" si="56"/>
        <v>26466.02</v>
      </c>
      <c r="J2535" s="192" t="s">
        <v>1733</v>
      </c>
    </row>
    <row r="2536" spans="1:10" hidden="1" outlineLevel="1">
      <c r="A2536" s="759" t="s">
        <v>2232</v>
      </c>
      <c r="B2536" s="777">
        <v>24130.77</v>
      </c>
      <c r="C2536" s="768">
        <v>0</v>
      </c>
      <c r="D2536" s="715">
        <v>0</v>
      </c>
      <c r="E2536" s="715">
        <v>0</v>
      </c>
      <c r="F2536" s="715">
        <v>0</v>
      </c>
      <c r="G2536" s="715">
        <v>0</v>
      </c>
      <c r="H2536" s="715">
        <v>0</v>
      </c>
      <c r="I2536" s="775">
        <f t="shared" si="56"/>
        <v>24130.77</v>
      </c>
      <c r="J2536" s="192" t="s">
        <v>2362</v>
      </c>
    </row>
    <row r="2537" spans="1:10" hidden="1" outlineLevel="1">
      <c r="A2537" s="759" t="s">
        <v>1362</v>
      </c>
      <c r="B2537" s="777">
        <v>3130583.53</v>
      </c>
      <c r="C2537" s="768">
        <v>0</v>
      </c>
      <c r="D2537" s="715">
        <v>0</v>
      </c>
      <c r="E2537" s="715">
        <v>0</v>
      </c>
      <c r="F2537" s="715">
        <v>0</v>
      </c>
      <c r="G2537" s="715">
        <v>0</v>
      </c>
      <c r="H2537" s="715">
        <v>0</v>
      </c>
      <c r="I2537" s="775">
        <f t="shared" si="56"/>
        <v>3130583.53</v>
      </c>
      <c r="J2537" s="192" t="s">
        <v>1729</v>
      </c>
    </row>
    <row r="2538" spans="1:10" hidden="1" outlineLevel="1">
      <c r="A2538" s="759" t="s">
        <v>456</v>
      </c>
      <c r="B2538" s="777">
        <v>1468210.46</v>
      </c>
      <c r="C2538" s="768">
        <v>0</v>
      </c>
      <c r="D2538" s="715">
        <v>0</v>
      </c>
      <c r="E2538" s="715">
        <v>0</v>
      </c>
      <c r="F2538" s="715">
        <v>0</v>
      </c>
      <c r="G2538" s="715">
        <v>0</v>
      </c>
      <c r="H2538" s="715">
        <v>0</v>
      </c>
      <c r="I2538" s="775">
        <f t="shared" si="56"/>
        <v>1468210.46</v>
      </c>
      <c r="J2538" s="192" t="s">
        <v>1385</v>
      </c>
    </row>
    <row r="2539" spans="1:10" hidden="1" outlineLevel="1">
      <c r="A2539" s="759" t="s">
        <v>2234</v>
      </c>
      <c r="B2539" s="777">
        <v>54869.5</v>
      </c>
      <c r="C2539" s="768">
        <v>0</v>
      </c>
      <c r="D2539" s="715">
        <v>0</v>
      </c>
      <c r="E2539" s="715">
        <v>0</v>
      </c>
      <c r="F2539" s="715">
        <v>0</v>
      </c>
      <c r="G2539" s="715">
        <v>0</v>
      </c>
      <c r="H2539" s="715">
        <v>0</v>
      </c>
      <c r="I2539" s="775">
        <f t="shared" si="56"/>
        <v>54869.5</v>
      </c>
      <c r="J2539" s="192" t="s">
        <v>1805</v>
      </c>
    </row>
    <row r="2540" spans="1:10" hidden="1" outlineLevel="1">
      <c r="A2540" s="759" t="s">
        <v>2236</v>
      </c>
      <c r="B2540" s="777">
        <v>39653.18</v>
      </c>
      <c r="C2540" s="768">
        <v>0</v>
      </c>
      <c r="D2540" s="715">
        <v>0</v>
      </c>
      <c r="E2540" s="715">
        <v>0</v>
      </c>
      <c r="F2540" s="715">
        <v>0</v>
      </c>
      <c r="G2540" s="715">
        <v>0</v>
      </c>
      <c r="H2540" s="715">
        <v>0</v>
      </c>
      <c r="I2540" s="775">
        <f t="shared" si="56"/>
        <v>39653.18</v>
      </c>
      <c r="J2540" s="192" t="s">
        <v>2363</v>
      </c>
    </row>
    <row r="2541" spans="1:10" hidden="1" outlineLevel="1">
      <c r="A2541" s="759" t="s">
        <v>1492</v>
      </c>
      <c r="B2541" s="777">
        <v>78495.98</v>
      </c>
      <c r="C2541" s="768">
        <v>0</v>
      </c>
      <c r="D2541" s="715">
        <v>0</v>
      </c>
      <c r="E2541" s="715">
        <v>0</v>
      </c>
      <c r="F2541" s="715">
        <v>0</v>
      </c>
      <c r="G2541" s="715">
        <v>0</v>
      </c>
      <c r="H2541" s="715">
        <v>0</v>
      </c>
      <c r="I2541" s="775">
        <f t="shared" si="56"/>
        <v>78495.98</v>
      </c>
      <c r="J2541" s="192" t="s">
        <v>1741</v>
      </c>
    </row>
    <row r="2542" spans="1:10" hidden="1" outlineLevel="1">
      <c r="A2542" s="759" t="s">
        <v>1786</v>
      </c>
      <c r="B2542" s="777">
        <v>72298.55</v>
      </c>
      <c r="C2542" s="768">
        <v>0</v>
      </c>
      <c r="D2542" s="715">
        <v>0</v>
      </c>
      <c r="E2542" s="715">
        <v>0</v>
      </c>
      <c r="F2542" s="715">
        <v>0</v>
      </c>
      <c r="G2542" s="715">
        <v>0</v>
      </c>
      <c r="H2542" s="715">
        <v>0</v>
      </c>
      <c r="I2542" s="775">
        <f t="shared" si="56"/>
        <v>72298.55</v>
      </c>
      <c r="J2542" s="192" t="s">
        <v>1347</v>
      </c>
    </row>
    <row r="2543" spans="1:10" hidden="1" outlineLevel="1">
      <c r="A2543" s="759" t="s">
        <v>1478</v>
      </c>
      <c r="B2543" s="777">
        <v>228486.97</v>
      </c>
      <c r="C2543" s="768">
        <v>0</v>
      </c>
      <c r="D2543" s="715">
        <v>0</v>
      </c>
      <c r="E2543" s="715">
        <v>0</v>
      </c>
      <c r="F2543" s="715">
        <v>0</v>
      </c>
      <c r="G2543" s="715">
        <v>0</v>
      </c>
      <c r="H2543" s="715">
        <v>0</v>
      </c>
      <c r="I2543" s="775">
        <f t="shared" si="56"/>
        <v>228486.97</v>
      </c>
      <c r="J2543" s="192" t="s">
        <v>1288</v>
      </c>
    </row>
    <row r="2544" spans="1:10" hidden="1" outlineLevel="1">
      <c r="A2544" s="759" t="s">
        <v>2238</v>
      </c>
      <c r="B2544" s="777">
        <v>110679.79</v>
      </c>
      <c r="C2544" s="768">
        <v>0</v>
      </c>
      <c r="D2544" s="715">
        <v>0</v>
      </c>
      <c r="E2544" s="715">
        <v>0</v>
      </c>
      <c r="F2544" s="715">
        <v>0</v>
      </c>
      <c r="G2544" s="715">
        <v>0</v>
      </c>
      <c r="H2544" s="715">
        <v>0</v>
      </c>
      <c r="I2544" s="775">
        <f t="shared" si="56"/>
        <v>110679.79</v>
      </c>
      <c r="J2544" s="192" t="s">
        <v>2231</v>
      </c>
    </row>
    <row r="2545" spans="1:10" hidden="1" outlineLevel="1">
      <c r="A2545" s="759" t="s">
        <v>1410</v>
      </c>
      <c r="B2545" s="777">
        <v>395128.33</v>
      </c>
      <c r="C2545" s="768">
        <v>0</v>
      </c>
      <c r="D2545" s="715">
        <v>0</v>
      </c>
      <c r="E2545" s="715">
        <v>0</v>
      </c>
      <c r="F2545" s="715">
        <v>0</v>
      </c>
      <c r="G2545" s="715">
        <v>0</v>
      </c>
      <c r="H2545" s="715">
        <v>0</v>
      </c>
      <c r="I2545" s="775">
        <f t="shared" si="56"/>
        <v>395128.33</v>
      </c>
      <c r="J2545" s="192" t="s">
        <v>1595</v>
      </c>
    </row>
    <row r="2546" spans="1:10" hidden="1" outlineLevel="1">
      <c r="A2546" s="759" t="s">
        <v>1796</v>
      </c>
      <c r="B2546" s="777">
        <v>1109497.97</v>
      </c>
      <c r="C2546" s="768">
        <v>0</v>
      </c>
      <c r="D2546" s="715">
        <v>0</v>
      </c>
      <c r="E2546" s="715">
        <v>0</v>
      </c>
      <c r="F2546" s="715">
        <v>0</v>
      </c>
      <c r="G2546" s="715">
        <v>0</v>
      </c>
      <c r="H2546" s="715">
        <v>0</v>
      </c>
      <c r="I2546" s="775">
        <f t="shared" si="56"/>
        <v>1109497.97</v>
      </c>
      <c r="J2546" s="192" t="s">
        <v>2364</v>
      </c>
    </row>
    <row r="2547" spans="1:10" hidden="1" outlineLevel="1">
      <c r="A2547" s="759" t="s">
        <v>2240</v>
      </c>
      <c r="B2547" s="777">
        <v>29847.66</v>
      </c>
      <c r="C2547" s="768">
        <v>0</v>
      </c>
      <c r="D2547" s="715">
        <v>0</v>
      </c>
      <c r="E2547" s="715">
        <v>0</v>
      </c>
      <c r="F2547" s="715">
        <v>0</v>
      </c>
      <c r="G2547" s="715">
        <v>0</v>
      </c>
      <c r="H2547" s="715">
        <v>0</v>
      </c>
      <c r="I2547" s="775">
        <f t="shared" si="56"/>
        <v>29847.66</v>
      </c>
      <c r="J2547" s="192" t="s">
        <v>780</v>
      </c>
    </row>
    <row r="2548" spans="1:10" hidden="1" outlineLevel="1">
      <c r="A2548" s="759" t="s">
        <v>2242</v>
      </c>
      <c r="B2548" s="777">
        <v>65996.960000000006</v>
      </c>
      <c r="C2548" s="768">
        <v>0</v>
      </c>
      <c r="D2548" s="715">
        <v>0</v>
      </c>
      <c r="E2548" s="715">
        <v>0</v>
      </c>
      <c r="F2548" s="715">
        <v>0</v>
      </c>
      <c r="G2548" s="715">
        <v>0</v>
      </c>
      <c r="H2548" s="715">
        <v>0</v>
      </c>
      <c r="I2548" s="775">
        <f t="shared" si="56"/>
        <v>65996.960000000006</v>
      </c>
      <c r="J2548" s="192" t="s">
        <v>1308</v>
      </c>
    </row>
    <row r="2549" spans="1:10" hidden="1" outlineLevel="1">
      <c r="A2549" s="759" t="s">
        <v>1234</v>
      </c>
      <c r="B2549" s="777">
        <v>750291.14</v>
      </c>
      <c r="C2549" s="768">
        <v>0</v>
      </c>
      <c r="D2549" s="715">
        <v>0</v>
      </c>
      <c r="E2549" s="715">
        <v>0</v>
      </c>
      <c r="F2549" s="715">
        <v>0</v>
      </c>
      <c r="G2549" s="715">
        <v>0</v>
      </c>
      <c r="H2549" s="715">
        <v>0</v>
      </c>
      <c r="I2549" s="775">
        <f t="shared" si="56"/>
        <v>750291.14</v>
      </c>
      <c r="J2549" s="192" t="s">
        <v>1511</v>
      </c>
    </row>
    <row r="2550" spans="1:10" hidden="1" outlineLevel="1">
      <c r="A2550" s="759" t="s">
        <v>2244</v>
      </c>
      <c r="B2550" s="777">
        <v>25750.58</v>
      </c>
      <c r="C2550" s="768">
        <v>0</v>
      </c>
      <c r="D2550" s="715">
        <v>0</v>
      </c>
      <c r="E2550" s="715">
        <v>0</v>
      </c>
      <c r="F2550" s="715">
        <v>0</v>
      </c>
      <c r="G2550" s="715">
        <v>0</v>
      </c>
      <c r="H2550" s="715">
        <v>0</v>
      </c>
      <c r="I2550" s="775">
        <f t="shared" si="56"/>
        <v>25750.58</v>
      </c>
      <c r="J2550" s="192" t="s">
        <v>1329</v>
      </c>
    </row>
    <row r="2551" spans="1:10" hidden="1" outlineLevel="1">
      <c r="A2551" s="759" t="s">
        <v>1416</v>
      </c>
      <c r="B2551" s="777">
        <v>2098482.11</v>
      </c>
      <c r="C2551" s="768">
        <v>0</v>
      </c>
      <c r="D2551" s="715">
        <v>0</v>
      </c>
      <c r="E2551" s="715">
        <v>0</v>
      </c>
      <c r="F2551" s="715">
        <v>0</v>
      </c>
      <c r="G2551" s="715">
        <v>0</v>
      </c>
      <c r="H2551" s="715">
        <v>0</v>
      </c>
      <c r="I2551" s="775">
        <f t="shared" si="56"/>
        <v>2098482.11</v>
      </c>
      <c r="J2551" s="192" t="s">
        <v>2233</v>
      </c>
    </row>
    <row r="2552" spans="1:10" hidden="1" outlineLevel="1">
      <c r="A2552" s="1591" t="s">
        <v>564</v>
      </c>
      <c r="B2552" s="777">
        <f>6901717.42+(3102195*0.00816)</f>
        <v>6927031.3311999999</v>
      </c>
      <c r="C2552" s="768">
        <v>0</v>
      </c>
      <c r="D2552" s="715">
        <v>0</v>
      </c>
      <c r="E2552" s="715">
        <v>0</v>
      </c>
      <c r="F2552" s="715">
        <v>0</v>
      </c>
      <c r="G2552" s="715">
        <v>0</v>
      </c>
      <c r="H2552" s="715">
        <v>0</v>
      </c>
      <c r="I2552" s="775">
        <f t="shared" si="56"/>
        <v>6927031.3311999999</v>
      </c>
      <c r="J2552" s="192" t="s">
        <v>1363</v>
      </c>
    </row>
    <row r="2553" spans="1:10" hidden="1" outlineLevel="1">
      <c r="A2553" s="759" t="s">
        <v>2246</v>
      </c>
      <c r="B2553" s="777">
        <v>28542.87</v>
      </c>
      <c r="C2553" s="768">
        <v>0</v>
      </c>
      <c r="D2553" s="715">
        <v>0</v>
      </c>
      <c r="E2553" s="715">
        <v>0</v>
      </c>
      <c r="F2553" s="715">
        <v>0</v>
      </c>
      <c r="G2553" s="715">
        <v>0</v>
      </c>
      <c r="H2553" s="715">
        <v>0</v>
      </c>
      <c r="I2553" s="775">
        <f t="shared" si="56"/>
        <v>28542.87</v>
      </c>
      <c r="J2553" s="192" t="s">
        <v>457</v>
      </c>
    </row>
    <row r="2554" spans="1:10" hidden="1" outlineLevel="1">
      <c r="A2554" s="759" t="s">
        <v>1630</v>
      </c>
      <c r="B2554" s="777">
        <v>218241.63</v>
      </c>
      <c r="C2554" s="768">
        <v>0</v>
      </c>
      <c r="D2554" s="715">
        <v>0</v>
      </c>
      <c r="E2554" s="715">
        <v>0</v>
      </c>
      <c r="F2554" s="715">
        <v>0</v>
      </c>
      <c r="G2554" s="715">
        <v>0</v>
      </c>
      <c r="H2554" s="715">
        <v>0</v>
      </c>
      <c r="I2554" s="775">
        <f t="shared" si="56"/>
        <v>218241.63</v>
      </c>
      <c r="J2554" s="192" t="s">
        <v>2235</v>
      </c>
    </row>
    <row r="2555" spans="1:10" hidden="1" outlineLevel="1">
      <c r="A2555" s="759" t="s">
        <v>1265</v>
      </c>
      <c r="B2555" s="777">
        <v>6064406</v>
      </c>
      <c r="C2555" s="768">
        <v>0</v>
      </c>
      <c r="D2555" s="715">
        <v>0</v>
      </c>
      <c r="E2555" s="715">
        <v>0</v>
      </c>
      <c r="F2555" s="715">
        <v>3600.79</v>
      </c>
      <c r="G2555" s="715">
        <v>0</v>
      </c>
      <c r="H2555" s="715">
        <v>0</v>
      </c>
      <c r="I2555" s="775">
        <f t="shared" si="56"/>
        <v>6068006.79</v>
      </c>
      <c r="J2555" s="192" t="s">
        <v>2237</v>
      </c>
    </row>
    <row r="2556" spans="1:10" hidden="1" outlineLevel="1">
      <c r="A2556" s="759" t="s">
        <v>2248</v>
      </c>
      <c r="B2556" s="777">
        <v>20503.47</v>
      </c>
      <c r="C2556" s="768">
        <v>0</v>
      </c>
      <c r="D2556" s="715">
        <v>0</v>
      </c>
      <c r="E2556" s="715">
        <v>0</v>
      </c>
      <c r="F2556" s="715">
        <v>0</v>
      </c>
      <c r="G2556" s="715">
        <v>0</v>
      </c>
      <c r="H2556" s="715">
        <v>0</v>
      </c>
      <c r="I2556" s="775">
        <f t="shared" si="56"/>
        <v>20503.47</v>
      </c>
      <c r="J2556" s="192" t="s">
        <v>1493</v>
      </c>
    </row>
    <row r="2557" spans="1:10" hidden="1" outlineLevel="1">
      <c r="A2557" s="759" t="s">
        <v>1380</v>
      </c>
      <c r="B2557" s="777">
        <v>1376050.92</v>
      </c>
      <c r="C2557" s="768">
        <v>0</v>
      </c>
      <c r="D2557" s="715">
        <v>0</v>
      </c>
      <c r="E2557" s="715">
        <v>0</v>
      </c>
      <c r="F2557" s="715">
        <v>0</v>
      </c>
      <c r="G2557" s="715">
        <v>0</v>
      </c>
      <c r="H2557" s="715">
        <v>0</v>
      </c>
      <c r="I2557" s="775">
        <f t="shared" si="56"/>
        <v>1376050.92</v>
      </c>
      <c r="J2557" s="192" t="s">
        <v>1787</v>
      </c>
    </row>
    <row r="2558" spans="1:10" hidden="1" outlineLevel="1">
      <c r="A2558" s="759" t="s">
        <v>2250</v>
      </c>
      <c r="B2558" s="777">
        <v>539902.81000000006</v>
      </c>
      <c r="C2558" s="768">
        <v>0</v>
      </c>
      <c r="D2558" s="715">
        <v>0</v>
      </c>
      <c r="E2558" s="715">
        <v>0</v>
      </c>
      <c r="F2558" s="715">
        <v>0</v>
      </c>
      <c r="G2558" s="715">
        <v>0</v>
      </c>
      <c r="H2558" s="715">
        <v>0</v>
      </c>
      <c r="I2558" s="775">
        <f t="shared" si="56"/>
        <v>539902.81000000006</v>
      </c>
      <c r="J2558" s="192" t="s">
        <v>1479</v>
      </c>
    </row>
    <row r="2559" spans="1:10" hidden="1" outlineLevel="1">
      <c r="A2559" s="759" t="s">
        <v>2252</v>
      </c>
      <c r="B2559" s="777">
        <v>15385.99</v>
      </c>
      <c r="C2559" s="768">
        <v>0</v>
      </c>
      <c r="D2559" s="715">
        <v>0</v>
      </c>
      <c r="E2559" s="715">
        <v>0</v>
      </c>
      <c r="F2559" s="715">
        <v>0</v>
      </c>
      <c r="G2559" s="715">
        <v>0</v>
      </c>
      <c r="H2559" s="715">
        <v>0</v>
      </c>
      <c r="I2559" s="775">
        <f t="shared" si="56"/>
        <v>15385.99</v>
      </c>
      <c r="J2559" s="192" t="s">
        <v>2239</v>
      </c>
    </row>
    <row r="2560" spans="1:10" hidden="1" outlineLevel="1">
      <c r="A2560" s="759" t="s">
        <v>1654</v>
      </c>
      <c r="B2560" s="777">
        <v>9806345.2899999991</v>
      </c>
      <c r="C2560" s="768">
        <v>0</v>
      </c>
      <c r="D2560" s="715">
        <v>0</v>
      </c>
      <c r="E2560" s="715">
        <v>0</v>
      </c>
      <c r="F2560" s="715">
        <v>0</v>
      </c>
      <c r="G2560" s="715">
        <v>0</v>
      </c>
      <c r="H2560" s="715">
        <v>0</v>
      </c>
      <c r="I2560" s="775">
        <f t="shared" si="56"/>
        <v>9806345.2899999991</v>
      </c>
      <c r="J2560" s="192" t="s">
        <v>1411</v>
      </c>
    </row>
    <row r="2561" spans="1:10" hidden="1" outlineLevel="1">
      <c r="A2561" s="759" t="s">
        <v>1516</v>
      </c>
      <c r="B2561" s="777">
        <v>61678357.18</v>
      </c>
      <c r="C2561" s="768">
        <v>0</v>
      </c>
      <c r="D2561" s="715">
        <v>0</v>
      </c>
      <c r="E2561" s="715">
        <v>0</v>
      </c>
      <c r="F2561" s="715">
        <v>0</v>
      </c>
      <c r="G2561" s="715">
        <v>0</v>
      </c>
      <c r="H2561" s="715">
        <v>0</v>
      </c>
      <c r="I2561" s="775">
        <f t="shared" si="56"/>
        <v>61678357.18</v>
      </c>
      <c r="J2561" s="192" t="s">
        <v>1797</v>
      </c>
    </row>
    <row r="2562" spans="1:10" hidden="1" outlineLevel="1">
      <c r="A2562" s="759" t="s">
        <v>1460</v>
      </c>
      <c r="B2562" s="777">
        <v>200197.22</v>
      </c>
      <c r="C2562" s="768">
        <v>0</v>
      </c>
      <c r="D2562" s="715">
        <v>0</v>
      </c>
      <c r="E2562" s="715">
        <v>0</v>
      </c>
      <c r="F2562" s="715">
        <v>0</v>
      </c>
      <c r="G2562" s="715">
        <v>0</v>
      </c>
      <c r="H2562" s="715">
        <v>0</v>
      </c>
      <c r="I2562" s="775">
        <f t="shared" si="56"/>
        <v>200197.22</v>
      </c>
      <c r="J2562" s="192" t="s">
        <v>2241</v>
      </c>
    </row>
    <row r="2563" spans="1:10" hidden="1" outlineLevel="1">
      <c r="A2563" s="759" t="s">
        <v>1430</v>
      </c>
      <c r="B2563" s="777">
        <v>131061169.34999999</v>
      </c>
      <c r="C2563" s="768">
        <v>0</v>
      </c>
      <c r="D2563" s="715">
        <v>0</v>
      </c>
      <c r="E2563" s="715">
        <v>0</v>
      </c>
      <c r="F2563" s="715">
        <v>0</v>
      </c>
      <c r="G2563" s="715">
        <v>0</v>
      </c>
      <c r="H2563" s="715">
        <v>0</v>
      </c>
      <c r="I2563" s="775">
        <f t="shared" si="56"/>
        <v>131061169.34999999</v>
      </c>
      <c r="J2563" s="192" t="s">
        <v>2243</v>
      </c>
    </row>
    <row r="2564" spans="1:10" hidden="1" outlineLevel="1">
      <c r="A2564" s="759" t="s">
        <v>1808</v>
      </c>
      <c r="B2564" s="777">
        <v>29987662.620000001</v>
      </c>
      <c r="C2564" s="768">
        <v>0</v>
      </c>
      <c r="D2564" s="715">
        <v>0</v>
      </c>
      <c r="E2564" s="715">
        <v>0</v>
      </c>
      <c r="F2564" s="715">
        <v>0</v>
      </c>
      <c r="G2564" s="715">
        <v>0</v>
      </c>
      <c r="H2564" s="715">
        <v>0</v>
      </c>
      <c r="I2564" s="775">
        <f t="shared" si="56"/>
        <v>29987662.620000001</v>
      </c>
      <c r="J2564" s="192" t="s">
        <v>1235</v>
      </c>
    </row>
    <row r="2565" spans="1:10" hidden="1" outlineLevel="1">
      <c r="A2565" s="759" t="s">
        <v>1768</v>
      </c>
      <c r="B2565" s="777">
        <v>5438904.6399999997</v>
      </c>
      <c r="C2565" s="768">
        <v>0</v>
      </c>
      <c r="D2565" s="715">
        <v>0</v>
      </c>
      <c r="E2565" s="715">
        <v>0</v>
      </c>
      <c r="F2565" s="715">
        <v>0</v>
      </c>
      <c r="G2565" s="715">
        <v>0</v>
      </c>
      <c r="H2565" s="715">
        <v>0</v>
      </c>
      <c r="I2565" s="775">
        <f t="shared" si="56"/>
        <v>5438904.6399999997</v>
      </c>
      <c r="J2565" s="192" t="s">
        <v>2245</v>
      </c>
    </row>
    <row r="2566" spans="1:10" hidden="1" outlineLevel="1">
      <c r="A2566" s="759" t="s">
        <v>2254</v>
      </c>
      <c r="B2566" s="777">
        <v>1781472.67</v>
      </c>
      <c r="C2566" s="768">
        <v>0</v>
      </c>
      <c r="D2566" s="715">
        <v>0</v>
      </c>
      <c r="E2566" s="715">
        <v>0</v>
      </c>
      <c r="F2566" s="715">
        <v>0</v>
      </c>
      <c r="G2566" s="715">
        <v>0</v>
      </c>
      <c r="H2566" s="715">
        <v>0</v>
      </c>
      <c r="I2566" s="775">
        <f t="shared" si="56"/>
        <v>1781472.67</v>
      </c>
      <c r="J2566" s="192" t="s">
        <v>1417</v>
      </c>
    </row>
    <row r="2567" spans="1:10" hidden="1" outlineLevel="1">
      <c r="A2567" s="759" t="s">
        <v>879</v>
      </c>
      <c r="B2567" s="777">
        <v>30319898.649999999</v>
      </c>
      <c r="C2567" s="768">
        <v>0</v>
      </c>
      <c r="D2567" s="715">
        <v>0</v>
      </c>
      <c r="E2567" s="715">
        <v>0</v>
      </c>
      <c r="F2567" s="715">
        <v>0</v>
      </c>
      <c r="G2567" s="715">
        <v>0</v>
      </c>
      <c r="H2567" s="715">
        <v>0</v>
      </c>
      <c r="I2567" s="775">
        <f t="shared" si="56"/>
        <v>30319898.649999999</v>
      </c>
      <c r="J2567" s="192" t="s">
        <v>565</v>
      </c>
    </row>
    <row r="2568" spans="1:10" hidden="1" outlineLevel="1">
      <c r="A2568" s="759" t="s">
        <v>1500</v>
      </c>
      <c r="B2568" s="777">
        <v>582970.18999999994</v>
      </c>
      <c r="C2568" s="768">
        <v>0</v>
      </c>
      <c r="D2568" s="715">
        <v>0</v>
      </c>
      <c r="E2568" s="715">
        <v>0</v>
      </c>
      <c r="F2568" s="715">
        <v>0</v>
      </c>
      <c r="G2568" s="715">
        <v>0</v>
      </c>
      <c r="H2568" s="715">
        <v>0</v>
      </c>
      <c r="I2568" s="775">
        <f t="shared" si="56"/>
        <v>582970.18999999994</v>
      </c>
      <c r="J2568" s="192" t="s">
        <v>2247</v>
      </c>
    </row>
    <row r="2569" spans="1:10" hidden="1" outlineLevel="1">
      <c r="A2569" s="759" t="s">
        <v>1683</v>
      </c>
      <c r="B2569" s="777">
        <v>34630606.859999999</v>
      </c>
      <c r="C2569" s="768">
        <v>0</v>
      </c>
      <c r="D2569" s="715">
        <v>0</v>
      </c>
      <c r="E2569" s="715">
        <v>0</v>
      </c>
      <c r="F2569" s="715">
        <v>48294.6</v>
      </c>
      <c r="G2569" s="715">
        <v>19018.04</v>
      </c>
      <c r="H2569" s="715">
        <v>0</v>
      </c>
      <c r="I2569" s="775">
        <f t="shared" si="56"/>
        <v>34697919.5</v>
      </c>
      <c r="J2569" s="192" t="s">
        <v>1631</v>
      </c>
    </row>
    <row r="2570" spans="1:10" hidden="1" outlineLevel="1">
      <c r="A2570" s="759" t="s">
        <v>758</v>
      </c>
      <c r="B2570" s="777">
        <v>36828467.409999996</v>
      </c>
      <c r="C2570" s="768">
        <v>0</v>
      </c>
      <c r="D2570" s="715">
        <v>0</v>
      </c>
      <c r="E2570" s="715">
        <v>0</v>
      </c>
      <c r="F2570" s="716">
        <v>3458.92</v>
      </c>
      <c r="G2570" s="715">
        <v>0</v>
      </c>
      <c r="H2570" s="715">
        <v>0</v>
      </c>
      <c r="I2570" s="775">
        <f t="shared" si="56"/>
        <v>36831926.329999998</v>
      </c>
      <c r="J2570" s="192" t="s">
        <v>2365</v>
      </c>
    </row>
    <row r="2571" spans="1:10" hidden="1" outlineLevel="1">
      <c r="A2571" s="759" t="s">
        <v>1090</v>
      </c>
      <c r="B2571" s="777">
        <v>30544752.739999998</v>
      </c>
      <c r="C2571" s="768">
        <v>0</v>
      </c>
      <c r="D2571" s="715">
        <v>0</v>
      </c>
      <c r="E2571" s="715">
        <v>0</v>
      </c>
      <c r="F2571" s="715">
        <v>0</v>
      </c>
      <c r="G2571" s="715">
        <v>0</v>
      </c>
      <c r="H2571" s="715">
        <v>0</v>
      </c>
      <c r="I2571" s="775">
        <f t="shared" si="56"/>
        <v>30544752.739999998</v>
      </c>
      <c r="J2571" s="192" t="s">
        <v>2366</v>
      </c>
    </row>
    <row r="2572" spans="1:10" hidden="1" outlineLevel="1">
      <c r="A2572" s="759" t="s">
        <v>2256</v>
      </c>
      <c r="B2572" s="777">
        <v>724476.25</v>
      </c>
      <c r="C2572" s="768">
        <v>0</v>
      </c>
      <c r="D2572" s="715">
        <v>0</v>
      </c>
      <c r="E2572" s="715">
        <v>0</v>
      </c>
      <c r="F2572" s="715">
        <v>0</v>
      </c>
      <c r="G2572" s="715">
        <v>0</v>
      </c>
      <c r="H2572" s="715">
        <v>0</v>
      </c>
      <c r="I2572" s="775">
        <f t="shared" si="56"/>
        <v>724476.25</v>
      </c>
      <c r="J2572" s="192" t="s">
        <v>1381</v>
      </c>
    </row>
    <row r="2573" spans="1:10" hidden="1" outlineLevel="1">
      <c r="A2573" s="759" t="s">
        <v>1352</v>
      </c>
      <c r="B2573" s="777">
        <v>29397.71</v>
      </c>
      <c r="C2573" s="768">
        <v>0</v>
      </c>
      <c r="D2573" s="715">
        <v>0</v>
      </c>
      <c r="E2573" s="715">
        <v>0</v>
      </c>
      <c r="F2573" s="715">
        <v>0</v>
      </c>
      <c r="G2573" s="715">
        <v>0</v>
      </c>
      <c r="H2573" s="715">
        <v>0</v>
      </c>
      <c r="I2573" s="775">
        <f t="shared" si="56"/>
        <v>29397.71</v>
      </c>
      <c r="J2573" s="192" t="s">
        <v>2251</v>
      </c>
    </row>
    <row r="2574" spans="1:10" hidden="1" outlineLevel="1">
      <c r="A2574" s="759" t="s">
        <v>2258</v>
      </c>
      <c r="B2574" s="777">
        <v>61058.64</v>
      </c>
      <c r="C2574" s="768">
        <v>0</v>
      </c>
      <c r="D2574" s="715">
        <v>0</v>
      </c>
      <c r="E2574" s="715">
        <v>0</v>
      </c>
      <c r="F2574" s="715">
        <v>0</v>
      </c>
      <c r="G2574" s="715">
        <v>0</v>
      </c>
      <c r="H2574" s="715">
        <v>0</v>
      </c>
      <c r="I2574" s="775">
        <f t="shared" si="56"/>
        <v>61058.64</v>
      </c>
      <c r="J2574" s="192" t="s">
        <v>2367</v>
      </c>
    </row>
    <row r="2575" spans="1:10" hidden="1" outlineLevel="1">
      <c r="A2575" s="759" t="s">
        <v>2260</v>
      </c>
      <c r="B2575" s="777">
        <v>3147.36</v>
      </c>
      <c r="C2575" s="768">
        <v>0</v>
      </c>
      <c r="D2575" s="715">
        <v>0</v>
      </c>
      <c r="E2575" s="715">
        <v>0</v>
      </c>
      <c r="F2575" s="715">
        <v>0</v>
      </c>
      <c r="G2575" s="715">
        <v>0</v>
      </c>
      <c r="H2575" s="715">
        <v>0</v>
      </c>
      <c r="I2575" s="775">
        <f t="shared" si="56"/>
        <v>3147.36</v>
      </c>
      <c r="J2575" s="192" t="s">
        <v>1655</v>
      </c>
    </row>
    <row r="2576" spans="1:10" hidden="1" outlineLevel="1">
      <c r="A2576" s="759" t="s">
        <v>1784</v>
      </c>
      <c r="B2576" s="777">
        <v>950068.25</v>
      </c>
      <c r="C2576" s="768">
        <v>0</v>
      </c>
      <c r="D2576" s="715">
        <v>0</v>
      </c>
      <c r="E2576" s="715">
        <v>0</v>
      </c>
      <c r="F2576" s="715">
        <v>0</v>
      </c>
      <c r="G2576" s="715">
        <v>0</v>
      </c>
      <c r="H2576" s="715">
        <v>0</v>
      </c>
      <c r="I2576" s="775">
        <f t="shared" si="56"/>
        <v>950068.25</v>
      </c>
      <c r="J2576" s="192" t="s">
        <v>1517</v>
      </c>
    </row>
    <row r="2577" spans="1:10" hidden="1" outlineLevel="1">
      <c r="A2577" s="759" t="s">
        <v>1816</v>
      </c>
      <c r="B2577" s="777">
        <v>735465.3</v>
      </c>
      <c r="C2577" s="768">
        <v>0</v>
      </c>
      <c r="D2577" s="715">
        <v>0</v>
      </c>
      <c r="E2577" s="715">
        <v>0</v>
      </c>
      <c r="F2577" s="715">
        <v>0</v>
      </c>
      <c r="G2577" s="715">
        <v>0</v>
      </c>
      <c r="H2577" s="715">
        <v>0</v>
      </c>
      <c r="I2577" s="775">
        <f t="shared" si="56"/>
        <v>735465.3</v>
      </c>
      <c r="J2577" s="192" t="s">
        <v>1461</v>
      </c>
    </row>
    <row r="2578" spans="1:10" hidden="1" outlineLevel="1">
      <c r="A2578" s="759" t="s">
        <v>1368</v>
      </c>
      <c r="B2578" s="777">
        <v>576515.22</v>
      </c>
      <c r="C2578" s="768">
        <v>0</v>
      </c>
      <c r="D2578" s="715">
        <v>0</v>
      </c>
      <c r="E2578" s="715">
        <v>0</v>
      </c>
      <c r="F2578" s="715">
        <v>0</v>
      </c>
      <c r="G2578" s="715">
        <v>0</v>
      </c>
      <c r="H2578" s="715">
        <v>0</v>
      </c>
      <c r="I2578" s="775">
        <f t="shared" ref="I2578:I2625" si="57">SUM(B2578:H2578)</f>
        <v>576515.22</v>
      </c>
      <c r="J2578" s="192" t="s">
        <v>1431</v>
      </c>
    </row>
    <row r="2579" spans="1:10" hidden="1" outlineLevel="1">
      <c r="A2579" s="759" t="s">
        <v>1534</v>
      </c>
      <c r="B2579" s="777">
        <v>726499.17</v>
      </c>
      <c r="C2579" s="768">
        <v>0</v>
      </c>
      <c r="D2579" s="715">
        <v>0</v>
      </c>
      <c r="E2579" s="715">
        <v>0</v>
      </c>
      <c r="F2579" s="715">
        <v>0</v>
      </c>
      <c r="G2579" s="715">
        <v>0</v>
      </c>
      <c r="H2579" s="715">
        <v>0</v>
      </c>
      <c r="I2579" s="775">
        <f t="shared" si="57"/>
        <v>726499.17</v>
      </c>
      <c r="J2579" s="192" t="s">
        <v>2368</v>
      </c>
    </row>
    <row r="2580" spans="1:10" hidden="1" outlineLevel="1">
      <c r="A2580" s="759" t="s">
        <v>1778</v>
      </c>
      <c r="B2580" s="777">
        <v>2600660.8199999998</v>
      </c>
      <c r="C2580" s="768">
        <v>0</v>
      </c>
      <c r="D2580" s="715">
        <v>0</v>
      </c>
      <c r="E2580" s="715">
        <v>0</v>
      </c>
      <c r="F2580" s="715">
        <v>0</v>
      </c>
      <c r="G2580" s="715">
        <v>0</v>
      </c>
      <c r="H2580" s="715">
        <v>0</v>
      </c>
      <c r="I2580" s="775">
        <f t="shared" si="57"/>
        <v>2600660.8199999998</v>
      </c>
      <c r="J2580" s="192" t="s">
        <v>1769</v>
      </c>
    </row>
    <row r="2581" spans="1:10" hidden="1" outlineLevel="1">
      <c r="A2581" s="759" t="s">
        <v>799</v>
      </c>
      <c r="B2581" s="777">
        <v>166573.43</v>
      </c>
      <c r="C2581" s="768">
        <v>0</v>
      </c>
      <c r="D2581" s="715">
        <v>0</v>
      </c>
      <c r="E2581" s="715">
        <v>0</v>
      </c>
      <c r="F2581" s="715">
        <v>0</v>
      </c>
      <c r="G2581" s="715">
        <v>0</v>
      </c>
      <c r="H2581" s="715">
        <v>0</v>
      </c>
      <c r="I2581" s="775">
        <f t="shared" si="57"/>
        <v>166573.43</v>
      </c>
      <c r="J2581" s="192" t="s">
        <v>2255</v>
      </c>
    </row>
    <row r="2582" spans="1:10" hidden="1" outlineLevel="1">
      <c r="A2582" s="759" t="s">
        <v>730</v>
      </c>
      <c r="B2582" s="777">
        <v>151674.51</v>
      </c>
      <c r="C2582" s="768">
        <v>0</v>
      </c>
      <c r="D2582" s="715">
        <v>0</v>
      </c>
      <c r="E2582" s="715">
        <v>0</v>
      </c>
      <c r="F2582" s="715">
        <v>0</v>
      </c>
      <c r="G2582" s="715">
        <v>0</v>
      </c>
      <c r="H2582" s="715">
        <v>0</v>
      </c>
      <c r="I2582" s="775">
        <f t="shared" si="57"/>
        <v>151674.51</v>
      </c>
      <c r="J2582" s="192" t="s">
        <v>880</v>
      </c>
    </row>
    <row r="2583" spans="1:10" hidden="1" outlineLevel="1">
      <c r="A2583" s="759" t="s">
        <v>1450</v>
      </c>
      <c r="B2583" s="777">
        <v>2551837.0099999998</v>
      </c>
      <c r="C2583" s="768">
        <v>0</v>
      </c>
      <c r="D2583" s="715">
        <v>0</v>
      </c>
      <c r="E2583" s="715">
        <v>0</v>
      </c>
      <c r="F2583" s="715">
        <v>0</v>
      </c>
      <c r="G2583" s="715">
        <v>0</v>
      </c>
      <c r="H2583" s="715">
        <v>0</v>
      </c>
      <c r="I2583" s="775">
        <f t="shared" si="57"/>
        <v>2551837.0099999998</v>
      </c>
      <c r="J2583" s="192" t="s">
        <v>1501</v>
      </c>
    </row>
    <row r="2584" spans="1:10" hidden="1" outlineLevel="1">
      <c r="A2584" s="759" t="s">
        <v>2263</v>
      </c>
      <c r="B2584" s="777">
        <v>231795.07</v>
      </c>
      <c r="C2584" s="768">
        <v>0</v>
      </c>
      <c r="D2584" s="715">
        <v>0</v>
      </c>
      <c r="E2584" s="715">
        <v>0</v>
      </c>
      <c r="F2584" s="716">
        <v>0</v>
      </c>
      <c r="G2584" s="715">
        <v>0</v>
      </c>
      <c r="H2584" s="715">
        <v>0</v>
      </c>
      <c r="I2584" s="775">
        <f t="shared" si="57"/>
        <v>231795.07</v>
      </c>
      <c r="J2584" s="192" t="s">
        <v>1684</v>
      </c>
    </row>
    <row r="2585" spans="1:10" hidden="1" outlineLevel="1">
      <c r="A2585" s="759" t="s">
        <v>2265</v>
      </c>
      <c r="B2585" s="777">
        <v>46831.45</v>
      </c>
      <c r="C2585" s="768">
        <v>0</v>
      </c>
      <c r="D2585" s="715">
        <v>0</v>
      </c>
      <c r="E2585" s="715">
        <v>0</v>
      </c>
      <c r="F2585" s="715">
        <v>0</v>
      </c>
      <c r="G2585" s="715">
        <v>0</v>
      </c>
      <c r="H2585" s="715">
        <v>0</v>
      </c>
      <c r="I2585" s="775">
        <f t="shared" si="57"/>
        <v>46831.45</v>
      </c>
      <c r="J2585" s="192" t="s">
        <v>759</v>
      </c>
    </row>
    <row r="2586" spans="1:10" hidden="1" outlineLevel="1">
      <c r="A2586" s="759" t="s">
        <v>1520</v>
      </c>
      <c r="B2586" s="777">
        <v>731648.26</v>
      </c>
      <c r="C2586" s="768">
        <v>0</v>
      </c>
      <c r="D2586" s="715">
        <v>0</v>
      </c>
      <c r="E2586" s="715">
        <v>0</v>
      </c>
      <c r="F2586" s="715">
        <v>0</v>
      </c>
      <c r="G2586" s="715">
        <v>0</v>
      </c>
      <c r="H2586" s="715">
        <v>182.97</v>
      </c>
      <c r="I2586" s="775">
        <f t="shared" si="57"/>
        <v>731831.23</v>
      </c>
      <c r="J2586" s="192" t="s">
        <v>1091</v>
      </c>
    </row>
    <row r="2587" spans="1:10" hidden="1" outlineLevel="1">
      <c r="A2587" s="759" t="s">
        <v>1394</v>
      </c>
      <c r="B2587" s="777">
        <v>716054.21</v>
      </c>
      <c r="C2587" s="768">
        <v>0</v>
      </c>
      <c r="D2587" s="715">
        <v>0</v>
      </c>
      <c r="E2587" s="715">
        <v>0</v>
      </c>
      <c r="F2587" s="715">
        <v>0</v>
      </c>
      <c r="G2587" s="715">
        <v>0</v>
      </c>
      <c r="H2587" s="715">
        <v>0</v>
      </c>
      <c r="I2587" s="775">
        <f t="shared" si="57"/>
        <v>716054.21</v>
      </c>
      <c r="J2587" s="192" t="s">
        <v>2257</v>
      </c>
    </row>
    <row r="2588" spans="1:10" hidden="1" outlineLevel="1">
      <c r="A2588" s="759" t="s">
        <v>943</v>
      </c>
      <c r="B2588" s="777">
        <v>2336030.14</v>
      </c>
      <c r="C2588" s="768">
        <v>0</v>
      </c>
      <c r="D2588" s="715">
        <v>0</v>
      </c>
      <c r="E2588" s="715">
        <v>0</v>
      </c>
      <c r="F2588" s="715">
        <v>3300988.36</v>
      </c>
      <c r="G2588" s="715">
        <v>0</v>
      </c>
      <c r="H2588" s="715">
        <v>0</v>
      </c>
      <c r="I2588" s="775">
        <f t="shared" si="57"/>
        <v>5637018.5</v>
      </c>
      <c r="J2588" s="192" t="s">
        <v>1353</v>
      </c>
    </row>
    <row r="2589" spans="1:10" hidden="1" outlineLevel="1">
      <c r="A2589" s="759" t="s">
        <v>1046</v>
      </c>
      <c r="B2589" s="777">
        <v>2310850.0699999998</v>
      </c>
      <c r="C2589" s="768">
        <v>0</v>
      </c>
      <c r="D2589" s="715">
        <v>0</v>
      </c>
      <c r="E2589" s="715">
        <v>0</v>
      </c>
      <c r="F2589" s="715">
        <v>0</v>
      </c>
      <c r="G2589" s="715">
        <v>0</v>
      </c>
      <c r="H2589" s="715">
        <v>0</v>
      </c>
      <c r="I2589" s="775">
        <f t="shared" si="57"/>
        <v>2310850.0699999998</v>
      </c>
      <c r="J2589" s="192" t="s">
        <v>2369</v>
      </c>
    </row>
    <row r="2590" spans="1:10" hidden="1" outlineLevel="1">
      <c r="A2590" s="759" t="s">
        <v>1770</v>
      </c>
      <c r="B2590" s="777">
        <v>517093.81</v>
      </c>
      <c r="C2590" s="768">
        <v>0</v>
      </c>
      <c r="D2590" s="715">
        <v>0</v>
      </c>
      <c r="E2590" s="715">
        <v>0</v>
      </c>
      <c r="F2590" s="715">
        <v>0</v>
      </c>
      <c r="G2590" s="715">
        <v>0</v>
      </c>
      <c r="H2590" s="715">
        <v>0</v>
      </c>
      <c r="I2590" s="775">
        <f t="shared" si="57"/>
        <v>517093.81</v>
      </c>
      <c r="J2590" s="192" t="s">
        <v>2261</v>
      </c>
    </row>
    <row r="2591" spans="1:10" hidden="1" outlineLevel="1">
      <c r="A2591" s="759" t="s">
        <v>2267</v>
      </c>
      <c r="B2591" s="777">
        <v>62285.3</v>
      </c>
      <c r="C2591" s="768">
        <v>0</v>
      </c>
      <c r="D2591" s="715">
        <v>0</v>
      </c>
      <c r="E2591" s="715">
        <v>0</v>
      </c>
      <c r="F2591" s="715">
        <v>0</v>
      </c>
      <c r="G2591" s="715">
        <v>0</v>
      </c>
      <c r="H2591" s="715">
        <v>0</v>
      </c>
      <c r="I2591" s="775">
        <f t="shared" si="57"/>
        <v>62285.3</v>
      </c>
      <c r="J2591" s="192" t="s">
        <v>1785</v>
      </c>
    </row>
    <row r="2592" spans="1:10" hidden="1" outlineLevel="1">
      <c r="A2592" s="759" t="s">
        <v>1030</v>
      </c>
      <c r="B2592" s="777">
        <v>557000.48</v>
      </c>
      <c r="C2592" s="768">
        <v>0</v>
      </c>
      <c r="D2592" s="715">
        <v>0</v>
      </c>
      <c r="E2592" s="715">
        <v>0</v>
      </c>
      <c r="F2592" s="715">
        <v>0</v>
      </c>
      <c r="G2592" s="715">
        <v>0</v>
      </c>
      <c r="H2592" s="715">
        <v>0</v>
      </c>
      <c r="I2592" s="775">
        <f t="shared" si="57"/>
        <v>557000.48</v>
      </c>
      <c r="J2592" s="192" t="s">
        <v>1817</v>
      </c>
    </row>
    <row r="2593" spans="1:10" hidden="1" outlineLevel="1">
      <c r="A2593" s="759" t="s">
        <v>2269</v>
      </c>
      <c r="B2593" s="777">
        <v>44301.96</v>
      </c>
      <c r="C2593" s="768">
        <v>0</v>
      </c>
      <c r="D2593" s="715">
        <v>0</v>
      </c>
      <c r="E2593" s="715">
        <v>0</v>
      </c>
      <c r="F2593" s="715">
        <v>0</v>
      </c>
      <c r="G2593" s="715">
        <v>0</v>
      </c>
      <c r="H2593" s="715">
        <v>0</v>
      </c>
      <c r="I2593" s="775">
        <f t="shared" si="57"/>
        <v>44301.96</v>
      </c>
      <c r="J2593" s="192" t="s">
        <v>1369</v>
      </c>
    </row>
    <row r="2594" spans="1:10" hidden="1" outlineLevel="1">
      <c r="A2594" s="759" t="s">
        <v>839</v>
      </c>
      <c r="B2594" s="777">
        <v>1648108.29</v>
      </c>
      <c r="C2594" s="768">
        <v>0</v>
      </c>
      <c r="D2594" s="715">
        <v>0</v>
      </c>
      <c r="E2594" s="715">
        <v>0</v>
      </c>
      <c r="F2594" s="715">
        <v>0</v>
      </c>
      <c r="G2594" s="715">
        <v>0</v>
      </c>
      <c r="H2594" s="715">
        <v>0</v>
      </c>
      <c r="I2594" s="775">
        <f t="shared" si="57"/>
        <v>1648108.29</v>
      </c>
      <c r="J2594" s="192" t="s">
        <v>2370</v>
      </c>
    </row>
    <row r="2595" spans="1:10" hidden="1" outlineLevel="1">
      <c r="A2595" s="759" t="s">
        <v>1273</v>
      </c>
      <c r="B2595" s="777">
        <v>1097248.18</v>
      </c>
      <c r="C2595" s="768">
        <v>0</v>
      </c>
      <c r="D2595" s="715">
        <v>0</v>
      </c>
      <c r="E2595" s="715">
        <v>0</v>
      </c>
      <c r="F2595" s="715">
        <v>0</v>
      </c>
      <c r="G2595" s="715">
        <v>0</v>
      </c>
      <c r="H2595" s="715">
        <v>0</v>
      </c>
      <c r="I2595" s="775">
        <f t="shared" si="57"/>
        <v>1097248.18</v>
      </c>
      <c r="J2595" s="192" t="s">
        <v>1535</v>
      </c>
    </row>
    <row r="2596" spans="1:10" hidden="1" outlineLevel="1">
      <c r="A2596" s="759" t="s">
        <v>1480</v>
      </c>
      <c r="B2596" s="777">
        <v>89139.22</v>
      </c>
      <c r="C2596" s="768">
        <v>0</v>
      </c>
      <c r="D2596" s="715">
        <v>0</v>
      </c>
      <c r="E2596" s="715">
        <v>0</v>
      </c>
      <c r="F2596" s="715">
        <v>0</v>
      </c>
      <c r="G2596" s="715">
        <v>0</v>
      </c>
      <c r="H2596" s="715">
        <v>0</v>
      </c>
      <c r="I2596" s="775">
        <f t="shared" si="57"/>
        <v>89139.22</v>
      </c>
      <c r="J2596" s="192" t="s">
        <v>1779</v>
      </c>
    </row>
    <row r="2597" spans="1:10" hidden="1" outlineLevel="1">
      <c r="A2597" s="759" t="s">
        <v>1271</v>
      </c>
      <c r="B2597" s="777">
        <v>843223.49</v>
      </c>
      <c r="C2597" s="768">
        <v>0</v>
      </c>
      <c r="D2597" s="715">
        <v>0</v>
      </c>
      <c r="E2597" s="715">
        <v>0</v>
      </c>
      <c r="F2597" s="715">
        <v>0</v>
      </c>
      <c r="G2597" s="715">
        <v>0</v>
      </c>
      <c r="H2597" s="715">
        <v>0</v>
      </c>
      <c r="I2597" s="775">
        <f t="shared" si="57"/>
        <v>843223.49</v>
      </c>
      <c r="J2597" s="192" t="s">
        <v>2262</v>
      </c>
    </row>
    <row r="2598" spans="1:10" hidden="1" outlineLevel="1">
      <c r="A2598" s="759" t="s">
        <v>1488</v>
      </c>
      <c r="B2598" s="777">
        <v>1164686.46</v>
      </c>
      <c r="C2598" s="768">
        <v>0</v>
      </c>
      <c r="D2598" s="715">
        <v>0</v>
      </c>
      <c r="E2598" s="715">
        <v>0</v>
      </c>
      <c r="F2598" s="715">
        <v>0</v>
      </c>
      <c r="G2598" s="715">
        <v>0</v>
      </c>
      <c r="H2598" s="715">
        <v>0</v>
      </c>
      <c r="I2598" s="775">
        <f t="shared" si="57"/>
        <v>1164686.46</v>
      </c>
      <c r="J2598" s="192" t="s">
        <v>731</v>
      </c>
    </row>
    <row r="2599" spans="1:10" hidden="1" outlineLevel="1">
      <c r="A2599" s="759" t="s">
        <v>1782</v>
      </c>
      <c r="B2599" s="777">
        <v>1385546.84</v>
      </c>
      <c r="C2599" s="768">
        <v>0</v>
      </c>
      <c r="D2599" s="715">
        <v>0</v>
      </c>
      <c r="E2599" s="715">
        <v>0</v>
      </c>
      <c r="F2599" s="715">
        <v>0</v>
      </c>
      <c r="G2599" s="715">
        <v>0</v>
      </c>
      <c r="H2599" s="715">
        <v>0</v>
      </c>
      <c r="I2599" s="775">
        <f t="shared" si="57"/>
        <v>1385546.84</v>
      </c>
      <c r="J2599" s="192" t="s">
        <v>1451</v>
      </c>
    </row>
    <row r="2600" spans="1:10" hidden="1" outlineLevel="1">
      <c r="A2600" s="759" t="s">
        <v>1472</v>
      </c>
      <c r="B2600" s="777">
        <v>143851.35999999999</v>
      </c>
      <c r="C2600" s="768">
        <v>0</v>
      </c>
      <c r="D2600" s="715">
        <v>0</v>
      </c>
      <c r="E2600" s="715">
        <v>0</v>
      </c>
      <c r="F2600" s="715">
        <v>0</v>
      </c>
      <c r="G2600" s="715">
        <v>0</v>
      </c>
      <c r="H2600" s="715">
        <v>0</v>
      </c>
      <c r="I2600" s="775">
        <f t="shared" si="57"/>
        <v>143851.35999999999</v>
      </c>
      <c r="J2600" s="192" t="s">
        <v>2264</v>
      </c>
    </row>
    <row r="2601" spans="1:10" hidden="1" outlineLevel="1">
      <c r="A2601" s="759" t="s">
        <v>1692</v>
      </c>
      <c r="B2601" s="777">
        <v>358312.7</v>
      </c>
      <c r="C2601" s="768">
        <v>0</v>
      </c>
      <c r="D2601" s="715">
        <v>0</v>
      </c>
      <c r="E2601" s="715">
        <v>0</v>
      </c>
      <c r="F2601" s="715">
        <v>0</v>
      </c>
      <c r="G2601" s="715">
        <v>0</v>
      </c>
      <c r="H2601" s="715">
        <v>0</v>
      </c>
      <c r="I2601" s="775">
        <f t="shared" si="57"/>
        <v>358312.7</v>
      </c>
      <c r="J2601" s="192" t="s">
        <v>2266</v>
      </c>
    </row>
    <row r="2602" spans="1:10" hidden="1" outlineLevel="1">
      <c r="A2602" s="759" t="s">
        <v>2271</v>
      </c>
      <c r="B2602" s="777">
        <v>139151.29999999999</v>
      </c>
      <c r="C2602" s="768">
        <v>0</v>
      </c>
      <c r="D2602" s="715">
        <v>0</v>
      </c>
      <c r="E2602" s="715">
        <v>0</v>
      </c>
      <c r="F2602" s="715">
        <v>0</v>
      </c>
      <c r="G2602" s="715">
        <v>0</v>
      </c>
      <c r="H2602" s="715">
        <v>0</v>
      </c>
      <c r="I2602" s="775">
        <f t="shared" si="57"/>
        <v>139151.29999999999</v>
      </c>
      <c r="J2602" s="192" t="s">
        <v>1521</v>
      </c>
    </row>
    <row r="2603" spans="1:10" hidden="1" outlineLevel="1">
      <c r="A2603" s="759" t="s">
        <v>1687</v>
      </c>
      <c r="B2603" s="777">
        <v>449856.28</v>
      </c>
      <c r="C2603" s="768">
        <v>0</v>
      </c>
      <c r="D2603" s="715">
        <v>0</v>
      </c>
      <c r="E2603" s="715">
        <v>0</v>
      </c>
      <c r="F2603" s="715">
        <v>0</v>
      </c>
      <c r="G2603" s="715">
        <v>0</v>
      </c>
      <c r="H2603" s="715">
        <v>0</v>
      </c>
      <c r="I2603" s="775">
        <f t="shared" si="57"/>
        <v>449856.28</v>
      </c>
      <c r="J2603" s="192" t="s">
        <v>1395</v>
      </c>
    </row>
    <row r="2604" spans="1:10" hidden="1" outlineLevel="1">
      <c r="A2604" s="759" t="s">
        <v>2273</v>
      </c>
      <c r="B2604" s="777">
        <v>673589.5</v>
      </c>
      <c r="C2604" s="768">
        <v>0</v>
      </c>
      <c r="D2604" s="715">
        <v>0</v>
      </c>
      <c r="E2604" s="715">
        <v>0</v>
      </c>
      <c r="F2604" s="716">
        <v>0</v>
      </c>
      <c r="G2604" s="715">
        <v>0</v>
      </c>
      <c r="H2604" s="715">
        <v>0</v>
      </c>
      <c r="I2604" s="775">
        <f t="shared" si="57"/>
        <v>673589.5</v>
      </c>
      <c r="J2604" s="192" t="s">
        <v>944</v>
      </c>
    </row>
    <row r="2605" spans="1:10" hidden="1" outlineLevel="1">
      <c r="A2605" s="759" t="s">
        <v>1498</v>
      </c>
      <c r="B2605" s="777">
        <v>47425.66</v>
      </c>
      <c r="C2605" s="768">
        <v>0</v>
      </c>
      <c r="D2605" s="715">
        <v>0</v>
      </c>
      <c r="E2605" s="715">
        <v>0</v>
      </c>
      <c r="F2605" s="715">
        <v>0</v>
      </c>
      <c r="G2605" s="715">
        <v>0</v>
      </c>
      <c r="H2605" s="715">
        <v>0</v>
      </c>
      <c r="I2605" s="775">
        <f t="shared" si="57"/>
        <v>47425.66</v>
      </c>
      <c r="J2605" s="192" t="s">
        <v>1047</v>
      </c>
    </row>
    <row r="2606" spans="1:10" hidden="1" outlineLevel="1">
      <c r="A2606" s="759" t="s">
        <v>1508</v>
      </c>
      <c r="B2606" s="777">
        <v>1228576.93</v>
      </c>
      <c r="C2606" s="768">
        <v>0</v>
      </c>
      <c r="D2606" s="715">
        <v>0</v>
      </c>
      <c r="E2606" s="715">
        <v>0</v>
      </c>
      <c r="F2606" s="715">
        <v>0</v>
      </c>
      <c r="G2606" s="715">
        <v>0</v>
      </c>
      <c r="H2606" s="715">
        <v>0</v>
      </c>
      <c r="I2606" s="775">
        <f t="shared" si="57"/>
        <v>1228576.93</v>
      </c>
      <c r="J2606" s="192" t="s">
        <v>2371</v>
      </c>
    </row>
    <row r="2607" spans="1:10" hidden="1" outlineLevel="1">
      <c r="A2607" s="759" t="s">
        <v>1305</v>
      </c>
      <c r="B2607" s="777">
        <v>2341469.35</v>
      </c>
      <c r="C2607" s="768">
        <v>0</v>
      </c>
      <c r="D2607" s="715">
        <v>0</v>
      </c>
      <c r="E2607" s="715">
        <v>0</v>
      </c>
      <c r="F2607" s="715">
        <v>0</v>
      </c>
      <c r="G2607" s="715">
        <v>0</v>
      </c>
      <c r="H2607" s="715">
        <v>0</v>
      </c>
      <c r="I2607" s="775">
        <f t="shared" si="57"/>
        <v>2341469.35</v>
      </c>
      <c r="J2607" s="192" t="s">
        <v>2268</v>
      </c>
    </row>
    <row r="2608" spans="1:10" hidden="1" outlineLevel="1">
      <c r="A2608" s="759" t="s">
        <v>1810</v>
      </c>
      <c r="B2608" s="777">
        <v>536449.18000000005</v>
      </c>
      <c r="C2608" s="768">
        <v>0</v>
      </c>
      <c r="D2608" s="715">
        <v>0</v>
      </c>
      <c r="E2608" s="715">
        <v>0</v>
      </c>
      <c r="F2608" s="715">
        <v>0</v>
      </c>
      <c r="G2608" s="715">
        <v>0</v>
      </c>
      <c r="H2608" s="715">
        <v>0</v>
      </c>
      <c r="I2608" s="775">
        <f t="shared" si="57"/>
        <v>536449.18000000005</v>
      </c>
      <c r="J2608" s="192" t="s">
        <v>1031</v>
      </c>
    </row>
    <row r="2609" spans="1:10" hidden="1" outlineLevel="1">
      <c r="A2609" s="759" t="s">
        <v>542</v>
      </c>
      <c r="B2609" s="777">
        <v>3.47</v>
      </c>
      <c r="C2609" s="768">
        <v>0</v>
      </c>
      <c r="D2609" s="715">
        <v>0</v>
      </c>
      <c r="E2609" s="715">
        <v>0</v>
      </c>
      <c r="F2609" s="715">
        <v>0</v>
      </c>
      <c r="G2609" s="715">
        <v>0</v>
      </c>
      <c r="H2609" s="715">
        <v>0</v>
      </c>
      <c r="I2609" s="775">
        <f t="shared" si="57"/>
        <v>3.47</v>
      </c>
      <c r="J2609" s="192" t="s">
        <v>2270</v>
      </c>
    </row>
    <row r="2610" spans="1:10" hidden="1" outlineLevel="1">
      <c r="A2610" s="759" t="s">
        <v>2275</v>
      </c>
      <c r="B2610" s="777">
        <v>441851.49</v>
      </c>
      <c r="C2610" s="768">
        <v>0</v>
      </c>
      <c r="D2610" s="715">
        <v>0</v>
      </c>
      <c r="E2610" s="715">
        <v>0</v>
      </c>
      <c r="F2610" s="715">
        <v>0</v>
      </c>
      <c r="G2610" s="715">
        <v>0</v>
      </c>
      <c r="H2610" s="715">
        <v>0</v>
      </c>
      <c r="I2610" s="775">
        <f t="shared" si="57"/>
        <v>441851.49</v>
      </c>
      <c r="J2610" s="192" t="s">
        <v>1311</v>
      </c>
    </row>
    <row r="2611" spans="1:10" hidden="1" outlineLevel="1">
      <c r="A2611" s="759" t="s">
        <v>726</v>
      </c>
      <c r="B2611" s="777">
        <v>238432</v>
      </c>
      <c r="C2611" s="768">
        <v>0</v>
      </c>
      <c r="D2611" s="715">
        <v>0</v>
      </c>
      <c r="E2611" s="715">
        <v>0</v>
      </c>
      <c r="F2611" s="715">
        <v>0</v>
      </c>
      <c r="G2611" s="715">
        <v>0</v>
      </c>
      <c r="H2611" s="715">
        <v>0</v>
      </c>
      <c r="I2611" s="775">
        <f t="shared" si="57"/>
        <v>238432</v>
      </c>
      <c r="J2611" s="192" t="s">
        <v>1274</v>
      </c>
    </row>
    <row r="2612" spans="1:10" hidden="1" outlineLevel="1">
      <c r="A2612" s="759" t="s">
        <v>1370</v>
      </c>
      <c r="B2612" s="777">
        <v>186819.53</v>
      </c>
      <c r="C2612" s="768">
        <v>0</v>
      </c>
      <c r="D2612" s="715">
        <v>0</v>
      </c>
      <c r="E2612" s="715">
        <v>0</v>
      </c>
      <c r="F2612" s="715">
        <v>0</v>
      </c>
      <c r="G2612" s="715">
        <v>0</v>
      </c>
      <c r="H2612" s="715">
        <v>0</v>
      </c>
      <c r="I2612" s="775">
        <f t="shared" si="57"/>
        <v>186819.53</v>
      </c>
      <c r="J2612" s="192" t="s">
        <v>1481</v>
      </c>
    </row>
    <row r="2613" spans="1:10" hidden="1" outlineLevel="1">
      <c r="A2613" s="759" t="s">
        <v>1522</v>
      </c>
      <c r="B2613" s="777">
        <v>2331724.27</v>
      </c>
      <c r="C2613" s="768">
        <v>0</v>
      </c>
      <c r="D2613" s="715">
        <v>0</v>
      </c>
      <c r="E2613" s="715">
        <v>0</v>
      </c>
      <c r="F2613" s="715">
        <v>0</v>
      </c>
      <c r="G2613" s="715">
        <v>0</v>
      </c>
      <c r="H2613" s="715">
        <v>0</v>
      </c>
      <c r="I2613" s="775">
        <f t="shared" si="57"/>
        <v>2331724.27</v>
      </c>
      <c r="J2613" s="192" t="s">
        <v>1272</v>
      </c>
    </row>
    <row r="2614" spans="1:10" hidden="1" outlineLevel="1">
      <c r="A2614" s="759" t="s">
        <v>1223</v>
      </c>
      <c r="B2614" s="777">
        <v>500535.84</v>
      </c>
      <c r="C2614" s="768">
        <v>0</v>
      </c>
      <c r="D2614" s="715">
        <v>0</v>
      </c>
      <c r="E2614" s="715">
        <v>0</v>
      </c>
      <c r="F2614" s="715">
        <v>0</v>
      </c>
      <c r="G2614" s="715">
        <v>0</v>
      </c>
      <c r="H2614" s="715">
        <v>0</v>
      </c>
      <c r="I2614" s="775">
        <f t="shared" si="57"/>
        <v>500535.84</v>
      </c>
      <c r="J2614" s="192" t="s">
        <v>1489</v>
      </c>
    </row>
    <row r="2615" spans="1:10" hidden="1" outlineLevel="1">
      <c r="A2615" s="759" t="s">
        <v>1432</v>
      </c>
      <c r="B2615" s="777">
        <v>542793.93999999994</v>
      </c>
      <c r="C2615" s="768">
        <v>0</v>
      </c>
      <c r="D2615" s="715">
        <v>0</v>
      </c>
      <c r="E2615" s="715">
        <v>0</v>
      </c>
      <c r="F2615" s="715">
        <v>0</v>
      </c>
      <c r="G2615" s="715">
        <v>0</v>
      </c>
      <c r="H2615" s="715">
        <v>0</v>
      </c>
      <c r="I2615" s="775">
        <f t="shared" si="57"/>
        <v>542793.93999999994</v>
      </c>
      <c r="J2615" s="192" t="s">
        <v>1783</v>
      </c>
    </row>
    <row r="2616" spans="1:10" hidden="1" outlineLevel="1">
      <c r="A2616" s="759" t="s">
        <v>1364</v>
      </c>
      <c r="B2616" s="777">
        <v>587083.66</v>
      </c>
      <c r="C2616" s="768">
        <v>0</v>
      </c>
      <c r="D2616" s="715">
        <v>0</v>
      </c>
      <c r="E2616" s="715">
        <v>0</v>
      </c>
      <c r="F2616" s="715">
        <v>0</v>
      </c>
      <c r="G2616" s="715">
        <v>0</v>
      </c>
      <c r="H2616" s="715">
        <v>0</v>
      </c>
      <c r="I2616" s="775">
        <f t="shared" si="57"/>
        <v>587083.66</v>
      </c>
      <c r="J2616" s="192" t="s">
        <v>1473</v>
      </c>
    </row>
    <row r="2617" spans="1:10" hidden="1" outlineLevel="1">
      <c r="A2617" s="759" t="s">
        <v>1822</v>
      </c>
      <c r="B2617" s="777">
        <v>505466.64</v>
      </c>
      <c r="C2617" s="768">
        <v>0</v>
      </c>
      <c r="D2617" s="715">
        <v>0</v>
      </c>
      <c r="E2617" s="715">
        <v>0</v>
      </c>
      <c r="F2617" s="715">
        <v>0</v>
      </c>
      <c r="G2617" s="715">
        <v>0</v>
      </c>
      <c r="H2617" s="715">
        <v>0</v>
      </c>
      <c r="I2617" s="775">
        <f t="shared" si="57"/>
        <v>505466.64</v>
      </c>
      <c r="J2617" s="192" t="s">
        <v>1693</v>
      </c>
    </row>
    <row r="2618" spans="1:10" hidden="1" outlineLevel="1">
      <c r="A2618" s="759" t="s">
        <v>1285</v>
      </c>
      <c r="B2618" s="777">
        <v>456028.18</v>
      </c>
      <c r="C2618" s="768">
        <v>0</v>
      </c>
      <c r="D2618" s="715">
        <v>0</v>
      </c>
      <c r="E2618" s="715">
        <v>0</v>
      </c>
      <c r="F2618" s="715">
        <v>0</v>
      </c>
      <c r="G2618" s="715">
        <v>0</v>
      </c>
      <c r="H2618" s="715">
        <v>0</v>
      </c>
      <c r="I2618" s="775">
        <f t="shared" si="57"/>
        <v>456028.18</v>
      </c>
      <c r="J2618" s="192" t="s">
        <v>2272</v>
      </c>
    </row>
    <row r="2619" spans="1:10" hidden="1" outlineLevel="1">
      <c r="A2619" s="759" t="s">
        <v>768</v>
      </c>
      <c r="B2619" s="777">
        <v>154209.82</v>
      </c>
      <c r="C2619" s="768">
        <v>0</v>
      </c>
      <c r="D2619" s="715">
        <v>0</v>
      </c>
      <c r="E2619" s="715">
        <v>0</v>
      </c>
      <c r="F2619" s="715">
        <v>0</v>
      </c>
      <c r="G2619" s="715">
        <v>0</v>
      </c>
      <c r="H2619" s="715">
        <v>0</v>
      </c>
      <c r="I2619" s="775">
        <f t="shared" si="57"/>
        <v>154209.82</v>
      </c>
      <c r="J2619" s="192" t="s">
        <v>1688</v>
      </c>
    </row>
    <row r="2620" spans="1:10" hidden="1" outlineLevel="1">
      <c r="A2620" s="759" t="s">
        <v>2277</v>
      </c>
      <c r="B2620" s="777">
        <v>93273.99</v>
      </c>
      <c r="C2620" s="768">
        <v>0</v>
      </c>
      <c r="D2620" s="715">
        <v>0</v>
      </c>
      <c r="E2620" s="715">
        <v>0</v>
      </c>
      <c r="F2620" s="715">
        <v>0</v>
      </c>
      <c r="G2620" s="715">
        <v>0</v>
      </c>
      <c r="H2620" s="715">
        <v>0</v>
      </c>
      <c r="I2620" s="775">
        <f t="shared" si="57"/>
        <v>93273.99</v>
      </c>
      <c r="J2620" s="192" t="s">
        <v>2372</v>
      </c>
    </row>
    <row r="2621" spans="1:10" hidden="1" outlineLevel="1">
      <c r="A2621" s="759" t="s">
        <v>2279</v>
      </c>
      <c r="B2621" s="777">
        <v>258834.63</v>
      </c>
      <c r="C2621" s="768">
        <v>0</v>
      </c>
      <c r="D2621" s="715">
        <v>0</v>
      </c>
      <c r="E2621" s="715">
        <v>0</v>
      </c>
      <c r="F2621" s="715">
        <v>0</v>
      </c>
      <c r="G2621" s="715">
        <v>0</v>
      </c>
      <c r="H2621" s="715">
        <v>0</v>
      </c>
      <c r="I2621" s="775">
        <f t="shared" si="57"/>
        <v>258834.63</v>
      </c>
      <c r="J2621" s="192" t="s">
        <v>1499</v>
      </c>
    </row>
    <row r="2622" spans="1:10" hidden="1" outlineLevel="1">
      <c r="A2622" s="759" t="s">
        <v>2281</v>
      </c>
      <c r="B2622" s="777">
        <v>26393.51</v>
      </c>
      <c r="C2622" s="768">
        <v>0</v>
      </c>
      <c r="D2622" s="715">
        <v>0</v>
      </c>
      <c r="E2622" s="715">
        <v>0</v>
      </c>
      <c r="F2622" s="715">
        <v>0</v>
      </c>
      <c r="G2622" s="715">
        <v>0</v>
      </c>
      <c r="H2622" s="715">
        <v>0</v>
      </c>
      <c r="I2622" s="775">
        <f t="shared" si="57"/>
        <v>26393.51</v>
      </c>
      <c r="J2622" s="192" t="s">
        <v>1509</v>
      </c>
    </row>
    <row r="2623" spans="1:10" hidden="1" outlineLevel="1">
      <c r="A2623" s="759" t="s">
        <v>1826</v>
      </c>
      <c r="B2623" s="777">
        <v>1763779.18</v>
      </c>
      <c r="C2623" s="768">
        <v>0</v>
      </c>
      <c r="D2623" s="715">
        <v>0</v>
      </c>
      <c r="E2623" s="715">
        <v>0</v>
      </c>
      <c r="F2623" s="715">
        <v>0</v>
      </c>
      <c r="G2623" s="715">
        <v>0</v>
      </c>
      <c r="H2623" s="715">
        <v>0</v>
      </c>
      <c r="I2623" s="775">
        <f t="shared" si="57"/>
        <v>1763779.18</v>
      </c>
      <c r="J2623" s="192" t="s">
        <v>1306</v>
      </c>
    </row>
    <row r="2624" spans="1:10" hidden="1" outlineLevel="1">
      <c r="A2624" s="759" t="s">
        <v>2283</v>
      </c>
      <c r="B2624" s="777">
        <v>232204.76</v>
      </c>
      <c r="C2624" s="768">
        <v>0</v>
      </c>
      <c r="D2624" s="715">
        <v>0</v>
      </c>
      <c r="E2624" s="715">
        <v>0</v>
      </c>
      <c r="F2624" s="715">
        <v>0</v>
      </c>
      <c r="G2624" s="715">
        <v>0</v>
      </c>
      <c r="H2624" s="715">
        <v>0</v>
      </c>
      <c r="I2624" s="775">
        <f t="shared" si="57"/>
        <v>232204.76</v>
      </c>
      <c r="J2624" s="192" t="s">
        <v>1811</v>
      </c>
    </row>
    <row r="2625" spans="1:10" hidden="1" outlineLevel="1">
      <c r="A2625" s="759" t="s">
        <v>2285</v>
      </c>
      <c r="B2625" s="777">
        <v>5673.55</v>
      </c>
      <c r="C2625" s="768">
        <v>0</v>
      </c>
      <c r="D2625" s="715">
        <v>0</v>
      </c>
      <c r="E2625" s="715">
        <v>0</v>
      </c>
      <c r="F2625" s="715">
        <v>0</v>
      </c>
      <c r="G2625" s="715">
        <v>0</v>
      </c>
      <c r="H2625" s="715">
        <v>0</v>
      </c>
      <c r="I2625" s="775">
        <f t="shared" si="57"/>
        <v>5673.55</v>
      </c>
      <c r="J2625" s="192" t="s">
        <v>543</v>
      </c>
    </row>
    <row r="2626" spans="1:10" ht="13.5" collapsed="1" thickBot="1">
      <c r="A2626" s="743" t="str">
        <f>A784</f>
        <v>Regelzone TransnetBW (gesamt)</v>
      </c>
      <c r="B2626" s="1675">
        <f t="shared" ref="B2626:G2626" si="58">SUM(B2627:B2764)</f>
        <v>368107353.91999978</v>
      </c>
      <c r="C2626" s="765">
        <f t="shared" si="58"/>
        <v>0</v>
      </c>
      <c r="D2626" s="201">
        <f t="shared" si="58"/>
        <v>0</v>
      </c>
      <c r="E2626" s="202">
        <f t="shared" si="58"/>
        <v>0</v>
      </c>
      <c r="F2626" s="202">
        <f t="shared" si="58"/>
        <v>1854505.5400000003</v>
      </c>
      <c r="G2626" s="202">
        <f t="shared" si="58"/>
        <v>3270.55</v>
      </c>
      <c r="H2626" s="202">
        <v>0</v>
      </c>
      <c r="I2626" s="775">
        <f>SUM(B2626:H2626)</f>
        <v>369965130.00999981</v>
      </c>
    </row>
    <row r="2627" spans="1:10" hidden="1" outlineLevel="1">
      <c r="A2627" s="381" t="s">
        <v>1829</v>
      </c>
      <c r="B2627" s="778">
        <v>1829055.62</v>
      </c>
      <c r="C2627" s="125">
        <v>0</v>
      </c>
      <c r="D2627" s="125">
        <v>0</v>
      </c>
      <c r="E2627" s="125">
        <v>0</v>
      </c>
      <c r="F2627" s="207">
        <v>0</v>
      </c>
      <c r="G2627" s="199">
        <v>0</v>
      </c>
      <c r="H2627" s="199">
        <v>0</v>
      </c>
      <c r="I2627" s="775">
        <f t="shared" ref="I2627:I2690" si="59">SUM(B2627:H2627)</f>
        <v>1829055.62</v>
      </c>
      <c r="J2627" s="192" t="s">
        <v>1830</v>
      </c>
    </row>
    <row r="2628" spans="1:10" hidden="1" outlineLevel="1">
      <c r="A2628" s="381" t="s">
        <v>1831</v>
      </c>
      <c r="B2628" s="778">
        <v>3612404.39</v>
      </c>
      <c r="C2628" s="125">
        <v>0</v>
      </c>
      <c r="D2628" s="125">
        <v>0</v>
      </c>
      <c r="E2628" s="125">
        <v>0</v>
      </c>
      <c r="F2628" s="207">
        <v>0</v>
      </c>
      <c r="G2628" s="199">
        <v>0</v>
      </c>
      <c r="H2628" s="199">
        <v>0</v>
      </c>
      <c r="I2628" s="775">
        <f t="shared" si="59"/>
        <v>3612404.39</v>
      </c>
      <c r="J2628" s="192" t="s">
        <v>1832</v>
      </c>
    </row>
    <row r="2629" spans="1:10" hidden="1" outlineLevel="1">
      <c r="A2629" s="381" t="s">
        <v>1833</v>
      </c>
      <c r="B2629" s="778">
        <v>10556497.689999999</v>
      </c>
      <c r="C2629" s="125">
        <v>0</v>
      </c>
      <c r="D2629" s="125">
        <v>0</v>
      </c>
      <c r="E2629" s="125">
        <v>0</v>
      </c>
      <c r="F2629" s="207">
        <v>12991.31</v>
      </c>
      <c r="G2629" s="199">
        <v>2284.8000000000002</v>
      </c>
      <c r="H2629" s="199">
        <v>0</v>
      </c>
      <c r="I2629" s="775">
        <f t="shared" si="59"/>
        <v>10571773.800000001</v>
      </c>
      <c r="J2629" s="192" t="s">
        <v>1834</v>
      </c>
    </row>
    <row r="2630" spans="1:10" hidden="1" outlineLevel="1">
      <c r="A2630" s="381" t="s">
        <v>2291</v>
      </c>
      <c r="B2630" s="778">
        <v>89938.08</v>
      </c>
      <c r="C2630" s="125">
        <v>0</v>
      </c>
      <c r="D2630" s="125">
        <v>0</v>
      </c>
      <c r="E2630" s="125">
        <v>0</v>
      </c>
      <c r="F2630" s="207">
        <v>0</v>
      </c>
      <c r="G2630" s="199">
        <v>0</v>
      </c>
      <c r="H2630" s="199">
        <v>0</v>
      </c>
      <c r="I2630" s="775">
        <f t="shared" si="59"/>
        <v>89938.08</v>
      </c>
      <c r="J2630" s="192" t="s">
        <v>2292</v>
      </c>
    </row>
    <row r="2631" spans="1:10" hidden="1" outlineLevel="1">
      <c r="A2631" s="381" t="s">
        <v>1021</v>
      </c>
      <c r="B2631" s="778">
        <v>1084619.5</v>
      </c>
      <c r="C2631" s="125">
        <v>0</v>
      </c>
      <c r="D2631" s="125">
        <v>0</v>
      </c>
      <c r="E2631" s="125">
        <v>0</v>
      </c>
      <c r="F2631" s="207">
        <v>1688886.03</v>
      </c>
      <c r="G2631" s="199">
        <v>0</v>
      </c>
      <c r="H2631" s="199">
        <v>0</v>
      </c>
      <c r="I2631" s="775">
        <f t="shared" si="59"/>
        <v>2773505.5300000003</v>
      </c>
      <c r="J2631" s="192" t="s">
        <v>944</v>
      </c>
    </row>
    <row r="2632" spans="1:10" hidden="1" outlineLevel="1">
      <c r="A2632" s="381" t="s">
        <v>1835</v>
      </c>
      <c r="B2632" s="778">
        <v>1071654.1599999999</v>
      </c>
      <c r="C2632" s="125">
        <v>0</v>
      </c>
      <c r="D2632" s="125">
        <v>0</v>
      </c>
      <c r="E2632" s="125">
        <v>0</v>
      </c>
      <c r="F2632" s="207">
        <v>0</v>
      </c>
      <c r="G2632" s="199">
        <v>985.75</v>
      </c>
      <c r="H2632" s="199">
        <v>0</v>
      </c>
      <c r="I2632" s="775">
        <f t="shared" si="59"/>
        <v>1072639.9099999999</v>
      </c>
      <c r="J2632" s="192" t="s">
        <v>1836</v>
      </c>
    </row>
    <row r="2633" spans="1:10" hidden="1" outlineLevel="1">
      <c r="A2633" s="381" t="s">
        <v>542</v>
      </c>
      <c r="B2633" s="778">
        <v>21868.11</v>
      </c>
      <c r="C2633" s="125">
        <v>0</v>
      </c>
      <c r="D2633" s="125">
        <v>0</v>
      </c>
      <c r="E2633" s="125">
        <v>0</v>
      </c>
      <c r="F2633" s="207">
        <v>0</v>
      </c>
      <c r="G2633" s="199">
        <v>0</v>
      </c>
      <c r="H2633" s="199">
        <v>0</v>
      </c>
      <c r="I2633" s="775">
        <f t="shared" si="59"/>
        <v>21868.11</v>
      </c>
      <c r="J2633" s="192" t="s">
        <v>543</v>
      </c>
    </row>
    <row r="2634" spans="1:10" hidden="1" outlineLevel="1">
      <c r="A2634" s="381" t="s">
        <v>1837</v>
      </c>
      <c r="B2634" s="778">
        <v>1223468.3400000001</v>
      </c>
      <c r="C2634" s="125">
        <v>0</v>
      </c>
      <c r="D2634" s="125">
        <v>0</v>
      </c>
      <c r="E2634" s="125">
        <v>0</v>
      </c>
      <c r="F2634" s="207">
        <v>0</v>
      </c>
      <c r="G2634" s="199">
        <v>0</v>
      </c>
      <c r="H2634" s="199">
        <v>0</v>
      </c>
      <c r="I2634" s="775">
        <f t="shared" si="59"/>
        <v>1223468.3400000001</v>
      </c>
      <c r="J2634" s="192" t="s">
        <v>1838</v>
      </c>
    </row>
    <row r="2635" spans="1:10" hidden="1" outlineLevel="1">
      <c r="A2635" s="381" t="s">
        <v>1839</v>
      </c>
      <c r="B2635" s="778">
        <v>647858.6</v>
      </c>
      <c r="C2635" s="125">
        <v>0</v>
      </c>
      <c r="D2635" s="125">
        <v>0</v>
      </c>
      <c r="E2635" s="125">
        <v>0</v>
      </c>
      <c r="F2635" s="207">
        <v>0</v>
      </c>
      <c r="G2635" s="199">
        <v>0</v>
      </c>
      <c r="H2635" s="199">
        <v>0</v>
      </c>
      <c r="I2635" s="775">
        <f t="shared" si="59"/>
        <v>647858.6</v>
      </c>
      <c r="J2635" s="192" t="s">
        <v>1840</v>
      </c>
    </row>
    <row r="2636" spans="1:10" hidden="1" outlineLevel="1">
      <c r="A2636" s="381" t="s">
        <v>1841</v>
      </c>
      <c r="B2636" s="778">
        <v>141200.76999999999</v>
      </c>
      <c r="C2636" s="125">
        <v>0</v>
      </c>
      <c r="D2636" s="125">
        <v>0</v>
      </c>
      <c r="E2636" s="125">
        <v>0</v>
      </c>
      <c r="F2636" s="207">
        <v>0</v>
      </c>
      <c r="G2636" s="199">
        <v>0</v>
      </c>
      <c r="H2636" s="199">
        <v>0</v>
      </c>
      <c r="I2636" s="775">
        <f t="shared" si="59"/>
        <v>141200.76999999999</v>
      </c>
      <c r="J2636" s="192" t="s">
        <v>1842</v>
      </c>
    </row>
    <row r="2637" spans="1:10" hidden="1" outlineLevel="1">
      <c r="A2637" s="381" t="s">
        <v>1843</v>
      </c>
      <c r="B2637" s="778">
        <v>207228.22</v>
      </c>
      <c r="C2637" s="125">
        <v>0</v>
      </c>
      <c r="D2637" s="125">
        <v>0</v>
      </c>
      <c r="E2637" s="125">
        <v>0</v>
      </c>
      <c r="F2637" s="207">
        <v>0</v>
      </c>
      <c r="G2637" s="199">
        <v>0</v>
      </c>
      <c r="H2637" s="199">
        <v>0</v>
      </c>
      <c r="I2637" s="775">
        <f t="shared" si="59"/>
        <v>207228.22</v>
      </c>
      <c r="J2637" s="192" t="s">
        <v>1844</v>
      </c>
    </row>
    <row r="2638" spans="1:10" hidden="1" outlineLevel="1">
      <c r="A2638" s="381" t="s">
        <v>1845</v>
      </c>
      <c r="B2638" s="778">
        <v>1237066.58</v>
      </c>
      <c r="C2638" s="125">
        <v>0</v>
      </c>
      <c r="D2638" s="125">
        <v>0</v>
      </c>
      <c r="E2638" s="125">
        <v>0</v>
      </c>
      <c r="F2638" s="207">
        <v>0</v>
      </c>
      <c r="G2638" s="199">
        <v>0</v>
      </c>
      <c r="H2638" s="199">
        <v>0</v>
      </c>
      <c r="I2638" s="775">
        <f t="shared" si="59"/>
        <v>1237066.58</v>
      </c>
      <c r="J2638" s="192" t="s">
        <v>1846</v>
      </c>
    </row>
    <row r="2639" spans="1:10" hidden="1" outlineLevel="1">
      <c r="A2639" s="381" t="s">
        <v>1847</v>
      </c>
      <c r="B2639" s="778">
        <v>329665.12</v>
      </c>
      <c r="C2639" s="125">
        <v>0</v>
      </c>
      <c r="D2639" s="125">
        <v>0</v>
      </c>
      <c r="E2639" s="125">
        <v>0</v>
      </c>
      <c r="F2639" s="207">
        <v>0</v>
      </c>
      <c r="G2639" s="199">
        <v>0</v>
      </c>
      <c r="H2639" s="199">
        <v>0</v>
      </c>
      <c r="I2639" s="775">
        <f t="shared" si="59"/>
        <v>329665.12</v>
      </c>
      <c r="J2639" s="192" t="s">
        <v>1848</v>
      </c>
    </row>
    <row r="2640" spans="1:10" hidden="1" outlineLevel="1">
      <c r="A2640" s="381" t="s">
        <v>2293</v>
      </c>
      <c r="B2640" s="778">
        <v>81502.28</v>
      </c>
      <c r="C2640" s="125">
        <v>0</v>
      </c>
      <c r="D2640" s="125">
        <v>0</v>
      </c>
      <c r="E2640" s="125">
        <v>0</v>
      </c>
      <c r="F2640" s="207">
        <v>0</v>
      </c>
      <c r="G2640" s="199">
        <v>0</v>
      </c>
      <c r="H2640" s="199">
        <v>0</v>
      </c>
      <c r="I2640" s="775">
        <f t="shared" si="59"/>
        <v>81502.28</v>
      </c>
      <c r="J2640" s="192" t="s">
        <v>2294</v>
      </c>
    </row>
    <row r="2641" spans="1:10" hidden="1" outlineLevel="1">
      <c r="A2641" s="381" t="s">
        <v>1849</v>
      </c>
      <c r="B2641" s="778">
        <v>313621.09999999998</v>
      </c>
      <c r="C2641" s="125">
        <v>0</v>
      </c>
      <c r="D2641" s="125">
        <v>0</v>
      </c>
      <c r="E2641" s="125">
        <v>0</v>
      </c>
      <c r="F2641" s="207">
        <v>0</v>
      </c>
      <c r="G2641" s="199">
        <v>0</v>
      </c>
      <c r="H2641" s="199">
        <v>0</v>
      </c>
      <c r="I2641" s="775">
        <f t="shared" si="59"/>
        <v>313621.09999999998</v>
      </c>
      <c r="J2641" s="192" t="s">
        <v>1850</v>
      </c>
    </row>
    <row r="2642" spans="1:10" hidden="1" outlineLevel="1">
      <c r="A2642" s="381" t="s">
        <v>1851</v>
      </c>
      <c r="B2642" s="778">
        <v>296795.21999999997</v>
      </c>
      <c r="C2642" s="125">
        <v>0</v>
      </c>
      <c r="D2642" s="125">
        <v>0</v>
      </c>
      <c r="E2642" s="125">
        <v>0</v>
      </c>
      <c r="F2642" s="207">
        <v>0</v>
      </c>
      <c r="G2642" s="199">
        <v>0</v>
      </c>
      <c r="H2642" s="199">
        <v>0</v>
      </c>
      <c r="I2642" s="775">
        <f t="shared" si="59"/>
        <v>296795.21999999997</v>
      </c>
      <c r="J2642" s="192" t="s">
        <v>1852</v>
      </c>
    </row>
    <row r="2643" spans="1:10" hidden="1" outlineLevel="1">
      <c r="A2643" s="381" t="s">
        <v>1853</v>
      </c>
      <c r="B2643" s="778">
        <v>507571.48</v>
      </c>
      <c r="C2643" s="125">
        <v>0</v>
      </c>
      <c r="D2643" s="125">
        <v>0</v>
      </c>
      <c r="E2643" s="125">
        <v>0</v>
      </c>
      <c r="F2643" s="207">
        <v>0</v>
      </c>
      <c r="G2643" s="199">
        <v>0</v>
      </c>
      <c r="H2643" s="199">
        <v>0</v>
      </c>
      <c r="I2643" s="775">
        <f t="shared" si="59"/>
        <v>507571.48</v>
      </c>
      <c r="J2643" s="192" t="s">
        <v>1854</v>
      </c>
    </row>
    <row r="2644" spans="1:10" hidden="1" outlineLevel="1">
      <c r="A2644" s="381" t="s">
        <v>1855</v>
      </c>
      <c r="B2644" s="778">
        <v>1790274.68</v>
      </c>
      <c r="C2644" s="125">
        <v>0</v>
      </c>
      <c r="D2644" s="125">
        <v>0</v>
      </c>
      <c r="E2644" s="125">
        <v>0</v>
      </c>
      <c r="F2644" s="207">
        <v>0</v>
      </c>
      <c r="G2644" s="199">
        <v>0</v>
      </c>
      <c r="H2644" s="199">
        <v>0</v>
      </c>
      <c r="I2644" s="775">
        <f t="shared" si="59"/>
        <v>1790274.68</v>
      </c>
      <c r="J2644" s="192" t="s">
        <v>1856</v>
      </c>
    </row>
    <row r="2645" spans="1:10" hidden="1" outlineLevel="1">
      <c r="A2645" s="381" t="s">
        <v>1857</v>
      </c>
      <c r="B2645" s="778">
        <v>200541.56</v>
      </c>
      <c r="C2645" s="125">
        <v>0</v>
      </c>
      <c r="D2645" s="125">
        <v>0</v>
      </c>
      <c r="E2645" s="125">
        <v>0</v>
      </c>
      <c r="F2645" s="207">
        <v>0</v>
      </c>
      <c r="G2645" s="199">
        <v>0</v>
      </c>
      <c r="H2645" s="199">
        <v>0</v>
      </c>
      <c r="I2645" s="775">
        <f t="shared" si="59"/>
        <v>200541.56</v>
      </c>
      <c r="J2645" s="192" t="s">
        <v>1858</v>
      </c>
    </row>
    <row r="2646" spans="1:10" hidden="1" outlineLevel="1">
      <c r="A2646" s="381" t="s">
        <v>1859</v>
      </c>
      <c r="B2646" s="778">
        <v>1733783.88</v>
      </c>
      <c r="C2646" s="125">
        <v>0</v>
      </c>
      <c r="D2646" s="125">
        <v>0</v>
      </c>
      <c r="E2646" s="125">
        <v>0</v>
      </c>
      <c r="F2646" s="207">
        <v>0</v>
      </c>
      <c r="G2646" s="199">
        <v>0</v>
      </c>
      <c r="H2646" s="199">
        <v>0</v>
      </c>
      <c r="I2646" s="775">
        <f t="shared" si="59"/>
        <v>1733783.88</v>
      </c>
      <c r="J2646" s="192" t="s">
        <v>1860</v>
      </c>
    </row>
    <row r="2647" spans="1:10" hidden="1" outlineLevel="1">
      <c r="A2647" s="381" t="s">
        <v>1861</v>
      </c>
      <c r="B2647" s="778">
        <v>516863.22</v>
      </c>
      <c r="C2647" s="125">
        <v>0</v>
      </c>
      <c r="D2647" s="125">
        <v>0</v>
      </c>
      <c r="E2647" s="125">
        <v>0</v>
      </c>
      <c r="F2647" s="207">
        <v>0</v>
      </c>
      <c r="G2647" s="199">
        <v>0</v>
      </c>
      <c r="H2647" s="199">
        <v>0</v>
      </c>
      <c r="I2647" s="775">
        <f t="shared" si="59"/>
        <v>516863.22</v>
      </c>
      <c r="J2647" s="192" t="s">
        <v>1862</v>
      </c>
    </row>
    <row r="2648" spans="1:10" hidden="1" outlineLevel="1">
      <c r="A2648" s="381" t="s">
        <v>1863</v>
      </c>
      <c r="B2648" s="778">
        <v>927956.98</v>
      </c>
      <c r="C2648" s="125">
        <v>0</v>
      </c>
      <c r="D2648" s="125">
        <v>0</v>
      </c>
      <c r="E2648" s="125">
        <v>0</v>
      </c>
      <c r="F2648" s="207">
        <v>0</v>
      </c>
      <c r="G2648" s="199">
        <v>0</v>
      </c>
      <c r="H2648" s="199">
        <v>0</v>
      </c>
      <c r="I2648" s="775">
        <f t="shared" si="59"/>
        <v>927956.98</v>
      </c>
      <c r="J2648" s="192" t="s">
        <v>1864</v>
      </c>
    </row>
    <row r="2649" spans="1:10" hidden="1" outlineLevel="1">
      <c r="A2649" s="381" t="s">
        <v>1865</v>
      </c>
      <c r="B2649" s="778">
        <v>967474.17</v>
      </c>
      <c r="C2649" s="125">
        <v>0</v>
      </c>
      <c r="D2649" s="125">
        <v>0</v>
      </c>
      <c r="E2649" s="125">
        <v>0</v>
      </c>
      <c r="F2649" s="207">
        <v>0</v>
      </c>
      <c r="G2649" s="199">
        <v>0</v>
      </c>
      <c r="H2649" s="199">
        <v>0</v>
      </c>
      <c r="I2649" s="775">
        <f t="shared" si="59"/>
        <v>967474.17</v>
      </c>
      <c r="J2649" s="192" t="s">
        <v>1866</v>
      </c>
    </row>
    <row r="2650" spans="1:10" hidden="1" outlineLevel="1">
      <c r="A2650" s="381" t="s">
        <v>1867</v>
      </c>
      <c r="B2650" s="778">
        <v>538803.84</v>
      </c>
      <c r="C2650" s="125">
        <v>0</v>
      </c>
      <c r="D2650" s="125">
        <v>0</v>
      </c>
      <c r="E2650" s="125">
        <v>0</v>
      </c>
      <c r="F2650" s="207">
        <v>0</v>
      </c>
      <c r="G2650" s="199">
        <v>0</v>
      </c>
      <c r="H2650" s="199">
        <v>0</v>
      </c>
      <c r="I2650" s="775">
        <f t="shared" si="59"/>
        <v>538803.84</v>
      </c>
      <c r="J2650" s="192" t="s">
        <v>1868</v>
      </c>
    </row>
    <row r="2651" spans="1:10" hidden="1" outlineLevel="1">
      <c r="A2651" s="381" t="s">
        <v>1869</v>
      </c>
      <c r="B2651" s="778">
        <v>1536578.39</v>
      </c>
      <c r="C2651" s="125">
        <v>0</v>
      </c>
      <c r="D2651" s="125">
        <v>0</v>
      </c>
      <c r="E2651" s="125">
        <v>0</v>
      </c>
      <c r="F2651" s="207">
        <v>0</v>
      </c>
      <c r="G2651" s="199">
        <v>0</v>
      </c>
      <c r="H2651" s="199">
        <v>0</v>
      </c>
      <c r="I2651" s="775">
        <f t="shared" si="59"/>
        <v>1536578.39</v>
      </c>
      <c r="J2651" s="192" t="s">
        <v>1870</v>
      </c>
    </row>
    <row r="2652" spans="1:10" hidden="1" outlineLevel="1">
      <c r="A2652" s="381" t="s">
        <v>1871</v>
      </c>
      <c r="B2652" s="778">
        <v>138166.48000000001</v>
      </c>
      <c r="C2652" s="125">
        <v>0</v>
      </c>
      <c r="D2652" s="125">
        <v>0</v>
      </c>
      <c r="E2652" s="125">
        <v>0</v>
      </c>
      <c r="F2652" s="207">
        <v>0</v>
      </c>
      <c r="G2652" s="199">
        <v>0</v>
      </c>
      <c r="H2652" s="199">
        <v>0</v>
      </c>
      <c r="I2652" s="775">
        <f t="shared" si="59"/>
        <v>138166.48000000001</v>
      </c>
      <c r="J2652" s="192" t="s">
        <v>1872</v>
      </c>
    </row>
    <row r="2653" spans="1:10" hidden="1" outlineLevel="1">
      <c r="A2653" s="381" t="s">
        <v>1873</v>
      </c>
      <c r="B2653" s="778">
        <v>7504741.8200000003</v>
      </c>
      <c r="C2653" s="125">
        <v>0</v>
      </c>
      <c r="D2653" s="125">
        <v>0</v>
      </c>
      <c r="E2653" s="125">
        <v>0</v>
      </c>
      <c r="F2653" s="207">
        <v>0</v>
      </c>
      <c r="G2653" s="199">
        <v>0</v>
      </c>
      <c r="H2653" s="199">
        <v>0</v>
      </c>
      <c r="I2653" s="775">
        <f t="shared" si="59"/>
        <v>7504741.8200000003</v>
      </c>
      <c r="J2653" s="192" t="s">
        <v>1874</v>
      </c>
    </row>
    <row r="2654" spans="1:10" hidden="1" outlineLevel="1">
      <c r="A2654" s="381" t="s">
        <v>799</v>
      </c>
      <c r="B2654" s="778">
        <v>45493.33</v>
      </c>
      <c r="C2654" s="125">
        <v>0</v>
      </c>
      <c r="D2654" s="125">
        <v>0</v>
      </c>
      <c r="E2654" s="125">
        <v>0</v>
      </c>
      <c r="F2654" s="207">
        <v>0</v>
      </c>
      <c r="G2654" s="199">
        <v>0</v>
      </c>
      <c r="H2654" s="199">
        <v>0</v>
      </c>
      <c r="I2654" s="775">
        <f t="shared" si="59"/>
        <v>45493.33</v>
      </c>
      <c r="J2654" s="192" t="s">
        <v>800</v>
      </c>
    </row>
    <row r="2655" spans="1:10" hidden="1" outlineLevel="1">
      <c r="A2655" s="381" t="s">
        <v>2295</v>
      </c>
      <c r="B2655" s="778">
        <v>420014.82</v>
      </c>
      <c r="C2655" s="125">
        <v>0</v>
      </c>
      <c r="D2655" s="125">
        <v>0</v>
      </c>
      <c r="E2655" s="125">
        <v>0</v>
      </c>
      <c r="F2655" s="207">
        <v>0</v>
      </c>
      <c r="G2655" s="199">
        <v>0</v>
      </c>
      <c r="H2655" s="199">
        <v>0</v>
      </c>
      <c r="I2655" s="775">
        <f t="shared" si="59"/>
        <v>420014.82</v>
      </c>
      <c r="J2655" s="192" t="s">
        <v>2296</v>
      </c>
    </row>
    <row r="2656" spans="1:10" hidden="1" outlineLevel="1">
      <c r="A2656" s="381" t="s">
        <v>2297</v>
      </c>
      <c r="B2656" s="778">
        <v>403639.34</v>
      </c>
      <c r="C2656" s="125">
        <v>0</v>
      </c>
      <c r="D2656" s="125">
        <v>0</v>
      </c>
      <c r="E2656" s="125">
        <v>0</v>
      </c>
      <c r="F2656" s="207">
        <v>0</v>
      </c>
      <c r="G2656" s="199">
        <v>0</v>
      </c>
      <c r="H2656" s="199">
        <v>0</v>
      </c>
      <c r="I2656" s="775">
        <f t="shared" si="59"/>
        <v>403639.34</v>
      </c>
      <c r="J2656" s="192" t="s">
        <v>2298</v>
      </c>
    </row>
    <row r="2657" spans="1:10" hidden="1" outlineLevel="1">
      <c r="A2657" s="381" t="s">
        <v>1875</v>
      </c>
      <c r="B2657" s="778">
        <v>112465.4</v>
      </c>
      <c r="C2657" s="125">
        <v>0</v>
      </c>
      <c r="D2657" s="125">
        <v>0</v>
      </c>
      <c r="E2657" s="125">
        <v>0</v>
      </c>
      <c r="F2657" s="207">
        <v>0</v>
      </c>
      <c r="G2657" s="199">
        <v>0</v>
      </c>
      <c r="H2657" s="199">
        <v>0</v>
      </c>
      <c r="I2657" s="775">
        <f t="shared" si="59"/>
        <v>112465.4</v>
      </c>
      <c r="J2657" s="192" t="s">
        <v>1876</v>
      </c>
    </row>
    <row r="2658" spans="1:10" hidden="1" outlineLevel="1">
      <c r="A2658" s="381" t="s">
        <v>1877</v>
      </c>
      <c r="B2658" s="778">
        <v>89255.56</v>
      </c>
      <c r="C2658" s="125">
        <v>0</v>
      </c>
      <c r="D2658" s="125">
        <v>0</v>
      </c>
      <c r="E2658" s="125">
        <v>0</v>
      </c>
      <c r="F2658" s="207">
        <v>0</v>
      </c>
      <c r="G2658" s="199">
        <v>0</v>
      </c>
      <c r="H2658" s="199">
        <v>0</v>
      </c>
      <c r="I2658" s="775">
        <f t="shared" si="59"/>
        <v>89255.56</v>
      </c>
      <c r="J2658" s="192" t="s">
        <v>1878</v>
      </c>
    </row>
    <row r="2659" spans="1:10" hidden="1" outlineLevel="1">
      <c r="A2659" s="381" t="s">
        <v>1879</v>
      </c>
      <c r="B2659" s="778">
        <v>356173.6</v>
      </c>
      <c r="C2659" s="125">
        <v>0</v>
      </c>
      <c r="D2659" s="125">
        <v>0</v>
      </c>
      <c r="E2659" s="125">
        <v>0</v>
      </c>
      <c r="F2659" s="207">
        <v>0</v>
      </c>
      <c r="G2659" s="199">
        <v>0</v>
      </c>
      <c r="H2659" s="199">
        <v>0</v>
      </c>
      <c r="I2659" s="775">
        <f t="shared" si="59"/>
        <v>356173.6</v>
      </c>
      <c r="J2659" s="192" t="s">
        <v>1880</v>
      </c>
    </row>
    <row r="2660" spans="1:10" hidden="1" outlineLevel="1">
      <c r="A2660" s="381" t="s">
        <v>1881</v>
      </c>
      <c r="B2660" s="778">
        <v>206592.64000000001</v>
      </c>
      <c r="C2660" s="125">
        <v>0</v>
      </c>
      <c r="D2660" s="125">
        <v>0</v>
      </c>
      <c r="E2660" s="125">
        <v>0</v>
      </c>
      <c r="F2660" s="207">
        <v>0</v>
      </c>
      <c r="G2660" s="199">
        <v>0</v>
      </c>
      <c r="H2660" s="199">
        <v>0</v>
      </c>
      <c r="I2660" s="775">
        <f t="shared" si="59"/>
        <v>206592.64000000001</v>
      </c>
      <c r="J2660" s="192" t="s">
        <v>1882</v>
      </c>
    </row>
    <row r="2661" spans="1:10" hidden="1" outlineLevel="1">
      <c r="A2661" s="381" t="s">
        <v>1883</v>
      </c>
      <c r="B2661" s="778">
        <v>406757.21</v>
      </c>
      <c r="C2661" s="125">
        <v>0</v>
      </c>
      <c r="D2661" s="125">
        <v>0</v>
      </c>
      <c r="E2661" s="125">
        <v>0</v>
      </c>
      <c r="F2661" s="207">
        <v>0</v>
      </c>
      <c r="G2661" s="199">
        <v>0</v>
      </c>
      <c r="H2661" s="199">
        <v>0</v>
      </c>
      <c r="I2661" s="775">
        <f t="shared" si="59"/>
        <v>406757.21</v>
      </c>
      <c r="J2661" s="192" t="s">
        <v>1884</v>
      </c>
    </row>
    <row r="2662" spans="1:10" hidden="1" outlineLevel="1">
      <c r="A2662" s="381" t="s">
        <v>2299</v>
      </c>
      <c r="B2662" s="778">
        <v>186409.7</v>
      </c>
      <c r="C2662" s="125">
        <v>0</v>
      </c>
      <c r="D2662" s="125">
        <v>0</v>
      </c>
      <c r="E2662" s="125">
        <v>0</v>
      </c>
      <c r="F2662" s="207">
        <v>0</v>
      </c>
      <c r="G2662" s="199">
        <v>0</v>
      </c>
      <c r="H2662" s="199">
        <v>0</v>
      </c>
      <c r="I2662" s="775">
        <f t="shared" si="59"/>
        <v>186409.7</v>
      </c>
      <c r="J2662" s="192" t="s">
        <v>2300</v>
      </c>
    </row>
    <row r="2663" spans="1:10" hidden="1" outlineLevel="1">
      <c r="A2663" s="381" t="s">
        <v>1885</v>
      </c>
      <c r="B2663" s="778">
        <v>148790.89000000001</v>
      </c>
      <c r="C2663" s="125">
        <v>0</v>
      </c>
      <c r="D2663" s="125">
        <v>0</v>
      </c>
      <c r="E2663" s="125">
        <v>0</v>
      </c>
      <c r="F2663" s="207">
        <v>0</v>
      </c>
      <c r="G2663" s="199">
        <v>0</v>
      </c>
      <c r="H2663" s="199">
        <v>0</v>
      </c>
      <c r="I2663" s="775">
        <f t="shared" si="59"/>
        <v>148790.89000000001</v>
      </c>
      <c r="J2663" s="192" t="s">
        <v>1886</v>
      </c>
    </row>
    <row r="2664" spans="1:10" hidden="1" outlineLevel="1">
      <c r="A2664" s="381" t="s">
        <v>768</v>
      </c>
      <c r="B2664" s="778">
        <v>65024.11</v>
      </c>
      <c r="C2664" s="125">
        <v>0</v>
      </c>
      <c r="D2664" s="125">
        <v>0</v>
      </c>
      <c r="E2664" s="125">
        <v>0</v>
      </c>
      <c r="F2664" s="207">
        <v>0</v>
      </c>
      <c r="G2664" s="199">
        <v>0</v>
      </c>
      <c r="H2664" s="199">
        <v>0</v>
      </c>
      <c r="I2664" s="775">
        <f t="shared" si="59"/>
        <v>65024.11</v>
      </c>
      <c r="J2664" s="192" t="s">
        <v>2301</v>
      </c>
    </row>
    <row r="2665" spans="1:10" hidden="1" outlineLevel="1">
      <c r="A2665" s="381" t="s">
        <v>456</v>
      </c>
      <c r="B2665" s="778">
        <v>307705.53999999998</v>
      </c>
      <c r="C2665" s="125">
        <v>0</v>
      </c>
      <c r="D2665" s="125">
        <v>0</v>
      </c>
      <c r="E2665" s="125">
        <v>0</v>
      </c>
      <c r="F2665" s="207">
        <v>0</v>
      </c>
      <c r="G2665" s="199">
        <v>0</v>
      </c>
      <c r="H2665" s="199">
        <v>0</v>
      </c>
      <c r="I2665" s="775">
        <f t="shared" si="59"/>
        <v>307705.53999999998</v>
      </c>
      <c r="J2665" s="192" t="s">
        <v>457</v>
      </c>
    </row>
    <row r="2666" spans="1:10" hidden="1" outlineLevel="1">
      <c r="A2666" s="381" t="s">
        <v>2077</v>
      </c>
      <c r="B2666" s="778">
        <v>38850.31</v>
      </c>
      <c r="C2666" s="125">
        <v>0</v>
      </c>
      <c r="D2666" s="125">
        <v>0</v>
      </c>
      <c r="E2666" s="125">
        <v>0</v>
      </c>
      <c r="F2666" s="207">
        <v>0</v>
      </c>
      <c r="G2666" s="199">
        <v>0</v>
      </c>
      <c r="H2666" s="199">
        <v>0</v>
      </c>
      <c r="I2666" s="775">
        <f t="shared" si="59"/>
        <v>38850.31</v>
      </c>
      <c r="J2666" s="192" t="s">
        <v>2078</v>
      </c>
    </row>
    <row r="2667" spans="1:10" hidden="1" outlineLevel="1">
      <c r="A2667" s="381" t="s">
        <v>2302</v>
      </c>
      <c r="B2667" s="778">
        <v>227032.29</v>
      </c>
      <c r="C2667" s="125">
        <v>0</v>
      </c>
      <c r="D2667" s="125">
        <v>0</v>
      </c>
      <c r="E2667" s="125">
        <v>0</v>
      </c>
      <c r="F2667" s="207">
        <v>0</v>
      </c>
      <c r="G2667" s="199">
        <v>0</v>
      </c>
      <c r="H2667" s="199">
        <v>0</v>
      </c>
      <c r="I2667" s="775">
        <f t="shared" si="59"/>
        <v>227032.29</v>
      </c>
      <c r="J2667" s="192" t="s">
        <v>2303</v>
      </c>
    </row>
    <row r="2668" spans="1:10" hidden="1" outlineLevel="1">
      <c r="A2668" s="381" t="s">
        <v>2304</v>
      </c>
      <c r="B2668" s="778">
        <v>14413.86</v>
      </c>
      <c r="C2668" s="125">
        <v>0</v>
      </c>
      <c r="D2668" s="125">
        <v>0</v>
      </c>
      <c r="E2668" s="125">
        <v>0</v>
      </c>
      <c r="F2668" s="207">
        <v>0</v>
      </c>
      <c r="G2668" s="199">
        <v>0</v>
      </c>
      <c r="H2668" s="199">
        <v>0</v>
      </c>
      <c r="I2668" s="775">
        <f t="shared" si="59"/>
        <v>14413.86</v>
      </c>
      <c r="J2668" s="192" t="s">
        <v>2305</v>
      </c>
    </row>
    <row r="2669" spans="1:10" hidden="1" outlineLevel="1">
      <c r="A2669" s="381" t="s">
        <v>1887</v>
      </c>
      <c r="B2669" s="778">
        <v>1427681.6</v>
      </c>
      <c r="C2669" s="125">
        <v>0</v>
      </c>
      <c r="D2669" s="125">
        <v>0</v>
      </c>
      <c r="E2669" s="125">
        <v>0</v>
      </c>
      <c r="F2669" s="207">
        <v>0</v>
      </c>
      <c r="G2669" s="199">
        <v>0</v>
      </c>
      <c r="H2669" s="199">
        <v>0</v>
      </c>
      <c r="I2669" s="775">
        <f t="shared" si="59"/>
        <v>1427681.6</v>
      </c>
      <c r="J2669" s="192" t="s">
        <v>1888</v>
      </c>
    </row>
    <row r="2670" spans="1:10" hidden="1" outlineLevel="1">
      <c r="A2670" s="381" t="s">
        <v>2306</v>
      </c>
      <c r="B2670" s="778">
        <v>0</v>
      </c>
      <c r="C2670" s="125">
        <v>0</v>
      </c>
      <c r="D2670" s="125">
        <v>0</v>
      </c>
      <c r="E2670" s="125">
        <v>0</v>
      </c>
      <c r="F2670" s="207">
        <v>0</v>
      </c>
      <c r="G2670" s="199">
        <v>0</v>
      </c>
      <c r="H2670" s="199">
        <v>0</v>
      </c>
      <c r="I2670" s="775">
        <f t="shared" si="59"/>
        <v>0</v>
      </c>
      <c r="J2670" s="192" t="s">
        <v>2307</v>
      </c>
    </row>
    <row r="2671" spans="1:10" hidden="1" outlineLevel="1">
      <c r="A2671" s="381" t="s">
        <v>2308</v>
      </c>
      <c r="B2671" s="778">
        <v>15679.89</v>
      </c>
      <c r="C2671" s="125">
        <v>0</v>
      </c>
      <c r="D2671" s="125">
        <v>0</v>
      </c>
      <c r="E2671" s="125">
        <v>0</v>
      </c>
      <c r="F2671" s="207">
        <v>0</v>
      </c>
      <c r="G2671" s="199">
        <v>0</v>
      </c>
      <c r="H2671" s="199">
        <v>0</v>
      </c>
      <c r="I2671" s="775">
        <f t="shared" si="59"/>
        <v>15679.89</v>
      </c>
      <c r="J2671" s="192" t="s">
        <v>2309</v>
      </c>
    </row>
    <row r="2672" spans="1:10" hidden="1" outlineLevel="1">
      <c r="A2672" s="381" t="s">
        <v>1889</v>
      </c>
      <c r="B2672" s="778">
        <v>955849.96</v>
      </c>
      <c r="C2672" s="125">
        <v>0</v>
      </c>
      <c r="D2672" s="125">
        <v>0</v>
      </c>
      <c r="E2672" s="125">
        <v>0</v>
      </c>
      <c r="F2672" s="207">
        <v>0</v>
      </c>
      <c r="G2672" s="199">
        <v>0</v>
      </c>
      <c r="H2672" s="199">
        <v>0</v>
      </c>
      <c r="I2672" s="775">
        <f t="shared" si="59"/>
        <v>955849.96</v>
      </c>
      <c r="J2672" s="192" t="s">
        <v>1890</v>
      </c>
    </row>
    <row r="2673" spans="1:10" hidden="1" outlineLevel="1">
      <c r="A2673" s="381" t="s">
        <v>2310</v>
      </c>
      <c r="B2673" s="778">
        <v>44705.78</v>
      </c>
      <c r="C2673" s="125">
        <v>0</v>
      </c>
      <c r="D2673" s="125">
        <v>0</v>
      </c>
      <c r="E2673" s="125">
        <v>0</v>
      </c>
      <c r="F2673" s="207">
        <v>0</v>
      </c>
      <c r="G2673" s="199">
        <v>0</v>
      </c>
      <c r="H2673" s="199">
        <v>0</v>
      </c>
      <c r="I2673" s="775">
        <f t="shared" si="59"/>
        <v>44705.78</v>
      </c>
      <c r="J2673" s="192" t="s">
        <v>2311</v>
      </c>
    </row>
    <row r="2674" spans="1:10" hidden="1" outlineLevel="1">
      <c r="A2674" s="381" t="s">
        <v>1891</v>
      </c>
      <c r="B2674" s="778">
        <v>9671.44</v>
      </c>
      <c r="C2674" s="125">
        <v>0</v>
      </c>
      <c r="D2674" s="125">
        <v>0</v>
      </c>
      <c r="E2674" s="125">
        <v>0</v>
      </c>
      <c r="F2674" s="207">
        <v>0</v>
      </c>
      <c r="G2674" s="199">
        <v>0</v>
      </c>
      <c r="H2674" s="199">
        <v>0</v>
      </c>
      <c r="I2674" s="775">
        <f t="shared" si="59"/>
        <v>9671.44</v>
      </c>
      <c r="J2674" s="192" t="s">
        <v>1892</v>
      </c>
    </row>
    <row r="2675" spans="1:10" hidden="1" outlineLevel="1">
      <c r="A2675" s="381" t="s">
        <v>951</v>
      </c>
      <c r="B2675" s="778">
        <v>3725.62</v>
      </c>
      <c r="C2675" s="125">
        <v>0</v>
      </c>
      <c r="D2675" s="125">
        <v>0</v>
      </c>
      <c r="E2675" s="125">
        <v>0</v>
      </c>
      <c r="F2675" s="207">
        <v>0</v>
      </c>
      <c r="G2675" s="199">
        <v>0</v>
      </c>
      <c r="H2675" s="199">
        <v>0</v>
      </c>
      <c r="I2675" s="775">
        <f t="shared" si="59"/>
        <v>3725.62</v>
      </c>
      <c r="J2675" s="192" t="s">
        <v>2312</v>
      </c>
    </row>
    <row r="2676" spans="1:10" hidden="1" outlineLevel="1">
      <c r="A2676" s="381" t="s">
        <v>1893</v>
      </c>
      <c r="B2676" s="778">
        <v>12483747.779999999</v>
      </c>
      <c r="C2676" s="125">
        <v>0</v>
      </c>
      <c r="D2676" s="125">
        <v>0</v>
      </c>
      <c r="E2676" s="125">
        <v>0</v>
      </c>
      <c r="F2676" s="207">
        <v>22735.37</v>
      </c>
      <c r="G2676" s="199">
        <v>0</v>
      </c>
      <c r="H2676" s="199">
        <v>0</v>
      </c>
      <c r="I2676" s="775">
        <f t="shared" si="59"/>
        <v>12506483.149999999</v>
      </c>
      <c r="J2676" s="192" t="s">
        <v>1894</v>
      </c>
    </row>
    <row r="2677" spans="1:10" hidden="1" outlineLevel="1">
      <c r="A2677" s="381" t="s">
        <v>1895</v>
      </c>
      <c r="B2677" s="778">
        <v>13478730.890000001</v>
      </c>
      <c r="C2677" s="125">
        <v>0</v>
      </c>
      <c r="D2677" s="125">
        <v>0</v>
      </c>
      <c r="E2677" s="125">
        <v>0</v>
      </c>
      <c r="F2677" s="207">
        <v>0</v>
      </c>
      <c r="G2677" s="199">
        <v>0</v>
      </c>
      <c r="H2677" s="199">
        <v>0</v>
      </c>
      <c r="I2677" s="775">
        <f t="shared" si="59"/>
        <v>13478730.890000001</v>
      </c>
      <c r="J2677" s="192" t="s">
        <v>1896</v>
      </c>
    </row>
    <row r="2678" spans="1:10" hidden="1" outlineLevel="1">
      <c r="A2678" s="381" t="s">
        <v>1683</v>
      </c>
      <c r="B2678" s="778">
        <v>1298595.6599999999</v>
      </c>
      <c r="C2678" s="125">
        <v>0</v>
      </c>
      <c r="D2678" s="125">
        <v>0</v>
      </c>
      <c r="E2678" s="125">
        <v>0</v>
      </c>
      <c r="F2678" s="207">
        <v>0</v>
      </c>
      <c r="G2678" s="199">
        <v>0</v>
      </c>
      <c r="H2678" s="199">
        <v>0</v>
      </c>
      <c r="I2678" s="775">
        <f t="shared" si="59"/>
        <v>1298595.6599999999</v>
      </c>
      <c r="J2678" s="192" t="s">
        <v>1684</v>
      </c>
    </row>
    <row r="2679" spans="1:10" hidden="1" outlineLevel="1">
      <c r="A2679" s="381" t="s">
        <v>1897</v>
      </c>
      <c r="B2679" s="778">
        <v>249164.87</v>
      </c>
      <c r="C2679" s="125">
        <v>0</v>
      </c>
      <c r="D2679" s="125">
        <v>0</v>
      </c>
      <c r="E2679" s="125">
        <v>0</v>
      </c>
      <c r="F2679" s="207">
        <v>0</v>
      </c>
      <c r="G2679" s="199">
        <v>0</v>
      </c>
      <c r="H2679" s="199">
        <v>0</v>
      </c>
      <c r="I2679" s="775">
        <f t="shared" si="59"/>
        <v>249164.87</v>
      </c>
      <c r="J2679" s="192" t="s">
        <v>1898</v>
      </c>
    </row>
    <row r="2680" spans="1:10" hidden="1" outlineLevel="1">
      <c r="A2680" s="381" t="s">
        <v>977</v>
      </c>
      <c r="B2680" s="778">
        <v>130480959.84999999</v>
      </c>
      <c r="C2680" s="125">
        <v>0</v>
      </c>
      <c r="D2680" s="125">
        <v>0</v>
      </c>
      <c r="E2680" s="125">
        <v>0</v>
      </c>
      <c r="F2680" s="207">
        <v>16774.66</v>
      </c>
      <c r="G2680" s="199">
        <v>0</v>
      </c>
      <c r="H2680" s="199">
        <v>0</v>
      </c>
      <c r="I2680" s="775">
        <f t="shared" si="59"/>
        <v>130497734.50999999</v>
      </c>
      <c r="J2680" s="192" t="s">
        <v>978</v>
      </c>
    </row>
    <row r="2681" spans="1:10" hidden="1" outlineLevel="1">
      <c r="A2681" s="381" t="s">
        <v>1899</v>
      </c>
      <c r="B2681" s="778">
        <v>715047.47</v>
      </c>
      <c r="C2681" s="125">
        <v>0</v>
      </c>
      <c r="D2681" s="125">
        <v>0</v>
      </c>
      <c r="E2681" s="125">
        <v>0</v>
      </c>
      <c r="F2681" s="207">
        <v>0</v>
      </c>
      <c r="G2681" s="199">
        <v>0</v>
      </c>
      <c r="H2681" s="199">
        <v>0</v>
      </c>
      <c r="I2681" s="775">
        <f t="shared" si="59"/>
        <v>715047.47</v>
      </c>
      <c r="J2681" s="192" t="s">
        <v>1900</v>
      </c>
    </row>
    <row r="2682" spans="1:10" hidden="1" outlineLevel="1">
      <c r="A2682" s="381" t="s">
        <v>1901</v>
      </c>
      <c r="B2682" s="778">
        <v>871694.66</v>
      </c>
      <c r="C2682" s="125">
        <v>0</v>
      </c>
      <c r="D2682" s="125">
        <v>0</v>
      </c>
      <c r="E2682" s="125">
        <v>0</v>
      </c>
      <c r="F2682" s="207">
        <v>0</v>
      </c>
      <c r="G2682" s="199">
        <v>0</v>
      </c>
      <c r="H2682" s="199">
        <v>0</v>
      </c>
      <c r="I2682" s="775">
        <f t="shared" si="59"/>
        <v>871694.66</v>
      </c>
      <c r="J2682" s="192" t="s">
        <v>1902</v>
      </c>
    </row>
    <row r="2683" spans="1:10" hidden="1" outlineLevel="1">
      <c r="A2683" s="381" t="s">
        <v>1903</v>
      </c>
      <c r="B2683" s="778">
        <v>15139128.33</v>
      </c>
      <c r="C2683" s="125">
        <v>0</v>
      </c>
      <c r="D2683" s="125">
        <v>0</v>
      </c>
      <c r="E2683" s="125">
        <v>0</v>
      </c>
      <c r="F2683" s="207">
        <v>0</v>
      </c>
      <c r="G2683" s="199">
        <v>0</v>
      </c>
      <c r="H2683" s="199">
        <v>0</v>
      </c>
      <c r="I2683" s="775">
        <f t="shared" si="59"/>
        <v>15139128.33</v>
      </c>
      <c r="J2683" s="192" t="s">
        <v>1904</v>
      </c>
    </row>
    <row r="2684" spans="1:10" hidden="1" outlineLevel="1">
      <c r="A2684" s="381" t="s">
        <v>1905</v>
      </c>
      <c r="B2684" s="778">
        <v>5079982.88</v>
      </c>
      <c r="C2684" s="125">
        <v>0</v>
      </c>
      <c r="D2684" s="125">
        <v>0</v>
      </c>
      <c r="E2684" s="125">
        <v>0</v>
      </c>
      <c r="F2684" s="207">
        <v>0</v>
      </c>
      <c r="G2684" s="199">
        <v>0</v>
      </c>
      <c r="H2684" s="199">
        <v>0</v>
      </c>
      <c r="I2684" s="775">
        <f t="shared" si="59"/>
        <v>5079982.88</v>
      </c>
      <c r="J2684" s="192" t="s">
        <v>1906</v>
      </c>
    </row>
    <row r="2685" spans="1:10" hidden="1" outlineLevel="1">
      <c r="A2685" s="381" t="s">
        <v>1907</v>
      </c>
      <c r="B2685" s="778">
        <v>119677.64</v>
      </c>
      <c r="C2685" s="125">
        <v>0</v>
      </c>
      <c r="D2685" s="125">
        <v>0</v>
      </c>
      <c r="E2685" s="125">
        <v>0</v>
      </c>
      <c r="F2685" s="207">
        <v>0</v>
      </c>
      <c r="G2685" s="199">
        <v>0</v>
      </c>
      <c r="H2685" s="199">
        <v>0</v>
      </c>
      <c r="I2685" s="775">
        <f t="shared" si="59"/>
        <v>119677.64</v>
      </c>
      <c r="J2685" s="192" t="s">
        <v>1908</v>
      </c>
    </row>
    <row r="2686" spans="1:10" hidden="1" outlineLevel="1">
      <c r="A2686" s="381" t="s">
        <v>2313</v>
      </c>
      <c r="B2686" s="778">
        <v>816616.47</v>
      </c>
      <c r="C2686" s="125">
        <v>0</v>
      </c>
      <c r="D2686" s="125">
        <v>0</v>
      </c>
      <c r="E2686" s="125">
        <v>0</v>
      </c>
      <c r="F2686" s="207">
        <v>0</v>
      </c>
      <c r="G2686" s="199">
        <v>0</v>
      </c>
      <c r="H2686" s="199">
        <v>0</v>
      </c>
      <c r="I2686" s="775">
        <f t="shared" si="59"/>
        <v>816616.47</v>
      </c>
      <c r="J2686" s="192" t="s">
        <v>2314</v>
      </c>
    </row>
    <row r="2687" spans="1:10" hidden="1" outlineLevel="1">
      <c r="A2687" s="381" t="s">
        <v>1909</v>
      </c>
      <c r="B2687" s="778">
        <v>625206.01</v>
      </c>
      <c r="C2687" s="125">
        <v>0</v>
      </c>
      <c r="D2687" s="125">
        <v>0</v>
      </c>
      <c r="E2687" s="125">
        <v>0</v>
      </c>
      <c r="F2687" s="207">
        <v>0</v>
      </c>
      <c r="G2687" s="199">
        <v>0</v>
      </c>
      <c r="H2687" s="199">
        <v>0</v>
      </c>
      <c r="I2687" s="775">
        <f t="shared" si="59"/>
        <v>625206.01</v>
      </c>
      <c r="J2687" s="192" t="s">
        <v>1910</v>
      </c>
    </row>
    <row r="2688" spans="1:10" hidden="1" outlineLevel="1">
      <c r="A2688" s="381" t="s">
        <v>1911</v>
      </c>
      <c r="B2688" s="778">
        <v>1754028.5</v>
      </c>
      <c r="C2688" s="125">
        <v>0</v>
      </c>
      <c r="D2688" s="125">
        <v>0</v>
      </c>
      <c r="E2688" s="125">
        <v>0</v>
      </c>
      <c r="F2688" s="207">
        <v>0</v>
      </c>
      <c r="G2688" s="199">
        <v>0</v>
      </c>
      <c r="H2688" s="199">
        <v>0</v>
      </c>
      <c r="I2688" s="775">
        <f t="shared" si="59"/>
        <v>1754028.5</v>
      </c>
      <c r="J2688" s="192" t="s">
        <v>1912</v>
      </c>
    </row>
    <row r="2689" spans="1:10" hidden="1" outlineLevel="1">
      <c r="A2689" s="381" t="s">
        <v>1913</v>
      </c>
      <c r="B2689" s="778">
        <v>1253633.04</v>
      </c>
      <c r="C2689" s="125">
        <v>0</v>
      </c>
      <c r="D2689" s="125">
        <v>0</v>
      </c>
      <c r="E2689" s="125">
        <v>0</v>
      </c>
      <c r="F2689" s="207">
        <v>0</v>
      </c>
      <c r="G2689" s="199">
        <v>0</v>
      </c>
      <c r="H2689" s="199">
        <v>0</v>
      </c>
      <c r="I2689" s="775">
        <f t="shared" si="59"/>
        <v>1253633.04</v>
      </c>
      <c r="J2689" s="192" t="s">
        <v>1914</v>
      </c>
    </row>
    <row r="2690" spans="1:10" hidden="1" outlineLevel="1">
      <c r="A2690" s="381" t="s">
        <v>1915</v>
      </c>
      <c r="B2690" s="778">
        <v>3489895.72</v>
      </c>
      <c r="C2690" s="125">
        <v>0</v>
      </c>
      <c r="D2690" s="125">
        <v>0</v>
      </c>
      <c r="E2690" s="125">
        <v>0</v>
      </c>
      <c r="F2690" s="207">
        <v>0</v>
      </c>
      <c r="G2690" s="199">
        <v>0</v>
      </c>
      <c r="H2690" s="199">
        <v>0</v>
      </c>
      <c r="I2690" s="775">
        <f t="shared" si="59"/>
        <v>3489895.72</v>
      </c>
      <c r="J2690" s="192" t="s">
        <v>1916</v>
      </c>
    </row>
    <row r="2691" spans="1:10" hidden="1" outlineLevel="1">
      <c r="A2691" s="381" t="s">
        <v>1917</v>
      </c>
      <c r="B2691" s="778">
        <v>728904.43</v>
      </c>
      <c r="C2691" s="125">
        <v>0</v>
      </c>
      <c r="D2691" s="125">
        <v>0</v>
      </c>
      <c r="E2691" s="125">
        <v>0</v>
      </c>
      <c r="F2691" s="207">
        <v>0</v>
      </c>
      <c r="G2691" s="199">
        <v>0</v>
      </c>
      <c r="H2691" s="199">
        <v>0</v>
      </c>
      <c r="I2691" s="775">
        <f t="shared" ref="I2691:I2754" si="60">SUM(B2691:H2691)</f>
        <v>728904.43</v>
      </c>
      <c r="J2691" s="192" t="s">
        <v>1918</v>
      </c>
    </row>
    <row r="2692" spans="1:10" hidden="1" outlineLevel="1">
      <c r="A2692" s="381" t="s">
        <v>1919</v>
      </c>
      <c r="B2692" s="778">
        <v>1719158.93</v>
      </c>
      <c r="C2692" s="125">
        <v>0</v>
      </c>
      <c r="D2692" s="125">
        <v>0</v>
      </c>
      <c r="E2692" s="125">
        <v>0</v>
      </c>
      <c r="F2692" s="207">
        <v>0</v>
      </c>
      <c r="G2692" s="199">
        <v>0</v>
      </c>
      <c r="H2692" s="199">
        <v>0</v>
      </c>
      <c r="I2692" s="775">
        <f t="shared" si="60"/>
        <v>1719158.93</v>
      </c>
      <c r="J2692" s="192" t="s">
        <v>1920</v>
      </c>
    </row>
    <row r="2693" spans="1:10" hidden="1" outlineLevel="1">
      <c r="A2693" s="381" t="s">
        <v>1921</v>
      </c>
      <c r="B2693" s="778">
        <v>332988.64</v>
      </c>
      <c r="C2693" s="125">
        <v>0</v>
      </c>
      <c r="D2693" s="125">
        <v>0</v>
      </c>
      <c r="E2693" s="125">
        <v>0</v>
      </c>
      <c r="F2693" s="207">
        <v>0</v>
      </c>
      <c r="G2693" s="199">
        <v>0</v>
      </c>
      <c r="H2693" s="199">
        <v>0</v>
      </c>
      <c r="I2693" s="775">
        <f t="shared" si="60"/>
        <v>332988.64</v>
      </c>
      <c r="J2693" s="192" t="s">
        <v>1922</v>
      </c>
    </row>
    <row r="2694" spans="1:10" hidden="1" outlineLevel="1">
      <c r="A2694" s="381" t="s">
        <v>1923</v>
      </c>
      <c r="B2694" s="778">
        <v>162884.97</v>
      </c>
      <c r="C2694" s="125">
        <v>0</v>
      </c>
      <c r="D2694" s="125">
        <v>0</v>
      </c>
      <c r="E2694" s="125">
        <v>0</v>
      </c>
      <c r="F2694" s="207">
        <v>0</v>
      </c>
      <c r="G2694" s="199">
        <v>0</v>
      </c>
      <c r="H2694" s="199">
        <v>0</v>
      </c>
      <c r="I2694" s="775">
        <f t="shared" si="60"/>
        <v>162884.97</v>
      </c>
      <c r="J2694" s="192" t="s">
        <v>1924</v>
      </c>
    </row>
    <row r="2695" spans="1:10" hidden="1" outlineLevel="1">
      <c r="A2695" s="381" t="s">
        <v>1925</v>
      </c>
      <c r="B2695" s="778">
        <v>628304.57999999996</v>
      </c>
      <c r="C2695" s="125">
        <v>0</v>
      </c>
      <c r="D2695" s="125">
        <v>0</v>
      </c>
      <c r="E2695" s="125">
        <v>0</v>
      </c>
      <c r="F2695" s="207">
        <v>0</v>
      </c>
      <c r="G2695" s="199">
        <v>0</v>
      </c>
      <c r="H2695" s="199">
        <v>0</v>
      </c>
      <c r="I2695" s="775">
        <f t="shared" si="60"/>
        <v>628304.57999999996</v>
      </c>
      <c r="J2695" s="192" t="s">
        <v>1926</v>
      </c>
    </row>
    <row r="2696" spans="1:10" hidden="1" outlineLevel="1">
      <c r="A2696" s="381" t="s">
        <v>1927</v>
      </c>
      <c r="B2696" s="778">
        <v>428296.41</v>
      </c>
      <c r="C2696" s="125">
        <v>0</v>
      </c>
      <c r="D2696" s="125">
        <v>0</v>
      </c>
      <c r="E2696" s="125">
        <v>0</v>
      </c>
      <c r="F2696" s="207">
        <v>0</v>
      </c>
      <c r="G2696" s="199">
        <v>0</v>
      </c>
      <c r="H2696" s="199">
        <v>0</v>
      </c>
      <c r="I2696" s="775">
        <f t="shared" si="60"/>
        <v>428296.41</v>
      </c>
      <c r="J2696" s="192" t="s">
        <v>1928</v>
      </c>
    </row>
    <row r="2697" spans="1:10" hidden="1" outlineLevel="1">
      <c r="A2697" s="381" t="s">
        <v>1929</v>
      </c>
      <c r="B2697" s="778">
        <v>303380.34999999998</v>
      </c>
      <c r="C2697" s="125">
        <v>0</v>
      </c>
      <c r="D2697" s="125">
        <v>0</v>
      </c>
      <c r="E2697" s="125">
        <v>0</v>
      </c>
      <c r="F2697" s="207">
        <v>114.83</v>
      </c>
      <c r="G2697" s="199">
        <v>0</v>
      </c>
      <c r="H2697" s="199">
        <v>0</v>
      </c>
      <c r="I2697" s="775">
        <f t="shared" si="60"/>
        <v>303495.18</v>
      </c>
      <c r="J2697" s="192" t="s">
        <v>1930</v>
      </c>
    </row>
    <row r="2698" spans="1:10" hidden="1" outlineLevel="1">
      <c r="A2698" s="381" t="s">
        <v>1931</v>
      </c>
      <c r="B2698" s="778">
        <v>1780770.52</v>
      </c>
      <c r="C2698" s="125">
        <v>0</v>
      </c>
      <c r="D2698" s="125">
        <v>0</v>
      </c>
      <c r="E2698" s="125">
        <v>0</v>
      </c>
      <c r="F2698" s="207">
        <v>0</v>
      </c>
      <c r="G2698" s="199">
        <v>0</v>
      </c>
      <c r="H2698" s="199">
        <v>0</v>
      </c>
      <c r="I2698" s="775">
        <f t="shared" si="60"/>
        <v>1780770.52</v>
      </c>
      <c r="J2698" s="192" t="s">
        <v>1932</v>
      </c>
    </row>
    <row r="2699" spans="1:10" hidden="1" outlineLevel="1">
      <c r="A2699" s="381" t="s">
        <v>1933</v>
      </c>
      <c r="B2699" s="778">
        <v>1041954.89</v>
      </c>
      <c r="C2699" s="125">
        <v>0</v>
      </c>
      <c r="D2699" s="125">
        <v>0</v>
      </c>
      <c r="E2699" s="125">
        <v>0</v>
      </c>
      <c r="F2699" s="207">
        <v>0</v>
      </c>
      <c r="G2699" s="199">
        <v>0</v>
      </c>
      <c r="H2699" s="199">
        <v>0</v>
      </c>
      <c r="I2699" s="775">
        <f t="shared" si="60"/>
        <v>1041954.89</v>
      </c>
      <c r="J2699" s="192" t="s">
        <v>1934</v>
      </c>
    </row>
    <row r="2700" spans="1:10" hidden="1" outlineLevel="1">
      <c r="A2700" s="381" t="s">
        <v>1935</v>
      </c>
      <c r="B2700" s="778">
        <v>1542381.53</v>
      </c>
      <c r="C2700" s="125">
        <v>0</v>
      </c>
      <c r="D2700" s="125">
        <v>0</v>
      </c>
      <c r="E2700" s="125">
        <v>0</v>
      </c>
      <c r="F2700" s="207">
        <v>0</v>
      </c>
      <c r="G2700" s="199">
        <v>0</v>
      </c>
      <c r="H2700" s="199">
        <v>0</v>
      </c>
      <c r="I2700" s="775">
        <f t="shared" si="60"/>
        <v>1542381.53</v>
      </c>
      <c r="J2700" s="192" t="s">
        <v>1936</v>
      </c>
    </row>
    <row r="2701" spans="1:10" hidden="1" outlineLevel="1">
      <c r="A2701" s="381" t="s">
        <v>1937</v>
      </c>
      <c r="B2701" s="778">
        <v>985729.32</v>
      </c>
      <c r="C2701" s="125">
        <v>0</v>
      </c>
      <c r="D2701" s="125">
        <v>0</v>
      </c>
      <c r="E2701" s="125">
        <v>0</v>
      </c>
      <c r="F2701" s="207">
        <v>0</v>
      </c>
      <c r="G2701" s="199">
        <v>0</v>
      </c>
      <c r="H2701" s="199">
        <v>0</v>
      </c>
      <c r="I2701" s="775">
        <f t="shared" si="60"/>
        <v>985729.32</v>
      </c>
      <c r="J2701" s="192" t="s">
        <v>1938</v>
      </c>
    </row>
    <row r="2702" spans="1:10" hidden="1" outlineLevel="1">
      <c r="A2702" s="381" t="s">
        <v>1939</v>
      </c>
      <c r="B2702" s="778">
        <v>413178.87</v>
      </c>
      <c r="C2702" s="125">
        <v>0</v>
      </c>
      <c r="D2702" s="125">
        <v>0</v>
      </c>
      <c r="E2702" s="125">
        <v>0</v>
      </c>
      <c r="F2702" s="207">
        <v>0</v>
      </c>
      <c r="G2702" s="199">
        <v>0</v>
      </c>
      <c r="H2702" s="199">
        <v>0</v>
      </c>
      <c r="I2702" s="775">
        <f t="shared" si="60"/>
        <v>413178.87</v>
      </c>
      <c r="J2702" s="192" t="s">
        <v>1940</v>
      </c>
    </row>
    <row r="2703" spans="1:10" hidden="1" outlineLevel="1">
      <c r="A2703" s="381" t="s">
        <v>1941</v>
      </c>
      <c r="B2703" s="778">
        <v>1020481.91</v>
      </c>
      <c r="C2703" s="125">
        <v>0</v>
      </c>
      <c r="D2703" s="125">
        <v>0</v>
      </c>
      <c r="E2703" s="125">
        <v>0</v>
      </c>
      <c r="F2703" s="207">
        <v>0</v>
      </c>
      <c r="G2703" s="199">
        <v>0</v>
      </c>
      <c r="H2703" s="199">
        <v>0</v>
      </c>
      <c r="I2703" s="775">
        <f t="shared" si="60"/>
        <v>1020481.91</v>
      </c>
      <c r="J2703" s="192" t="s">
        <v>1942</v>
      </c>
    </row>
    <row r="2704" spans="1:10" hidden="1" outlineLevel="1">
      <c r="A2704" s="381" t="s">
        <v>1943</v>
      </c>
      <c r="B2704" s="778">
        <v>1653604.95</v>
      </c>
      <c r="C2704" s="125">
        <v>0</v>
      </c>
      <c r="D2704" s="125">
        <v>0</v>
      </c>
      <c r="E2704" s="125">
        <v>0</v>
      </c>
      <c r="F2704" s="207">
        <v>0</v>
      </c>
      <c r="G2704" s="199">
        <v>0</v>
      </c>
      <c r="H2704" s="199">
        <v>0</v>
      </c>
      <c r="I2704" s="775">
        <f t="shared" si="60"/>
        <v>1653604.95</v>
      </c>
      <c r="J2704" s="192" t="s">
        <v>1944</v>
      </c>
    </row>
    <row r="2705" spans="1:10" hidden="1" outlineLevel="1">
      <c r="A2705" s="381" t="s">
        <v>1945</v>
      </c>
      <c r="B2705" s="778">
        <v>1109612.08</v>
      </c>
      <c r="C2705" s="125">
        <v>0</v>
      </c>
      <c r="D2705" s="125">
        <v>0</v>
      </c>
      <c r="E2705" s="125">
        <v>0</v>
      </c>
      <c r="F2705" s="207">
        <v>0</v>
      </c>
      <c r="G2705" s="199">
        <v>0</v>
      </c>
      <c r="H2705" s="199">
        <v>0</v>
      </c>
      <c r="I2705" s="775">
        <f t="shared" si="60"/>
        <v>1109612.08</v>
      </c>
      <c r="J2705" s="192" t="s">
        <v>1946</v>
      </c>
    </row>
    <row r="2706" spans="1:10" hidden="1" outlineLevel="1">
      <c r="A2706" s="381" t="s">
        <v>1947</v>
      </c>
      <c r="B2706" s="778">
        <v>281898.88</v>
      </c>
      <c r="C2706" s="125">
        <v>0</v>
      </c>
      <c r="D2706" s="125">
        <v>0</v>
      </c>
      <c r="E2706" s="125">
        <v>0</v>
      </c>
      <c r="F2706" s="207">
        <v>0</v>
      </c>
      <c r="G2706" s="199">
        <v>0</v>
      </c>
      <c r="H2706" s="199">
        <v>0</v>
      </c>
      <c r="I2706" s="775">
        <f t="shared" si="60"/>
        <v>281898.88</v>
      </c>
      <c r="J2706" s="192" t="s">
        <v>1948</v>
      </c>
    </row>
    <row r="2707" spans="1:10" hidden="1" outlineLevel="1">
      <c r="A2707" s="381" t="s">
        <v>1949</v>
      </c>
      <c r="B2707" s="778">
        <v>905312.15</v>
      </c>
      <c r="C2707" s="125">
        <v>0</v>
      </c>
      <c r="D2707" s="125">
        <v>0</v>
      </c>
      <c r="E2707" s="125">
        <v>0</v>
      </c>
      <c r="F2707" s="207">
        <v>0</v>
      </c>
      <c r="G2707" s="199">
        <v>0</v>
      </c>
      <c r="H2707" s="199">
        <v>0</v>
      </c>
      <c r="I2707" s="775">
        <f t="shared" si="60"/>
        <v>905312.15</v>
      </c>
      <c r="J2707" s="192" t="s">
        <v>1950</v>
      </c>
    </row>
    <row r="2708" spans="1:10" hidden="1" outlineLevel="1">
      <c r="A2708" s="381" t="s">
        <v>1951</v>
      </c>
      <c r="B2708" s="778">
        <v>275268.42</v>
      </c>
      <c r="C2708" s="125">
        <v>0</v>
      </c>
      <c r="D2708" s="125">
        <v>0</v>
      </c>
      <c r="E2708" s="125">
        <v>0</v>
      </c>
      <c r="F2708" s="207">
        <v>0</v>
      </c>
      <c r="G2708" s="199">
        <v>0</v>
      </c>
      <c r="H2708" s="199">
        <v>0</v>
      </c>
      <c r="I2708" s="775">
        <f t="shared" si="60"/>
        <v>275268.42</v>
      </c>
      <c r="J2708" s="192" t="s">
        <v>1952</v>
      </c>
    </row>
    <row r="2709" spans="1:10" hidden="1" outlineLevel="1">
      <c r="A2709" s="381" t="s">
        <v>1953</v>
      </c>
      <c r="B2709" s="778">
        <v>1287791.31</v>
      </c>
      <c r="C2709" s="125">
        <v>0</v>
      </c>
      <c r="D2709" s="125">
        <v>0</v>
      </c>
      <c r="E2709" s="125">
        <v>0</v>
      </c>
      <c r="F2709" s="207">
        <v>1101.94</v>
      </c>
      <c r="G2709" s="199">
        <v>0</v>
      </c>
      <c r="H2709" s="199">
        <v>0</v>
      </c>
      <c r="I2709" s="775">
        <f t="shared" si="60"/>
        <v>1288893.25</v>
      </c>
      <c r="J2709" s="192" t="s">
        <v>1954</v>
      </c>
    </row>
    <row r="2710" spans="1:10" hidden="1" outlineLevel="1">
      <c r="A2710" s="381" t="s">
        <v>1955</v>
      </c>
      <c r="B2710" s="778">
        <v>1008343.07</v>
      </c>
      <c r="C2710" s="125">
        <v>0</v>
      </c>
      <c r="D2710" s="125">
        <v>0</v>
      </c>
      <c r="E2710" s="125">
        <v>0</v>
      </c>
      <c r="F2710" s="207">
        <v>0</v>
      </c>
      <c r="G2710" s="199">
        <v>0</v>
      </c>
      <c r="H2710" s="199">
        <v>0</v>
      </c>
      <c r="I2710" s="775">
        <f t="shared" si="60"/>
        <v>1008343.07</v>
      </c>
      <c r="J2710" s="192" t="s">
        <v>1956</v>
      </c>
    </row>
    <row r="2711" spans="1:10" hidden="1" outlineLevel="1">
      <c r="A2711" s="381" t="s">
        <v>1957</v>
      </c>
      <c r="B2711" s="778">
        <v>754598.82</v>
      </c>
      <c r="C2711" s="125">
        <v>0</v>
      </c>
      <c r="D2711" s="125">
        <v>0</v>
      </c>
      <c r="E2711" s="125">
        <v>0</v>
      </c>
      <c r="F2711" s="207">
        <v>0</v>
      </c>
      <c r="G2711" s="199">
        <v>0</v>
      </c>
      <c r="H2711" s="199">
        <v>0</v>
      </c>
      <c r="I2711" s="775">
        <f t="shared" si="60"/>
        <v>754598.82</v>
      </c>
      <c r="J2711" s="192" t="s">
        <v>1958</v>
      </c>
    </row>
    <row r="2712" spans="1:10" hidden="1" outlineLevel="1">
      <c r="A2712" s="381" t="s">
        <v>1959</v>
      </c>
      <c r="B2712" s="778">
        <v>215503.37</v>
      </c>
      <c r="C2712" s="125">
        <v>0</v>
      </c>
      <c r="D2712" s="125">
        <v>0</v>
      </c>
      <c r="E2712" s="125">
        <v>0</v>
      </c>
      <c r="F2712" s="207">
        <v>0</v>
      </c>
      <c r="G2712" s="199">
        <v>0</v>
      </c>
      <c r="H2712" s="199">
        <v>0</v>
      </c>
      <c r="I2712" s="775">
        <f t="shared" si="60"/>
        <v>215503.37</v>
      </c>
      <c r="J2712" s="192" t="s">
        <v>1960</v>
      </c>
    </row>
    <row r="2713" spans="1:10" hidden="1" outlineLevel="1">
      <c r="A2713" s="381" t="s">
        <v>1961</v>
      </c>
      <c r="B2713" s="778">
        <v>281564.52</v>
      </c>
      <c r="C2713" s="125">
        <v>0</v>
      </c>
      <c r="D2713" s="125">
        <v>0</v>
      </c>
      <c r="E2713" s="125">
        <v>0</v>
      </c>
      <c r="F2713" s="207">
        <v>0</v>
      </c>
      <c r="G2713" s="199">
        <v>0</v>
      </c>
      <c r="H2713" s="199">
        <v>0</v>
      </c>
      <c r="I2713" s="775">
        <f t="shared" si="60"/>
        <v>281564.52</v>
      </c>
      <c r="J2713" s="192" t="s">
        <v>1962</v>
      </c>
    </row>
    <row r="2714" spans="1:10" hidden="1" outlineLevel="1">
      <c r="A2714" s="381" t="s">
        <v>1963</v>
      </c>
      <c r="B2714" s="778">
        <v>6066322.6799999997</v>
      </c>
      <c r="C2714" s="125">
        <v>0</v>
      </c>
      <c r="D2714" s="125">
        <v>0</v>
      </c>
      <c r="E2714" s="125">
        <v>0</v>
      </c>
      <c r="F2714" s="207">
        <v>9971.16</v>
      </c>
      <c r="G2714" s="199">
        <v>0</v>
      </c>
      <c r="H2714" s="199">
        <v>0</v>
      </c>
      <c r="I2714" s="775">
        <f t="shared" si="60"/>
        <v>6076293.8399999999</v>
      </c>
      <c r="J2714" s="192" t="s">
        <v>1964</v>
      </c>
    </row>
    <row r="2715" spans="1:10" hidden="1" outlineLevel="1">
      <c r="A2715" s="381" t="s">
        <v>1965</v>
      </c>
      <c r="B2715" s="778">
        <v>662072.15</v>
      </c>
      <c r="C2715" s="125">
        <v>0</v>
      </c>
      <c r="D2715" s="125">
        <v>0</v>
      </c>
      <c r="E2715" s="125">
        <v>0</v>
      </c>
      <c r="F2715" s="207">
        <v>0</v>
      </c>
      <c r="G2715" s="199">
        <v>0</v>
      </c>
      <c r="H2715" s="199">
        <v>0</v>
      </c>
      <c r="I2715" s="775">
        <f t="shared" si="60"/>
        <v>662072.15</v>
      </c>
      <c r="J2715" s="192" t="s">
        <v>1966</v>
      </c>
    </row>
    <row r="2716" spans="1:10" hidden="1" outlineLevel="1">
      <c r="A2716" s="381" t="s">
        <v>1967</v>
      </c>
      <c r="B2716" s="778">
        <v>9968073.0700000003</v>
      </c>
      <c r="C2716" s="125">
        <v>0</v>
      </c>
      <c r="D2716" s="125">
        <v>0</v>
      </c>
      <c r="E2716" s="125">
        <v>0</v>
      </c>
      <c r="F2716" s="207">
        <v>24210.57</v>
      </c>
      <c r="G2716" s="199">
        <v>0</v>
      </c>
      <c r="H2716" s="199">
        <v>0</v>
      </c>
      <c r="I2716" s="775">
        <f t="shared" si="60"/>
        <v>9992283.6400000006</v>
      </c>
      <c r="J2716" s="192" t="s">
        <v>1968</v>
      </c>
    </row>
    <row r="2717" spans="1:10" hidden="1" outlineLevel="1">
      <c r="A2717" s="381" t="s">
        <v>1969</v>
      </c>
      <c r="B2717" s="778">
        <v>2099423.4900000002</v>
      </c>
      <c r="C2717" s="125">
        <v>0</v>
      </c>
      <c r="D2717" s="125">
        <v>0</v>
      </c>
      <c r="E2717" s="125">
        <v>0</v>
      </c>
      <c r="F2717" s="207">
        <v>0</v>
      </c>
      <c r="G2717" s="199">
        <v>0</v>
      </c>
      <c r="H2717" s="199">
        <v>0</v>
      </c>
      <c r="I2717" s="775">
        <f t="shared" si="60"/>
        <v>2099423.4900000002</v>
      </c>
      <c r="J2717" s="192" t="s">
        <v>1970</v>
      </c>
    </row>
    <row r="2718" spans="1:10" hidden="1" outlineLevel="1">
      <c r="A2718" s="381" t="s">
        <v>1971</v>
      </c>
      <c r="B2718" s="778">
        <v>1132547.01</v>
      </c>
      <c r="C2718" s="125">
        <v>0</v>
      </c>
      <c r="D2718" s="125">
        <v>0</v>
      </c>
      <c r="E2718" s="125">
        <v>0</v>
      </c>
      <c r="F2718" s="207">
        <v>0</v>
      </c>
      <c r="G2718" s="199">
        <v>0</v>
      </c>
      <c r="H2718" s="199">
        <v>0</v>
      </c>
      <c r="I2718" s="775">
        <f t="shared" si="60"/>
        <v>1132547.01</v>
      </c>
      <c r="J2718" s="192" t="s">
        <v>1972</v>
      </c>
    </row>
    <row r="2719" spans="1:10" hidden="1" outlineLevel="1">
      <c r="A2719" s="381" t="s">
        <v>1132</v>
      </c>
      <c r="B2719" s="778">
        <v>2968777.84</v>
      </c>
      <c r="C2719" s="125">
        <v>0</v>
      </c>
      <c r="D2719" s="125">
        <v>0</v>
      </c>
      <c r="E2719" s="125">
        <v>0</v>
      </c>
      <c r="F2719" s="207">
        <v>0</v>
      </c>
      <c r="G2719" s="199">
        <v>0</v>
      </c>
      <c r="H2719" s="199">
        <v>0</v>
      </c>
      <c r="I2719" s="775">
        <f t="shared" si="60"/>
        <v>2968777.84</v>
      </c>
      <c r="J2719" s="192" t="s">
        <v>1133</v>
      </c>
    </row>
    <row r="2720" spans="1:10" hidden="1" outlineLevel="1">
      <c r="A2720" s="381" t="s">
        <v>1973</v>
      </c>
      <c r="B2720" s="778">
        <v>300798.05</v>
      </c>
      <c r="C2720" s="125">
        <v>0</v>
      </c>
      <c r="D2720" s="125">
        <v>0</v>
      </c>
      <c r="E2720" s="125">
        <v>0</v>
      </c>
      <c r="F2720" s="207">
        <v>0</v>
      </c>
      <c r="G2720" s="199">
        <v>0</v>
      </c>
      <c r="H2720" s="199">
        <v>0</v>
      </c>
      <c r="I2720" s="775">
        <f t="shared" si="60"/>
        <v>300798.05</v>
      </c>
      <c r="J2720" s="192" t="s">
        <v>1974</v>
      </c>
    </row>
    <row r="2721" spans="1:10" hidden="1" outlineLevel="1">
      <c r="A2721" s="381" t="s">
        <v>1975</v>
      </c>
      <c r="B2721" s="778">
        <v>687438.65</v>
      </c>
      <c r="C2721" s="125">
        <v>0</v>
      </c>
      <c r="D2721" s="125">
        <v>0</v>
      </c>
      <c r="E2721" s="125">
        <v>0</v>
      </c>
      <c r="F2721" s="207">
        <v>0</v>
      </c>
      <c r="G2721" s="199">
        <v>0</v>
      </c>
      <c r="H2721" s="199">
        <v>0</v>
      </c>
      <c r="I2721" s="775">
        <f t="shared" si="60"/>
        <v>687438.65</v>
      </c>
      <c r="J2721" s="192" t="s">
        <v>1976</v>
      </c>
    </row>
    <row r="2722" spans="1:10" hidden="1" outlineLevel="1">
      <c r="A2722" s="381" t="s">
        <v>1977</v>
      </c>
      <c r="B2722" s="778">
        <v>921286.33</v>
      </c>
      <c r="C2722" s="125">
        <v>0</v>
      </c>
      <c r="D2722" s="125">
        <v>0</v>
      </c>
      <c r="E2722" s="125">
        <v>0</v>
      </c>
      <c r="F2722" s="207">
        <v>0</v>
      </c>
      <c r="G2722" s="199">
        <v>0</v>
      </c>
      <c r="H2722" s="199">
        <v>0</v>
      </c>
      <c r="I2722" s="775">
        <f t="shared" si="60"/>
        <v>921286.33</v>
      </c>
      <c r="J2722" s="192" t="s">
        <v>1978</v>
      </c>
    </row>
    <row r="2723" spans="1:10" hidden="1" outlineLevel="1">
      <c r="A2723" s="381" t="s">
        <v>1979</v>
      </c>
      <c r="B2723" s="778">
        <v>418553.39</v>
      </c>
      <c r="C2723" s="125">
        <v>0</v>
      </c>
      <c r="D2723" s="125">
        <v>0</v>
      </c>
      <c r="E2723" s="125">
        <v>0</v>
      </c>
      <c r="F2723" s="207">
        <v>0</v>
      </c>
      <c r="G2723" s="199">
        <v>0</v>
      </c>
      <c r="H2723" s="199">
        <v>0</v>
      </c>
      <c r="I2723" s="775">
        <f t="shared" si="60"/>
        <v>418553.39</v>
      </c>
      <c r="J2723" s="192" t="s">
        <v>1980</v>
      </c>
    </row>
    <row r="2724" spans="1:10" hidden="1" outlineLevel="1">
      <c r="A2724" s="381" t="s">
        <v>1981</v>
      </c>
      <c r="B2724" s="778">
        <v>622931.62</v>
      </c>
      <c r="C2724" s="125">
        <v>0</v>
      </c>
      <c r="D2724" s="125">
        <v>0</v>
      </c>
      <c r="E2724" s="125">
        <v>0</v>
      </c>
      <c r="F2724" s="207">
        <v>0</v>
      </c>
      <c r="G2724" s="199">
        <v>0</v>
      </c>
      <c r="H2724" s="199">
        <v>0</v>
      </c>
      <c r="I2724" s="775">
        <f t="shared" si="60"/>
        <v>622931.62</v>
      </c>
      <c r="J2724" s="192" t="s">
        <v>1982</v>
      </c>
    </row>
    <row r="2725" spans="1:10" hidden="1" outlineLevel="1">
      <c r="A2725" s="381" t="s">
        <v>1983</v>
      </c>
      <c r="B2725" s="778">
        <v>210878.42</v>
      </c>
      <c r="C2725" s="125">
        <v>0</v>
      </c>
      <c r="D2725" s="125">
        <v>0</v>
      </c>
      <c r="E2725" s="125">
        <v>0</v>
      </c>
      <c r="F2725" s="207">
        <v>0</v>
      </c>
      <c r="G2725" s="199">
        <v>0</v>
      </c>
      <c r="H2725" s="199">
        <v>0</v>
      </c>
      <c r="I2725" s="775">
        <f t="shared" si="60"/>
        <v>210878.42</v>
      </c>
      <c r="J2725" s="192" t="s">
        <v>1984</v>
      </c>
    </row>
    <row r="2726" spans="1:10" hidden="1" outlineLevel="1">
      <c r="A2726" s="381" t="s">
        <v>1985</v>
      </c>
      <c r="B2726" s="778">
        <v>978322.03</v>
      </c>
      <c r="C2726" s="125">
        <v>0</v>
      </c>
      <c r="D2726" s="125">
        <v>0</v>
      </c>
      <c r="E2726" s="125">
        <v>0</v>
      </c>
      <c r="F2726" s="207">
        <v>0</v>
      </c>
      <c r="G2726" s="199">
        <v>0</v>
      </c>
      <c r="H2726" s="199">
        <v>0</v>
      </c>
      <c r="I2726" s="775">
        <f t="shared" si="60"/>
        <v>978322.03</v>
      </c>
      <c r="J2726" s="192" t="s">
        <v>1986</v>
      </c>
    </row>
    <row r="2727" spans="1:10" hidden="1" outlineLevel="1">
      <c r="A2727" s="381" t="s">
        <v>1987</v>
      </c>
      <c r="B2727" s="778">
        <v>448894.53</v>
      </c>
      <c r="C2727" s="125">
        <v>0</v>
      </c>
      <c r="D2727" s="125">
        <v>0</v>
      </c>
      <c r="E2727" s="125">
        <v>0</v>
      </c>
      <c r="F2727" s="207">
        <v>0</v>
      </c>
      <c r="G2727" s="199">
        <v>0</v>
      </c>
      <c r="H2727" s="199">
        <v>0</v>
      </c>
      <c r="I2727" s="775">
        <f t="shared" si="60"/>
        <v>448894.53</v>
      </c>
      <c r="J2727" s="192" t="s">
        <v>1988</v>
      </c>
    </row>
    <row r="2728" spans="1:10" hidden="1" outlineLevel="1">
      <c r="A2728" s="381" t="s">
        <v>1989</v>
      </c>
      <c r="B2728" s="778">
        <v>816285.73</v>
      </c>
      <c r="C2728" s="125">
        <v>0</v>
      </c>
      <c r="D2728" s="125">
        <v>0</v>
      </c>
      <c r="E2728" s="125">
        <v>0</v>
      </c>
      <c r="F2728" s="207">
        <v>0</v>
      </c>
      <c r="G2728" s="199">
        <v>0</v>
      </c>
      <c r="H2728" s="199">
        <v>0</v>
      </c>
      <c r="I2728" s="775">
        <f t="shared" si="60"/>
        <v>816285.73</v>
      </c>
      <c r="J2728" s="192" t="s">
        <v>1990</v>
      </c>
    </row>
    <row r="2729" spans="1:10" hidden="1" outlineLevel="1">
      <c r="A2729" s="381" t="s">
        <v>1991</v>
      </c>
      <c r="B2729" s="778">
        <v>1200221.23</v>
      </c>
      <c r="C2729" s="125">
        <v>0</v>
      </c>
      <c r="D2729" s="125">
        <v>0</v>
      </c>
      <c r="E2729" s="125">
        <v>0</v>
      </c>
      <c r="F2729" s="207">
        <v>0</v>
      </c>
      <c r="G2729" s="199">
        <v>0</v>
      </c>
      <c r="H2729" s="199">
        <v>0</v>
      </c>
      <c r="I2729" s="775">
        <f t="shared" si="60"/>
        <v>1200221.23</v>
      </c>
      <c r="J2729" s="192" t="s">
        <v>1992</v>
      </c>
    </row>
    <row r="2730" spans="1:10" hidden="1" outlineLevel="1">
      <c r="A2730" s="381" t="s">
        <v>1993</v>
      </c>
      <c r="B2730" s="778">
        <v>879718.89</v>
      </c>
      <c r="C2730" s="125">
        <v>0</v>
      </c>
      <c r="D2730" s="125">
        <v>0</v>
      </c>
      <c r="E2730" s="125">
        <v>0</v>
      </c>
      <c r="F2730" s="207">
        <v>0</v>
      </c>
      <c r="G2730" s="199">
        <v>0</v>
      </c>
      <c r="H2730" s="199">
        <v>0</v>
      </c>
      <c r="I2730" s="775">
        <f t="shared" si="60"/>
        <v>879718.89</v>
      </c>
      <c r="J2730" s="192" t="s">
        <v>1994</v>
      </c>
    </row>
    <row r="2731" spans="1:10" hidden="1" outlineLevel="1">
      <c r="A2731" s="381" t="s">
        <v>1995</v>
      </c>
      <c r="B2731" s="778">
        <v>800885.61</v>
      </c>
      <c r="C2731" s="125">
        <v>0</v>
      </c>
      <c r="D2731" s="125">
        <v>0</v>
      </c>
      <c r="E2731" s="125">
        <v>0</v>
      </c>
      <c r="F2731" s="207">
        <v>0</v>
      </c>
      <c r="G2731" s="199">
        <v>0</v>
      </c>
      <c r="H2731" s="199">
        <v>0</v>
      </c>
      <c r="I2731" s="775">
        <f t="shared" si="60"/>
        <v>800885.61</v>
      </c>
      <c r="J2731" s="192" t="s">
        <v>1996</v>
      </c>
    </row>
    <row r="2732" spans="1:10" hidden="1" outlineLevel="1">
      <c r="A2732" s="381" t="s">
        <v>2315</v>
      </c>
      <c r="B2732" s="778">
        <v>1537158.98</v>
      </c>
      <c r="C2732" s="125">
        <v>0</v>
      </c>
      <c r="D2732" s="125">
        <v>0</v>
      </c>
      <c r="E2732" s="125">
        <v>0</v>
      </c>
      <c r="F2732" s="207">
        <v>0</v>
      </c>
      <c r="G2732" s="199">
        <v>0</v>
      </c>
      <c r="H2732" s="199">
        <v>0</v>
      </c>
      <c r="I2732" s="775">
        <f t="shared" si="60"/>
        <v>1537158.98</v>
      </c>
      <c r="J2732" s="192" t="s">
        <v>2316</v>
      </c>
    </row>
    <row r="2733" spans="1:10" hidden="1" outlineLevel="1">
      <c r="A2733" s="381" t="s">
        <v>1154</v>
      </c>
      <c r="B2733" s="778">
        <v>2018973.25</v>
      </c>
      <c r="C2733" s="125">
        <v>0</v>
      </c>
      <c r="D2733" s="125">
        <v>0</v>
      </c>
      <c r="E2733" s="125">
        <v>0</v>
      </c>
      <c r="F2733" s="207">
        <v>0</v>
      </c>
      <c r="G2733" s="199">
        <v>0</v>
      </c>
      <c r="H2733" s="199">
        <v>0</v>
      </c>
      <c r="I2733" s="775">
        <f t="shared" si="60"/>
        <v>2018973.25</v>
      </c>
      <c r="J2733" s="192" t="s">
        <v>1155</v>
      </c>
    </row>
    <row r="2734" spans="1:10" hidden="1" outlineLevel="1">
      <c r="A2734" s="381" t="s">
        <v>1997</v>
      </c>
      <c r="B2734" s="778">
        <v>581570.72</v>
      </c>
      <c r="C2734" s="125">
        <v>0</v>
      </c>
      <c r="D2734" s="125">
        <v>0</v>
      </c>
      <c r="E2734" s="125">
        <v>0</v>
      </c>
      <c r="F2734" s="207">
        <v>0</v>
      </c>
      <c r="G2734" s="199">
        <v>0</v>
      </c>
      <c r="H2734" s="199">
        <v>0</v>
      </c>
      <c r="I2734" s="775">
        <f t="shared" si="60"/>
        <v>581570.72</v>
      </c>
      <c r="J2734" s="192" t="s">
        <v>1998</v>
      </c>
    </row>
    <row r="2735" spans="1:10" hidden="1" outlineLevel="1">
      <c r="A2735" s="381" t="s">
        <v>1999</v>
      </c>
      <c r="B2735" s="778">
        <v>1735638.73</v>
      </c>
      <c r="C2735" s="125">
        <v>0</v>
      </c>
      <c r="D2735" s="125">
        <v>0</v>
      </c>
      <c r="E2735" s="125">
        <v>0</v>
      </c>
      <c r="F2735" s="207">
        <v>0</v>
      </c>
      <c r="G2735" s="199">
        <v>0</v>
      </c>
      <c r="H2735" s="199">
        <v>0</v>
      </c>
      <c r="I2735" s="775">
        <f t="shared" si="60"/>
        <v>1735638.73</v>
      </c>
      <c r="J2735" s="192" t="s">
        <v>2000</v>
      </c>
    </row>
    <row r="2736" spans="1:10" hidden="1" outlineLevel="1">
      <c r="A2736" s="381" t="s">
        <v>2001</v>
      </c>
      <c r="B2736" s="778">
        <v>402035.68</v>
      </c>
      <c r="C2736" s="125">
        <v>0</v>
      </c>
      <c r="D2736" s="125">
        <v>0</v>
      </c>
      <c r="E2736" s="125">
        <v>0</v>
      </c>
      <c r="F2736" s="207">
        <v>0</v>
      </c>
      <c r="G2736" s="199">
        <v>0</v>
      </c>
      <c r="H2736" s="199">
        <v>0</v>
      </c>
      <c r="I2736" s="775">
        <f t="shared" si="60"/>
        <v>402035.68</v>
      </c>
      <c r="J2736" s="192" t="s">
        <v>2002</v>
      </c>
    </row>
    <row r="2737" spans="1:10" hidden="1" outlineLevel="1">
      <c r="A2737" s="381" t="s">
        <v>2003</v>
      </c>
      <c r="B2737" s="778">
        <v>3540332.3</v>
      </c>
      <c r="C2737" s="125">
        <v>0</v>
      </c>
      <c r="D2737" s="125">
        <v>0</v>
      </c>
      <c r="E2737" s="125">
        <v>0</v>
      </c>
      <c r="F2737" s="207">
        <v>0</v>
      </c>
      <c r="G2737" s="199">
        <v>0</v>
      </c>
      <c r="H2737" s="199">
        <v>0</v>
      </c>
      <c r="I2737" s="775">
        <f t="shared" si="60"/>
        <v>3540332.3</v>
      </c>
      <c r="J2737" s="192" t="s">
        <v>2004</v>
      </c>
    </row>
    <row r="2738" spans="1:10" hidden="1" outlineLevel="1">
      <c r="A2738" s="381" t="s">
        <v>2005</v>
      </c>
      <c r="B2738" s="778">
        <v>1714970.5</v>
      </c>
      <c r="C2738" s="125">
        <v>0</v>
      </c>
      <c r="D2738" s="125">
        <v>0</v>
      </c>
      <c r="E2738" s="125">
        <v>0</v>
      </c>
      <c r="F2738" s="207">
        <v>0</v>
      </c>
      <c r="G2738" s="199">
        <v>0</v>
      </c>
      <c r="H2738" s="199">
        <v>0</v>
      </c>
      <c r="I2738" s="775">
        <f t="shared" si="60"/>
        <v>1714970.5</v>
      </c>
      <c r="J2738" s="192" t="s">
        <v>2006</v>
      </c>
    </row>
    <row r="2739" spans="1:10" hidden="1" outlineLevel="1">
      <c r="A2739" s="381" t="s">
        <v>911</v>
      </c>
      <c r="B2739" s="778">
        <v>6678311.75</v>
      </c>
      <c r="C2739" s="125">
        <v>0</v>
      </c>
      <c r="D2739" s="125">
        <v>0</v>
      </c>
      <c r="E2739" s="125">
        <v>0</v>
      </c>
      <c r="F2739" s="207">
        <v>4916.3500000000004</v>
      </c>
      <c r="G2739" s="199">
        <v>0</v>
      </c>
      <c r="H2739" s="199">
        <v>0</v>
      </c>
      <c r="I2739" s="775">
        <f t="shared" si="60"/>
        <v>6683228.0999999996</v>
      </c>
      <c r="J2739" s="192" t="s">
        <v>912</v>
      </c>
    </row>
    <row r="2740" spans="1:10" hidden="1" outlineLevel="1">
      <c r="A2740" s="381" t="s">
        <v>2007</v>
      </c>
      <c r="B2740" s="778">
        <v>807420.37</v>
      </c>
      <c r="C2740" s="125">
        <v>0</v>
      </c>
      <c r="D2740" s="125">
        <v>0</v>
      </c>
      <c r="E2740" s="125">
        <v>0</v>
      </c>
      <c r="F2740" s="207">
        <v>0</v>
      </c>
      <c r="G2740" s="199">
        <v>0</v>
      </c>
      <c r="H2740" s="199">
        <v>0</v>
      </c>
      <c r="I2740" s="775">
        <f t="shared" si="60"/>
        <v>807420.37</v>
      </c>
      <c r="J2740" s="192" t="s">
        <v>2008</v>
      </c>
    </row>
    <row r="2741" spans="1:10" hidden="1" outlineLevel="1">
      <c r="A2741" s="381" t="s">
        <v>2009</v>
      </c>
      <c r="B2741" s="778">
        <v>2786179.91</v>
      </c>
      <c r="C2741" s="125">
        <v>0</v>
      </c>
      <c r="D2741" s="125">
        <v>0</v>
      </c>
      <c r="E2741" s="125">
        <v>0</v>
      </c>
      <c r="F2741" s="207">
        <v>0</v>
      </c>
      <c r="G2741" s="199">
        <v>0</v>
      </c>
      <c r="H2741" s="199">
        <v>0</v>
      </c>
      <c r="I2741" s="775">
        <f t="shared" si="60"/>
        <v>2786179.91</v>
      </c>
      <c r="J2741" s="192" t="s">
        <v>2010</v>
      </c>
    </row>
    <row r="2742" spans="1:10" hidden="1" outlineLevel="1">
      <c r="A2742" s="381" t="s">
        <v>2011</v>
      </c>
      <c r="B2742" s="778">
        <v>724696.98</v>
      </c>
      <c r="C2742" s="125">
        <v>0</v>
      </c>
      <c r="D2742" s="125">
        <v>0</v>
      </c>
      <c r="E2742" s="125">
        <v>0</v>
      </c>
      <c r="F2742" s="207">
        <v>0</v>
      </c>
      <c r="G2742" s="199">
        <v>0</v>
      </c>
      <c r="H2742" s="199">
        <v>0</v>
      </c>
      <c r="I2742" s="775">
        <f t="shared" si="60"/>
        <v>724696.98</v>
      </c>
      <c r="J2742" s="192" t="s">
        <v>2012</v>
      </c>
    </row>
    <row r="2743" spans="1:10" hidden="1" outlineLevel="1">
      <c r="A2743" s="381" t="s">
        <v>2013</v>
      </c>
      <c r="B2743" s="778">
        <v>746240.65</v>
      </c>
      <c r="C2743" s="125">
        <v>0</v>
      </c>
      <c r="D2743" s="125">
        <v>0</v>
      </c>
      <c r="E2743" s="125">
        <v>0</v>
      </c>
      <c r="F2743" s="207">
        <v>0</v>
      </c>
      <c r="G2743" s="199">
        <v>0</v>
      </c>
      <c r="H2743" s="199">
        <v>0</v>
      </c>
      <c r="I2743" s="775">
        <f t="shared" si="60"/>
        <v>746240.65</v>
      </c>
      <c r="J2743" s="192" t="s">
        <v>2014</v>
      </c>
    </row>
    <row r="2744" spans="1:10" hidden="1" outlineLevel="1">
      <c r="A2744" s="381" t="s">
        <v>2015</v>
      </c>
      <c r="B2744" s="778">
        <v>481835.03</v>
      </c>
      <c r="C2744" s="125">
        <v>0</v>
      </c>
      <c r="D2744" s="125">
        <v>0</v>
      </c>
      <c r="E2744" s="125">
        <v>0</v>
      </c>
      <c r="F2744" s="207">
        <v>0</v>
      </c>
      <c r="G2744" s="199">
        <v>0</v>
      </c>
      <c r="H2744" s="199">
        <v>0</v>
      </c>
      <c r="I2744" s="775">
        <f t="shared" si="60"/>
        <v>481835.03</v>
      </c>
      <c r="J2744" s="192" t="s">
        <v>2016</v>
      </c>
    </row>
    <row r="2745" spans="1:10" hidden="1" outlineLevel="1">
      <c r="A2745" s="381" t="s">
        <v>2017</v>
      </c>
      <c r="B2745" s="778">
        <v>470360.74</v>
      </c>
      <c r="C2745" s="125">
        <v>0</v>
      </c>
      <c r="D2745" s="125">
        <v>0</v>
      </c>
      <c r="E2745" s="125">
        <v>0</v>
      </c>
      <c r="F2745" s="207">
        <v>0</v>
      </c>
      <c r="G2745" s="199">
        <v>0</v>
      </c>
      <c r="H2745" s="199">
        <v>0</v>
      </c>
      <c r="I2745" s="775">
        <f t="shared" si="60"/>
        <v>470360.74</v>
      </c>
      <c r="J2745" s="192" t="s">
        <v>2018</v>
      </c>
    </row>
    <row r="2746" spans="1:10" hidden="1" outlineLevel="1">
      <c r="A2746" s="381" t="s">
        <v>2019</v>
      </c>
      <c r="B2746" s="778">
        <v>1432383.41</v>
      </c>
      <c r="C2746" s="125">
        <v>0</v>
      </c>
      <c r="D2746" s="125">
        <v>0</v>
      </c>
      <c r="E2746" s="125">
        <v>0</v>
      </c>
      <c r="F2746" s="207">
        <v>0</v>
      </c>
      <c r="G2746" s="199">
        <v>0</v>
      </c>
      <c r="H2746" s="199">
        <v>0</v>
      </c>
      <c r="I2746" s="775">
        <f t="shared" si="60"/>
        <v>1432383.41</v>
      </c>
      <c r="J2746" s="192" t="s">
        <v>2020</v>
      </c>
    </row>
    <row r="2747" spans="1:10" hidden="1" outlineLevel="1">
      <c r="A2747" s="381" t="s">
        <v>1314</v>
      </c>
      <c r="B2747" s="778">
        <v>1060531.94</v>
      </c>
      <c r="C2747" s="125">
        <v>0</v>
      </c>
      <c r="D2747" s="125">
        <v>0</v>
      </c>
      <c r="E2747" s="125">
        <v>0</v>
      </c>
      <c r="F2747" s="207">
        <v>0</v>
      </c>
      <c r="G2747" s="199">
        <v>0</v>
      </c>
      <c r="H2747" s="199">
        <v>0</v>
      </c>
      <c r="I2747" s="775">
        <f t="shared" si="60"/>
        <v>1060531.94</v>
      </c>
      <c r="J2747" s="192" t="s">
        <v>1315</v>
      </c>
    </row>
    <row r="2748" spans="1:10" hidden="1" outlineLevel="1">
      <c r="A2748" s="381" t="s">
        <v>2021</v>
      </c>
      <c r="B2748" s="778">
        <v>759349.84</v>
      </c>
      <c r="C2748" s="125">
        <v>0</v>
      </c>
      <c r="D2748" s="125">
        <v>0</v>
      </c>
      <c r="E2748" s="125">
        <v>0</v>
      </c>
      <c r="F2748" s="207">
        <v>0</v>
      </c>
      <c r="G2748" s="199">
        <v>0</v>
      </c>
      <c r="H2748" s="199">
        <v>0</v>
      </c>
      <c r="I2748" s="775">
        <f t="shared" si="60"/>
        <v>759349.84</v>
      </c>
      <c r="J2748" s="192" t="s">
        <v>2022</v>
      </c>
    </row>
    <row r="2749" spans="1:10" hidden="1" outlineLevel="1">
      <c r="A2749" s="381" t="s">
        <v>2023</v>
      </c>
      <c r="B2749" s="778">
        <v>832328.55</v>
      </c>
      <c r="C2749" s="125">
        <v>0</v>
      </c>
      <c r="D2749" s="125">
        <v>0</v>
      </c>
      <c r="E2749" s="125">
        <v>0</v>
      </c>
      <c r="F2749" s="207">
        <v>0</v>
      </c>
      <c r="G2749" s="199">
        <v>0</v>
      </c>
      <c r="H2749" s="199">
        <v>0</v>
      </c>
      <c r="I2749" s="775">
        <f t="shared" si="60"/>
        <v>832328.55</v>
      </c>
      <c r="J2749" s="192" t="s">
        <v>2024</v>
      </c>
    </row>
    <row r="2750" spans="1:10" hidden="1" outlineLevel="1">
      <c r="A2750" s="381" t="s">
        <v>2025</v>
      </c>
      <c r="B2750" s="778">
        <v>299329.14</v>
      </c>
      <c r="C2750" s="125">
        <v>0</v>
      </c>
      <c r="D2750" s="125">
        <v>0</v>
      </c>
      <c r="E2750" s="125">
        <v>0</v>
      </c>
      <c r="F2750" s="207">
        <v>0</v>
      </c>
      <c r="G2750" s="199">
        <v>0</v>
      </c>
      <c r="H2750" s="199">
        <v>0</v>
      </c>
      <c r="I2750" s="775">
        <f t="shared" si="60"/>
        <v>299329.14</v>
      </c>
      <c r="J2750" s="192" t="s">
        <v>2026</v>
      </c>
    </row>
    <row r="2751" spans="1:10" hidden="1" outlineLevel="1">
      <c r="A2751" s="381" t="s">
        <v>2027</v>
      </c>
      <c r="B2751" s="778">
        <v>22451805.52</v>
      </c>
      <c r="C2751" s="125">
        <v>0</v>
      </c>
      <c r="D2751" s="125">
        <v>0</v>
      </c>
      <c r="E2751" s="125">
        <v>0</v>
      </c>
      <c r="F2751" s="207">
        <v>71532.27</v>
      </c>
      <c r="G2751" s="199">
        <v>0</v>
      </c>
      <c r="H2751" s="199">
        <v>0</v>
      </c>
      <c r="I2751" s="775">
        <f t="shared" si="60"/>
        <v>22523337.789999999</v>
      </c>
      <c r="J2751" s="192" t="s">
        <v>2028</v>
      </c>
    </row>
    <row r="2752" spans="1:10" hidden="1" outlineLevel="1">
      <c r="A2752" s="381" t="s">
        <v>2029</v>
      </c>
      <c r="B2752" s="778">
        <v>1106936.33</v>
      </c>
      <c r="C2752" s="125">
        <v>0</v>
      </c>
      <c r="D2752" s="125">
        <v>0</v>
      </c>
      <c r="E2752" s="125">
        <v>0</v>
      </c>
      <c r="F2752" s="207">
        <v>763.58</v>
      </c>
      <c r="G2752" s="199">
        <v>0</v>
      </c>
      <c r="H2752" s="199">
        <v>0</v>
      </c>
      <c r="I2752" s="775">
        <f t="shared" si="60"/>
        <v>1107699.9100000001</v>
      </c>
      <c r="J2752" s="192" t="s">
        <v>2030</v>
      </c>
    </row>
    <row r="2753" spans="1:10" hidden="1" outlineLevel="1">
      <c r="A2753" s="381" t="s">
        <v>2031</v>
      </c>
      <c r="B2753" s="778">
        <v>4554246.45</v>
      </c>
      <c r="C2753" s="125">
        <v>0</v>
      </c>
      <c r="D2753" s="125">
        <v>0</v>
      </c>
      <c r="E2753" s="125">
        <v>0</v>
      </c>
      <c r="F2753" s="207">
        <v>0</v>
      </c>
      <c r="G2753" s="199">
        <v>0</v>
      </c>
      <c r="H2753" s="199">
        <v>0</v>
      </c>
      <c r="I2753" s="775">
        <f t="shared" si="60"/>
        <v>4554246.45</v>
      </c>
      <c r="J2753" s="192" t="s">
        <v>2032</v>
      </c>
    </row>
    <row r="2754" spans="1:10" hidden="1" outlineLevel="1">
      <c r="A2754" s="381" t="s">
        <v>819</v>
      </c>
      <c r="B2754" s="778">
        <v>2281512.0299999998</v>
      </c>
      <c r="C2754" s="125">
        <v>0</v>
      </c>
      <c r="D2754" s="125">
        <v>0</v>
      </c>
      <c r="E2754" s="125">
        <v>0</v>
      </c>
      <c r="F2754" s="207">
        <v>507.47</v>
      </c>
      <c r="G2754" s="199">
        <v>0</v>
      </c>
      <c r="H2754" s="199">
        <v>0</v>
      </c>
      <c r="I2754" s="775">
        <f t="shared" si="60"/>
        <v>2282019.5</v>
      </c>
      <c r="J2754" s="192" t="s">
        <v>820</v>
      </c>
    </row>
    <row r="2755" spans="1:10" hidden="1" outlineLevel="1">
      <c r="A2755" s="381" t="s">
        <v>2033</v>
      </c>
      <c r="B2755" s="778">
        <v>34832.89</v>
      </c>
      <c r="C2755" s="125">
        <v>0</v>
      </c>
      <c r="D2755" s="125">
        <v>0</v>
      </c>
      <c r="E2755" s="125">
        <v>0</v>
      </c>
      <c r="F2755" s="207">
        <v>0</v>
      </c>
      <c r="G2755" s="199">
        <v>0</v>
      </c>
      <c r="H2755" s="199">
        <v>0</v>
      </c>
      <c r="I2755" s="775">
        <f t="shared" ref="I2755:I2764" si="61">SUM(B2755:H2755)</f>
        <v>34832.89</v>
      </c>
      <c r="J2755" s="192" t="s">
        <v>2034</v>
      </c>
    </row>
    <row r="2756" spans="1:10" hidden="1" outlineLevel="1">
      <c r="A2756" s="381" t="s">
        <v>1202</v>
      </c>
      <c r="B2756" s="778">
        <v>1681499.33</v>
      </c>
      <c r="C2756" s="125">
        <v>0</v>
      </c>
      <c r="D2756" s="125">
        <v>0</v>
      </c>
      <c r="E2756" s="125">
        <v>0</v>
      </c>
      <c r="F2756" s="207">
        <v>0</v>
      </c>
      <c r="G2756" s="199">
        <v>0</v>
      </c>
      <c r="H2756" s="199">
        <v>0</v>
      </c>
      <c r="I2756" s="775">
        <f t="shared" si="61"/>
        <v>1681499.33</v>
      </c>
      <c r="J2756" s="192" t="s">
        <v>1203</v>
      </c>
    </row>
    <row r="2757" spans="1:10" hidden="1" outlineLevel="1">
      <c r="A2757" s="381" t="s">
        <v>2035</v>
      </c>
      <c r="B2757" s="778">
        <v>9142571.6300000008</v>
      </c>
      <c r="C2757" s="125">
        <v>0</v>
      </c>
      <c r="D2757" s="125">
        <v>0</v>
      </c>
      <c r="E2757" s="125">
        <v>0</v>
      </c>
      <c r="F2757" s="207">
        <v>0</v>
      </c>
      <c r="G2757" s="199">
        <v>0</v>
      </c>
      <c r="H2757" s="199">
        <v>0</v>
      </c>
      <c r="I2757" s="775">
        <f t="shared" si="61"/>
        <v>9142571.6300000008</v>
      </c>
      <c r="J2757" s="192" t="s">
        <v>2036</v>
      </c>
    </row>
    <row r="2758" spans="1:10" hidden="1" outlineLevel="1">
      <c r="A2758" s="381" t="s">
        <v>2037</v>
      </c>
      <c r="B2758" s="778">
        <v>2603817.2999999998</v>
      </c>
      <c r="C2758" s="125">
        <v>0</v>
      </c>
      <c r="D2758" s="125">
        <v>0</v>
      </c>
      <c r="E2758" s="125">
        <v>0</v>
      </c>
      <c r="F2758" s="207">
        <v>0</v>
      </c>
      <c r="G2758" s="199">
        <v>0</v>
      </c>
      <c r="H2758" s="199">
        <v>0</v>
      </c>
      <c r="I2758" s="775">
        <f t="shared" si="61"/>
        <v>2603817.2999999998</v>
      </c>
      <c r="J2758" s="192" t="s">
        <v>2038</v>
      </c>
    </row>
    <row r="2759" spans="1:10" hidden="1" outlineLevel="1">
      <c r="A2759" s="381" t="s">
        <v>2039</v>
      </c>
      <c r="B2759" s="778">
        <v>238471.63</v>
      </c>
      <c r="C2759" s="125">
        <v>0</v>
      </c>
      <c r="D2759" s="125">
        <v>0</v>
      </c>
      <c r="E2759" s="125">
        <v>0</v>
      </c>
      <c r="F2759" s="207">
        <v>0</v>
      </c>
      <c r="G2759" s="199">
        <v>0</v>
      </c>
      <c r="H2759" s="199">
        <v>0</v>
      </c>
      <c r="I2759" s="775">
        <f t="shared" si="61"/>
        <v>238471.63</v>
      </c>
      <c r="J2759" s="192" t="s">
        <v>2040</v>
      </c>
    </row>
    <row r="2760" spans="1:10" hidden="1" outlineLevel="1">
      <c r="A2760" s="381" t="s">
        <v>2041</v>
      </c>
      <c r="B2760" s="778">
        <v>12494054.84</v>
      </c>
      <c r="C2760" s="125">
        <v>0</v>
      </c>
      <c r="D2760" s="125">
        <v>0</v>
      </c>
      <c r="E2760" s="125">
        <v>0</v>
      </c>
      <c r="F2760" s="207">
        <v>0</v>
      </c>
      <c r="G2760" s="199">
        <v>0</v>
      </c>
      <c r="H2760" s="199">
        <v>0</v>
      </c>
      <c r="I2760" s="775">
        <f t="shared" si="61"/>
        <v>12494054.84</v>
      </c>
      <c r="J2760" s="192" t="s">
        <v>2042</v>
      </c>
    </row>
    <row r="2761" spans="1:10" hidden="1" outlineLevel="1">
      <c r="A2761" s="381" t="s">
        <v>2317</v>
      </c>
      <c r="B2761" s="778">
        <v>34974.07</v>
      </c>
      <c r="C2761" s="125">
        <v>0</v>
      </c>
      <c r="D2761" s="125">
        <v>0</v>
      </c>
      <c r="E2761" s="125">
        <v>0</v>
      </c>
      <c r="F2761" s="207">
        <v>0</v>
      </c>
      <c r="G2761" s="199">
        <v>0</v>
      </c>
      <c r="H2761" s="199">
        <v>0</v>
      </c>
      <c r="I2761" s="775">
        <f t="shared" si="61"/>
        <v>34974.07</v>
      </c>
      <c r="J2761" s="192" t="s">
        <v>2318</v>
      </c>
    </row>
    <row r="2762" spans="1:10" hidden="1" outlineLevel="1">
      <c r="A2762" s="381" t="s">
        <v>2043</v>
      </c>
      <c r="B2762" s="778">
        <v>343440.01</v>
      </c>
      <c r="C2762" s="125">
        <v>0</v>
      </c>
      <c r="D2762" s="125">
        <v>0</v>
      </c>
      <c r="E2762" s="125">
        <v>0</v>
      </c>
      <c r="F2762" s="207">
        <v>0</v>
      </c>
      <c r="G2762" s="199">
        <v>0</v>
      </c>
      <c r="H2762" s="199">
        <v>0</v>
      </c>
      <c r="I2762" s="775">
        <f t="shared" si="61"/>
        <v>343440.01</v>
      </c>
      <c r="J2762" s="192" t="s">
        <v>2044</v>
      </c>
    </row>
    <row r="2763" spans="1:10" hidden="1" outlineLevel="1">
      <c r="A2763" s="381" t="s">
        <v>2045</v>
      </c>
      <c r="B2763" s="778">
        <v>34956.839999999997</v>
      </c>
      <c r="C2763" s="125">
        <v>0</v>
      </c>
      <c r="D2763" s="125">
        <v>0</v>
      </c>
      <c r="E2763" s="125">
        <v>0</v>
      </c>
      <c r="F2763" s="207">
        <v>0</v>
      </c>
      <c r="G2763" s="199">
        <v>0</v>
      </c>
      <c r="H2763" s="199">
        <v>0</v>
      </c>
      <c r="I2763" s="775">
        <f t="shared" si="61"/>
        <v>34956.839999999997</v>
      </c>
      <c r="J2763" s="192" t="s">
        <v>2046</v>
      </c>
    </row>
    <row r="2764" spans="1:10" hidden="1" outlineLevel="1">
      <c r="A2764" s="381"/>
      <c r="B2764" s="778"/>
      <c r="C2764" s="125"/>
      <c r="D2764" s="125"/>
      <c r="E2764" s="125"/>
      <c r="F2764" s="207"/>
      <c r="G2764" s="199"/>
      <c r="H2764" s="199"/>
      <c r="I2764" s="775">
        <f t="shared" si="61"/>
        <v>0</v>
      </c>
    </row>
    <row r="2765" spans="1:10" ht="13.5" collapsed="1" thickBot="1">
      <c r="A2765" s="383" t="s">
        <v>2047</v>
      </c>
      <c r="B2765" s="779">
        <f t="shared" ref="B2765:I2765" si="62">B1852+B2024+B2258+B2626</f>
        <v>2566847741.4820795</v>
      </c>
      <c r="C2765" s="780">
        <f t="shared" si="62"/>
        <v>0</v>
      </c>
      <c r="D2765" s="780">
        <f t="shared" si="62"/>
        <v>1033021.5999999999</v>
      </c>
      <c r="E2765" s="780">
        <f t="shared" si="62"/>
        <v>0</v>
      </c>
      <c r="F2765" s="780">
        <f t="shared" si="62"/>
        <v>11877849.145839998</v>
      </c>
      <c r="G2765" s="780">
        <f t="shared" si="62"/>
        <v>81799.483856000006</v>
      </c>
      <c r="H2765" s="780">
        <f t="shared" si="62"/>
        <v>16848.681456000002</v>
      </c>
      <c r="I2765" s="781">
        <f t="shared" si="62"/>
        <v>2579857260.3932319</v>
      </c>
    </row>
    <row r="2766" spans="1:10">
      <c r="A2766" s="6"/>
      <c r="B2766" s="253"/>
      <c r="C2766" s="253"/>
      <c r="D2766" s="253"/>
      <c r="E2766" s="253"/>
      <c r="F2766" s="253"/>
      <c r="G2766" s="253"/>
    </row>
    <row r="2767" spans="1:10" ht="10.5" customHeight="1">
      <c r="A2767" s="6"/>
      <c r="B2767" s="176"/>
      <c r="C2767" s="176"/>
      <c r="D2767" s="176"/>
      <c r="E2767" s="176"/>
      <c r="F2767" s="176"/>
    </row>
    <row r="2768" spans="1:10" ht="12" customHeight="1">
      <c r="A2768" s="1745" t="s">
        <v>2373</v>
      </c>
      <c r="H2768" s="174"/>
    </row>
    <row r="2769" spans="1:11" ht="12" customHeight="1" thickBot="1">
      <c r="D2769" s="25"/>
    </row>
    <row r="2770" spans="1:11" ht="27" customHeight="1" thickBot="1">
      <c r="A2770" s="782"/>
      <c r="B2770" s="1799" t="s">
        <v>2374</v>
      </c>
      <c r="C2770" s="1800"/>
      <c r="D2770" s="1801"/>
      <c r="E2770" s="1796" t="s">
        <v>2375</v>
      </c>
      <c r="F2770" s="1796"/>
      <c r="G2770" s="1796"/>
      <c r="H2770" s="1799" t="s">
        <v>2376</v>
      </c>
      <c r="I2770" s="1800"/>
      <c r="J2770" s="1801"/>
    </row>
    <row r="2771" spans="1:11" s="28" customFormat="1" ht="38.25" customHeight="1">
      <c r="A2771" s="783"/>
      <c r="B2771" s="788" t="s">
        <v>2377</v>
      </c>
      <c r="C2771" s="508" t="s">
        <v>2378</v>
      </c>
      <c r="D2771" s="789" t="s">
        <v>2379</v>
      </c>
      <c r="E2771" s="786" t="s">
        <v>2377</v>
      </c>
      <c r="F2771" s="508" t="s">
        <v>2378</v>
      </c>
      <c r="G2771" s="510" t="s">
        <v>2379</v>
      </c>
      <c r="H2771" s="788" t="s">
        <v>2377</v>
      </c>
      <c r="I2771" s="508" t="s">
        <v>2378</v>
      </c>
      <c r="J2771" s="789" t="s">
        <v>2379</v>
      </c>
    </row>
    <row r="2772" spans="1:11" s="542" customFormat="1" ht="19.5" customHeight="1" thickBot="1">
      <c r="A2772" s="784"/>
      <c r="B2772" s="790" t="s">
        <v>454</v>
      </c>
      <c r="C2772" s="537" t="s">
        <v>2054</v>
      </c>
      <c r="D2772" s="791" t="s">
        <v>2054</v>
      </c>
      <c r="E2772" s="787" t="s">
        <v>454</v>
      </c>
      <c r="F2772" s="537" t="s">
        <v>2054</v>
      </c>
      <c r="G2772" s="538" t="s">
        <v>2054</v>
      </c>
      <c r="H2772" s="790" t="s">
        <v>454</v>
      </c>
      <c r="I2772" s="537" t="s">
        <v>2054</v>
      </c>
      <c r="J2772" s="791" t="s">
        <v>2054</v>
      </c>
    </row>
    <row r="2773" spans="1:11">
      <c r="A2773" s="755" t="str">
        <f>A7</f>
        <v>Regelzone 50Hertz (gesamt)</v>
      </c>
      <c r="B2773" s="792">
        <f>+SUM(B2774:B2786)</f>
        <v>4963064089</v>
      </c>
      <c r="C2773" s="196">
        <f>+SUM(C2774:C2786)</f>
        <v>-13747687.526529999</v>
      </c>
      <c r="D2773" s="793">
        <f>+SUM(D2774:D2786)</f>
        <v>-40498602.966239996</v>
      </c>
      <c r="E2773" s="195">
        <v>0</v>
      </c>
      <c r="F2773" s="196">
        <v>0</v>
      </c>
      <c r="G2773" s="239">
        <v>0</v>
      </c>
      <c r="H2773" s="792">
        <v>0</v>
      </c>
      <c r="I2773" s="196">
        <v>0</v>
      </c>
      <c r="J2773" s="793">
        <v>0</v>
      </c>
    </row>
    <row r="2774" spans="1:11" ht="12" hidden="1" customHeight="1" outlineLevel="1">
      <c r="A2774" s="757" t="s">
        <v>772</v>
      </c>
      <c r="B2774" s="794">
        <v>4724445264</v>
      </c>
      <c r="C2774" s="200">
        <v>-13086713.381279999</v>
      </c>
      <c r="D2774" s="795">
        <v>-38551473.35424</v>
      </c>
      <c r="E2774" s="199">
        <v>0</v>
      </c>
      <c r="F2774" s="200">
        <v>0</v>
      </c>
      <c r="G2774" s="240">
        <v>0</v>
      </c>
      <c r="H2774" s="794">
        <v>0</v>
      </c>
      <c r="I2774" s="200">
        <v>0</v>
      </c>
      <c r="J2774" s="797">
        <v>0</v>
      </c>
      <c r="K2774" s="8" t="s">
        <v>773</v>
      </c>
    </row>
    <row r="2775" spans="1:11" ht="12" hidden="1" customHeight="1" outlineLevel="1">
      <c r="A2775" s="757" t="s">
        <v>758</v>
      </c>
      <c r="B2775" s="794">
        <v>114157964</v>
      </c>
      <c r="C2775" s="200">
        <v>-316217.56028000003</v>
      </c>
      <c r="D2775" s="795">
        <v>-931528.98624</v>
      </c>
      <c r="E2775" s="199">
        <v>0</v>
      </c>
      <c r="F2775" s="200">
        <v>0</v>
      </c>
      <c r="G2775" s="240">
        <v>0</v>
      </c>
      <c r="H2775" s="794">
        <v>0</v>
      </c>
      <c r="I2775" s="200">
        <v>0</v>
      </c>
      <c r="J2775" s="797">
        <v>0</v>
      </c>
      <c r="K2775" s="8" t="s">
        <v>759</v>
      </c>
    </row>
    <row r="2776" spans="1:11" ht="12" hidden="1" customHeight="1" outlineLevel="1">
      <c r="A2776" s="757" t="s">
        <v>728</v>
      </c>
      <c r="B2776" s="794">
        <v>696398</v>
      </c>
      <c r="C2776" s="200">
        <v>-1929.0224600000001</v>
      </c>
      <c r="D2776" s="795">
        <v>-5682.6076799999992</v>
      </c>
      <c r="E2776" s="199">
        <v>0</v>
      </c>
      <c r="F2776" s="200">
        <v>0</v>
      </c>
      <c r="G2776" s="240">
        <v>0</v>
      </c>
      <c r="H2776" s="794">
        <v>0</v>
      </c>
      <c r="I2776" s="200">
        <v>0</v>
      </c>
      <c r="J2776" s="797">
        <v>0</v>
      </c>
      <c r="K2776" s="8" t="s">
        <v>729</v>
      </c>
    </row>
    <row r="2777" spans="1:11" ht="12" hidden="1" customHeight="1" outlineLevel="1">
      <c r="A2777" s="757" t="s">
        <v>598</v>
      </c>
      <c r="B2777" s="794">
        <v>1624121</v>
      </c>
      <c r="C2777" s="200">
        <v>-4498.8151700000008</v>
      </c>
      <c r="D2777" s="795">
        <v>-13252.827359999997</v>
      </c>
      <c r="E2777" s="199">
        <v>0</v>
      </c>
      <c r="F2777" s="200">
        <v>0</v>
      </c>
      <c r="G2777" s="240">
        <v>0</v>
      </c>
      <c r="H2777" s="794">
        <v>0</v>
      </c>
      <c r="I2777" s="200">
        <v>0</v>
      </c>
      <c r="J2777" s="797">
        <v>0</v>
      </c>
      <c r="K2777" s="8" t="s">
        <v>599</v>
      </c>
    </row>
    <row r="2778" spans="1:11" ht="12" hidden="1" customHeight="1" outlineLevel="1">
      <c r="A2778" s="757" t="s">
        <v>484</v>
      </c>
      <c r="B2778" s="794">
        <v>28811234</v>
      </c>
      <c r="C2778" s="200">
        <v>-79807.118180000005</v>
      </c>
      <c r="D2778" s="795">
        <v>-235099.66943999997</v>
      </c>
      <c r="E2778" s="199">
        <v>0</v>
      </c>
      <c r="F2778" s="200">
        <v>0</v>
      </c>
      <c r="G2778" s="240">
        <v>0</v>
      </c>
      <c r="H2778" s="794">
        <v>0</v>
      </c>
      <c r="I2778" s="200">
        <v>0</v>
      </c>
      <c r="J2778" s="797">
        <v>0</v>
      </c>
      <c r="K2778" s="8" t="s">
        <v>485</v>
      </c>
    </row>
    <row r="2779" spans="1:11" ht="12" hidden="1" customHeight="1" outlineLevel="1">
      <c r="A2779" s="757" t="s">
        <v>682</v>
      </c>
      <c r="B2779" s="794">
        <v>6106479</v>
      </c>
      <c r="C2779" s="200">
        <v>-16914.946830000001</v>
      </c>
      <c r="D2779" s="795">
        <v>-49828.868640000001</v>
      </c>
      <c r="E2779" s="199">
        <v>0</v>
      </c>
      <c r="F2779" s="200">
        <v>0</v>
      </c>
      <c r="G2779" s="240">
        <v>0</v>
      </c>
      <c r="H2779" s="794">
        <v>0</v>
      </c>
      <c r="I2779" s="200">
        <v>0</v>
      </c>
      <c r="J2779" s="797">
        <v>0</v>
      </c>
      <c r="K2779" s="8" t="s">
        <v>683</v>
      </c>
    </row>
    <row r="2780" spans="1:11" ht="12" hidden="1" customHeight="1" outlineLevel="1">
      <c r="A2780" s="757" t="s">
        <v>680</v>
      </c>
      <c r="B2780" s="794">
        <v>20309901</v>
      </c>
      <c r="C2780" s="200">
        <v>-56258.425770000002</v>
      </c>
      <c r="D2780" s="795">
        <v>-165728.79215999998</v>
      </c>
      <c r="E2780" s="199">
        <v>0</v>
      </c>
      <c r="F2780" s="200">
        <v>0</v>
      </c>
      <c r="G2780" s="240">
        <v>0</v>
      </c>
      <c r="H2780" s="794">
        <v>0</v>
      </c>
      <c r="I2780" s="200">
        <v>0</v>
      </c>
      <c r="J2780" s="797">
        <v>0</v>
      </c>
      <c r="K2780" s="8" t="s">
        <v>2176</v>
      </c>
    </row>
    <row r="2781" spans="1:11" ht="12" hidden="1" customHeight="1" outlineLevel="1">
      <c r="A2781" s="757" t="s">
        <v>486</v>
      </c>
      <c r="B2781" s="794">
        <v>4850443</v>
      </c>
      <c r="C2781" s="200">
        <v>-13435.727110000002</v>
      </c>
      <c r="D2781" s="795">
        <v>-39579.614880000001</v>
      </c>
      <c r="E2781" s="199">
        <v>0</v>
      </c>
      <c r="F2781" s="200">
        <v>0</v>
      </c>
      <c r="G2781" s="240">
        <v>0</v>
      </c>
      <c r="H2781" s="794">
        <v>0</v>
      </c>
      <c r="I2781" s="200">
        <v>0</v>
      </c>
      <c r="J2781" s="797">
        <v>0</v>
      </c>
      <c r="K2781" s="8" t="s">
        <v>487</v>
      </c>
    </row>
    <row r="2782" spans="1:11" ht="12" hidden="1" customHeight="1" outlineLevel="1">
      <c r="A2782" s="757" t="s">
        <v>618</v>
      </c>
      <c r="B2782" s="794">
        <v>292054</v>
      </c>
      <c r="C2782" s="200">
        <v>-808.98958000000016</v>
      </c>
      <c r="D2782" s="795">
        <v>-2383.1606400000001</v>
      </c>
      <c r="E2782" s="199">
        <v>0</v>
      </c>
      <c r="F2782" s="200">
        <v>0</v>
      </c>
      <c r="G2782" s="240">
        <v>0</v>
      </c>
      <c r="H2782" s="794">
        <v>0</v>
      </c>
      <c r="I2782" s="200">
        <v>0</v>
      </c>
      <c r="J2782" s="797">
        <v>0</v>
      </c>
      <c r="K2782" s="8" t="s">
        <v>619</v>
      </c>
    </row>
    <row r="2783" spans="1:11" ht="12" hidden="1" customHeight="1" outlineLevel="1">
      <c r="A2783" s="757" t="s">
        <v>740</v>
      </c>
      <c r="B2783" s="794">
        <v>53738</v>
      </c>
      <c r="C2783" s="200">
        <v>-148.85426000000001</v>
      </c>
      <c r="D2783" s="795">
        <v>-438.50207999999998</v>
      </c>
      <c r="E2783" s="199">
        <v>0</v>
      </c>
      <c r="F2783" s="200">
        <v>0</v>
      </c>
      <c r="G2783" s="240">
        <v>0</v>
      </c>
      <c r="H2783" s="794">
        <v>0</v>
      </c>
      <c r="I2783" s="200">
        <v>0</v>
      </c>
      <c r="J2783" s="797">
        <v>0</v>
      </c>
      <c r="K2783" s="8" t="s">
        <v>741</v>
      </c>
    </row>
    <row r="2784" spans="1:11" ht="12" hidden="1" customHeight="1" outlineLevel="1">
      <c r="A2784" s="757" t="s">
        <v>464</v>
      </c>
      <c r="B2784" s="794">
        <v>2273796</v>
      </c>
      <c r="C2784" s="200">
        <v>-6298.4149200000011</v>
      </c>
      <c r="D2784" s="795">
        <v>-18554.175359999997</v>
      </c>
      <c r="E2784" s="199">
        <v>0</v>
      </c>
      <c r="F2784" s="200">
        <v>0</v>
      </c>
      <c r="G2784" s="240">
        <v>0</v>
      </c>
      <c r="H2784" s="794">
        <v>0</v>
      </c>
      <c r="I2784" s="200">
        <v>0</v>
      </c>
      <c r="J2784" s="797">
        <v>0</v>
      </c>
      <c r="K2784" s="8" t="s">
        <v>465</v>
      </c>
    </row>
    <row r="2785" spans="1:11" ht="12" hidden="1" customHeight="1" outlineLevel="1">
      <c r="A2785" s="757" t="s">
        <v>724</v>
      </c>
      <c r="B2785" s="794">
        <v>986345</v>
      </c>
      <c r="C2785" s="200">
        <v>-2732.1756500000001</v>
      </c>
      <c r="D2785" s="795">
        <v>-8048.5751999999993</v>
      </c>
      <c r="E2785" s="199">
        <v>0</v>
      </c>
      <c r="F2785" s="200">
        <v>0</v>
      </c>
      <c r="G2785" s="240">
        <v>0</v>
      </c>
      <c r="H2785" s="794">
        <v>0</v>
      </c>
      <c r="I2785" s="200">
        <v>0</v>
      </c>
      <c r="J2785" s="797">
        <v>0</v>
      </c>
      <c r="K2785" s="8" t="s">
        <v>725</v>
      </c>
    </row>
    <row r="2786" spans="1:11" ht="12" hidden="1" customHeight="1" outlineLevel="1">
      <c r="A2786" s="757" t="s">
        <v>686</v>
      </c>
      <c r="B2786" s="794">
        <v>58456352</v>
      </c>
      <c r="C2786" s="200">
        <v>-161924.09504000001</v>
      </c>
      <c r="D2786" s="795">
        <v>-477003.83231999993</v>
      </c>
      <c r="E2786" s="199">
        <v>0</v>
      </c>
      <c r="F2786" s="200">
        <v>0</v>
      </c>
      <c r="G2786" s="240">
        <v>0</v>
      </c>
      <c r="H2786" s="794">
        <v>0</v>
      </c>
      <c r="I2786" s="200">
        <v>0</v>
      </c>
      <c r="J2786" s="797">
        <v>0</v>
      </c>
      <c r="K2786" s="8" t="s">
        <v>687</v>
      </c>
    </row>
    <row r="2787" spans="1:11" collapsed="1">
      <c r="A2787" s="742" t="str">
        <f>A180</f>
        <v>Regelzone Amprion (gesamt)</v>
      </c>
      <c r="B2787" s="792">
        <f t="shared" ref="B2787:J2787" si="63">SUM(B2788:B2795)</f>
        <v>2882319448</v>
      </c>
      <c r="C2787" s="195">
        <f t="shared" si="63"/>
        <v>-7969061.9800000004</v>
      </c>
      <c r="D2787" s="796">
        <f t="shared" si="63"/>
        <v>-23475648.259999998</v>
      </c>
      <c r="E2787" s="195">
        <f t="shared" si="63"/>
        <v>0</v>
      </c>
      <c r="F2787" s="196">
        <f t="shared" si="63"/>
        <v>0</v>
      </c>
      <c r="G2787" s="239">
        <f t="shared" si="63"/>
        <v>0</v>
      </c>
      <c r="H2787" s="792">
        <f t="shared" si="63"/>
        <v>0</v>
      </c>
      <c r="I2787" s="196">
        <f t="shared" si="63"/>
        <v>0</v>
      </c>
      <c r="J2787" s="793">
        <f t="shared" si="63"/>
        <v>0</v>
      </c>
    </row>
    <row r="2788" spans="1:11" ht="12" hidden="1" customHeight="1" outlineLevel="1">
      <c r="A2788" s="757" t="s">
        <v>789</v>
      </c>
      <c r="B2788" s="794">
        <v>24783425</v>
      </c>
      <c r="C2788" s="200">
        <v>-68650.09</v>
      </c>
      <c r="D2788" s="797">
        <v>-202232.75</v>
      </c>
      <c r="E2788" s="199">
        <v>0</v>
      </c>
      <c r="F2788" s="200">
        <v>0</v>
      </c>
      <c r="G2788" s="240">
        <v>0</v>
      </c>
      <c r="H2788" s="794">
        <v>0</v>
      </c>
      <c r="I2788" s="200">
        <v>0</v>
      </c>
      <c r="J2788" s="797">
        <v>0</v>
      </c>
      <c r="K2788" s="7" t="s">
        <v>790</v>
      </c>
    </row>
    <row r="2789" spans="1:11" ht="12" hidden="1" customHeight="1" outlineLevel="1">
      <c r="A2789" s="757" t="s">
        <v>833</v>
      </c>
      <c r="B2789" s="794">
        <v>277439002</v>
      </c>
      <c r="C2789" s="200">
        <v>-768506.04</v>
      </c>
      <c r="D2789" s="797">
        <v>-2263902.2599999998</v>
      </c>
      <c r="E2789" s="199">
        <v>0</v>
      </c>
      <c r="F2789" s="200">
        <v>0</v>
      </c>
      <c r="G2789" s="240">
        <v>0</v>
      </c>
      <c r="H2789" s="794">
        <v>0</v>
      </c>
      <c r="I2789" s="200">
        <v>0</v>
      </c>
      <c r="J2789" s="797">
        <v>0</v>
      </c>
      <c r="K2789" s="7" t="s">
        <v>834</v>
      </c>
    </row>
    <row r="2790" spans="1:11" ht="12" hidden="1" customHeight="1" outlineLevel="1">
      <c r="A2790" s="757" t="s">
        <v>839</v>
      </c>
      <c r="B2790" s="794">
        <v>352158719</v>
      </c>
      <c r="C2790" s="200">
        <v>-975479.65</v>
      </c>
      <c r="D2790" s="797">
        <v>-2873615.13</v>
      </c>
      <c r="E2790" s="199">
        <v>0</v>
      </c>
      <c r="F2790" s="200">
        <v>0</v>
      </c>
      <c r="G2790" s="240">
        <v>0</v>
      </c>
      <c r="H2790" s="794">
        <v>0</v>
      </c>
      <c r="I2790" s="200">
        <v>0</v>
      </c>
      <c r="J2790" s="797">
        <v>0</v>
      </c>
      <c r="K2790" s="7" t="s">
        <v>840</v>
      </c>
    </row>
    <row r="2791" spans="1:11" ht="12" hidden="1" customHeight="1" outlineLevel="1">
      <c r="A2791" s="757" t="s">
        <v>865</v>
      </c>
      <c r="B2791" s="794">
        <v>16124034</v>
      </c>
      <c r="C2791" s="200">
        <v>-44663.57</v>
      </c>
      <c r="D2791" s="797">
        <v>-131572.12</v>
      </c>
      <c r="E2791" s="199">
        <v>0</v>
      </c>
      <c r="F2791" s="200">
        <v>0</v>
      </c>
      <c r="G2791" s="240">
        <v>0</v>
      </c>
      <c r="H2791" s="794">
        <v>0</v>
      </c>
      <c r="I2791" s="200">
        <v>0</v>
      </c>
      <c r="J2791" s="797">
        <v>0</v>
      </c>
      <c r="K2791" s="7" t="s">
        <v>866</v>
      </c>
    </row>
    <row r="2792" spans="1:11" ht="12" hidden="1" customHeight="1" outlineLevel="1">
      <c r="A2792" s="757" t="s">
        <v>931</v>
      </c>
      <c r="B2792" s="794">
        <v>19071945</v>
      </c>
      <c r="C2792" s="200">
        <v>-52829.29</v>
      </c>
      <c r="D2792" s="797">
        <v>-155627.07</v>
      </c>
      <c r="E2792" s="199">
        <v>0</v>
      </c>
      <c r="F2792" s="200">
        <v>0</v>
      </c>
      <c r="G2792" s="240">
        <v>0</v>
      </c>
      <c r="H2792" s="794">
        <v>0</v>
      </c>
      <c r="I2792" s="200">
        <v>0</v>
      </c>
      <c r="J2792" s="797">
        <v>0</v>
      </c>
      <c r="K2792" s="7" t="s">
        <v>932</v>
      </c>
    </row>
    <row r="2793" spans="1:11" ht="12" hidden="1" customHeight="1" outlineLevel="1">
      <c r="A2793" s="757" t="s">
        <v>939</v>
      </c>
      <c r="B2793" s="794">
        <v>3697197</v>
      </c>
      <c r="C2793" s="200">
        <v>-10241.24</v>
      </c>
      <c r="D2793" s="797">
        <v>-30169.13</v>
      </c>
      <c r="E2793" s="199">
        <v>0</v>
      </c>
      <c r="F2793" s="200">
        <v>0</v>
      </c>
      <c r="G2793" s="240">
        <v>0</v>
      </c>
      <c r="H2793" s="794">
        <v>0</v>
      </c>
      <c r="I2793" s="200">
        <v>0</v>
      </c>
      <c r="J2793" s="797">
        <v>0</v>
      </c>
      <c r="K2793" s="7" t="s">
        <v>940</v>
      </c>
    </row>
    <row r="2794" spans="1:11" ht="12" hidden="1" customHeight="1" outlineLevel="1">
      <c r="A2794" s="757" t="s">
        <v>1054</v>
      </c>
      <c r="B2794" s="794">
        <v>1908820</v>
      </c>
      <c r="C2794" s="200">
        <v>-5287.43</v>
      </c>
      <c r="D2794" s="797">
        <v>-15575.97</v>
      </c>
      <c r="E2794" s="199">
        <v>0</v>
      </c>
      <c r="F2794" s="200">
        <v>0</v>
      </c>
      <c r="G2794" s="240">
        <v>0</v>
      </c>
      <c r="H2794" s="794">
        <v>0</v>
      </c>
      <c r="I2794" s="200">
        <v>0</v>
      </c>
      <c r="J2794" s="797">
        <v>0</v>
      </c>
      <c r="K2794" s="7" t="s">
        <v>1055</v>
      </c>
    </row>
    <row r="2795" spans="1:11" ht="12" hidden="1" customHeight="1" outlineLevel="1">
      <c r="A2795" s="757" t="s">
        <v>1120</v>
      </c>
      <c r="B2795" s="794">
        <v>2187136306</v>
      </c>
      <c r="C2795" s="200">
        <v>-6043404.6699999999</v>
      </c>
      <c r="D2795" s="797">
        <v>-17802953.829999998</v>
      </c>
      <c r="E2795" s="199">
        <v>0</v>
      </c>
      <c r="F2795" s="200">
        <v>0</v>
      </c>
      <c r="G2795" s="240">
        <v>0</v>
      </c>
      <c r="H2795" s="794">
        <v>0</v>
      </c>
      <c r="I2795" s="200">
        <v>0</v>
      </c>
      <c r="J2795" s="797">
        <v>0</v>
      </c>
      <c r="K2795" s="7" t="s">
        <v>1121</v>
      </c>
    </row>
    <row r="2796" spans="1:11" collapsed="1">
      <c r="A2796" s="742" t="str">
        <f>A414</f>
        <v>Regelzone TenneT (gesamt)</v>
      </c>
      <c r="B2796" s="798">
        <f t="shared" ref="B2796:G2796" si="64">SUM(B2797:B2816)</f>
        <v>1635484402.6999998</v>
      </c>
      <c r="C2796" s="212">
        <f t="shared" si="64"/>
        <v>-4529748.4499999993</v>
      </c>
      <c r="D2796" s="796">
        <f t="shared" si="64"/>
        <v>-13343951.319999998</v>
      </c>
      <c r="E2796" s="195">
        <f t="shared" si="64"/>
        <v>62483</v>
      </c>
      <c r="F2796" s="196">
        <f t="shared" si="64"/>
        <v>-173.08</v>
      </c>
      <c r="G2796" s="239">
        <f t="shared" si="64"/>
        <v>-509.86</v>
      </c>
      <c r="H2796" s="792">
        <v>0</v>
      </c>
      <c r="I2796" s="196">
        <v>0</v>
      </c>
      <c r="J2796" s="793">
        <v>0</v>
      </c>
    </row>
    <row r="2797" spans="1:11" ht="12" hidden="1" customHeight="1" outlineLevel="1">
      <c r="A2797" s="753" t="s">
        <v>1504</v>
      </c>
      <c r="B2797" s="778">
        <v>5478764</v>
      </c>
      <c r="C2797" s="125">
        <v>-15176.19</v>
      </c>
      <c r="D2797" s="799">
        <v>-44706.69</v>
      </c>
      <c r="E2797" s="207">
        <v>0</v>
      </c>
      <c r="F2797" s="125">
        <v>0</v>
      </c>
      <c r="G2797" s="95">
        <v>0</v>
      </c>
      <c r="H2797" s="778">
        <v>0</v>
      </c>
      <c r="I2797" s="125">
        <v>0</v>
      </c>
      <c r="J2797" s="799">
        <v>0</v>
      </c>
      <c r="K2797" t="s">
        <v>1505</v>
      </c>
    </row>
    <row r="2798" spans="1:11" ht="12" hidden="1" customHeight="1" outlineLevel="1">
      <c r="A2798" s="753" t="s">
        <v>1656</v>
      </c>
      <c r="B2798" s="778">
        <v>1282019254</v>
      </c>
      <c r="C2798" s="125">
        <v>-3550657.98</v>
      </c>
      <c r="D2798" s="799">
        <v>-10459700.039999999</v>
      </c>
      <c r="E2798" s="207">
        <v>0</v>
      </c>
      <c r="F2798" s="125">
        <v>0</v>
      </c>
      <c r="G2798" s="95">
        <v>0</v>
      </c>
      <c r="H2798" s="778">
        <v>0</v>
      </c>
      <c r="I2798" s="125">
        <v>0</v>
      </c>
      <c r="J2798" s="799">
        <v>0</v>
      </c>
      <c r="K2798" t="s">
        <v>1657</v>
      </c>
    </row>
    <row r="2799" spans="1:11" ht="12" hidden="1" customHeight="1" outlineLevel="1">
      <c r="A2799" s="753" t="s">
        <v>1293</v>
      </c>
      <c r="B2799" s="778">
        <v>397105</v>
      </c>
      <c r="C2799" s="125">
        <v>-1099.98</v>
      </c>
      <c r="D2799" s="799">
        <v>-3240.38</v>
      </c>
      <c r="E2799" s="207">
        <v>0</v>
      </c>
      <c r="F2799" s="125">
        <v>0</v>
      </c>
      <c r="G2799" s="95">
        <v>0</v>
      </c>
      <c r="H2799" s="778">
        <v>0</v>
      </c>
      <c r="I2799" s="125">
        <v>0</v>
      </c>
      <c r="J2799" s="799">
        <v>0</v>
      </c>
      <c r="K2799" t="s">
        <v>1294</v>
      </c>
    </row>
    <row r="2800" spans="1:11" ht="12" hidden="1" customHeight="1" outlineLevel="1">
      <c r="A2800" s="753" t="s">
        <v>1444</v>
      </c>
      <c r="B2800" s="778">
        <v>1263825</v>
      </c>
      <c r="C2800" s="125">
        <v>-3500.8</v>
      </c>
      <c r="D2800" s="799">
        <v>-10312.81</v>
      </c>
      <c r="E2800" s="207">
        <v>0</v>
      </c>
      <c r="F2800" s="125">
        <v>0</v>
      </c>
      <c r="G2800" s="95">
        <v>0</v>
      </c>
      <c r="H2800" s="778">
        <v>0</v>
      </c>
      <c r="I2800" s="125">
        <v>0</v>
      </c>
      <c r="J2800" s="799">
        <v>0</v>
      </c>
      <c r="K2800" t="s">
        <v>1445</v>
      </c>
    </row>
    <row r="2801" spans="1:11" ht="12" hidden="1" customHeight="1" outlineLevel="1">
      <c r="A2801" s="753" t="s">
        <v>1774</v>
      </c>
      <c r="B2801" s="778">
        <v>3918773</v>
      </c>
      <c r="C2801" s="125">
        <v>-10855</v>
      </c>
      <c r="D2801" s="799">
        <v>-31977.19</v>
      </c>
      <c r="E2801" s="207">
        <v>0</v>
      </c>
      <c r="F2801" s="125">
        <v>0</v>
      </c>
      <c r="G2801" s="95">
        <v>0</v>
      </c>
      <c r="H2801" s="778">
        <v>0</v>
      </c>
      <c r="I2801" s="125">
        <v>0</v>
      </c>
      <c r="J2801" s="799">
        <v>0</v>
      </c>
      <c r="K2801" t="s">
        <v>1775</v>
      </c>
    </row>
    <row r="2802" spans="1:11" ht="12" hidden="1" customHeight="1" outlineLevel="1">
      <c r="A2802" s="753" t="s">
        <v>1604</v>
      </c>
      <c r="B2802" s="778">
        <v>10861117</v>
      </c>
      <c r="C2802" s="125">
        <v>-30085.29</v>
      </c>
      <c r="D2802" s="799">
        <v>-88626.71</v>
      </c>
      <c r="E2802" s="207">
        <v>0</v>
      </c>
      <c r="F2802" s="125">
        <v>0</v>
      </c>
      <c r="G2802" s="95">
        <v>0</v>
      </c>
      <c r="H2802" s="778">
        <v>0</v>
      </c>
      <c r="I2802" s="125">
        <v>0</v>
      </c>
      <c r="J2802" s="799">
        <v>0</v>
      </c>
      <c r="K2802" t="s">
        <v>1605</v>
      </c>
    </row>
    <row r="2803" spans="1:11" ht="12" hidden="1" customHeight="1" outlineLevel="1">
      <c r="A2803" s="753" t="s">
        <v>1666</v>
      </c>
      <c r="B2803" s="778">
        <v>10432315</v>
      </c>
      <c r="C2803" s="125">
        <v>-28897.51</v>
      </c>
      <c r="D2803" s="799">
        <v>-85127.69</v>
      </c>
      <c r="E2803" s="207">
        <v>0</v>
      </c>
      <c r="F2803" s="125">
        <v>0</v>
      </c>
      <c r="G2803" s="95">
        <v>0</v>
      </c>
      <c r="H2803" s="778">
        <v>0</v>
      </c>
      <c r="I2803" s="125">
        <v>0</v>
      </c>
      <c r="J2803" s="799">
        <v>0</v>
      </c>
      <c r="K2803" t="s">
        <v>1667</v>
      </c>
    </row>
    <row r="2804" spans="1:11" ht="12" hidden="1" customHeight="1" outlineLevel="1">
      <c r="A2804" s="753" t="s">
        <v>1650</v>
      </c>
      <c r="B2804" s="778">
        <v>5177000</v>
      </c>
      <c r="C2804" s="125">
        <v>-14340.29</v>
      </c>
      <c r="D2804" s="799">
        <v>-42244.32</v>
      </c>
      <c r="E2804" s="207">
        <v>0</v>
      </c>
      <c r="F2804" s="125">
        <v>0</v>
      </c>
      <c r="G2804" s="95">
        <v>0</v>
      </c>
      <c r="H2804" s="778">
        <v>0</v>
      </c>
      <c r="I2804" s="125">
        <v>0</v>
      </c>
      <c r="J2804" s="799">
        <v>0</v>
      </c>
      <c r="K2804" t="s">
        <v>1651</v>
      </c>
    </row>
    <row r="2805" spans="1:11" ht="12" hidden="1" customHeight="1" outlineLevel="1">
      <c r="A2805" s="753" t="s">
        <v>1636</v>
      </c>
      <c r="B2805" s="778">
        <v>2666118</v>
      </c>
      <c r="C2805" s="125">
        <v>-7385.15</v>
      </c>
      <c r="D2805" s="799">
        <v>-21755.52</v>
      </c>
      <c r="E2805" s="207">
        <v>0</v>
      </c>
      <c r="F2805" s="125">
        <v>0</v>
      </c>
      <c r="G2805" s="95">
        <v>0</v>
      </c>
      <c r="H2805" s="778">
        <v>0</v>
      </c>
      <c r="I2805" s="125">
        <v>0</v>
      </c>
      <c r="J2805" s="799">
        <v>0</v>
      </c>
      <c r="K2805" t="s">
        <v>1637</v>
      </c>
    </row>
    <row r="2806" spans="1:11" ht="12" hidden="1" customHeight="1" outlineLevel="1">
      <c r="A2806" s="753" t="s">
        <v>1804</v>
      </c>
      <c r="B2806" s="778">
        <v>484754</v>
      </c>
      <c r="C2806" s="125">
        <v>-1343</v>
      </c>
      <c r="D2806" s="799">
        <v>-3955.59</v>
      </c>
      <c r="E2806" s="207">
        <v>0</v>
      </c>
      <c r="F2806" s="125">
        <v>0</v>
      </c>
      <c r="G2806" s="95">
        <v>0</v>
      </c>
      <c r="H2806" s="778">
        <v>0</v>
      </c>
      <c r="I2806" s="125">
        <v>0</v>
      </c>
      <c r="J2806" s="799">
        <v>0</v>
      </c>
      <c r="K2806" t="s">
        <v>1805</v>
      </c>
    </row>
    <row r="2807" spans="1:11" ht="12" hidden="1" customHeight="1" outlineLevel="1">
      <c r="A2807" s="753" t="s">
        <v>1362</v>
      </c>
      <c r="B2807" s="778">
        <v>264616</v>
      </c>
      <c r="C2807" s="125">
        <v>-732.99</v>
      </c>
      <c r="D2807" s="799">
        <v>-2159.27</v>
      </c>
      <c r="E2807" s="207">
        <v>0</v>
      </c>
      <c r="F2807" s="125">
        <v>0</v>
      </c>
      <c r="G2807" s="95">
        <v>0</v>
      </c>
      <c r="H2807" s="778">
        <v>0</v>
      </c>
      <c r="I2807" s="125">
        <v>0</v>
      </c>
      <c r="J2807" s="799">
        <v>0</v>
      </c>
      <c r="K2807" t="s">
        <v>1363</v>
      </c>
    </row>
    <row r="2808" spans="1:11" ht="12" hidden="1" customHeight="1" outlineLevel="1">
      <c r="A2808" s="753" t="s">
        <v>2236</v>
      </c>
      <c r="B2808" s="778">
        <v>56761.599999999999</v>
      </c>
      <c r="C2808" s="125">
        <v>-157.22999999999999</v>
      </c>
      <c r="D2808" s="799">
        <v>-463.17</v>
      </c>
      <c r="E2808" s="207">
        <v>0</v>
      </c>
      <c r="F2808" s="125">
        <v>0</v>
      </c>
      <c r="G2808" s="95">
        <v>0</v>
      </c>
      <c r="H2808" s="778">
        <v>0</v>
      </c>
      <c r="I2808" s="125">
        <v>0</v>
      </c>
      <c r="J2808" s="799">
        <v>0</v>
      </c>
      <c r="K2808" t="s">
        <v>2237</v>
      </c>
    </row>
    <row r="2809" spans="1:11" ht="12" hidden="1" customHeight="1" outlineLevel="1">
      <c r="A2809" s="753" t="s">
        <v>1516</v>
      </c>
      <c r="B2809" s="778">
        <v>3261733</v>
      </c>
      <c r="C2809" s="125">
        <v>-9035</v>
      </c>
      <c r="D2809" s="799">
        <v>-26615.74</v>
      </c>
      <c r="E2809" s="207">
        <v>0</v>
      </c>
      <c r="F2809" s="125">
        <v>0</v>
      </c>
      <c r="G2809" s="95">
        <v>0</v>
      </c>
      <c r="H2809" s="778">
        <v>0</v>
      </c>
      <c r="I2809" s="125">
        <v>0</v>
      </c>
      <c r="J2809" s="799">
        <v>0</v>
      </c>
      <c r="K2809" t="s">
        <v>1517</v>
      </c>
    </row>
    <row r="2810" spans="1:11" ht="12" hidden="1" customHeight="1" outlineLevel="1">
      <c r="A2810" s="753" t="s">
        <v>1430</v>
      </c>
      <c r="B2810" s="778">
        <v>210220750</v>
      </c>
      <c r="C2810" s="125">
        <v>-582311.47</v>
      </c>
      <c r="D2810" s="799">
        <v>-1715401.29</v>
      </c>
      <c r="E2810" s="207">
        <v>0</v>
      </c>
      <c r="F2810" s="125">
        <v>0</v>
      </c>
      <c r="G2810" s="95">
        <v>0</v>
      </c>
      <c r="H2810" s="778">
        <v>0</v>
      </c>
      <c r="I2810" s="125">
        <v>0</v>
      </c>
      <c r="J2810" s="799">
        <v>0</v>
      </c>
      <c r="K2810" t="s">
        <v>1431</v>
      </c>
    </row>
    <row r="2811" spans="1:11" ht="12" hidden="1" customHeight="1" outlineLevel="1">
      <c r="A2811" s="753" t="s">
        <v>1808</v>
      </c>
      <c r="B2811" s="778">
        <v>8853903</v>
      </c>
      <c r="C2811" s="125">
        <v>-24517.08</v>
      </c>
      <c r="D2811" s="799">
        <v>-72223.570000000007</v>
      </c>
      <c r="E2811" s="207">
        <v>0</v>
      </c>
      <c r="F2811" s="125">
        <v>0</v>
      </c>
      <c r="G2811" s="95">
        <v>0</v>
      </c>
      <c r="H2811" s="778">
        <v>0</v>
      </c>
      <c r="I2811" s="125">
        <v>0</v>
      </c>
      <c r="J2811" s="799">
        <v>0</v>
      </c>
      <c r="K2811" t="s">
        <v>1809</v>
      </c>
    </row>
    <row r="2812" spans="1:11" ht="12" hidden="1" customHeight="1" outlineLevel="1">
      <c r="A2812" s="753" t="s">
        <v>1683</v>
      </c>
      <c r="B2812" s="778">
        <v>27746039</v>
      </c>
      <c r="C2812" s="125">
        <v>-76856.53</v>
      </c>
      <c r="D2812" s="799">
        <v>-226407.67999999999</v>
      </c>
      <c r="E2812" s="207">
        <v>0</v>
      </c>
      <c r="F2812" s="125">
        <v>0</v>
      </c>
      <c r="G2812" s="95">
        <v>0</v>
      </c>
      <c r="H2812" s="778">
        <v>0</v>
      </c>
      <c r="I2812" s="125">
        <v>0</v>
      </c>
      <c r="J2812" s="799">
        <v>0</v>
      </c>
      <c r="K2812" t="s">
        <v>1684</v>
      </c>
    </row>
    <row r="2813" spans="1:11" ht="12" hidden="1" customHeight="1" outlineLevel="1">
      <c r="A2813" s="753" t="s">
        <v>758</v>
      </c>
      <c r="B2813" s="778">
        <v>36767170</v>
      </c>
      <c r="C2813" s="125">
        <v>-101845.06</v>
      </c>
      <c r="D2813" s="799">
        <v>-300020.11</v>
      </c>
      <c r="E2813" s="207">
        <v>0</v>
      </c>
      <c r="F2813" s="125">
        <v>0</v>
      </c>
      <c r="G2813" s="95">
        <v>0</v>
      </c>
      <c r="H2813" s="778">
        <v>0</v>
      </c>
      <c r="I2813" s="125">
        <v>0</v>
      </c>
      <c r="J2813" s="799">
        <v>0</v>
      </c>
      <c r="K2813" t="s">
        <v>759</v>
      </c>
    </row>
    <row r="2814" spans="1:11" ht="12" hidden="1" customHeight="1" outlineLevel="1">
      <c r="A2814" s="753" t="s">
        <v>1090</v>
      </c>
      <c r="B2814" s="778">
        <v>16225787.875</v>
      </c>
      <c r="C2814" s="125">
        <v>-44945.43</v>
      </c>
      <c r="D2814" s="799">
        <v>-132402.43</v>
      </c>
      <c r="E2814" s="207">
        <v>0</v>
      </c>
      <c r="F2814" s="125">
        <v>0</v>
      </c>
      <c r="G2814" s="95">
        <v>0</v>
      </c>
      <c r="H2814" s="778">
        <v>0</v>
      </c>
      <c r="I2814" s="125">
        <v>0</v>
      </c>
      <c r="J2814" s="799">
        <v>0</v>
      </c>
      <c r="K2814" t="s">
        <v>1091</v>
      </c>
    </row>
    <row r="2815" spans="1:11" ht="12" hidden="1" customHeight="1" outlineLevel="1">
      <c r="A2815" s="753" t="s">
        <v>2277</v>
      </c>
      <c r="B2815" s="778">
        <v>9388617.2249999996</v>
      </c>
      <c r="C2815" s="125">
        <v>-26006.47</v>
      </c>
      <c r="D2815" s="799">
        <v>-76611.12</v>
      </c>
      <c r="E2815" s="207">
        <v>0</v>
      </c>
      <c r="F2815" s="125">
        <v>0</v>
      </c>
      <c r="G2815" s="95">
        <v>0</v>
      </c>
      <c r="H2815" s="778">
        <v>0</v>
      </c>
      <c r="I2815" s="125">
        <v>0</v>
      </c>
      <c r="J2815" s="799">
        <v>0</v>
      </c>
      <c r="K2815" t="s">
        <v>2278</v>
      </c>
    </row>
    <row r="2816" spans="1:11" ht="12" hidden="1" customHeight="1" outlineLevel="1">
      <c r="A2816" s="753" t="s">
        <v>1390</v>
      </c>
      <c r="B2816" s="778">
        <v>0</v>
      </c>
      <c r="C2816" s="125">
        <v>0</v>
      </c>
      <c r="D2816" s="799">
        <v>0</v>
      </c>
      <c r="E2816" s="207">
        <v>62483</v>
      </c>
      <c r="F2816" s="125">
        <v>-173.08</v>
      </c>
      <c r="G2816" s="95">
        <v>-509.86</v>
      </c>
      <c r="H2816" s="778">
        <v>0</v>
      </c>
      <c r="I2816" s="125">
        <v>0</v>
      </c>
      <c r="J2816" s="799">
        <v>0</v>
      </c>
      <c r="K2816" t="s">
        <v>1391</v>
      </c>
    </row>
    <row r="2817" spans="1:11" ht="13.5" collapsed="1" thickBot="1">
      <c r="A2817" s="785" t="str">
        <f>A784</f>
        <v>Regelzone TransnetBW (gesamt)</v>
      </c>
      <c r="B2817" s="798">
        <f>SUM(B2818:B2822)</f>
        <v>1142586179</v>
      </c>
      <c r="C2817" s="212">
        <f t="shared" ref="C2817:J2817" si="65">SUM(C2818:C2822)</f>
        <v>-3164963.69</v>
      </c>
      <c r="D2817" s="796">
        <f t="shared" si="65"/>
        <v>-9323503.0899999999</v>
      </c>
      <c r="E2817" s="195">
        <f t="shared" si="65"/>
        <v>4261</v>
      </c>
      <c r="F2817" s="195">
        <f t="shared" si="65"/>
        <v>-11.8</v>
      </c>
      <c r="G2817" s="211">
        <f t="shared" si="65"/>
        <v>-34.770000000000003</v>
      </c>
      <c r="H2817" s="792">
        <f t="shared" si="65"/>
        <v>0</v>
      </c>
      <c r="I2817" s="196">
        <f t="shared" si="65"/>
        <v>0</v>
      </c>
      <c r="J2817" s="793">
        <f t="shared" si="65"/>
        <v>0</v>
      </c>
    </row>
    <row r="2818" spans="1:11" ht="12" hidden="1" customHeight="1" outlineLevel="1">
      <c r="A2818" s="389" t="s">
        <v>2308</v>
      </c>
      <c r="B2818" s="207">
        <v>0</v>
      </c>
      <c r="C2818" s="125">
        <v>0</v>
      </c>
      <c r="D2818" s="95">
        <v>0</v>
      </c>
      <c r="E2818" s="214">
        <v>4261</v>
      </c>
      <c r="F2818" s="125">
        <v>-11.8</v>
      </c>
      <c r="G2818" s="213">
        <v>-34.770000000000003</v>
      </c>
      <c r="H2818" s="207">
        <v>0</v>
      </c>
      <c r="I2818" s="125">
        <v>0</v>
      </c>
      <c r="J2818" s="213">
        <v>0</v>
      </c>
      <c r="K2818" t="s">
        <v>2309</v>
      </c>
    </row>
    <row r="2819" spans="1:11" ht="12" hidden="1" customHeight="1" outlineLevel="1">
      <c r="A2819" s="389" t="s">
        <v>1895</v>
      </c>
      <c r="B2819" s="207">
        <v>8236163</v>
      </c>
      <c r="C2819" s="125">
        <v>-22814.18</v>
      </c>
      <c r="D2819" s="95">
        <v>-67207.100000000006</v>
      </c>
      <c r="E2819" s="214">
        <v>0</v>
      </c>
      <c r="F2819" s="125">
        <v>0</v>
      </c>
      <c r="G2819" s="213">
        <v>0</v>
      </c>
      <c r="H2819" s="207">
        <v>0</v>
      </c>
      <c r="I2819" s="125">
        <v>0</v>
      </c>
      <c r="J2819" s="213">
        <v>0</v>
      </c>
      <c r="K2819" t="s">
        <v>1896</v>
      </c>
    </row>
    <row r="2820" spans="1:11" ht="12" hidden="1" customHeight="1" outlineLevel="1">
      <c r="A2820" s="389" t="s">
        <v>977</v>
      </c>
      <c r="B2820" s="207">
        <v>160864392</v>
      </c>
      <c r="C2820" s="125">
        <v>-445594.33</v>
      </c>
      <c r="D2820" s="95">
        <v>-1312653.3</v>
      </c>
      <c r="E2820" s="214">
        <v>0</v>
      </c>
      <c r="F2820" s="125">
        <v>0</v>
      </c>
      <c r="G2820" s="213">
        <v>0</v>
      </c>
      <c r="H2820" s="207">
        <v>0</v>
      </c>
      <c r="I2820" s="125">
        <v>0</v>
      </c>
      <c r="J2820" s="213">
        <v>0</v>
      </c>
      <c r="K2820" t="s">
        <v>978</v>
      </c>
    </row>
    <row r="2821" spans="1:11" ht="12" hidden="1" customHeight="1" outlineLevel="1">
      <c r="A2821" s="389" t="s">
        <v>1903</v>
      </c>
      <c r="B2821" s="207">
        <v>3385712</v>
      </c>
      <c r="C2821" s="125">
        <v>-9378.42</v>
      </c>
      <c r="D2821" s="95">
        <v>-27627.41</v>
      </c>
      <c r="E2821" s="214">
        <v>0</v>
      </c>
      <c r="F2821" s="125">
        <v>0</v>
      </c>
      <c r="G2821" s="213">
        <v>0</v>
      </c>
      <c r="H2821" s="207">
        <v>0</v>
      </c>
      <c r="I2821" s="125">
        <v>0</v>
      </c>
      <c r="J2821" s="213">
        <v>0</v>
      </c>
      <c r="K2821" t="s">
        <v>1904</v>
      </c>
    </row>
    <row r="2822" spans="1:11" ht="13.5" hidden="1" outlineLevel="1" thickBot="1">
      <c r="A2822" s="389" t="s">
        <v>2035</v>
      </c>
      <c r="B2822" s="207">
        <v>970099912</v>
      </c>
      <c r="C2822" s="125">
        <v>-2687176.76</v>
      </c>
      <c r="D2822" s="95">
        <v>-7916015.2800000003</v>
      </c>
      <c r="E2822" s="214">
        <v>0</v>
      </c>
      <c r="F2822" s="125">
        <v>0</v>
      </c>
      <c r="G2822" s="213">
        <v>0</v>
      </c>
      <c r="H2822" s="207">
        <v>0</v>
      </c>
      <c r="I2822" s="125">
        <v>0</v>
      </c>
      <c r="J2822" s="213">
        <v>0</v>
      </c>
      <c r="K2822" t="s">
        <v>2036</v>
      </c>
    </row>
    <row r="2823" spans="1:11" ht="13.5" collapsed="1" thickBot="1">
      <c r="A2823" s="377" t="s">
        <v>2047</v>
      </c>
      <c r="B2823" s="226">
        <f t="shared" ref="B2823:J2823" si="66">B2773+B2787+B2796+B2817</f>
        <v>10623454118.700001</v>
      </c>
      <c r="C2823" s="227">
        <f t="shared" si="66"/>
        <v>-29411461.646530002</v>
      </c>
      <c r="D2823" s="227">
        <f t="shared" si="66"/>
        <v>-86641705.636239991</v>
      </c>
      <c r="E2823" s="241">
        <f t="shared" si="66"/>
        <v>66744</v>
      </c>
      <c r="F2823" s="227">
        <f t="shared" si="66"/>
        <v>-184.88000000000002</v>
      </c>
      <c r="G2823" s="229">
        <f t="shared" si="66"/>
        <v>-544.63</v>
      </c>
      <c r="H2823" s="226">
        <f t="shared" si="66"/>
        <v>0</v>
      </c>
      <c r="I2823" s="227">
        <f t="shared" si="66"/>
        <v>0</v>
      </c>
      <c r="J2823" s="229">
        <f t="shared" si="66"/>
        <v>0</v>
      </c>
    </row>
    <row r="2824" spans="1:11">
      <c r="A2824" s="6"/>
      <c r="B2824" s="253"/>
      <c r="C2824" s="253"/>
      <c r="D2824" s="253"/>
      <c r="E2824" s="253"/>
      <c r="F2824" s="253"/>
      <c r="G2824" s="253"/>
      <c r="H2824" s="253"/>
      <c r="I2824" s="253"/>
      <c r="J2824" s="253"/>
    </row>
    <row r="2825" spans="1:11">
      <c r="A2825" s="7"/>
      <c r="H2825" s="215"/>
    </row>
    <row r="2826" spans="1:11" ht="15">
      <c r="A2826" s="1745" t="s">
        <v>2380</v>
      </c>
      <c r="H2826" s="174"/>
    </row>
    <row r="2827" spans="1:11" ht="13.5" thickBot="1">
      <c r="D2827" s="25"/>
    </row>
    <row r="2828" spans="1:11" ht="33" customHeight="1" thickBot="1">
      <c r="A2828" s="384"/>
      <c r="B2828" s="1797" t="s">
        <v>2381</v>
      </c>
      <c r="C2828" s="1796"/>
      <c r="D2828" s="1798"/>
      <c r="E2828" s="1797" t="s">
        <v>2382</v>
      </c>
      <c r="F2828" s="1796"/>
      <c r="G2828" s="1798"/>
      <c r="H2828" s="174"/>
      <c r="I2828" s="174"/>
      <c r="J2828" s="174"/>
    </row>
    <row r="2829" spans="1:11" s="28" customFormat="1" ht="25.5">
      <c r="A2829" s="511"/>
      <c r="B2829" s="499" t="s">
        <v>2383</v>
      </c>
      <c r="C2829" s="508" t="s">
        <v>2384</v>
      </c>
      <c r="D2829" s="509" t="s">
        <v>2385</v>
      </c>
      <c r="E2829" s="499" t="s">
        <v>2383</v>
      </c>
      <c r="F2829" s="508" t="s">
        <v>2384</v>
      </c>
      <c r="G2829" s="509" t="s">
        <v>2559</v>
      </c>
      <c r="H2829" s="176"/>
      <c r="I2829" s="176"/>
      <c r="J2829" s="176"/>
    </row>
    <row r="2830" spans="1:11" s="542" customFormat="1" ht="19.5" customHeight="1" thickBot="1">
      <c r="A2830" s="535"/>
      <c r="B2830" s="536" t="s">
        <v>454</v>
      </c>
      <c r="C2830" s="537" t="s">
        <v>2054</v>
      </c>
      <c r="D2830" s="539" t="s">
        <v>2054</v>
      </c>
      <c r="E2830" s="536" t="s">
        <v>454</v>
      </c>
      <c r="F2830" s="537" t="s">
        <v>2054</v>
      </c>
      <c r="G2830" s="539" t="s">
        <v>2054</v>
      </c>
      <c r="H2830" s="540"/>
      <c r="I2830" s="541"/>
      <c r="J2830" s="541"/>
    </row>
    <row r="2831" spans="1:11">
      <c r="A2831" s="388" t="str">
        <f>A7</f>
        <v>Regelzone 50Hertz (gesamt)</v>
      </c>
      <c r="B2831" s="216">
        <f>+B2832</f>
        <v>816628</v>
      </c>
      <c r="C2831" s="206">
        <f t="shared" ref="C2831:D2831" si="67">+C2832</f>
        <v>2262.06</v>
      </c>
      <c r="D2831" s="1653">
        <f t="shared" si="67"/>
        <v>6663.68</v>
      </c>
      <c r="E2831" s="216">
        <f>+E2832</f>
        <v>0</v>
      </c>
      <c r="F2831" s="206">
        <f t="shared" ref="F2831:G2831" si="68">+F2832</f>
        <v>0</v>
      </c>
      <c r="G2831" s="1653">
        <f t="shared" si="68"/>
        <v>0</v>
      </c>
      <c r="H2831" s="174"/>
      <c r="I2831" s="174"/>
      <c r="J2831" s="174"/>
    </row>
    <row r="2832" spans="1:11" hidden="1" outlineLevel="1">
      <c r="A2832" s="391" t="s">
        <v>680</v>
      </c>
      <c r="B2832" s="214">
        <v>816628</v>
      </c>
      <c r="C2832" s="125">
        <v>2262.06</v>
      </c>
      <c r="D2832" s="213">
        <v>6663.68</v>
      </c>
      <c r="E2832" s="214">
        <v>0</v>
      </c>
      <c r="F2832" s="125">
        <v>0</v>
      </c>
      <c r="G2832" s="213">
        <v>0</v>
      </c>
      <c r="H2832" s="174" t="s">
        <v>2176</v>
      </c>
      <c r="I2832" s="174"/>
      <c r="J2832" s="174"/>
    </row>
    <row r="2833" spans="1:10" collapsed="1">
      <c r="A2833" s="386" t="str">
        <f>A180</f>
        <v>Regelzone Amprion (gesamt)</v>
      </c>
      <c r="B2833" s="208">
        <f t="shared" ref="B2833:G2833" si="69">SUM(B2834:B2834)</f>
        <v>0</v>
      </c>
      <c r="C2833" s="195">
        <f t="shared" si="69"/>
        <v>0</v>
      </c>
      <c r="D2833" s="710">
        <f t="shared" si="69"/>
        <v>0</v>
      </c>
      <c r="E2833" s="208">
        <f t="shared" si="69"/>
        <v>20405</v>
      </c>
      <c r="F2833" s="195">
        <f t="shared" si="69"/>
        <v>11</v>
      </c>
      <c r="G2833" s="710">
        <f t="shared" si="69"/>
        <v>33</v>
      </c>
      <c r="H2833" s="174"/>
      <c r="I2833" s="174"/>
      <c r="J2833" s="174"/>
    </row>
    <row r="2834" spans="1:10" hidden="1" outlineLevel="1">
      <c r="A2834" s="380" t="s">
        <v>1005</v>
      </c>
      <c r="B2834" s="210">
        <v>0</v>
      </c>
      <c r="C2834" s="200">
        <v>0</v>
      </c>
      <c r="D2834" s="209">
        <v>0</v>
      </c>
      <c r="E2834" s="210">
        <v>20405</v>
      </c>
      <c r="F2834" s="200">
        <v>11</v>
      </c>
      <c r="G2834" s="209">
        <v>33</v>
      </c>
      <c r="H2834" t="s">
        <v>1006</v>
      </c>
      <c r="I2834" s="174"/>
      <c r="J2834" s="174"/>
    </row>
    <row r="2835" spans="1:10" collapsed="1">
      <c r="A2835" s="386" t="str">
        <f>A414</f>
        <v>Regelzone TenneT (gesamt)</v>
      </c>
      <c r="B2835" s="208">
        <f t="shared" ref="B2835:G2835" si="70">SUM(B2836:B2838)</f>
        <v>0</v>
      </c>
      <c r="C2835" s="393">
        <f t="shared" si="70"/>
        <v>0</v>
      </c>
      <c r="D2835" s="217">
        <f t="shared" si="70"/>
        <v>0</v>
      </c>
      <c r="E2835" s="208">
        <f t="shared" si="70"/>
        <v>10319</v>
      </c>
      <c r="F2835" s="393">
        <f t="shared" si="70"/>
        <v>28.58</v>
      </c>
      <c r="G2835" s="217">
        <f t="shared" si="70"/>
        <v>84.2</v>
      </c>
      <c r="H2835" s="174"/>
      <c r="I2835" s="174"/>
      <c r="J2835" s="174"/>
    </row>
    <row r="2836" spans="1:10" hidden="1" outlineLevel="1">
      <c r="A2836" s="391" t="s">
        <v>1710</v>
      </c>
      <c r="B2836" s="214">
        <v>0</v>
      </c>
      <c r="C2836" s="125">
        <v>0</v>
      </c>
      <c r="D2836" s="213">
        <v>0</v>
      </c>
      <c r="E2836" s="214">
        <v>10319</v>
      </c>
      <c r="F2836" s="125">
        <v>28.58</v>
      </c>
      <c r="G2836" s="213">
        <v>84.2</v>
      </c>
      <c r="H2836" s="174" t="s">
        <v>1711</v>
      </c>
      <c r="I2836" s="174"/>
      <c r="J2836" s="174"/>
    </row>
    <row r="2837" spans="1:10" hidden="1" outlineLevel="1">
      <c r="A2837" s="391"/>
      <c r="B2837" s="214"/>
      <c r="C2837" s="125"/>
      <c r="D2837" s="213"/>
      <c r="E2837" s="214"/>
      <c r="F2837" s="125"/>
      <c r="G2837" s="213"/>
      <c r="H2837" s="174"/>
      <c r="I2837" s="174"/>
      <c r="J2837" s="174"/>
    </row>
    <row r="2838" spans="1:10" hidden="1" outlineLevel="1">
      <c r="A2838" s="391"/>
      <c r="B2838" s="214"/>
      <c r="C2838" s="125"/>
      <c r="D2838" s="213"/>
      <c r="E2838" s="214"/>
      <c r="F2838" s="125"/>
      <c r="G2838" s="213"/>
      <c r="H2838" s="174"/>
      <c r="I2838" s="174"/>
      <c r="J2838" s="174"/>
    </row>
    <row r="2839" spans="1:10" ht="13.5" collapsed="1" thickBot="1">
      <c r="A2839" s="392" t="str">
        <f>A784</f>
        <v>Regelzone TransnetBW (gesamt)</v>
      </c>
      <c r="B2839" s="394">
        <f>SUM(B2840:B2845)</f>
        <v>5427184</v>
      </c>
      <c r="C2839" s="238">
        <f t="shared" ref="C2839:G2839" si="71">SUM(C2840:C2845)</f>
        <v>15033.29</v>
      </c>
      <c r="D2839" s="1654">
        <f t="shared" si="71"/>
        <v>44285.82</v>
      </c>
      <c r="E2839" s="394">
        <f t="shared" si="71"/>
        <v>0</v>
      </c>
      <c r="F2839" s="238">
        <f t="shared" si="71"/>
        <v>0</v>
      </c>
      <c r="G2839" s="1654">
        <f t="shared" si="71"/>
        <v>0</v>
      </c>
      <c r="H2839" s="174"/>
      <c r="I2839" s="174"/>
      <c r="J2839" s="174"/>
    </row>
    <row r="2840" spans="1:10" hidden="1" outlineLevel="1">
      <c r="A2840" s="391" t="s">
        <v>1859</v>
      </c>
      <c r="B2840" s="214">
        <v>814489</v>
      </c>
      <c r="C2840" s="125">
        <v>2256.13</v>
      </c>
      <c r="D2840" s="213">
        <v>6646.23</v>
      </c>
      <c r="E2840" s="214">
        <v>0</v>
      </c>
      <c r="F2840" s="125">
        <v>0</v>
      </c>
      <c r="G2840" s="213">
        <v>0</v>
      </c>
      <c r="H2840" s="174" t="s">
        <v>1860</v>
      </c>
      <c r="I2840" s="174"/>
      <c r="J2840" s="174"/>
    </row>
    <row r="2841" spans="1:10" hidden="1" outlineLevel="1">
      <c r="A2841" s="391" t="s">
        <v>1154</v>
      </c>
      <c r="B2841" s="214">
        <v>3680803</v>
      </c>
      <c r="C2841" s="125">
        <v>10195.82</v>
      </c>
      <c r="D2841" s="213">
        <v>30035.35</v>
      </c>
      <c r="E2841" s="214">
        <v>0</v>
      </c>
      <c r="F2841" s="125">
        <v>0</v>
      </c>
      <c r="G2841" s="213">
        <v>0</v>
      </c>
      <c r="H2841" s="174" t="s">
        <v>1155</v>
      </c>
      <c r="I2841" s="174"/>
      <c r="J2841" s="174"/>
    </row>
    <row r="2842" spans="1:10" hidden="1" outlineLevel="1">
      <c r="A2842" s="391" t="s">
        <v>1997</v>
      </c>
      <c r="B2842" s="214">
        <v>931892</v>
      </c>
      <c r="C2842" s="125">
        <v>2581.34</v>
      </c>
      <c r="D2842" s="213">
        <v>7604.24</v>
      </c>
      <c r="E2842" s="214">
        <v>0</v>
      </c>
      <c r="F2842" s="125">
        <v>0</v>
      </c>
      <c r="G2842" s="213">
        <v>0</v>
      </c>
      <c r="H2842" s="174" t="s">
        <v>1998</v>
      </c>
      <c r="I2842" s="174"/>
      <c r="J2842" s="174"/>
    </row>
    <row r="2843" spans="1:10" hidden="1" outlineLevel="1">
      <c r="A2843" s="391"/>
      <c r="B2843" s="214"/>
      <c r="C2843" s="125"/>
      <c r="D2843" s="213"/>
      <c r="E2843" s="214"/>
      <c r="F2843" s="125"/>
      <c r="G2843" s="213"/>
      <c r="H2843" s="174"/>
      <c r="I2843" s="174"/>
      <c r="J2843" s="174"/>
    </row>
    <row r="2844" spans="1:10" hidden="1" outlineLevel="1">
      <c r="A2844" s="391"/>
      <c r="B2844" s="214"/>
      <c r="C2844" s="125"/>
      <c r="D2844" s="213"/>
      <c r="E2844" s="214"/>
      <c r="F2844" s="125"/>
      <c r="G2844" s="213"/>
      <c r="H2844" s="174"/>
      <c r="I2844" s="174"/>
      <c r="J2844" s="174"/>
    </row>
    <row r="2845" spans="1:10" ht="13.5" hidden="1" outlineLevel="1" thickBot="1">
      <c r="A2845" s="391"/>
      <c r="B2845" s="214"/>
      <c r="C2845" s="125"/>
      <c r="D2845" s="213"/>
      <c r="E2845" s="214"/>
      <c r="F2845" s="125"/>
      <c r="G2845" s="213"/>
      <c r="H2845" s="174"/>
      <c r="I2845" s="174"/>
      <c r="J2845" s="174"/>
    </row>
    <row r="2846" spans="1:10" ht="13.5" collapsed="1" thickBot="1">
      <c r="A2846" s="377" t="s">
        <v>2047</v>
      </c>
      <c r="B2846" s="241">
        <f t="shared" ref="B2846:G2846" si="72">B2831+B2833+B2835+B2839</f>
        <v>6243812</v>
      </c>
      <c r="C2846" s="227">
        <f t="shared" si="72"/>
        <v>17295.350000000002</v>
      </c>
      <c r="D2846" s="229">
        <f t="shared" si="72"/>
        <v>50949.5</v>
      </c>
      <c r="E2846" s="396">
        <f t="shared" si="72"/>
        <v>30724</v>
      </c>
      <c r="F2846" s="228">
        <f t="shared" si="72"/>
        <v>39.58</v>
      </c>
      <c r="G2846" s="229">
        <f t="shared" si="72"/>
        <v>117.2</v>
      </c>
      <c r="H2846" s="174"/>
      <c r="I2846" s="174"/>
      <c r="J2846" s="174"/>
    </row>
    <row r="2848" spans="1:10" ht="15">
      <c r="A2848" s="1745" t="s">
        <v>2386</v>
      </c>
    </row>
    <row r="2849" spans="1:11" ht="13.5" thickBot="1"/>
    <row r="2850" spans="1:11" ht="25.5">
      <c r="A2850" s="384"/>
      <c r="B2850" s="499" t="s">
        <v>2387</v>
      </c>
      <c r="C2850" s="508" t="s">
        <v>2388</v>
      </c>
      <c r="D2850" s="509" t="s">
        <v>2389</v>
      </c>
    </row>
    <row r="2851" spans="1:11" s="542" customFormat="1" ht="19.5" customHeight="1" thickBot="1">
      <c r="A2851" s="535"/>
      <c r="B2851" s="536" t="s">
        <v>454</v>
      </c>
      <c r="C2851" s="537" t="s">
        <v>2054</v>
      </c>
      <c r="D2851" s="539" t="s">
        <v>2054</v>
      </c>
      <c r="E2851" s="541"/>
      <c r="F2851" s="541"/>
      <c r="G2851" s="541"/>
      <c r="H2851" s="541"/>
      <c r="I2851" s="541"/>
      <c r="J2851" s="541"/>
    </row>
    <row r="2852" spans="1:11">
      <c r="A2852" s="397" t="s">
        <v>455</v>
      </c>
      <c r="B2852" s="634">
        <v>21205851920</v>
      </c>
      <c r="C2852" s="980">
        <f>9520898.67-B2923</f>
        <v>9503875.709999999</v>
      </c>
      <c r="D2852" s="635">
        <f>28001781.27-C2923</f>
        <v>27951634.190000001</v>
      </c>
      <c r="E2852" s="748"/>
    </row>
    <row r="2853" spans="1:11">
      <c r="A2853" s="398" t="s">
        <v>774</v>
      </c>
      <c r="B2853" s="210">
        <v>43230394404</v>
      </c>
      <c r="C2853" s="200">
        <v>17938589.34</v>
      </c>
      <c r="D2853" s="209">
        <v>52760718.100000001</v>
      </c>
    </row>
    <row r="2854" spans="1:11">
      <c r="A2854" s="399" t="s">
        <v>1220</v>
      </c>
      <c r="B2854" s="210">
        <v>25245675565</v>
      </c>
      <c r="C2854" s="200">
        <v>12247712.02</v>
      </c>
      <c r="D2854" s="209">
        <v>36058427.399999999</v>
      </c>
    </row>
    <row r="2855" spans="1:11" ht="13.5" thickBot="1">
      <c r="A2855" s="400" t="s">
        <v>1828</v>
      </c>
      <c r="B2855" s="637">
        <v>7978225548</v>
      </c>
      <c r="C2855" s="981">
        <v>4151281.23</v>
      </c>
      <c r="D2855" s="638">
        <v>12211971.02</v>
      </c>
    </row>
    <row r="2856" spans="1:11" ht="15.75" thickBot="1">
      <c r="A2856" s="401" t="s">
        <v>2047</v>
      </c>
      <c r="B2856" s="801">
        <f>SUM(B2852:B2855)</f>
        <v>97660147437</v>
      </c>
      <c r="C2856" s="218">
        <f>SUM(C2852:C2855)</f>
        <v>43841458.29999999</v>
      </c>
      <c r="D2856" s="205">
        <f>SUM(D2852:D2855)</f>
        <v>128982750.70999999</v>
      </c>
    </row>
    <row r="2858" spans="1:11" ht="15">
      <c r="A2858" s="1745" t="s">
        <v>2390</v>
      </c>
    </row>
    <row r="2859" spans="1:11" ht="13.5" thickBot="1"/>
    <row r="2860" spans="1:11" ht="72" customHeight="1">
      <c r="A2860" s="384"/>
      <c r="B2860" s="499" t="s">
        <v>2154</v>
      </c>
      <c r="C2860" s="508" t="s">
        <v>2155</v>
      </c>
      <c r="D2860" s="508" t="s">
        <v>2156</v>
      </c>
      <c r="E2860" s="508" t="s">
        <v>2157</v>
      </c>
      <c r="F2860" s="508" t="s">
        <v>2158</v>
      </c>
      <c r="G2860" s="508" t="s">
        <v>2159</v>
      </c>
      <c r="H2860" s="508" t="s">
        <v>2160</v>
      </c>
      <c r="I2860" s="509" t="s">
        <v>2161</v>
      </c>
      <c r="J2860" s="250"/>
      <c r="K2860" s="3"/>
    </row>
    <row r="2861" spans="1:11" s="542" customFormat="1" ht="16.5" customHeight="1" thickBot="1">
      <c r="A2861" s="535"/>
      <c r="B2861" s="536" t="s">
        <v>454</v>
      </c>
      <c r="C2861" s="537" t="s">
        <v>454</v>
      </c>
      <c r="D2861" s="537" t="s">
        <v>454</v>
      </c>
      <c r="E2861" s="537" t="s">
        <v>454</v>
      </c>
      <c r="F2861" s="537" t="s">
        <v>454</v>
      </c>
      <c r="G2861" s="537" t="s">
        <v>454</v>
      </c>
      <c r="H2861" s="537" t="s">
        <v>454</v>
      </c>
      <c r="I2861" s="537" t="s">
        <v>454</v>
      </c>
      <c r="J2861" s="546"/>
    </row>
    <row r="2862" spans="1:11">
      <c r="A2862" s="386" t="s">
        <v>455</v>
      </c>
      <c r="B2862" s="634">
        <f>357493614</f>
        <v>357493614</v>
      </c>
      <c r="C2862" s="980">
        <v>0</v>
      </c>
      <c r="D2862" s="980">
        <v>0</v>
      </c>
      <c r="E2862" s="982">
        <v>0</v>
      </c>
      <c r="F2862" s="980">
        <v>0</v>
      </c>
      <c r="G2862" s="980">
        <v>0</v>
      </c>
      <c r="H2862" s="635">
        <v>0</v>
      </c>
      <c r="I2862" s="222">
        <f>SUM(B2862:H2862)</f>
        <v>357493614</v>
      </c>
      <c r="J2862" s="543"/>
      <c r="K2862" s="18"/>
    </row>
    <row r="2863" spans="1:11">
      <c r="A2863" s="386" t="s">
        <v>774</v>
      </c>
      <c r="B2863" s="210">
        <v>940409731</v>
      </c>
      <c r="C2863" s="200">
        <v>0</v>
      </c>
      <c r="D2863" s="200">
        <v>0</v>
      </c>
      <c r="E2863" s="199">
        <v>0</v>
      </c>
      <c r="F2863" s="200">
        <v>0</v>
      </c>
      <c r="G2863" s="200">
        <v>0</v>
      </c>
      <c r="H2863" s="209">
        <v>0</v>
      </c>
      <c r="I2863" s="223">
        <f t="shared" ref="I2863:I2865" si="73">SUM(B2863:H2863)</f>
        <v>940409731</v>
      </c>
      <c r="J2863" s="543"/>
      <c r="K2863" s="18"/>
    </row>
    <row r="2864" spans="1:11">
      <c r="A2864" s="386" t="s">
        <v>1220</v>
      </c>
      <c r="B2864" s="210">
        <v>399644657</v>
      </c>
      <c r="C2864" s="200">
        <v>0</v>
      </c>
      <c r="D2864" s="200">
        <v>0</v>
      </c>
      <c r="E2864" s="199">
        <v>0</v>
      </c>
      <c r="F2864" s="200">
        <v>0</v>
      </c>
      <c r="G2864" s="200">
        <v>0</v>
      </c>
      <c r="H2864" s="209">
        <v>0</v>
      </c>
      <c r="I2864" s="223">
        <f t="shared" si="73"/>
        <v>399644657</v>
      </c>
      <c r="J2864" s="543"/>
      <c r="K2864" s="18"/>
    </row>
    <row r="2865" spans="1:11" ht="13.5" thickBot="1">
      <c r="A2865" s="387" t="s">
        <v>1828</v>
      </c>
      <c r="B2865" s="637">
        <v>204333266</v>
      </c>
      <c r="C2865" s="981">
        <v>0</v>
      </c>
      <c r="D2865" s="981">
        <v>0</v>
      </c>
      <c r="E2865" s="983">
        <v>0</v>
      </c>
      <c r="F2865" s="981">
        <v>0</v>
      </c>
      <c r="G2865" s="981">
        <v>0</v>
      </c>
      <c r="H2865" s="638">
        <v>0</v>
      </c>
      <c r="I2865" s="224">
        <f t="shared" si="73"/>
        <v>204333266</v>
      </c>
      <c r="J2865" s="544"/>
      <c r="K2865" s="18"/>
    </row>
    <row r="2866" spans="1:11" ht="15.75" thickBot="1">
      <c r="A2866" s="402" t="s">
        <v>2047</v>
      </c>
      <c r="B2866" s="800">
        <f t="shared" ref="B2866" si="74">SUM(B2862:B2865)</f>
        <v>1901881268</v>
      </c>
      <c r="C2866" s="203">
        <f t="shared" ref="C2866:H2866" si="75">SUM(C2862:C2865)</f>
        <v>0</v>
      </c>
      <c r="D2866" s="218">
        <f t="shared" si="75"/>
        <v>0</v>
      </c>
      <c r="E2866" s="218">
        <f t="shared" si="75"/>
        <v>0</v>
      </c>
      <c r="F2866" s="218">
        <f t="shared" si="75"/>
        <v>0</v>
      </c>
      <c r="G2866" s="218">
        <f t="shared" si="75"/>
        <v>0</v>
      </c>
      <c r="H2866" s="218">
        <f t="shared" si="75"/>
        <v>0</v>
      </c>
      <c r="I2866" s="225">
        <f>SUM(I2862:I2865)</f>
        <v>1901881268</v>
      </c>
      <c r="J2866" s="545"/>
      <c r="K2866" s="10"/>
    </row>
    <row r="2867" spans="1:11" ht="15">
      <c r="A2867" s="6"/>
      <c r="B2867" s="253"/>
      <c r="C2867" s="253"/>
      <c r="D2867" s="253"/>
      <c r="E2867" s="253"/>
      <c r="F2867" s="253"/>
      <c r="G2867" s="253"/>
      <c r="H2867" s="253"/>
      <c r="I2867" s="252"/>
      <c r="J2867" s="314"/>
      <c r="K2867" s="10"/>
    </row>
    <row r="2868" spans="1:11" ht="15">
      <c r="A2868" s="6"/>
      <c r="B2868" s="253"/>
      <c r="C2868" s="253"/>
      <c r="D2868" s="253"/>
      <c r="E2868" s="253"/>
      <c r="F2868" s="253"/>
      <c r="G2868" s="253"/>
      <c r="H2868" s="253"/>
      <c r="I2868" s="252"/>
      <c r="J2868" s="314"/>
      <c r="K2868" s="10"/>
    </row>
    <row r="2869" spans="1:11" ht="15">
      <c r="A2869" s="1746" t="s">
        <v>2391</v>
      </c>
      <c r="J2869" s="8"/>
    </row>
    <row r="2870" spans="1:11" ht="13.5" thickBot="1"/>
    <row r="2871" spans="1:11" ht="69" customHeight="1">
      <c r="A2871" s="384"/>
      <c r="B2871" s="499" t="s">
        <v>2320</v>
      </c>
      <c r="C2871" s="508" t="s">
        <v>2321</v>
      </c>
      <c r="D2871" s="508" t="s">
        <v>2322</v>
      </c>
      <c r="E2871" s="508" t="s">
        <v>2323</v>
      </c>
      <c r="F2871" s="508" t="s">
        <v>2324</v>
      </c>
      <c r="G2871" s="508" t="s">
        <v>2325</v>
      </c>
      <c r="H2871" s="508" t="s">
        <v>2326</v>
      </c>
      <c r="I2871" s="509" t="s">
        <v>2327</v>
      </c>
      <c r="J2871" s="547"/>
      <c r="K2871" s="3"/>
    </row>
    <row r="2872" spans="1:11" ht="13.5" thickBot="1">
      <c r="A2872" s="535"/>
      <c r="B2872" s="744" t="s">
        <v>2054</v>
      </c>
      <c r="C2872" s="528" t="s">
        <v>2054</v>
      </c>
      <c r="D2872" s="528" t="s">
        <v>2054</v>
      </c>
      <c r="E2872" s="528" t="s">
        <v>2054</v>
      </c>
      <c r="F2872" s="528" t="s">
        <v>2054</v>
      </c>
      <c r="G2872" s="528" t="s">
        <v>2054</v>
      </c>
      <c r="H2872" s="528" t="s">
        <v>2054</v>
      </c>
      <c r="I2872" s="530" t="s">
        <v>2054</v>
      </c>
      <c r="J2872" s="548"/>
    </row>
    <row r="2873" spans="1:11">
      <c r="A2873" s="742" t="s">
        <v>455</v>
      </c>
      <c r="B2873" s="634">
        <f>990257.23</f>
        <v>990257.23</v>
      </c>
      <c r="C2873" s="980">
        <v>0</v>
      </c>
      <c r="D2873" s="980">
        <v>0</v>
      </c>
      <c r="E2873" s="982">
        <v>0</v>
      </c>
      <c r="F2873" s="980">
        <v>0</v>
      </c>
      <c r="G2873" s="980">
        <v>0</v>
      </c>
      <c r="H2873" s="635">
        <v>0</v>
      </c>
      <c r="I2873" s="222">
        <f>SUM(B2873:H2873)</f>
        <v>990257.23</v>
      </c>
      <c r="J2873" s="25"/>
      <c r="K2873" s="18"/>
    </row>
    <row r="2874" spans="1:11">
      <c r="A2874" s="742" t="s">
        <v>774</v>
      </c>
      <c r="B2874" s="210">
        <f>B2863*0.277/100</f>
        <v>2604934.95487</v>
      </c>
      <c r="C2874" s="200">
        <v>0</v>
      </c>
      <c r="D2874" s="200">
        <v>0</v>
      </c>
      <c r="E2874" s="199">
        <v>0</v>
      </c>
      <c r="F2874" s="200">
        <v>0</v>
      </c>
      <c r="G2874" s="200">
        <v>0</v>
      </c>
      <c r="H2874" s="209">
        <v>0</v>
      </c>
      <c r="I2874" s="223">
        <f t="shared" ref="I2874:I2876" si="76">SUM(B2874:H2874)</f>
        <v>2604934.95487</v>
      </c>
      <c r="J2874" s="25"/>
      <c r="K2874" s="18"/>
    </row>
    <row r="2875" spans="1:11">
      <c r="A2875" s="742" t="s">
        <v>1220</v>
      </c>
      <c r="B2875" s="210">
        <v>1107015.7</v>
      </c>
      <c r="C2875" s="200">
        <v>0</v>
      </c>
      <c r="D2875" s="200">
        <v>0</v>
      </c>
      <c r="E2875" s="199">
        <v>0</v>
      </c>
      <c r="F2875" s="200">
        <v>0</v>
      </c>
      <c r="G2875" s="200">
        <v>0</v>
      </c>
      <c r="H2875" s="209">
        <v>0</v>
      </c>
      <c r="I2875" s="223">
        <f t="shared" si="76"/>
        <v>1107015.7</v>
      </c>
      <c r="J2875" s="25"/>
      <c r="K2875" s="18"/>
    </row>
    <row r="2876" spans="1:11" ht="13.5" thickBot="1">
      <c r="A2876" s="743" t="s">
        <v>1828</v>
      </c>
      <c r="B2876" s="637">
        <f>B2865*0.277/100</f>
        <v>566003.14682000002</v>
      </c>
      <c r="C2876" s="981">
        <v>0</v>
      </c>
      <c r="D2876" s="981">
        <v>0</v>
      </c>
      <c r="E2876" s="983">
        <v>0</v>
      </c>
      <c r="F2876" s="981">
        <v>0</v>
      </c>
      <c r="G2876" s="981">
        <v>0</v>
      </c>
      <c r="H2876" s="638">
        <v>0</v>
      </c>
      <c r="I2876" s="224">
        <f t="shared" si="76"/>
        <v>566003.14682000002</v>
      </c>
      <c r="J2876" s="345"/>
      <c r="K2876" s="18"/>
    </row>
    <row r="2877" spans="1:11" ht="15.75" thickBot="1">
      <c r="A2877" s="402" t="s">
        <v>2047</v>
      </c>
      <c r="B2877" s="800">
        <f t="shared" ref="B2877:I2877" si="77">SUM(B2873:B2876)</f>
        <v>5268211.0316900006</v>
      </c>
      <c r="C2877" s="203">
        <f t="shared" si="77"/>
        <v>0</v>
      </c>
      <c r="D2877" s="218">
        <f t="shared" si="77"/>
        <v>0</v>
      </c>
      <c r="E2877" s="218">
        <f t="shared" si="77"/>
        <v>0</v>
      </c>
      <c r="F2877" s="218">
        <f t="shared" si="77"/>
        <v>0</v>
      </c>
      <c r="G2877" s="218">
        <f t="shared" si="77"/>
        <v>0</v>
      </c>
      <c r="H2877" s="218">
        <f t="shared" si="77"/>
        <v>0</v>
      </c>
      <c r="I2877" s="225">
        <f t="shared" si="77"/>
        <v>5268211.0316900006</v>
      </c>
      <c r="J2877" s="549"/>
      <c r="K2877" s="10"/>
    </row>
    <row r="2880" spans="1:11" ht="15">
      <c r="A2880" s="1746" t="s">
        <v>2392</v>
      </c>
      <c r="J2880" s="8"/>
    </row>
    <row r="2881" spans="1:11" ht="13.5" thickBot="1"/>
    <row r="2882" spans="1:11" ht="68.25" customHeight="1">
      <c r="A2882" s="384"/>
      <c r="B2882" s="499" t="s">
        <v>2320</v>
      </c>
      <c r="C2882" s="508" t="s">
        <v>2321</v>
      </c>
      <c r="D2882" s="508" t="s">
        <v>2322</v>
      </c>
      <c r="E2882" s="508" t="s">
        <v>2323</v>
      </c>
      <c r="F2882" s="508" t="s">
        <v>2324</v>
      </c>
      <c r="G2882" s="508" t="s">
        <v>2325</v>
      </c>
      <c r="H2882" s="508" t="s">
        <v>2326</v>
      </c>
      <c r="I2882" s="509" t="s">
        <v>2327</v>
      </c>
      <c r="J2882" s="547"/>
      <c r="K2882" s="3"/>
    </row>
    <row r="2883" spans="1:11" ht="13.5" thickBot="1">
      <c r="A2883" s="535"/>
      <c r="B2883" s="528" t="s">
        <v>2054</v>
      </c>
      <c r="C2883" s="528" t="s">
        <v>2054</v>
      </c>
      <c r="D2883" s="528" t="s">
        <v>2054</v>
      </c>
      <c r="E2883" s="528" t="s">
        <v>2054</v>
      </c>
      <c r="F2883" s="528" t="s">
        <v>2054</v>
      </c>
      <c r="G2883" s="528" t="s">
        <v>2054</v>
      </c>
      <c r="H2883" s="528" t="s">
        <v>2054</v>
      </c>
      <c r="I2883" s="530" t="s">
        <v>2054</v>
      </c>
      <c r="J2883" s="548"/>
    </row>
    <row r="2884" spans="1:11">
      <c r="A2884" s="386" t="s">
        <v>455</v>
      </c>
      <c r="B2884" s="984">
        <f>2917147.99</f>
        <v>2917147.99</v>
      </c>
      <c r="C2884" s="985">
        <v>0</v>
      </c>
      <c r="D2884" s="985">
        <v>0</v>
      </c>
      <c r="E2884" s="986">
        <v>0</v>
      </c>
      <c r="F2884" s="985">
        <v>0</v>
      </c>
      <c r="G2884" s="985">
        <v>0</v>
      </c>
      <c r="H2884" s="987">
        <v>0</v>
      </c>
      <c r="I2884" s="977">
        <f>SUM(B2884:H2884)</f>
        <v>2917147.99</v>
      </c>
      <c r="J2884" s="25"/>
      <c r="K2884" s="18"/>
    </row>
    <row r="2885" spans="1:11">
      <c r="A2885" s="386" t="s">
        <v>774</v>
      </c>
      <c r="B2885" s="988">
        <f>B2863*0.816/100</f>
        <v>7673743.404959999</v>
      </c>
      <c r="C2885" s="989">
        <v>0</v>
      </c>
      <c r="D2885" s="989">
        <v>0</v>
      </c>
      <c r="E2885" s="990">
        <v>0</v>
      </c>
      <c r="F2885" s="989">
        <v>0</v>
      </c>
      <c r="G2885" s="989">
        <v>0</v>
      </c>
      <c r="H2885" s="991">
        <v>0</v>
      </c>
      <c r="I2885" s="978">
        <f t="shared" ref="I2885:I2887" si="78">SUM(B2885:H2885)</f>
        <v>7673743.404959999</v>
      </c>
      <c r="J2885" s="25"/>
      <c r="K2885" s="18"/>
    </row>
    <row r="2886" spans="1:11">
      <c r="A2886" s="386" t="s">
        <v>1220</v>
      </c>
      <c r="B2886" s="988">
        <v>3261100.4</v>
      </c>
      <c r="C2886" s="989">
        <v>0</v>
      </c>
      <c r="D2886" s="989">
        <v>0</v>
      </c>
      <c r="E2886" s="990">
        <v>0</v>
      </c>
      <c r="F2886" s="989">
        <v>0</v>
      </c>
      <c r="G2886" s="989">
        <v>0</v>
      </c>
      <c r="H2886" s="991">
        <v>0</v>
      </c>
      <c r="I2886" s="978">
        <f t="shared" si="78"/>
        <v>3261100.4</v>
      </c>
      <c r="J2886" s="25"/>
      <c r="K2886" s="18"/>
    </row>
    <row r="2887" spans="1:11" ht="13.5" thickBot="1">
      <c r="A2887" s="387" t="s">
        <v>1828</v>
      </c>
      <c r="B2887" s="992">
        <f>B2865*0.816/100</f>
        <v>1667359.45056</v>
      </c>
      <c r="C2887" s="993">
        <v>0</v>
      </c>
      <c r="D2887" s="993">
        <v>0</v>
      </c>
      <c r="E2887" s="994">
        <v>0</v>
      </c>
      <c r="F2887" s="993">
        <v>0</v>
      </c>
      <c r="G2887" s="993">
        <v>0</v>
      </c>
      <c r="H2887" s="995">
        <v>0</v>
      </c>
      <c r="I2887" s="979">
        <f t="shared" si="78"/>
        <v>1667359.45056</v>
      </c>
      <c r="J2887" s="345"/>
      <c r="K2887" s="18"/>
    </row>
    <row r="2888" spans="1:11" ht="15.75" thickBot="1">
      <c r="A2888" s="402" t="s">
        <v>2047</v>
      </c>
      <c r="B2888" s="800">
        <f t="shared" ref="B2888:I2888" si="79">SUM(B2884:B2887)</f>
        <v>15519351.245519999</v>
      </c>
      <c r="C2888" s="404">
        <f t="shared" si="79"/>
        <v>0</v>
      </c>
      <c r="D2888" s="218">
        <f t="shared" si="79"/>
        <v>0</v>
      </c>
      <c r="E2888" s="218">
        <f t="shared" si="79"/>
        <v>0</v>
      </c>
      <c r="F2888" s="218">
        <f t="shared" si="79"/>
        <v>0</v>
      </c>
      <c r="G2888" s="218">
        <f t="shared" si="79"/>
        <v>0</v>
      </c>
      <c r="H2888" s="218">
        <f t="shared" si="79"/>
        <v>0</v>
      </c>
      <c r="I2888" s="225">
        <f t="shared" si="79"/>
        <v>15519351.245519999</v>
      </c>
      <c r="J2888" s="549"/>
      <c r="K2888" s="10"/>
    </row>
    <row r="2889" spans="1:11">
      <c r="A2889" s="6"/>
      <c r="B2889" s="253"/>
      <c r="C2889" s="253"/>
      <c r="D2889" s="253"/>
    </row>
    <row r="2891" spans="1:11" ht="15">
      <c r="A2891" s="1745" t="s">
        <v>2393</v>
      </c>
      <c r="H2891" s="174"/>
    </row>
    <row r="2892" spans="1:11" ht="13.5" thickBot="1">
      <c r="D2892" s="25"/>
    </row>
    <row r="2893" spans="1:11" ht="13.5" thickBot="1">
      <c r="A2893" s="384"/>
      <c r="B2893" s="1796" t="s">
        <v>2374</v>
      </c>
      <c r="C2893" s="1796"/>
      <c r="D2893" s="1796"/>
      <c r="E2893" s="1797" t="s">
        <v>2375</v>
      </c>
      <c r="F2893" s="1796"/>
      <c r="G2893" s="1798"/>
      <c r="H2893" s="1802" t="s">
        <v>2376</v>
      </c>
      <c r="I2893" s="1803"/>
      <c r="J2893" s="1798"/>
    </row>
    <row r="2894" spans="1:11" ht="52.5" customHeight="1">
      <c r="A2894" s="511"/>
      <c r="B2894" s="512" t="s">
        <v>2377</v>
      </c>
      <c r="C2894" s="513" t="s">
        <v>2394</v>
      </c>
      <c r="D2894" s="514" t="s">
        <v>2395</v>
      </c>
      <c r="E2894" s="512" t="s">
        <v>2377</v>
      </c>
      <c r="F2894" s="513" t="s">
        <v>2378</v>
      </c>
      <c r="G2894" s="515" t="s">
        <v>2379</v>
      </c>
      <c r="H2894" s="516" t="s">
        <v>2377</v>
      </c>
      <c r="I2894" s="513" t="s">
        <v>2378</v>
      </c>
      <c r="J2894" s="517" t="s">
        <v>2379</v>
      </c>
    </row>
    <row r="2895" spans="1:11" ht="13.5" thickBot="1">
      <c r="A2895" s="402"/>
      <c r="B2895" s="527" t="s">
        <v>454</v>
      </c>
      <c r="C2895" s="528" t="s">
        <v>2054</v>
      </c>
      <c r="D2895" s="529" t="s">
        <v>2054</v>
      </c>
      <c r="E2895" s="527" t="s">
        <v>454</v>
      </c>
      <c r="F2895" s="528" t="s">
        <v>2054</v>
      </c>
      <c r="G2895" s="529" t="s">
        <v>2054</v>
      </c>
      <c r="H2895" s="527" t="s">
        <v>454</v>
      </c>
      <c r="I2895" s="528" t="s">
        <v>2054</v>
      </c>
      <c r="J2895" s="530" t="s">
        <v>2054</v>
      </c>
    </row>
    <row r="2896" spans="1:11">
      <c r="A2896" s="388" t="s">
        <v>455</v>
      </c>
      <c r="B2896" s="984">
        <v>29436</v>
      </c>
      <c r="C2896" s="985">
        <v>-12.23</v>
      </c>
      <c r="D2896" s="987">
        <v>-36.03</v>
      </c>
      <c r="E2896" s="984">
        <v>0</v>
      </c>
      <c r="F2896" s="985">
        <v>0</v>
      </c>
      <c r="G2896" s="987">
        <v>0</v>
      </c>
      <c r="H2896" s="984">
        <v>0</v>
      </c>
      <c r="I2896" s="985">
        <v>0</v>
      </c>
      <c r="J2896" s="987">
        <v>0</v>
      </c>
    </row>
    <row r="2897" spans="1:10">
      <c r="A2897" s="386" t="s">
        <v>774</v>
      </c>
      <c r="B2897" s="988">
        <v>37492</v>
      </c>
      <c r="C2897" s="989">
        <v>-85.06</v>
      </c>
      <c r="D2897" s="991">
        <v>-250.59</v>
      </c>
      <c r="E2897" s="988">
        <v>9881</v>
      </c>
      <c r="F2897" s="989">
        <v>-27.17</v>
      </c>
      <c r="G2897" s="991">
        <v>-64.819999999999993</v>
      </c>
      <c r="H2897" s="988">
        <v>0</v>
      </c>
      <c r="I2897" s="989">
        <v>0</v>
      </c>
      <c r="J2897" s="991">
        <v>0</v>
      </c>
    </row>
    <row r="2898" spans="1:10">
      <c r="A2898" s="386" t="s">
        <v>1220</v>
      </c>
      <c r="B2898" s="988">
        <v>167100</v>
      </c>
      <c r="C2898" s="989">
        <v>-69.430000000000007</v>
      </c>
      <c r="D2898" s="991">
        <v>-204.53</v>
      </c>
      <c r="E2898" s="988">
        <v>0</v>
      </c>
      <c r="F2898" s="989">
        <v>0</v>
      </c>
      <c r="G2898" s="991">
        <v>0</v>
      </c>
      <c r="H2898" s="988">
        <v>0</v>
      </c>
      <c r="I2898" s="989">
        <v>0</v>
      </c>
      <c r="J2898" s="991">
        <v>0</v>
      </c>
    </row>
    <row r="2899" spans="1:10" ht="13.5" thickBot="1">
      <c r="A2899" s="390" t="s">
        <v>1828</v>
      </c>
      <c r="B2899" s="992">
        <v>106250</v>
      </c>
      <c r="C2899" s="993">
        <v>-34.630000000000003</v>
      </c>
      <c r="D2899" s="995">
        <v>-102.02</v>
      </c>
      <c r="E2899" s="992">
        <v>0</v>
      </c>
      <c r="F2899" s="993">
        <v>0</v>
      </c>
      <c r="G2899" s="995">
        <v>0</v>
      </c>
      <c r="H2899" s="992">
        <v>0</v>
      </c>
      <c r="I2899" s="993">
        <v>0</v>
      </c>
      <c r="J2899" s="995">
        <v>0</v>
      </c>
    </row>
    <row r="2900" spans="1:10" ht="13.5" thickBot="1">
      <c r="A2900" s="377" t="s">
        <v>2047</v>
      </c>
      <c r="B2900" s="226">
        <f>SUM(B2896:B2899)</f>
        <v>340278</v>
      </c>
      <c r="C2900" s="227">
        <f t="shared" ref="C2900:J2900" si="80">SUM(C2896:C2899)</f>
        <v>-201.35000000000002</v>
      </c>
      <c r="D2900" s="227">
        <f t="shared" si="80"/>
        <v>-593.16999999999996</v>
      </c>
      <c r="E2900" s="242">
        <f t="shared" si="80"/>
        <v>9881</v>
      </c>
      <c r="F2900" s="218">
        <f t="shared" si="80"/>
        <v>-27.17</v>
      </c>
      <c r="G2900" s="205">
        <f t="shared" si="80"/>
        <v>-64.819999999999993</v>
      </c>
      <c r="H2900" s="404">
        <f t="shared" si="80"/>
        <v>0</v>
      </c>
      <c r="I2900" s="218">
        <f t="shared" si="80"/>
        <v>0</v>
      </c>
      <c r="J2900" s="205">
        <f t="shared" si="80"/>
        <v>0</v>
      </c>
    </row>
    <row r="2902" spans="1:10">
      <c r="A2902" s="46"/>
    </row>
    <row r="2904" spans="1:10" ht="15">
      <c r="A2904" s="1745" t="s">
        <v>2396</v>
      </c>
    </row>
    <row r="2905" spans="1:10" ht="13.5" thickBot="1">
      <c r="D2905" s="25"/>
    </row>
    <row r="2906" spans="1:10" ht="13.5" thickBot="1">
      <c r="A2906" s="384"/>
      <c r="B2906" s="1796" t="s">
        <v>2381</v>
      </c>
      <c r="C2906" s="1796"/>
      <c r="D2906" s="1796"/>
      <c r="E2906" s="1797" t="s">
        <v>2382</v>
      </c>
      <c r="F2906" s="1796"/>
      <c r="G2906" s="1798"/>
    </row>
    <row r="2907" spans="1:10" ht="38.25">
      <c r="A2907" s="511"/>
      <c r="B2907" s="499" t="s">
        <v>2383</v>
      </c>
      <c r="C2907" s="508" t="s">
        <v>2384</v>
      </c>
      <c r="D2907" s="510" t="s">
        <v>2385</v>
      </c>
      <c r="E2907" s="499" t="s">
        <v>2383</v>
      </c>
      <c r="F2907" s="508" t="s">
        <v>2384</v>
      </c>
      <c r="G2907" s="509" t="s">
        <v>2397</v>
      </c>
    </row>
    <row r="2908" spans="1:10" ht="13.5" thickBot="1">
      <c r="A2908" s="535"/>
      <c r="B2908" s="536" t="s">
        <v>454</v>
      </c>
      <c r="C2908" s="537" t="s">
        <v>2054</v>
      </c>
      <c r="D2908" s="538" t="s">
        <v>2054</v>
      </c>
      <c r="E2908" s="536" t="s">
        <v>454</v>
      </c>
      <c r="F2908" s="537" t="s">
        <v>2054</v>
      </c>
      <c r="G2908" s="539" t="s">
        <v>2054</v>
      </c>
    </row>
    <row r="2909" spans="1:10">
      <c r="A2909" s="388" t="s">
        <v>455</v>
      </c>
      <c r="B2909" s="984">
        <v>20633105</v>
      </c>
      <c r="C2909" s="985">
        <v>41517.1</v>
      </c>
      <c r="D2909" s="987">
        <v>122303.25</v>
      </c>
      <c r="E2909" s="984">
        <v>0</v>
      </c>
      <c r="F2909" s="985">
        <v>0</v>
      </c>
      <c r="G2909" s="987">
        <v>0</v>
      </c>
    </row>
    <row r="2910" spans="1:10">
      <c r="A2910" s="386" t="s">
        <v>774</v>
      </c>
      <c r="B2910" s="988">
        <v>20083905</v>
      </c>
      <c r="C2910" s="989">
        <v>40224.050000000003</v>
      </c>
      <c r="D2910" s="991">
        <v>118493.96</v>
      </c>
      <c r="E2910" s="988">
        <v>0</v>
      </c>
      <c r="F2910" s="989">
        <v>0</v>
      </c>
      <c r="G2910" s="991">
        <v>0</v>
      </c>
    </row>
    <row r="2911" spans="1:10">
      <c r="A2911" s="386" t="s">
        <v>1220</v>
      </c>
      <c r="B2911" s="988">
        <v>191338899</v>
      </c>
      <c r="C2911" s="989">
        <v>411169.98</v>
      </c>
      <c r="D2911" s="991">
        <v>1211244.42</v>
      </c>
      <c r="E2911" s="988">
        <v>0</v>
      </c>
      <c r="F2911" s="989">
        <v>0</v>
      </c>
      <c r="G2911" s="991">
        <v>0</v>
      </c>
    </row>
    <row r="2912" spans="1:10" ht="13.5" thickBot="1">
      <c r="A2912" s="390" t="s">
        <v>1828</v>
      </c>
      <c r="B2912" s="992">
        <v>15130787</v>
      </c>
      <c r="C2912" s="993">
        <v>33270.94</v>
      </c>
      <c r="D2912" s="995">
        <v>98011.14</v>
      </c>
      <c r="E2912" s="992">
        <v>0</v>
      </c>
      <c r="F2912" s="993">
        <v>0</v>
      </c>
      <c r="G2912" s="995">
        <v>0</v>
      </c>
    </row>
    <row r="2913" spans="1:7" ht="13.5" thickBot="1">
      <c r="A2913" s="377" t="s">
        <v>2047</v>
      </c>
      <c r="B2913" s="802">
        <f>SUM(B2909:B2912)</f>
        <v>247186696</v>
      </c>
      <c r="C2913" s="803">
        <f t="shared" ref="C2913:G2913" si="81">SUM(C2909:C2912)</f>
        <v>526182.07000000007</v>
      </c>
      <c r="D2913" s="804">
        <f t="shared" si="81"/>
        <v>1550052.7699999998</v>
      </c>
      <c r="E2913" s="802">
        <f t="shared" si="81"/>
        <v>0</v>
      </c>
      <c r="F2913" s="803">
        <f t="shared" si="81"/>
        <v>0</v>
      </c>
      <c r="G2913" s="805">
        <f t="shared" si="81"/>
        <v>0</v>
      </c>
    </row>
    <row r="2919" spans="1:7" ht="15">
      <c r="A2919" s="1745" t="s">
        <v>2398</v>
      </c>
    </row>
    <row r="2920" spans="1:7" ht="13.5" thickBot="1"/>
    <row r="2921" spans="1:7" ht="26.25" thickBot="1">
      <c r="A2921" s="1794"/>
      <c r="B2921" s="1199" t="s">
        <v>2399</v>
      </c>
      <c r="C2921" s="1199" t="s">
        <v>2400</v>
      </c>
    </row>
    <row r="2922" spans="1:7" ht="13.5" thickBot="1">
      <c r="A2922" s="1795"/>
      <c r="B2922" s="1200" t="s">
        <v>2054</v>
      </c>
      <c r="C2922" s="1200" t="s">
        <v>2054</v>
      </c>
    </row>
    <row r="2923" spans="1:7">
      <c r="A2923" s="386" t="s">
        <v>455</v>
      </c>
      <c r="B2923" s="1201">
        <v>17022.96</v>
      </c>
      <c r="C2923" s="1201">
        <v>50147.08</v>
      </c>
    </row>
    <row r="2924" spans="1:7">
      <c r="A2924" s="386" t="s">
        <v>774</v>
      </c>
      <c r="B2924" s="1202">
        <f>6615813*0.277/100</f>
        <v>18325.802009999999</v>
      </c>
      <c r="C2924" s="1202">
        <f>6615813*0.816/100</f>
        <v>53985.034079999998</v>
      </c>
    </row>
    <row r="2925" spans="1:7">
      <c r="A2925" s="386" t="s">
        <v>1220</v>
      </c>
      <c r="B2925" s="1202">
        <v>23733.68</v>
      </c>
      <c r="C2925" s="1202">
        <v>69915.820000000007</v>
      </c>
    </row>
    <row r="2926" spans="1:7" ht="13.5" thickBot="1">
      <c r="A2926" s="390" t="s">
        <v>1828</v>
      </c>
      <c r="B2926" s="1203">
        <f>302765*0.277/100</f>
        <v>838.65905000000009</v>
      </c>
      <c r="C2926" s="1203">
        <f>302765*0.816/100</f>
        <v>2470.5623999999998</v>
      </c>
    </row>
    <row r="2927" spans="1:7" ht="13.5" thickBot="1">
      <c r="A2927" s="377" t="s">
        <v>2047</v>
      </c>
      <c r="B2927" s="456">
        <f>+SUM(B2923:B2926)</f>
        <v>59921.101060000001</v>
      </c>
      <c r="C2927" s="456">
        <f>+SUM(C2923:C2926)</f>
        <v>176518.49648</v>
      </c>
    </row>
  </sheetData>
  <sortState xmlns:xlrd2="http://schemas.microsoft.com/office/spreadsheetml/2017/richdata2" ref="A2834:H2834">
    <sortCondition ref="A2834"/>
  </sortState>
  <mergeCells count="11">
    <mergeCell ref="A2921:A2922"/>
    <mergeCell ref="B2906:D2906"/>
    <mergeCell ref="E2906:G2906"/>
    <mergeCell ref="H2770:J2770"/>
    <mergeCell ref="B2828:D2828"/>
    <mergeCell ref="E2828:G2828"/>
    <mergeCell ref="B2893:D2893"/>
    <mergeCell ref="E2893:G2893"/>
    <mergeCell ref="H2893:J2893"/>
    <mergeCell ref="B2770:D2770"/>
    <mergeCell ref="E2770:G2770"/>
  </mergeCells>
  <conditionalFormatting sqref="B2923:C2926">
    <cfRule type="expression" dxfId="418" priority="1">
      <formula>B2923&lt;&gt;""</formula>
    </cfRule>
  </conditionalFormatting>
  <conditionalFormatting sqref="B2852:D2855">
    <cfRule type="expression" dxfId="417" priority="45">
      <formula>B2852&lt;&gt;""</formula>
    </cfRule>
  </conditionalFormatting>
  <conditionalFormatting sqref="B2909:G2912">
    <cfRule type="expression" dxfId="416" priority="2">
      <formula>B2909&lt;&gt;""</formula>
    </cfRule>
  </conditionalFormatting>
  <conditionalFormatting sqref="B2862:H2865">
    <cfRule type="expression" dxfId="415" priority="38">
      <formula>B2862&lt;&gt;""</formula>
    </cfRule>
  </conditionalFormatting>
  <conditionalFormatting sqref="B2873:H2876">
    <cfRule type="expression" dxfId="414" priority="31">
      <formula>B2873&lt;&gt;""</formula>
    </cfRule>
  </conditionalFormatting>
  <conditionalFormatting sqref="B2884:H2887">
    <cfRule type="expression" dxfId="413" priority="24">
      <formula>B2884&lt;&gt;""</formula>
    </cfRule>
  </conditionalFormatting>
  <conditionalFormatting sqref="B2896:J2899">
    <cfRule type="expression" dxfId="412" priority="8">
      <formula>B2896&lt;&gt;""</formula>
    </cfRule>
  </conditionalFormatting>
  <pageMargins left="0.23622047244094491" right="0.23622047244094491" top="0.82677165354330717" bottom="0.74803149606299213" header="0.31496062992125984" footer="0.31496062992125984"/>
  <pageSetup paperSize="9" scale="43" fitToHeight="2" orientation="landscape" r:id="rId1"/>
  <headerFooter scaleWithDoc="0">
    <oddHeader>&amp;L&amp;G</oddHeader>
    <oddFooter>&amp;R&amp;U
Anlage 2a
&amp;USeite &amp;P</oddFooter>
  </headerFooter>
  <rowBreaks count="1" manualBreakCount="1">
    <brk id="2847" max="16383" man="1"/>
  </rowBreaks>
  <ignoredErrors>
    <ignoredError sqref="H2787:J2787 C180 C931 H2258 E2787:G2787 D414 E180:G414 H414" formulaRange="1"/>
    <ignoredError sqref="B2258 I1337" formula="1"/>
  </ignoredErrors>
  <legacy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5"/>
  <dimension ref="A1:O1538"/>
  <sheetViews>
    <sheetView view="pageLayout" zoomScaleNormal="115" workbookViewId="0">
      <selection activeCell="G1509" sqref="G1509"/>
    </sheetView>
  </sheetViews>
  <sheetFormatPr baseColWidth="10" defaultColWidth="9.140625" defaultRowHeight="12.75" outlineLevelRow="1"/>
  <cols>
    <col min="1" max="1" width="29.28515625" style="81" customWidth="1"/>
    <col min="2" max="2" width="35" style="16" customWidth="1"/>
    <col min="3" max="3" width="41.140625" style="8" customWidth="1"/>
    <col min="4" max="6" width="19.42578125" style="192" customWidth="1"/>
    <col min="7" max="7" width="45.28515625" style="8" customWidth="1"/>
    <col min="8" max="8" width="16.28515625" style="590" customWidth="1"/>
    <col min="9" max="9" width="12.140625" style="8" customWidth="1"/>
    <col min="10" max="10" width="18" style="8" customWidth="1"/>
    <col min="11" max="11" width="9.85546875" style="8" bestFit="1" customWidth="1"/>
    <col min="12" max="12" width="11.140625" style="8" bestFit="1" customWidth="1"/>
    <col min="13" max="13" width="9.42578125" style="8" bestFit="1" customWidth="1"/>
    <col min="14" max="14" width="9.5703125" style="8" bestFit="1" customWidth="1"/>
    <col min="15" max="15" width="11" style="8" bestFit="1" customWidth="1"/>
    <col min="16" max="16384" width="9.140625" style="8"/>
  </cols>
  <sheetData>
    <row r="1" spans="1:9">
      <c r="A1" s="11" t="s">
        <v>2401</v>
      </c>
      <c r="B1" s="11"/>
      <c r="C1" s="1"/>
      <c r="D1" s="175"/>
      <c r="E1" s="175"/>
      <c r="F1" s="237">
        <f>'Anlage 1a_Zuschlagszahlungen_NB'!E1</f>
        <v>46280</v>
      </c>
    </row>
    <row r="2" spans="1:9">
      <c r="A2" s="11"/>
      <c r="B2" s="11"/>
      <c r="C2" s="1"/>
      <c r="D2" s="175"/>
      <c r="E2" s="175"/>
      <c r="F2" s="175"/>
      <c r="H2" s="591"/>
      <c r="I2" s="587"/>
    </row>
    <row r="3" spans="1:9">
      <c r="A3" s="19"/>
      <c r="B3" s="19"/>
      <c r="C3" s="1"/>
      <c r="D3" s="175"/>
      <c r="E3" s="175"/>
      <c r="F3" s="175"/>
      <c r="H3" s="591"/>
      <c r="I3" s="587"/>
    </row>
    <row r="4" spans="1:9">
      <c r="A4" s="16" t="s">
        <v>2402</v>
      </c>
      <c r="C4" s="1"/>
      <c r="D4" s="175"/>
      <c r="E4" s="175"/>
      <c r="H4" s="591"/>
      <c r="I4" s="587"/>
    </row>
    <row r="5" spans="1:9" ht="15" thickBot="1">
      <c r="A5" s="82"/>
      <c r="B5" s="63"/>
      <c r="C5" s="1"/>
      <c r="D5" s="175"/>
      <c r="E5" s="175"/>
      <c r="H5" s="591"/>
      <c r="I5" s="587"/>
    </row>
    <row r="6" spans="1:9" ht="92.25" customHeight="1">
      <c r="A6" s="505" t="s">
        <v>2071</v>
      </c>
      <c r="B6" s="910" t="s">
        <v>2403</v>
      </c>
      <c r="C6" s="506" t="s">
        <v>2404</v>
      </c>
      <c r="D6" s="616" t="s">
        <v>2405</v>
      </c>
      <c r="E6" s="500" t="s">
        <v>2406</v>
      </c>
      <c r="F6" s="501" t="s">
        <v>2407</v>
      </c>
      <c r="H6" s="591"/>
      <c r="I6" s="587"/>
    </row>
    <row r="7" spans="1:9" ht="13.5" thickBot="1">
      <c r="A7" s="502"/>
      <c r="B7" s="503"/>
      <c r="C7" s="504"/>
      <c r="D7" s="526" t="s">
        <v>454</v>
      </c>
      <c r="E7" s="528" t="s">
        <v>2054</v>
      </c>
      <c r="F7" s="530" t="s">
        <v>2054</v>
      </c>
      <c r="H7" s="591"/>
      <c r="I7" s="587"/>
    </row>
    <row r="8" spans="1:9" hidden="1" outlineLevel="1">
      <c r="A8" s="1659">
        <v>2022</v>
      </c>
      <c r="B8" s="1658" t="s">
        <v>758</v>
      </c>
      <c r="C8" s="1657" t="s">
        <v>2408</v>
      </c>
      <c r="D8" s="1699">
        <v>-1107152</v>
      </c>
      <c r="E8" s="1699">
        <v>-4185.03</v>
      </c>
      <c r="F8" s="1700">
        <v>-4638.97</v>
      </c>
      <c r="G8" t="s">
        <v>759</v>
      </c>
      <c r="H8" s="591" t="s">
        <v>455</v>
      </c>
      <c r="I8" s="587"/>
    </row>
    <row r="9" spans="1:9" hidden="1" outlineLevel="1">
      <c r="A9" s="1659">
        <v>2022</v>
      </c>
      <c r="B9" s="1658" t="s">
        <v>943</v>
      </c>
      <c r="C9" s="1657" t="s">
        <v>2408</v>
      </c>
      <c r="D9" s="1699">
        <v>4040</v>
      </c>
      <c r="E9" s="1699">
        <v>15.27</v>
      </c>
      <c r="F9" s="1700">
        <v>16.93</v>
      </c>
      <c r="G9" t="s">
        <v>2163</v>
      </c>
      <c r="H9" s="591" t="str">
        <f t="shared" ref="H9:H40" si="0">+H8</f>
        <v>Regelzone 50Hertz (gesamt)</v>
      </c>
      <c r="I9" s="587"/>
    </row>
    <row r="10" spans="1:9" hidden="1" outlineLevel="1">
      <c r="A10" s="1659">
        <v>2022</v>
      </c>
      <c r="B10" s="1658" t="s">
        <v>943</v>
      </c>
      <c r="C10" s="1657" t="s">
        <v>2409</v>
      </c>
      <c r="D10" s="1699">
        <v>222</v>
      </c>
      <c r="E10" s="1699">
        <v>0.09</v>
      </c>
      <c r="F10" s="1700">
        <v>0.09</v>
      </c>
      <c r="G10" t="s">
        <v>2163</v>
      </c>
      <c r="H10" s="591" t="str">
        <f t="shared" si="0"/>
        <v>Regelzone 50Hertz (gesamt)</v>
      </c>
      <c r="I10" s="587"/>
    </row>
    <row r="11" spans="1:9" hidden="1" outlineLevel="1">
      <c r="A11" s="1659">
        <v>2022</v>
      </c>
      <c r="B11" s="1658" t="s">
        <v>943</v>
      </c>
      <c r="C11" s="1657" t="s">
        <v>2410</v>
      </c>
      <c r="D11" s="1699">
        <v>-123035</v>
      </c>
      <c r="E11" s="1699">
        <v>-36.909999999999997</v>
      </c>
      <c r="F11" s="1700">
        <v>-36.909999999999997</v>
      </c>
      <c r="G11" t="s">
        <v>2163</v>
      </c>
      <c r="H11" s="591" t="str">
        <f t="shared" si="0"/>
        <v>Regelzone 50Hertz (gesamt)</v>
      </c>
      <c r="I11" s="587"/>
    </row>
    <row r="12" spans="1:9" hidden="1" outlineLevel="1">
      <c r="A12" s="1659">
        <v>2022</v>
      </c>
      <c r="B12" s="1658" t="s">
        <v>943</v>
      </c>
      <c r="C12" s="1657" t="s">
        <v>2408</v>
      </c>
      <c r="D12" s="1699">
        <v>-2111</v>
      </c>
      <c r="E12" s="1699">
        <v>-7.98</v>
      </c>
      <c r="F12" s="1700">
        <v>-8.85</v>
      </c>
      <c r="G12" t="s">
        <v>2163</v>
      </c>
      <c r="H12" s="591" t="str">
        <f t="shared" si="0"/>
        <v>Regelzone 50Hertz (gesamt)</v>
      </c>
      <c r="I12" s="587"/>
    </row>
    <row r="13" spans="1:9" hidden="1" outlineLevel="1">
      <c r="A13" s="1659">
        <v>2022</v>
      </c>
      <c r="B13" s="1658" t="s">
        <v>943</v>
      </c>
      <c r="C13" s="1657" t="s">
        <v>2409</v>
      </c>
      <c r="D13" s="1699">
        <v>-74125</v>
      </c>
      <c r="E13" s="1699">
        <v>-29.65</v>
      </c>
      <c r="F13" s="1700">
        <v>-29.65</v>
      </c>
      <c r="G13" t="s">
        <v>2163</v>
      </c>
      <c r="H13" s="591" t="str">
        <f t="shared" si="0"/>
        <v>Regelzone 50Hertz (gesamt)</v>
      </c>
      <c r="I13" s="587"/>
    </row>
    <row r="14" spans="1:9" hidden="1" outlineLevel="1">
      <c r="A14" s="1659">
        <v>2022</v>
      </c>
      <c r="B14" s="1658" t="s">
        <v>598</v>
      </c>
      <c r="C14" s="1657" t="s">
        <v>2408</v>
      </c>
      <c r="D14" s="1699">
        <v>874451</v>
      </c>
      <c r="E14" s="1699">
        <v>3305.42</v>
      </c>
      <c r="F14" s="1700">
        <v>3663.95</v>
      </c>
      <c r="G14" t="s">
        <v>599</v>
      </c>
      <c r="H14" s="591" t="str">
        <f t="shared" si="0"/>
        <v>Regelzone 50Hertz (gesamt)</v>
      </c>
      <c r="I14" s="587"/>
    </row>
    <row r="15" spans="1:9" hidden="1" outlineLevel="1">
      <c r="A15" s="1659">
        <v>2022</v>
      </c>
      <c r="B15" s="1658" t="s">
        <v>756</v>
      </c>
      <c r="C15" s="1657" t="s">
        <v>2408</v>
      </c>
      <c r="D15" s="1699">
        <v>-22210</v>
      </c>
      <c r="E15" s="1699">
        <v>-83.95</v>
      </c>
      <c r="F15" s="1700">
        <v>-93.06</v>
      </c>
      <c r="G15" t="s">
        <v>757</v>
      </c>
      <c r="H15" s="591" t="str">
        <f t="shared" si="0"/>
        <v>Regelzone 50Hertz (gesamt)</v>
      </c>
      <c r="I15" s="587"/>
    </row>
    <row r="16" spans="1:9" hidden="1" outlineLevel="1">
      <c r="A16" s="1659">
        <v>2022</v>
      </c>
      <c r="B16" s="1658" t="s">
        <v>456</v>
      </c>
      <c r="C16" s="1657" t="s">
        <v>2408</v>
      </c>
      <c r="D16" s="1699">
        <v>10999</v>
      </c>
      <c r="E16" s="1699">
        <v>41.58</v>
      </c>
      <c r="F16" s="1700">
        <v>46.09</v>
      </c>
      <c r="G16" t="s">
        <v>457</v>
      </c>
      <c r="H16" s="591" t="str">
        <f t="shared" si="0"/>
        <v>Regelzone 50Hertz (gesamt)</v>
      </c>
      <c r="I16" s="587"/>
    </row>
    <row r="17" spans="1:9" hidden="1" outlineLevel="1">
      <c r="A17" s="1659">
        <v>2022</v>
      </c>
      <c r="B17" s="1658" t="s">
        <v>484</v>
      </c>
      <c r="C17" s="1657" t="s">
        <v>2408</v>
      </c>
      <c r="D17" s="1699">
        <v>-5299484</v>
      </c>
      <c r="E17" s="1699">
        <v>-20032.05</v>
      </c>
      <c r="F17" s="1700">
        <v>-22204.84</v>
      </c>
      <c r="G17" t="s">
        <v>485</v>
      </c>
      <c r="H17" s="591" t="str">
        <f t="shared" si="0"/>
        <v>Regelzone 50Hertz (gesamt)</v>
      </c>
      <c r="I17" s="587"/>
    </row>
    <row r="18" spans="1:9" hidden="1" outlineLevel="1">
      <c r="A18" s="1659">
        <v>2022</v>
      </c>
      <c r="B18" s="1658" t="s">
        <v>722</v>
      </c>
      <c r="C18" s="1657" t="s">
        <v>2408</v>
      </c>
      <c r="D18" s="1699">
        <v>-14608608</v>
      </c>
      <c r="E18" s="1699">
        <v>-55220.54</v>
      </c>
      <c r="F18" s="1700">
        <v>-61210.07</v>
      </c>
      <c r="G18" t="s">
        <v>723</v>
      </c>
      <c r="H18" s="591" t="str">
        <f t="shared" si="0"/>
        <v>Regelzone 50Hertz (gesamt)</v>
      </c>
      <c r="I18" s="587"/>
    </row>
    <row r="19" spans="1:9" hidden="1" outlineLevel="1">
      <c r="A19" s="1659">
        <v>2022</v>
      </c>
      <c r="B19" s="1658" t="s">
        <v>726</v>
      </c>
      <c r="C19" s="1657" t="s">
        <v>2408</v>
      </c>
      <c r="D19" s="1699">
        <v>-379450</v>
      </c>
      <c r="E19" s="1699">
        <v>-1434.32</v>
      </c>
      <c r="F19" s="1700">
        <v>-1589.9</v>
      </c>
      <c r="G19" t="s">
        <v>727</v>
      </c>
      <c r="H19" s="591" t="str">
        <f t="shared" si="0"/>
        <v>Regelzone 50Hertz (gesamt)</v>
      </c>
      <c r="I19" s="587"/>
    </row>
    <row r="20" spans="1:9" hidden="1" outlineLevel="1">
      <c r="A20" s="1659">
        <v>2022</v>
      </c>
      <c r="B20" s="1658" t="s">
        <v>586</v>
      </c>
      <c r="C20" s="1657" t="s">
        <v>2408</v>
      </c>
      <c r="D20" s="1699">
        <v>-161</v>
      </c>
      <c r="E20" s="1699">
        <v>-0.61</v>
      </c>
      <c r="F20" s="1700">
        <v>-0.67</v>
      </c>
      <c r="G20" t="s">
        <v>587</v>
      </c>
      <c r="H20" s="591" t="str">
        <f t="shared" si="0"/>
        <v>Regelzone 50Hertz (gesamt)</v>
      </c>
      <c r="I20" s="587"/>
    </row>
    <row r="21" spans="1:9" hidden="1" outlineLevel="1">
      <c r="A21" s="1659">
        <v>2022</v>
      </c>
      <c r="B21" s="1658" t="s">
        <v>604</v>
      </c>
      <c r="C21" s="1657" t="s">
        <v>2408</v>
      </c>
      <c r="D21" s="1699">
        <v>247004</v>
      </c>
      <c r="E21" s="1699">
        <v>933.68</v>
      </c>
      <c r="F21" s="1700">
        <v>1034.95</v>
      </c>
      <c r="G21" t="s">
        <v>2178</v>
      </c>
      <c r="H21" s="591" t="str">
        <f t="shared" si="0"/>
        <v>Regelzone 50Hertz (gesamt)</v>
      </c>
      <c r="I21" s="587"/>
    </row>
    <row r="22" spans="1:9" hidden="1" outlineLevel="1">
      <c r="A22" s="1659">
        <v>2022</v>
      </c>
      <c r="B22" s="1658" t="s">
        <v>666</v>
      </c>
      <c r="C22" s="1657" t="s">
        <v>2408</v>
      </c>
      <c r="D22" s="1699">
        <v>29560</v>
      </c>
      <c r="E22" s="1699">
        <v>111.74</v>
      </c>
      <c r="F22" s="1700">
        <v>123.86</v>
      </c>
      <c r="G22" t="s">
        <v>667</v>
      </c>
      <c r="H22" s="591" t="str">
        <f t="shared" si="0"/>
        <v>Regelzone 50Hertz (gesamt)</v>
      </c>
      <c r="I22" s="587"/>
    </row>
    <row r="23" spans="1:9" hidden="1" outlineLevel="1">
      <c r="A23" s="1659">
        <v>2022</v>
      </c>
      <c r="B23" s="1658" t="s">
        <v>688</v>
      </c>
      <c r="C23" s="1657" t="s">
        <v>2408</v>
      </c>
      <c r="D23" s="1699">
        <v>460792</v>
      </c>
      <c r="E23" s="1699">
        <v>1741.79</v>
      </c>
      <c r="F23" s="1700">
        <v>1930.72</v>
      </c>
      <c r="G23" t="s">
        <v>689</v>
      </c>
      <c r="H23" s="591" t="str">
        <f t="shared" si="0"/>
        <v>Regelzone 50Hertz (gesamt)</v>
      </c>
      <c r="I23" s="587"/>
    </row>
    <row r="24" spans="1:9" hidden="1" outlineLevel="1">
      <c r="A24" s="1659">
        <v>2022</v>
      </c>
      <c r="B24" s="1658" t="s">
        <v>528</v>
      </c>
      <c r="C24" s="1657" t="s">
        <v>2408</v>
      </c>
      <c r="D24" s="1699">
        <v>705412</v>
      </c>
      <c r="E24" s="1699">
        <v>2666.46</v>
      </c>
      <c r="F24" s="1700">
        <v>2955.68</v>
      </c>
      <c r="G24" t="s">
        <v>529</v>
      </c>
      <c r="H24" s="591" t="str">
        <f t="shared" si="0"/>
        <v>Regelzone 50Hertz (gesamt)</v>
      </c>
      <c r="I24" s="587"/>
    </row>
    <row r="25" spans="1:9" hidden="1" outlineLevel="1">
      <c r="A25" s="1659">
        <v>2022</v>
      </c>
      <c r="B25" s="1658" t="s">
        <v>582</v>
      </c>
      <c r="C25" s="1657" t="s">
        <v>2408</v>
      </c>
      <c r="D25" s="1699">
        <v>864</v>
      </c>
      <c r="E25" s="1699">
        <v>3.27</v>
      </c>
      <c r="F25" s="1700">
        <v>3.62</v>
      </c>
      <c r="G25" t="s">
        <v>583</v>
      </c>
      <c r="H25" s="591" t="str">
        <f t="shared" si="0"/>
        <v>Regelzone 50Hertz (gesamt)</v>
      </c>
      <c r="I25" s="587"/>
    </row>
    <row r="26" spans="1:9" hidden="1" outlineLevel="1">
      <c r="A26" s="1659">
        <v>2022</v>
      </c>
      <c r="B26" s="1658" t="s">
        <v>712</v>
      </c>
      <c r="C26" s="1657" t="s">
        <v>2408</v>
      </c>
      <c r="D26" s="1699">
        <v>-9048</v>
      </c>
      <c r="E26" s="1699">
        <v>-34.200000000000003</v>
      </c>
      <c r="F26" s="1700">
        <v>-37.909999999999997</v>
      </c>
      <c r="G26" t="s">
        <v>713</v>
      </c>
      <c r="H26" s="591" t="str">
        <f t="shared" si="0"/>
        <v>Regelzone 50Hertz (gesamt)</v>
      </c>
      <c r="I26" s="587"/>
    </row>
    <row r="27" spans="1:9" hidden="1" outlineLevel="1">
      <c r="A27" s="1659">
        <v>2022</v>
      </c>
      <c r="B27" s="1658" t="s">
        <v>490</v>
      </c>
      <c r="C27" s="1657" t="s">
        <v>2408</v>
      </c>
      <c r="D27" s="1699">
        <v>28904</v>
      </c>
      <c r="E27" s="1699">
        <v>109.26</v>
      </c>
      <c r="F27" s="1700">
        <v>121.11</v>
      </c>
      <c r="G27" t="s">
        <v>491</v>
      </c>
      <c r="H27" s="591" t="str">
        <f t="shared" si="0"/>
        <v>Regelzone 50Hertz (gesamt)</v>
      </c>
      <c r="I27" s="587"/>
    </row>
    <row r="28" spans="1:9" hidden="1" outlineLevel="1">
      <c r="A28" s="1659">
        <v>2022</v>
      </c>
      <c r="B28" s="1658" t="s">
        <v>462</v>
      </c>
      <c r="C28" s="1657" t="s">
        <v>2408</v>
      </c>
      <c r="D28" s="1699">
        <v>-5908</v>
      </c>
      <c r="E28" s="1699">
        <v>-22.33</v>
      </c>
      <c r="F28" s="1700">
        <v>-24.75</v>
      </c>
      <c r="G28" t="s">
        <v>463</v>
      </c>
      <c r="H28" s="591" t="str">
        <f t="shared" si="0"/>
        <v>Regelzone 50Hertz (gesamt)</v>
      </c>
      <c r="I28" s="587"/>
    </row>
    <row r="29" spans="1:9" hidden="1" outlineLevel="1">
      <c r="A29" s="1659">
        <v>2022</v>
      </c>
      <c r="B29" s="1658" t="s">
        <v>622</v>
      </c>
      <c r="C29" s="1657" t="s">
        <v>2408</v>
      </c>
      <c r="D29" s="1699">
        <v>961796</v>
      </c>
      <c r="E29" s="1699">
        <v>3635.59</v>
      </c>
      <c r="F29" s="1700">
        <v>4029.93</v>
      </c>
      <c r="G29" t="s">
        <v>2030</v>
      </c>
      <c r="H29" s="591" t="str">
        <f t="shared" si="0"/>
        <v>Regelzone 50Hertz (gesamt)</v>
      </c>
      <c r="I29" s="587"/>
    </row>
    <row r="30" spans="1:9" hidden="1" outlineLevel="1">
      <c r="A30" s="1659">
        <v>2022</v>
      </c>
      <c r="B30" s="1658" t="s">
        <v>510</v>
      </c>
      <c r="C30" s="1657" t="s">
        <v>2408</v>
      </c>
      <c r="D30" s="1699">
        <v>2389587</v>
      </c>
      <c r="E30" s="1699">
        <v>9032.64</v>
      </c>
      <c r="F30" s="1700">
        <v>10012.370000000001</v>
      </c>
      <c r="G30" t="s">
        <v>511</v>
      </c>
      <c r="H30" s="591" t="str">
        <f t="shared" si="0"/>
        <v>Regelzone 50Hertz (gesamt)</v>
      </c>
      <c r="I30" s="587"/>
    </row>
    <row r="31" spans="1:9" hidden="1" outlineLevel="1">
      <c r="A31" s="1659">
        <v>2022</v>
      </c>
      <c r="B31" s="1658" t="s">
        <v>618</v>
      </c>
      <c r="C31" s="1657" t="s">
        <v>2408</v>
      </c>
      <c r="D31" s="1699">
        <v>132721</v>
      </c>
      <c r="E31" s="1699">
        <v>501.69</v>
      </c>
      <c r="F31" s="1700">
        <v>556.1</v>
      </c>
      <c r="G31" t="s">
        <v>619</v>
      </c>
      <c r="H31" s="591" t="str">
        <f t="shared" si="0"/>
        <v>Regelzone 50Hertz (gesamt)</v>
      </c>
      <c r="I31" s="587"/>
    </row>
    <row r="32" spans="1:9" hidden="1" outlineLevel="1">
      <c r="A32" s="1659">
        <v>2022</v>
      </c>
      <c r="B32" s="1658" t="s">
        <v>540</v>
      </c>
      <c r="C32" s="1657" t="s">
        <v>2408</v>
      </c>
      <c r="D32" s="1699">
        <v>-7429</v>
      </c>
      <c r="E32" s="1699">
        <v>-28.08</v>
      </c>
      <c r="F32" s="1700">
        <v>-31.13</v>
      </c>
      <c r="G32" t="s">
        <v>541</v>
      </c>
      <c r="H32" s="591" t="str">
        <f t="shared" si="0"/>
        <v>Regelzone 50Hertz (gesamt)</v>
      </c>
      <c r="I32" s="587"/>
    </row>
    <row r="33" spans="1:9" hidden="1" outlineLevel="1">
      <c r="A33" s="1659">
        <v>2022</v>
      </c>
      <c r="B33" s="1658" t="s">
        <v>656</v>
      </c>
      <c r="C33" s="1657" t="s">
        <v>2408</v>
      </c>
      <c r="D33" s="1699">
        <v>168243</v>
      </c>
      <c r="E33" s="1699">
        <v>635.96</v>
      </c>
      <c r="F33" s="1700">
        <v>704.94</v>
      </c>
      <c r="G33" t="s">
        <v>657</v>
      </c>
      <c r="H33" s="591" t="str">
        <f t="shared" si="0"/>
        <v>Regelzone 50Hertz (gesamt)</v>
      </c>
      <c r="I33" s="587"/>
    </row>
    <row r="34" spans="1:9" hidden="1" outlineLevel="1">
      <c r="A34" s="1659">
        <v>2022</v>
      </c>
      <c r="B34" s="1658" t="s">
        <v>606</v>
      </c>
      <c r="C34" s="1657" t="s">
        <v>2408</v>
      </c>
      <c r="D34" s="1699">
        <v>-4185</v>
      </c>
      <c r="E34" s="1699">
        <v>-15.82</v>
      </c>
      <c r="F34" s="1700">
        <v>-17.54</v>
      </c>
      <c r="G34" t="s">
        <v>607</v>
      </c>
      <c r="H34" s="591" t="str">
        <f t="shared" si="0"/>
        <v>Regelzone 50Hertz (gesamt)</v>
      </c>
      <c r="I34" s="587"/>
    </row>
    <row r="35" spans="1:9" hidden="1" outlineLevel="1">
      <c r="A35" s="1659">
        <v>2022</v>
      </c>
      <c r="B35" s="1658" t="s">
        <v>614</v>
      </c>
      <c r="C35" s="1657" t="s">
        <v>2408</v>
      </c>
      <c r="D35" s="1699">
        <v>64357</v>
      </c>
      <c r="E35" s="1699">
        <v>243.27</v>
      </c>
      <c r="F35" s="1700">
        <v>269.66000000000003</v>
      </c>
      <c r="G35" t="s">
        <v>615</v>
      </c>
      <c r="H35" s="591" t="str">
        <f t="shared" si="0"/>
        <v>Regelzone 50Hertz (gesamt)</v>
      </c>
      <c r="I35" s="587"/>
    </row>
    <row r="36" spans="1:9" hidden="1" outlineLevel="1">
      <c r="A36" s="1659">
        <v>2022</v>
      </c>
      <c r="B36" s="1658" t="s">
        <v>570</v>
      </c>
      <c r="C36" s="1657" t="s">
        <v>2408</v>
      </c>
      <c r="D36" s="1699">
        <v>-2630</v>
      </c>
      <c r="E36" s="1699">
        <v>-9.94</v>
      </c>
      <c r="F36" s="1700">
        <v>-11.02</v>
      </c>
      <c r="G36" t="s">
        <v>571</v>
      </c>
      <c r="H36" s="591" t="str">
        <f t="shared" si="0"/>
        <v>Regelzone 50Hertz (gesamt)</v>
      </c>
      <c r="I36" s="587"/>
    </row>
    <row r="37" spans="1:9" hidden="1" outlineLevel="1">
      <c r="A37" s="1659">
        <v>2022</v>
      </c>
      <c r="B37" s="1658" t="s">
        <v>526</v>
      </c>
      <c r="C37" s="1657" t="s">
        <v>2408</v>
      </c>
      <c r="D37" s="1699">
        <v>62790</v>
      </c>
      <c r="E37" s="1699">
        <v>237.35</v>
      </c>
      <c r="F37" s="1700">
        <v>263.08999999999997</v>
      </c>
      <c r="G37" t="s">
        <v>527</v>
      </c>
      <c r="H37" s="591" t="str">
        <f t="shared" si="0"/>
        <v>Regelzone 50Hertz (gesamt)</v>
      </c>
      <c r="I37" s="587"/>
    </row>
    <row r="38" spans="1:9" hidden="1" outlineLevel="1">
      <c r="A38" s="1659">
        <v>2022</v>
      </c>
      <c r="B38" s="1658" t="s">
        <v>532</v>
      </c>
      <c r="C38" s="1657" t="s">
        <v>2408</v>
      </c>
      <c r="D38" s="1699">
        <v>-4928</v>
      </c>
      <c r="E38" s="1699">
        <v>-18.63</v>
      </c>
      <c r="F38" s="1700">
        <v>-20.65</v>
      </c>
      <c r="G38" t="s">
        <v>533</v>
      </c>
      <c r="H38" s="591" t="str">
        <f t="shared" si="0"/>
        <v>Regelzone 50Hertz (gesamt)</v>
      </c>
      <c r="I38" s="587"/>
    </row>
    <row r="39" spans="1:9" hidden="1" outlineLevel="1">
      <c r="A39" s="1659">
        <v>2022</v>
      </c>
      <c r="B39" s="1658" t="s">
        <v>612</v>
      </c>
      <c r="C39" s="1657" t="s">
        <v>2408</v>
      </c>
      <c r="D39" s="1699">
        <v>4863</v>
      </c>
      <c r="E39" s="1699">
        <v>18.38</v>
      </c>
      <c r="F39" s="1700">
        <v>20.38</v>
      </c>
      <c r="G39" t="s">
        <v>613</v>
      </c>
      <c r="H39" s="591" t="str">
        <f t="shared" si="0"/>
        <v>Regelzone 50Hertz (gesamt)</v>
      </c>
      <c r="I39" s="587"/>
    </row>
    <row r="40" spans="1:9" hidden="1" outlineLevel="1">
      <c r="A40" s="1659">
        <v>2022</v>
      </c>
      <c r="B40" s="1658" t="s">
        <v>552</v>
      </c>
      <c r="C40" s="1657" t="s">
        <v>2408</v>
      </c>
      <c r="D40" s="1699">
        <v>71731</v>
      </c>
      <c r="E40" s="1699">
        <v>271.14</v>
      </c>
      <c r="F40" s="1700">
        <v>300.55</v>
      </c>
      <c r="G40" t="s">
        <v>553</v>
      </c>
      <c r="H40" s="591" t="str">
        <f t="shared" si="0"/>
        <v>Regelzone 50Hertz (gesamt)</v>
      </c>
      <c r="I40" s="587"/>
    </row>
    <row r="41" spans="1:9" hidden="1" outlineLevel="1">
      <c r="A41" s="1659">
        <v>2022</v>
      </c>
      <c r="B41" s="1658" t="s">
        <v>520</v>
      </c>
      <c r="C41" s="1657" t="s">
        <v>2408</v>
      </c>
      <c r="D41" s="1699">
        <v>-184500</v>
      </c>
      <c r="E41" s="1699">
        <v>-697.41</v>
      </c>
      <c r="F41" s="1700">
        <v>-773.06</v>
      </c>
      <c r="G41" t="s">
        <v>521</v>
      </c>
      <c r="H41" s="591" t="str">
        <f t="shared" ref="H41:H66" si="1">+H40</f>
        <v>Regelzone 50Hertz (gesamt)</v>
      </c>
      <c r="I41" s="587"/>
    </row>
    <row r="42" spans="1:9" hidden="1" outlineLevel="1">
      <c r="A42" s="1659">
        <v>2022</v>
      </c>
      <c r="B42" s="1658" t="s">
        <v>464</v>
      </c>
      <c r="C42" s="1657" t="s">
        <v>2408</v>
      </c>
      <c r="D42" s="1699">
        <v>20141</v>
      </c>
      <c r="E42" s="1699">
        <v>76.13</v>
      </c>
      <c r="F42" s="1700">
        <v>84.39</v>
      </c>
      <c r="G42" t="s">
        <v>465</v>
      </c>
      <c r="H42" s="591" t="str">
        <f t="shared" si="1"/>
        <v>Regelzone 50Hertz (gesamt)</v>
      </c>
      <c r="I42" s="587"/>
    </row>
    <row r="43" spans="1:9" hidden="1" outlineLevel="1">
      <c r="A43" s="1659">
        <v>2022</v>
      </c>
      <c r="B43" s="1658" t="s">
        <v>720</v>
      </c>
      <c r="C43" s="1657" t="s">
        <v>2408</v>
      </c>
      <c r="D43" s="1699">
        <v>25089</v>
      </c>
      <c r="E43" s="1699">
        <v>94.84</v>
      </c>
      <c r="F43" s="1700">
        <v>105.12</v>
      </c>
      <c r="G43" t="s">
        <v>721</v>
      </c>
      <c r="H43" s="591" t="str">
        <f t="shared" si="1"/>
        <v>Regelzone 50Hertz (gesamt)</v>
      </c>
      <c r="I43" s="587"/>
    </row>
    <row r="44" spans="1:9" hidden="1" outlineLevel="1">
      <c r="A44" s="1659">
        <v>2022</v>
      </c>
      <c r="B44" s="1658" t="s">
        <v>750</v>
      </c>
      <c r="C44" s="1657" t="s">
        <v>2408</v>
      </c>
      <c r="D44" s="1699">
        <v>-136986</v>
      </c>
      <c r="E44" s="1699">
        <v>-517.80999999999995</v>
      </c>
      <c r="F44" s="1700">
        <v>-573.97</v>
      </c>
      <c r="G44" t="s">
        <v>751</v>
      </c>
      <c r="H44" s="591" t="str">
        <f t="shared" si="1"/>
        <v>Regelzone 50Hertz (gesamt)</v>
      </c>
      <c r="I44" s="587"/>
    </row>
    <row r="45" spans="1:9" hidden="1" outlineLevel="1">
      <c r="A45" s="1659">
        <v>2022</v>
      </c>
      <c r="B45" s="1658" t="s">
        <v>770</v>
      </c>
      <c r="C45" s="1657" t="s">
        <v>2408</v>
      </c>
      <c r="D45" s="1699">
        <v>8258</v>
      </c>
      <c r="E45" s="1699">
        <v>31.22</v>
      </c>
      <c r="F45" s="1700">
        <v>34.6</v>
      </c>
      <c r="G45" t="s">
        <v>771</v>
      </c>
      <c r="H45" s="591" t="str">
        <f t="shared" si="1"/>
        <v>Regelzone 50Hertz (gesamt)</v>
      </c>
      <c r="I45" s="587"/>
    </row>
    <row r="46" spans="1:9" hidden="1" outlineLevel="1">
      <c r="A46" s="1659">
        <v>2022</v>
      </c>
      <c r="B46" s="1658" t="s">
        <v>530</v>
      </c>
      <c r="C46" s="1657" t="s">
        <v>2408</v>
      </c>
      <c r="D46" s="1699">
        <v>10824</v>
      </c>
      <c r="E46" s="1699">
        <v>40.909999999999997</v>
      </c>
      <c r="F46" s="1700">
        <v>45.35</v>
      </c>
      <c r="G46" t="s">
        <v>531</v>
      </c>
      <c r="H46" s="591" t="str">
        <f t="shared" si="1"/>
        <v>Regelzone 50Hertz (gesamt)</v>
      </c>
      <c r="I46" s="587"/>
    </row>
    <row r="47" spans="1:9" hidden="1" outlineLevel="1">
      <c r="A47" s="1659">
        <v>2022</v>
      </c>
      <c r="B47" s="1658" t="s">
        <v>716</v>
      </c>
      <c r="C47" s="1657" t="s">
        <v>2408</v>
      </c>
      <c r="D47" s="1699">
        <v>85298</v>
      </c>
      <c r="E47" s="1699">
        <v>322.43</v>
      </c>
      <c r="F47" s="1700">
        <v>357.4</v>
      </c>
      <c r="G47" t="s">
        <v>717</v>
      </c>
      <c r="H47" s="591" t="str">
        <f t="shared" si="1"/>
        <v>Regelzone 50Hertz (gesamt)</v>
      </c>
      <c r="I47" s="587"/>
    </row>
    <row r="48" spans="1:9" hidden="1" outlineLevel="1">
      <c r="A48" s="1659">
        <v>2022</v>
      </c>
      <c r="B48" s="1658" t="s">
        <v>580</v>
      </c>
      <c r="C48" s="1657" t="s">
        <v>2408</v>
      </c>
      <c r="D48" s="1699">
        <v>-5452</v>
      </c>
      <c r="E48" s="1699">
        <v>-20.61</v>
      </c>
      <c r="F48" s="1700">
        <v>-22.84</v>
      </c>
      <c r="G48" t="s">
        <v>581</v>
      </c>
      <c r="H48" s="591" t="str">
        <f t="shared" si="1"/>
        <v>Regelzone 50Hertz (gesamt)</v>
      </c>
      <c r="I48" s="587"/>
    </row>
    <row r="49" spans="1:9" hidden="1" outlineLevel="1">
      <c r="A49" s="1659">
        <v>2022</v>
      </c>
      <c r="B49" s="1658" t="s">
        <v>626</v>
      </c>
      <c r="C49" s="1657" t="s">
        <v>2408</v>
      </c>
      <c r="D49" s="1699">
        <v>1261</v>
      </c>
      <c r="E49" s="1699">
        <v>4.7699999999999996</v>
      </c>
      <c r="F49" s="1700">
        <v>5.28</v>
      </c>
      <c r="G49" t="s">
        <v>627</v>
      </c>
      <c r="H49" s="591" t="str">
        <f t="shared" si="1"/>
        <v>Regelzone 50Hertz (gesamt)</v>
      </c>
      <c r="I49" s="587"/>
    </row>
    <row r="50" spans="1:9" hidden="1" outlineLevel="1">
      <c r="A50" s="1659">
        <v>2022</v>
      </c>
      <c r="B50" s="1658" t="s">
        <v>590</v>
      </c>
      <c r="C50" s="1657" t="s">
        <v>2408</v>
      </c>
      <c r="D50" s="1699">
        <v>64072.999999999993</v>
      </c>
      <c r="E50" s="1699">
        <v>242.2</v>
      </c>
      <c r="F50" s="1700">
        <v>268.47000000000003</v>
      </c>
      <c r="G50" t="s">
        <v>591</v>
      </c>
      <c r="H50" s="591" t="str">
        <f t="shared" si="1"/>
        <v>Regelzone 50Hertz (gesamt)</v>
      </c>
      <c r="I50" s="587"/>
    </row>
    <row r="51" spans="1:9" hidden="1" outlineLevel="1">
      <c r="A51" s="1659">
        <v>2022</v>
      </c>
      <c r="B51" s="1658" t="s">
        <v>646</v>
      </c>
      <c r="C51" s="1657" t="s">
        <v>2408</v>
      </c>
      <c r="D51" s="1699">
        <v>-2</v>
      </c>
      <c r="E51" s="1699">
        <v>-0.01</v>
      </c>
      <c r="F51" s="1700">
        <v>-0.01</v>
      </c>
      <c r="G51" t="s">
        <v>647</v>
      </c>
      <c r="H51" s="591" t="str">
        <f t="shared" si="1"/>
        <v>Regelzone 50Hertz (gesamt)</v>
      </c>
      <c r="I51" s="587"/>
    </row>
    <row r="52" spans="1:9" hidden="1" outlineLevel="1">
      <c r="A52" s="1659">
        <v>2022</v>
      </c>
      <c r="B52" s="1658" t="s">
        <v>600</v>
      </c>
      <c r="C52" s="1657" t="s">
        <v>2408</v>
      </c>
      <c r="D52" s="1699">
        <v>17604</v>
      </c>
      <c r="E52" s="1699">
        <v>66.540000000000006</v>
      </c>
      <c r="F52" s="1700">
        <v>73.760000000000005</v>
      </c>
      <c r="G52" t="s">
        <v>601</v>
      </c>
      <c r="H52" s="591" t="str">
        <f t="shared" si="1"/>
        <v>Regelzone 50Hertz (gesamt)</v>
      </c>
      <c r="I52" s="587"/>
    </row>
    <row r="53" spans="1:9" hidden="1" outlineLevel="1">
      <c r="A53" s="1659">
        <v>2022</v>
      </c>
      <c r="B53" s="1658" t="s">
        <v>574</v>
      </c>
      <c r="C53" s="1657" t="s">
        <v>2408</v>
      </c>
      <c r="D53" s="1699">
        <v>-2297</v>
      </c>
      <c r="E53" s="1699">
        <v>-8.68</v>
      </c>
      <c r="F53" s="1700">
        <v>-9.6199999999999992</v>
      </c>
      <c r="G53" t="s">
        <v>2186</v>
      </c>
      <c r="H53" s="591" t="str">
        <f t="shared" si="1"/>
        <v>Regelzone 50Hertz (gesamt)</v>
      </c>
      <c r="I53" s="587"/>
    </row>
    <row r="54" spans="1:9" hidden="1" outlineLevel="1">
      <c r="A54" s="1659">
        <v>2022</v>
      </c>
      <c r="B54" s="1658" t="s">
        <v>458</v>
      </c>
      <c r="C54" s="1657" t="s">
        <v>2408</v>
      </c>
      <c r="D54" s="1699">
        <v>656</v>
      </c>
      <c r="E54" s="1699">
        <v>2.48</v>
      </c>
      <c r="F54" s="1700">
        <v>2.75</v>
      </c>
      <c r="G54" t="s">
        <v>459</v>
      </c>
      <c r="H54" s="591" t="str">
        <f t="shared" si="1"/>
        <v>Regelzone 50Hertz (gesamt)</v>
      </c>
      <c r="I54" s="587"/>
    </row>
    <row r="55" spans="1:9" hidden="1" outlineLevel="1">
      <c r="A55" s="1659">
        <v>2022</v>
      </c>
      <c r="B55" s="1658" t="s">
        <v>730</v>
      </c>
      <c r="C55" s="1657" t="s">
        <v>2408</v>
      </c>
      <c r="D55" s="1699">
        <v>19450</v>
      </c>
      <c r="E55" s="1699">
        <v>73.52</v>
      </c>
      <c r="F55" s="1700">
        <v>81.5</v>
      </c>
      <c r="G55" t="s">
        <v>731</v>
      </c>
      <c r="H55" s="591" t="str">
        <f t="shared" si="1"/>
        <v>Regelzone 50Hertz (gesamt)</v>
      </c>
      <c r="I55" s="587"/>
    </row>
    <row r="56" spans="1:9" hidden="1" outlineLevel="1">
      <c r="A56" s="1659">
        <v>2022</v>
      </c>
      <c r="B56" s="1658" t="s">
        <v>562</v>
      </c>
      <c r="C56" s="1657" t="s">
        <v>2408</v>
      </c>
      <c r="D56" s="1699">
        <v>226177</v>
      </c>
      <c r="E56" s="1699">
        <v>854.95</v>
      </c>
      <c r="F56" s="1700">
        <v>947.68</v>
      </c>
      <c r="G56" t="s">
        <v>563</v>
      </c>
      <c r="H56" s="591" t="str">
        <f t="shared" si="1"/>
        <v>Regelzone 50Hertz (gesamt)</v>
      </c>
      <c r="I56" s="587"/>
    </row>
    <row r="57" spans="1:9" hidden="1" outlineLevel="1">
      <c r="A57" s="1659">
        <v>2022</v>
      </c>
      <c r="B57" s="1658" t="s">
        <v>556</v>
      </c>
      <c r="C57" s="1657" t="s">
        <v>2408</v>
      </c>
      <c r="D57" s="1699">
        <v>-171</v>
      </c>
      <c r="E57" s="1699">
        <v>-0.65</v>
      </c>
      <c r="F57" s="1700">
        <v>-0.72</v>
      </c>
      <c r="G57" t="s">
        <v>557</v>
      </c>
      <c r="H57" s="591" t="str">
        <f t="shared" si="1"/>
        <v>Regelzone 50Hertz (gesamt)</v>
      </c>
      <c r="I57" s="587"/>
    </row>
    <row r="58" spans="1:9" hidden="1" outlineLevel="1">
      <c r="A58" s="1659">
        <v>2022</v>
      </c>
      <c r="B58" s="1656" t="s">
        <v>670</v>
      </c>
      <c r="C58" s="1657" t="s">
        <v>2408</v>
      </c>
      <c r="D58" s="1699">
        <v>-37529</v>
      </c>
      <c r="E58" s="1699">
        <v>-141.86000000000001</v>
      </c>
      <c r="F58" s="1700">
        <v>-157.25</v>
      </c>
      <c r="G58" t="s">
        <v>671</v>
      </c>
      <c r="H58" s="591" t="str">
        <f t="shared" si="1"/>
        <v>Regelzone 50Hertz (gesamt)</v>
      </c>
      <c r="I58" s="587"/>
    </row>
    <row r="59" spans="1:9" hidden="1" outlineLevel="1">
      <c r="A59" s="1659">
        <v>2022</v>
      </c>
      <c r="B59" s="1658" t="s">
        <v>558</v>
      </c>
      <c r="C59" s="1657" t="s">
        <v>2408</v>
      </c>
      <c r="D59" s="1699">
        <v>59471</v>
      </c>
      <c r="E59" s="1699">
        <v>224.8</v>
      </c>
      <c r="F59" s="1700">
        <v>249.18</v>
      </c>
      <c r="G59" t="s">
        <v>559</v>
      </c>
      <c r="H59" s="591" t="str">
        <f t="shared" si="1"/>
        <v>Regelzone 50Hertz (gesamt)</v>
      </c>
      <c r="I59" s="587"/>
    </row>
    <row r="60" spans="1:9" hidden="1" outlineLevel="1">
      <c r="A60" s="1659">
        <v>2022</v>
      </c>
      <c r="B60" s="1658" t="s">
        <v>476</v>
      </c>
      <c r="C60" s="1657" t="s">
        <v>2408</v>
      </c>
      <c r="D60" s="1699">
        <v>125148</v>
      </c>
      <c r="E60" s="1699">
        <v>473.06</v>
      </c>
      <c r="F60" s="1700">
        <v>524.37</v>
      </c>
      <c r="G60" t="s">
        <v>477</v>
      </c>
      <c r="H60" s="591" t="str">
        <f t="shared" si="1"/>
        <v>Regelzone 50Hertz (gesamt)</v>
      </c>
      <c r="I60" s="587"/>
    </row>
    <row r="61" spans="1:9" hidden="1" outlineLevel="1">
      <c r="A61" s="1659">
        <v>2022</v>
      </c>
      <c r="B61" s="1655" t="s">
        <v>674</v>
      </c>
      <c r="C61" s="1657" t="s">
        <v>2408</v>
      </c>
      <c r="D61" s="1701">
        <v>214851</v>
      </c>
      <c r="E61" s="1701">
        <v>812.14</v>
      </c>
      <c r="F61" s="1700">
        <v>900.23</v>
      </c>
      <c r="G61" t="s">
        <v>2190</v>
      </c>
      <c r="H61" s="591" t="str">
        <f t="shared" si="1"/>
        <v>Regelzone 50Hertz (gesamt)</v>
      </c>
      <c r="I61" s="587"/>
    </row>
    <row r="62" spans="1:9" hidden="1" outlineLevel="1">
      <c r="A62" s="1659">
        <v>2022</v>
      </c>
      <c r="B62" s="1655" t="s">
        <v>718</v>
      </c>
      <c r="C62" s="1657" t="s">
        <v>2408</v>
      </c>
      <c r="D62" s="1702">
        <v>85818</v>
      </c>
      <c r="E62" s="1702">
        <v>324.39</v>
      </c>
      <c r="F62" s="1700">
        <v>359.58</v>
      </c>
      <c r="G62" t="s">
        <v>719</v>
      </c>
      <c r="H62" s="591" t="str">
        <f t="shared" si="1"/>
        <v>Regelzone 50Hertz (gesamt)</v>
      </c>
      <c r="I62" s="587"/>
    </row>
    <row r="63" spans="1:9" hidden="1" outlineLevel="1">
      <c r="A63" s="1659">
        <v>2022</v>
      </c>
      <c r="B63" s="1655" t="s">
        <v>672</v>
      </c>
      <c r="C63" s="1657" t="s">
        <v>2408</v>
      </c>
      <c r="D63" s="1701">
        <v>68322</v>
      </c>
      <c r="E63" s="1701">
        <v>258.26</v>
      </c>
      <c r="F63" s="1700">
        <v>286.27</v>
      </c>
      <c r="G63" t="s">
        <v>673</v>
      </c>
      <c r="H63" s="591" t="str">
        <f t="shared" si="1"/>
        <v>Regelzone 50Hertz (gesamt)</v>
      </c>
      <c r="I63" s="587"/>
    </row>
    <row r="64" spans="1:9" hidden="1" outlineLevel="1">
      <c r="A64" s="1659">
        <v>2022</v>
      </c>
      <c r="B64" s="1655" t="s">
        <v>654</v>
      </c>
      <c r="C64" s="1657" t="s">
        <v>2408</v>
      </c>
      <c r="D64" s="1699">
        <v>10220</v>
      </c>
      <c r="E64" s="1699">
        <v>38.630000000000003</v>
      </c>
      <c r="F64" s="1700">
        <v>42.82</v>
      </c>
      <c r="G64" t="s">
        <v>655</v>
      </c>
      <c r="H64" s="591" t="str">
        <f t="shared" si="1"/>
        <v>Regelzone 50Hertz (gesamt)</v>
      </c>
      <c r="I64" s="587"/>
    </row>
    <row r="65" spans="1:9" ht="13.5" hidden="1" outlineLevel="1" thickBot="1">
      <c r="A65" s="1660">
        <v>2022</v>
      </c>
      <c r="B65" s="1661" t="s">
        <v>686</v>
      </c>
      <c r="C65" s="1662" t="s">
        <v>2408</v>
      </c>
      <c r="D65" s="1703">
        <v>28275237</v>
      </c>
      <c r="E65" s="1703">
        <v>106880.4</v>
      </c>
      <c r="F65" s="1704">
        <v>118473.24</v>
      </c>
      <c r="G65" t="s">
        <v>687</v>
      </c>
      <c r="H65" s="591" t="str">
        <f t="shared" si="1"/>
        <v>Regelzone 50Hertz (gesamt)</v>
      </c>
      <c r="I65" s="587"/>
    </row>
    <row r="66" spans="1:9" hidden="1" outlineLevel="1">
      <c r="A66" s="61">
        <v>2023</v>
      </c>
      <c r="B66" s="77" t="s">
        <v>772</v>
      </c>
      <c r="C66" s="60" t="s">
        <v>2408</v>
      </c>
      <c r="D66" s="1705">
        <v>-79847684</v>
      </c>
      <c r="E66" s="1705">
        <v>-285056.23</v>
      </c>
      <c r="F66" s="1700">
        <v>-471899.81</v>
      </c>
      <c r="G66" s="8" t="s">
        <v>773</v>
      </c>
      <c r="H66" s="591" t="str">
        <f t="shared" si="1"/>
        <v>Regelzone 50Hertz (gesamt)</v>
      </c>
      <c r="I66" s="587"/>
    </row>
    <row r="67" spans="1:9" hidden="1" outlineLevel="1">
      <c r="A67" s="61">
        <v>2023</v>
      </c>
      <c r="B67" s="73" t="s">
        <v>772</v>
      </c>
      <c r="C67" s="60" t="s">
        <v>2411</v>
      </c>
      <c r="D67" s="1706">
        <v>35626</v>
      </c>
      <c r="E67" s="1706">
        <v>-127.18</v>
      </c>
      <c r="F67" s="1700">
        <v>-210.55</v>
      </c>
      <c r="G67" s="8" t="s">
        <v>773</v>
      </c>
      <c r="H67" s="591" t="str">
        <f t="shared" ref="H67:H71" si="2">+H66</f>
        <v>Regelzone 50Hertz (gesamt)</v>
      </c>
      <c r="I67" s="587"/>
    </row>
    <row r="68" spans="1:9" hidden="1" outlineLevel="1">
      <c r="A68" s="61">
        <v>2023</v>
      </c>
      <c r="B68" s="73" t="s">
        <v>758</v>
      </c>
      <c r="C68" s="60" t="s">
        <v>2408</v>
      </c>
      <c r="D68" s="1706">
        <v>-279910</v>
      </c>
      <c r="E68" s="1706">
        <v>-999.28</v>
      </c>
      <c r="F68" s="1700">
        <v>-1654.27</v>
      </c>
      <c r="G68" s="8" t="s">
        <v>759</v>
      </c>
      <c r="H68" s="591" t="str">
        <f t="shared" si="2"/>
        <v>Regelzone 50Hertz (gesamt)</v>
      </c>
      <c r="I68" s="587"/>
    </row>
    <row r="69" spans="1:9" hidden="1" outlineLevel="1">
      <c r="A69" s="61">
        <v>2023</v>
      </c>
      <c r="B69" s="73" t="s">
        <v>943</v>
      </c>
      <c r="C69" s="60" t="s">
        <v>2409</v>
      </c>
      <c r="D69" s="1707">
        <v>716655</v>
      </c>
      <c r="E69" s="1707">
        <v>286.66000000000003</v>
      </c>
      <c r="F69" s="1700">
        <v>286.66000000000003</v>
      </c>
      <c r="G69" s="8" t="s">
        <v>2163</v>
      </c>
      <c r="H69" s="591" t="str">
        <f t="shared" si="2"/>
        <v>Regelzone 50Hertz (gesamt)</v>
      </c>
      <c r="I69" s="587"/>
    </row>
    <row r="70" spans="1:9" hidden="1" outlineLevel="1">
      <c r="A70" s="61">
        <v>2023</v>
      </c>
      <c r="B70" s="73" t="s">
        <v>943</v>
      </c>
      <c r="C70" s="60" t="s">
        <v>2408</v>
      </c>
      <c r="D70" s="1707">
        <v>-233166</v>
      </c>
      <c r="E70" s="1707">
        <v>-832.4</v>
      </c>
      <c r="F70" s="1700">
        <v>-1378.01</v>
      </c>
      <c r="G70" s="8" t="s">
        <v>2163</v>
      </c>
      <c r="H70" s="591" t="str">
        <f t="shared" si="2"/>
        <v>Regelzone 50Hertz (gesamt)</v>
      </c>
      <c r="I70" s="587"/>
    </row>
    <row r="71" spans="1:9" hidden="1" outlineLevel="1">
      <c r="A71" s="61">
        <v>2023</v>
      </c>
      <c r="B71" s="73" t="s">
        <v>943</v>
      </c>
      <c r="C71" s="60" t="s">
        <v>2409</v>
      </c>
      <c r="D71" s="1707">
        <v>-138224</v>
      </c>
      <c r="E71" s="1707">
        <v>-55.29</v>
      </c>
      <c r="F71" s="1700">
        <v>-55.29</v>
      </c>
      <c r="G71" s="8" t="s">
        <v>2163</v>
      </c>
      <c r="H71" s="591" t="str">
        <f t="shared" si="2"/>
        <v>Regelzone 50Hertz (gesamt)</v>
      </c>
      <c r="I71" s="587"/>
    </row>
    <row r="72" spans="1:9" hidden="1" outlineLevel="1">
      <c r="A72" s="61">
        <v>2023</v>
      </c>
      <c r="B72" s="73" t="s">
        <v>943</v>
      </c>
      <c r="C72" s="60" t="s">
        <v>2408</v>
      </c>
      <c r="D72" s="1707">
        <v>-64608.999999999993</v>
      </c>
      <c r="E72" s="1707">
        <v>-230.65</v>
      </c>
      <c r="F72" s="1700">
        <v>-381.84</v>
      </c>
      <c r="G72" s="8" t="s">
        <v>2163</v>
      </c>
      <c r="H72" s="591" t="str">
        <f t="shared" ref="H72:H135" si="3">+H71</f>
        <v>Regelzone 50Hertz (gesamt)</v>
      </c>
      <c r="I72" s="587"/>
    </row>
    <row r="73" spans="1:9" hidden="1" outlineLevel="1">
      <c r="A73" s="61">
        <v>2023</v>
      </c>
      <c r="B73" s="73" t="s">
        <v>598</v>
      </c>
      <c r="C73" s="60" t="s">
        <v>2408</v>
      </c>
      <c r="D73" s="1707">
        <v>22668883</v>
      </c>
      <c r="E73" s="1707">
        <v>80927.91</v>
      </c>
      <c r="F73" s="1700">
        <v>133973.1</v>
      </c>
      <c r="G73" s="8" t="s">
        <v>599</v>
      </c>
      <c r="H73" s="591" t="str">
        <f t="shared" si="3"/>
        <v>Regelzone 50Hertz (gesamt)</v>
      </c>
      <c r="I73" s="587"/>
    </row>
    <row r="74" spans="1:9" hidden="1" outlineLevel="1">
      <c r="A74" s="61">
        <v>2023</v>
      </c>
      <c r="B74" s="73" t="s">
        <v>756</v>
      </c>
      <c r="C74" s="60" t="s">
        <v>2408</v>
      </c>
      <c r="D74" s="1707">
        <v>-34098</v>
      </c>
      <c r="E74" s="1707">
        <v>-121.73</v>
      </c>
      <c r="F74" s="1700">
        <v>-201.52</v>
      </c>
      <c r="G74" s="8" t="s">
        <v>757</v>
      </c>
      <c r="H74" s="591" t="str">
        <f t="shared" si="3"/>
        <v>Regelzone 50Hertz (gesamt)</v>
      </c>
      <c r="I74" s="587"/>
    </row>
    <row r="75" spans="1:9" hidden="1" outlineLevel="1">
      <c r="A75" s="61">
        <v>2023</v>
      </c>
      <c r="B75" s="73" t="s">
        <v>456</v>
      </c>
      <c r="C75" s="60" t="s">
        <v>2408</v>
      </c>
      <c r="D75" s="1707">
        <v>97474</v>
      </c>
      <c r="E75" s="1707">
        <v>347.98</v>
      </c>
      <c r="F75" s="1700">
        <v>576.07000000000005</v>
      </c>
      <c r="G75" s="8" t="s">
        <v>457</v>
      </c>
      <c r="H75" s="591" t="str">
        <f t="shared" si="3"/>
        <v>Regelzone 50Hertz (gesamt)</v>
      </c>
      <c r="I75" s="587"/>
    </row>
    <row r="76" spans="1:9" hidden="1" outlineLevel="1">
      <c r="A76" s="61">
        <v>2023</v>
      </c>
      <c r="B76" s="73" t="s">
        <v>768</v>
      </c>
      <c r="C76" s="60" t="s">
        <v>2408</v>
      </c>
      <c r="D76" s="1707">
        <v>187597</v>
      </c>
      <c r="E76" s="1707">
        <v>669.72</v>
      </c>
      <c r="F76" s="1700">
        <v>1108.7</v>
      </c>
      <c r="G76" s="8" t="s">
        <v>769</v>
      </c>
      <c r="H76" s="591" t="str">
        <f t="shared" si="3"/>
        <v>Regelzone 50Hertz (gesamt)</v>
      </c>
      <c r="I76" s="587"/>
    </row>
    <row r="77" spans="1:9" hidden="1" outlineLevel="1">
      <c r="A77" s="61">
        <v>2023</v>
      </c>
      <c r="B77" s="73" t="s">
        <v>484</v>
      </c>
      <c r="C77" s="60" t="s">
        <v>2408</v>
      </c>
      <c r="D77" s="1707">
        <v>-6321258</v>
      </c>
      <c r="E77" s="1707">
        <v>-22566.89</v>
      </c>
      <c r="F77" s="1700">
        <v>-37358.629999999997</v>
      </c>
      <c r="G77" s="8" t="s">
        <v>485</v>
      </c>
      <c r="H77" s="591" t="str">
        <f t="shared" si="3"/>
        <v>Regelzone 50Hertz (gesamt)</v>
      </c>
      <c r="I77" s="587"/>
    </row>
    <row r="78" spans="1:9" hidden="1" outlineLevel="1">
      <c r="A78" s="61">
        <v>2023</v>
      </c>
      <c r="B78" s="73" t="s">
        <v>722</v>
      </c>
      <c r="C78" s="60" t="s">
        <v>2408</v>
      </c>
      <c r="D78" s="1707">
        <v>-24191696</v>
      </c>
      <c r="E78" s="1707">
        <v>-86364.35</v>
      </c>
      <c r="F78" s="1700">
        <v>-142972.92000000001</v>
      </c>
      <c r="G78" s="8" t="s">
        <v>723</v>
      </c>
      <c r="H78" s="591" t="str">
        <f t="shared" si="3"/>
        <v>Regelzone 50Hertz (gesamt)</v>
      </c>
      <c r="I78" s="587"/>
    </row>
    <row r="79" spans="1:9" hidden="1" outlineLevel="1">
      <c r="A79" s="61">
        <v>2023</v>
      </c>
      <c r="B79" s="73" t="s">
        <v>470</v>
      </c>
      <c r="C79" s="60" t="s">
        <v>2408</v>
      </c>
      <c r="D79" s="1707">
        <v>-76111</v>
      </c>
      <c r="E79" s="1707">
        <v>-271.72000000000003</v>
      </c>
      <c r="F79" s="1700">
        <v>-449.82</v>
      </c>
      <c r="G79" s="8" t="s">
        <v>471</v>
      </c>
      <c r="H79" s="591" t="str">
        <f t="shared" si="3"/>
        <v>Regelzone 50Hertz (gesamt)</v>
      </c>
      <c r="I79" s="587"/>
    </row>
    <row r="80" spans="1:9" hidden="1" outlineLevel="1">
      <c r="A80" s="61">
        <v>2023</v>
      </c>
      <c r="B80" s="73" t="s">
        <v>498</v>
      </c>
      <c r="C80" s="60" t="s">
        <v>2408</v>
      </c>
      <c r="D80" s="1707">
        <v>-33286</v>
      </c>
      <c r="E80" s="1707">
        <v>-118.83</v>
      </c>
      <c r="F80" s="1700">
        <v>-196.72</v>
      </c>
      <c r="G80" s="8" t="s">
        <v>499</v>
      </c>
      <c r="H80" s="591" t="str">
        <f t="shared" si="3"/>
        <v>Regelzone 50Hertz (gesamt)</v>
      </c>
      <c r="I80" s="587"/>
    </row>
    <row r="81" spans="1:9" hidden="1" outlineLevel="1">
      <c r="A81" s="61">
        <v>2023</v>
      </c>
      <c r="B81" s="73" t="s">
        <v>586</v>
      </c>
      <c r="C81" s="60" t="s">
        <v>2408</v>
      </c>
      <c r="D81" s="1707">
        <v>-7412</v>
      </c>
      <c r="E81" s="1707">
        <v>-26.46</v>
      </c>
      <c r="F81" s="1700">
        <v>-43.8</v>
      </c>
      <c r="G81" s="8" t="s">
        <v>587</v>
      </c>
      <c r="H81" s="591" t="str">
        <f t="shared" si="3"/>
        <v>Regelzone 50Hertz (gesamt)</v>
      </c>
      <c r="I81" s="587"/>
    </row>
    <row r="82" spans="1:9" hidden="1" outlineLevel="1">
      <c r="A82" s="61">
        <v>2023</v>
      </c>
      <c r="B82" s="73" t="s">
        <v>604</v>
      </c>
      <c r="C82" s="60" t="s">
        <v>2408</v>
      </c>
      <c r="D82" s="1707">
        <v>945709</v>
      </c>
      <c r="E82" s="1707">
        <v>3376.18</v>
      </c>
      <c r="F82" s="1700">
        <v>5589.14</v>
      </c>
      <c r="G82" s="8" t="s">
        <v>2178</v>
      </c>
      <c r="H82" s="591" t="str">
        <f t="shared" si="3"/>
        <v>Regelzone 50Hertz (gesamt)</v>
      </c>
      <c r="I82" s="587"/>
    </row>
    <row r="83" spans="1:9" hidden="1" outlineLevel="1">
      <c r="A83" s="61">
        <v>2023</v>
      </c>
      <c r="B83" s="73" t="s">
        <v>666</v>
      </c>
      <c r="C83" s="60" t="s">
        <v>2408</v>
      </c>
      <c r="D83" s="1707">
        <v>-19425</v>
      </c>
      <c r="E83" s="1707">
        <v>-69.349999999999994</v>
      </c>
      <c r="F83" s="1700">
        <v>-114.8</v>
      </c>
      <c r="G83" s="8" t="s">
        <v>667</v>
      </c>
      <c r="H83" s="591" t="str">
        <f t="shared" si="3"/>
        <v>Regelzone 50Hertz (gesamt)</v>
      </c>
      <c r="I83" s="587"/>
    </row>
    <row r="84" spans="1:9" hidden="1" outlineLevel="1">
      <c r="A84" s="61">
        <v>2023</v>
      </c>
      <c r="B84" s="73" t="s">
        <v>632</v>
      </c>
      <c r="C84" s="60" t="s">
        <v>2408</v>
      </c>
      <c r="D84" s="1707">
        <v>34687</v>
      </c>
      <c r="E84" s="1707">
        <v>123.83</v>
      </c>
      <c r="F84" s="1700">
        <v>205</v>
      </c>
      <c r="G84" s="8" t="s">
        <v>633</v>
      </c>
      <c r="H84" s="591" t="str">
        <f t="shared" si="3"/>
        <v>Regelzone 50Hertz (gesamt)</v>
      </c>
      <c r="I84" s="587"/>
    </row>
    <row r="85" spans="1:9" hidden="1" outlineLevel="1">
      <c r="A85" s="61">
        <v>2023</v>
      </c>
      <c r="B85" s="73" t="s">
        <v>610</v>
      </c>
      <c r="C85" s="60" t="s">
        <v>2408</v>
      </c>
      <c r="D85" s="1707">
        <v>-16816</v>
      </c>
      <c r="E85" s="1707">
        <v>-60.03</v>
      </c>
      <c r="F85" s="1700">
        <v>-99.38</v>
      </c>
      <c r="G85" s="8" t="s">
        <v>611</v>
      </c>
      <c r="H85" s="591" t="str">
        <f t="shared" si="3"/>
        <v>Regelzone 50Hertz (gesamt)</v>
      </c>
      <c r="I85" s="587"/>
    </row>
    <row r="86" spans="1:9" hidden="1" outlineLevel="1">
      <c r="A86" s="61">
        <v>2023</v>
      </c>
      <c r="B86" s="73" t="s">
        <v>688</v>
      </c>
      <c r="C86" s="60" t="s">
        <v>2408</v>
      </c>
      <c r="D86" s="1707">
        <v>4527270</v>
      </c>
      <c r="E86" s="1707">
        <v>16162.35</v>
      </c>
      <c r="F86" s="1700">
        <v>26756.17</v>
      </c>
      <c r="G86" s="8" t="s">
        <v>689</v>
      </c>
      <c r="H86" s="591" t="str">
        <f t="shared" si="3"/>
        <v>Regelzone 50Hertz (gesamt)</v>
      </c>
      <c r="I86" s="587"/>
    </row>
    <row r="87" spans="1:9" hidden="1" outlineLevel="1">
      <c r="A87" s="61">
        <v>2023</v>
      </c>
      <c r="B87" s="73" t="s">
        <v>528</v>
      </c>
      <c r="C87" s="60" t="s">
        <v>2408</v>
      </c>
      <c r="D87" s="1707">
        <v>937146</v>
      </c>
      <c r="E87" s="1707">
        <v>3345.61</v>
      </c>
      <c r="F87" s="1700">
        <v>5538.53</v>
      </c>
      <c r="G87" s="8" t="s">
        <v>529</v>
      </c>
      <c r="H87" s="591" t="str">
        <f t="shared" si="3"/>
        <v>Regelzone 50Hertz (gesamt)</v>
      </c>
      <c r="I87" s="587"/>
    </row>
    <row r="88" spans="1:9" hidden="1" outlineLevel="1">
      <c r="A88" s="61">
        <v>2023</v>
      </c>
      <c r="B88" s="73" t="s">
        <v>582</v>
      </c>
      <c r="C88" s="60" t="s">
        <v>2408</v>
      </c>
      <c r="D88" s="1707">
        <v>-9045</v>
      </c>
      <c r="E88" s="1707">
        <v>-32.29</v>
      </c>
      <c r="F88" s="1700">
        <v>-53.46</v>
      </c>
      <c r="G88" s="8" t="s">
        <v>583</v>
      </c>
      <c r="H88" s="591" t="str">
        <f t="shared" si="3"/>
        <v>Regelzone 50Hertz (gesamt)</v>
      </c>
      <c r="I88" s="587"/>
    </row>
    <row r="89" spans="1:9" hidden="1" outlineLevel="1">
      <c r="A89" s="61">
        <v>2023</v>
      </c>
      <c r="B89" s="73" t="s">
        <v>712</v>
      </c>
      <c r="C89" s="60" t="s">
        <v>2408</v>
      </c>
      <c r="D89" s="1707">
        <v>167786</v>
      </c>
      <c r="E89" s="1707">
        <v>599</v>
      </c>
      <c r="F89" s="1700">
        <v>991.62</v>
      </c>
      <c r="G89" s="8" t="s">
        <v>713</v>
      </c>
      <c r="H89" s="591" t="str">
        <f t="shared" si="3"/>
        <v>Regelzone 50Hertz (gesamt)</v>
      </c>
      <c r="I89" s="587"/>
    </row>
    <row r="90" spans="1:9" hidden="1" outlineLevel="1">
      <c r="A90" s="61">
        <v>2023</v>
      </c>
      <c r="B90" s="73" t="s">
        <v>490</v>
      </c>
      <c r="C90" s="60" t="s">
        <v>2408</v>
      </c>
      <c r="D90" s="1707">
        <v>-16452</v>
      </c>
      <c r="E90" s="1707">
        <v>-58.73</v>
      </c>
      <c r="F90" s="1700">
        <v>-97.23</v>
      </c>
      <c r="G90" s="8" t="s">
        <v>491</v>
      </c>
      <c r="H90" s="591" t="str">
        <f t="shared" si="3"/>
        <v>Regelzone 50Hertz (gesamt)</v>
      </c>
      <c r="I90" s="587"/>
    </row>
    <row r="91" spans="1:9" hidden="1" outlineLevel="1">
      <c r="A91" s="61">
        <v>2023</v>
      </c>
      <c r="B91" s="73" t="s">
        <v>462</v>
      </c>
      <c r="C91" s="60" t="s">
        <v>2408</v>
      </c>
      <c r="D91" s="1707">
        <v>-20966</v>
      </c>
      <c r="E91" s="1707">
        <v>-74.849999999999994</v>
      </c>
      <c r="F91" s="1700">
        <v>-123.91</v>
      </c>
      <c r="G91" s="8" t="s">
        <v>463</v>
      </c>
      <c r="H91" s="591" t="str">
        <f t="shared" si="3"/>
        <v>Regelzone 50Hertz (gesamt)</v>
      </c>
      <c r="I91" s="587"/>
    </row>
    <row r="92" spans="1:9" hidden="1" outlineLevel="1">
      <c r="A92" s="61">
        <v>2023</v>
      </c>
      <c r="B92" s="73" t="s">
        <v>622</v>
      </c>
      <c r="C92" s="60" t="s">
        <v>2408</v>
      </c>
      <c r="D92" s="1707">
        <v>3584955</v>
      </c>
      <c r="E92" s="1707">
        <v>12798.29</v>
      </c>
      <c r="F92" s="1700">
        <v>21187.08</v>
      </c>
      <c r="G92" s="8" t="s">
        <v>2030</v>
      </c>
      <c r="H92" s="591" t="str">
        <f t="shared" si="3"/>
        <v>Regelzone 50Hertz (gesamt)</v>
      </c>
      <c r="I92" s="587"/>
    </row>
    <row r="93" spans="1:9" hidden="1" outlineLevel="1">
      <c r="A93" s="61">
        <v>2023</v>
      </c>
      <c r="B93" s="73" t="s">
        <v>510</v>
      </c>
      <c r="C93" s="60" t="s">
        <v>2408</v>
      </c>
      <c r="D93" s="1707">
        <v>2030707</v>
      </c>
      <c r="E93" s="1707">
        <v>7249.62</v>
      </c>
      <c r="F93" s="1700">
        <v>12001.48</v>
      </c>
      <c r="G93" s="8" t="s">
        <v>511</v>
      </c>
      <c r="H93" s="591" t="str">
        <f t="shared" si="3"/>
        <v>Regelzone 50Hertz (gesamt)</v>
      </c>
      <c r="I93" s="587"/>
    </row>
    <row r="94" spans="1:9" hidden="1" outlineLevel="1">
      <c r="A94" s="61">
        <v>2023</v>
      </c>
      <c r="B94" s="73" t="s">
        <v>618</v>
      </c>
      <c r="C94" s="60" t="s">
        <v>2408</v>
      </c>
      <c r="D94" s="1707">
        <v>1357878</v>
      </c>
      <c r="E94" s="1707">
        <v>4847.62</v>
      </c>
      <c r="F94" s="1700">
        <v>8025.06</v>
      </c>
      <c r="G94" s="8" t="s">
        <v>619</v>
      </c>
      <c r="H94" s="591" t="str">
        <f t="shared" si="3"/>
        <v>Regelzone 50Hertz (gesamt)</v>
      </c>
      <c r="I94" s="587"/>
    </row>
    <row r="95" spans="1:9" hidden="1" outlineLevel="1">
      <c r="A95" s="61">
        <v>2023</v>
      </c>
      <c r="B95" s="73" t="s">
        <v>540</v>
      </c>
      <c r="C95" s="60" t="s">
        <v>2408</v>
      </c>
      <c r="D95" s="1707">
        <v>-33158</v>
      </c>
      <c r="E95" s="1707">
        <v>-118.37</v>
      </c>
      <c r="F95" s="1700">
        <v>-195.96</v>
      </c>
      <c r="G95" s="8" t="s">
        <v>541</v>
      </c>
      <c r="H95" s="591" t="str">
        <f t="shared" si="3"/>
        <v>Regelzone 50Hertz (gesamt)</v>
      </c>
      <c r="I95" s="587"/>
    </row>
    <row r="96" spans="1:9" hidden="1" outlineLevel="1">
      <c r="A96" s="61">
        <v>2023</v>
      </c>
      <c r="B96" s="73" t="s">
        <v>656</v>
      </c>
      <c r="C96" s="60" t="s">
        <v>2408</v>
      </c>
      <c r="D96" s="1707">
        <v>245151</v>
      </c>
      <c r="E96" s="1707">
        <v>875.19</v>
      </c>
      <c r="F96" s="1700">
        <v>1448.84</v>
      </c>
      <c r="G96" s="8" t="s">
        <v>657</v>
      </c>
      <c r="H96" s="591" t="str">
        <f t="shared" si="3"/>
        <v>Regelzone 50Hertz (gesamt)</v>
      </c>
      <c r="I96" s="587"/>
    </row>
    <row r="97" spans="1:9" hidden="1" outlineLevel="1">
      <c r="A97" s="61">
        <v>2023</v>
      </c>
      <c r="B97" s="73" t="s">
        <v>606</v>
      </c>
      <c r="C97" s="60" t="s">
        <v>2408</v>
      </c>
      <c r="D97" s="1707">
        <v>-119878</v>
      </c>
      <c r="E97" s="1707">
        <v>-427.96</v>
      </c>
      <c r="F97" s="1700">
        <v>-708.48</v>
      </c>
      <c r="G97" s="8" t="s">
        <v>607</v>
      </c>
      <c r="H97" s="591" t="str">
        <f t="shared" si="3"/>
        <v>Regelzone 50Hertz (gesamt)</v>
      </c>
      <c r="I97" s="587"/>
    </row>
    <row r="98" spans="1:9" hidden="1" outlineLevel="1">
      <c r="A98" s="61">
        <v>2023</v>
      </c>
      <c r="B98" s="73" t="s">
        <v>614</v>
      </c>
      <c r="C98" s="60" t="s">
        <v>2408</v>
      </c>
      <c r="D98" s="1707">
        <v>170939</v>
      </c>
      <c r="E98" s="1707">
        <v>610.25</v>
      </c>
      <c r="F98" s="1700">
        <v>1010.25</v>
      </c>
      <c r="G98" s="8" t="s">
        <v>615</v>
      </c>
      <c r="H98" s="591" t="str">
        <f t="shared" si="3"/>
        <v>Regelzone 50Hertz (gesamt)</v>
      </c>
      <c r="I98" s="587"/>
    </row>
    <row r="99" spans="1:9" hidden="1" outlineLevel="1">
      <c r="A99" s="61">
        <v>2023</v>
      </c>
      <c r="B99" s="73" t="s">
        <v>608</v>
      </c>
      <c r="C99" s="60" t="s">
        <v>2408</v>
      </c>
      <c r="D99" s="1707">
        <v>156875</v>
      </c>
      <c r="E99" s="1707">
        <v>560.04</v>
      </c>
      <c r="F99" s="1700">
        <v>927.13</v>
      </c>
      <c r="G99" s="8" t="s">
        <v>609</v>
      </c>
      <c r="H99" s="591" t="str">
        <f t="shared" si="3"/>
        <v>Regelzone 50Hertz (gesamt)</v>
      </c>
      <c r="I99" s="587"/>
    </row>
    <row r="100" spans="1:9" hidden="1" outlineLevel="1">
      <c r="A100" s="61">
        <v>2023</v>
      </c>
      <c r="B100" s="73" t="s">
        <v>570</v>
      </c>
      <c r="C100" s="60" t="s">
        <v>2408</v>
      </c>
      <c r="D100" s="1707">
        <v>-8032</v>
      </c>
      <c r="E100" s="1707">
        <v>-28.67</v>
      </c>
      <c r="F100" s="1700">
        <v>-47.47</v>
      </c>
      <c r="G100" s="8" t="s">
        <v>571</v>
      </c>
      <c r="H100" s="591" t="str">
        <f t="shared" si="3"/>
        <v>Regelzone 50Hertz (gesamt)</v>
      </c>
      <c r="I100" s="587"/>
    </row>
    <row r="101" spans="1:9" hidden="1" outlineLevel="1">
      <c r="A101" s="61">
        <v>2023</v>
      </c>
      <c r="B101" s="73" t="s">
        <v>526</v>
      </c>
      <c r="C101" s="60" t="s">
        <v>2408</v>
      </c>
      <c r="D101" s="1707">
        <v>107489</v>
      </c>
      <c r="E101" s="1707">
        <v>383.74</v>
      </c>
      <c r="F101" s="1700">
        <v>635.26</v>
      </c>
      <c r="G101" s="8" t="s">
        <v>527</v>
      </c>
      <c r="H101" s="591" t="str">
        <f t="shared" si="3"/>
        <v>Regelzone 50Hertz (gesamt)</v>
      </c>
      <c r="I101" s="587"/>
    </row>
    <row r="102" spans="1:9" hidden="1" outlineLevel="1">
      <c r="A102" s="61">
        <v>2023</v>
      </c>
      <c r="B102" s="73" t="s">
        <v>514</v>
      </c>
      <c r="C102" s="60" t="s">
        <v>2408</v>
      </c>
      <c r="D102" s="1707">
        <v>53960</v>
      </c>
      <c r="E102" s="1707">
        <v>192.64</v>
      </c>
      <c r="F102" s="1700">
        <v>318.89999999999998</v>
      </c>
      <c r="G102" s="8" t="s">
        <v>2182</v>
      </c>
      <c r="H102" s="591" t="str">
        <f t="shared" si="3"/>
        <v>Regelzone 50Hertz (gesamt)</v>
      </c>
      <c r="I102" s="587"/>
    </row>
    <row r="103" spans="1:9" hidden="1" outlineLevel="1">
      <c r="A103" s="61">
        <v>2023</v>
      </c>
      <c r="B103" s="73" t="s">
        <v>532</v>
      </c>
      <c r="C103" s="60" t="s">
        <v>2408</v>
      </c>
      <c r="D103" s="1707">
        <v>37095</v>
      </c>
      <c r="E103" s="1707">
        <v>132.43</v>
      </c>
      <c r="F103" s="1700">
        <v>219.23</v>
      </c>
      <c r="G103" s="8" t="s">
        <v>533</v>
      </c>
      <c r="H103" s="591" t="str">
        <f t="shared" si="3"/>
        <v>Regelzone 50Hertz (gesamt)</v>
      </c>
      <c r="I103" s="587"/>
    </row>
    <row r="104" spans="1:9" hidden="1" outlineLevel="1">
      <c r="A104" s="61">
        <v>2023</v>
      </c>
      <c r="B104" s="73" t="s">
        <v>612</v>
      </c>
      <c r="C104" s="60" t="s">
        <v>2408</v>
      </c>
      <c r="D104" s="1707">
        <v>-33308</v>
      </c>
      <c r="E104" s="1707">
        <v>-118.91</v>
      </c>
      <c r="F104" s="1700">
        <v>-196.85</v>
      </c>
      <c r="G104" s="8" t="s">
        <v>613</v>
      </c>
      <c r="H104" s="591" t="str">
        <f t="shared" si="3"/>
        <v>Regelzone 50Hertz (gesamt)</v>
      </c>
      <c r="I104" s="587"/>
    </row>
    <row r="105" spans="1:9" hidden="1" outlineLevel="1">
      <c r="A105" s="61">
        <v>2023</v>
      </c>
      <c r="B105" s="73" t="s">
        <v>552</v>
      </c>
      <c r="C105" s="60" t="s">
        <v>2408</v>
      </c>
      <c r="D105" s="1707">
        <v>-6915</v>
      </c>
      <c r="E105" s="1707">
        <v>-24.69</v>
      </c>
      <c r="F105" s="1700">
        <v>-40.869999999999997</v>
      </c>
      <c r="G105" s="8" t="s">
        <v>553</v>
      </c>
      <c r="H105" s="591" t="str">
        <f t="shared" si="3"/>
        <v>Regelzone 50Hertz (gesamt)</v>
      </c>
      <c r="I105" s="587"/>
    </row>
    <row r="106" spans="1:9" hidden="1" outlineLevel="1">
      <c r="A106" s="61">
        <v>2023</v>
      </c>
      <c r="B106" s="73" t="s">
        <v>520</v>
      </c>
      <c r="C106" s="60" t="s">
        <v>2408</v>
      </c>
      <c r="D106" s="1707">
        <v>-367149</v>
      </c>
      <c r="E106" s="1707">
        <v>-1310.72</v>
      </c>
      <c r="F106" s="1700">
        <v>-2169.85</v>
      </c>
      <c r="G106" s="8" t="s">
        <v>521</v>
      </c>
      <c r="H106" s="591" t="str">
        <f t="shared" si="3"/>
        <v>Regelzone 50Hertz (gesamt)</v>
      </c>
      <c r="I106" s="587"/>
    </row>
    <row r="107" spans="1:9" hidden="1" outlineLevel="1">
      <c r="A107" s="61">
        <v>2023</v>
      </c>
      <c r="B107" s="73" t="s">
        <v>464</v>
      </c>
      <c r="C107" s="60" t="s">
        <v>2408</v>
      </c>
      <c r="D107" s="1707">
        <v>296747</v>
      </c>
      <c r="E107" s="1707">
        <v>1059.3900000000001</v>
      </c>
      <c r="F107" s="1700">
        <v>1753.77</v>
      </c>
      <c r="G107" s="8" t="s">
        <v>465</v>
      </c>
      <c r="H107" s="591" t="str">
        <f t="shared" si="3"/>
        <v>Regelzone 50Hertz (gesamt)</v>
      </c>
      <c r="I107" s="587"/>
    </row>
    <row r="108" spans="1:9" hidden="1" outlineLevel="1">
      <c r="A108" s="61">
        <v>2023</v>
      </c>
      <c r="B108" s="73" t="s">
        <v>720</v>
      </c>
      <c r="C108" s="60" t="s">
        <v>2408</v>
      </c>
      <c r="D108" s="1707">
        <v>170253</v>
      </c>
      <c r="E108" s="1707">
        <v>607.79999999999995</v>
      </c>
      <c r="F108" s="1700">
        <v>1006.2</v>
      </c>
      <c r="G108" s="8" t="s">
        <v>721</v>
      </c>
      <c r="H108" s="591" t="str">
        <f t="shared" si="3"/>
        <v>Regelzone 50Hertz (gesamt)</v>
      </c>
      <c r="I108" s="587"/>
    </row>
    <row r="109" spans="1:9" hidden="1" outlineLevel="1">
      <c r="A109" s="61">
        <v>2023</v>
      </c>
      <c r="B109" s="73" t="s">
        <v>504</v>
      </c>
      <c r="C109" s="60" t="s">
        <v>2408</v>
      </c>
      <c r="D109" s="1707">
        <v>-8064.9999999999991</v>
      </c>
      <c r="E109" s="1707">
        <v>-28.79</v>
      </c>
      <c r="F109" s="1708">
        <v>-47.66</v>
      </c>
      <c r="G109" s="8" t="s">
        <v>505</v>
      </c>
      <c r="H109" s="591" t="str">
        <f t="shared" si="3"/>
        <v>Regelzone 50Hertz (gesamt)</v>
      </c>
      <c r="I109" s="587"/>
    </row>
    <row r="110" spans="1:9" hidden="1" outlineLevel="1">
      <c r="A110" s="1659">
        <v>2023</v>
      </c>
      <c r="B110" s="1655" t="s">
        <v>544</v>
      </c>
      <c r="C110" s="1657" t="s">
        <v>2408</v>
      </c>
      <c r="D110" s="1702">
        <v>2192</v>
      </c>
      <c r="E110" s="1702">
        <v>7.83</v>
      </c>
      <c r="F110" s="1700">
        <v>12.95</v>
      </c>
      <c r="G110" s="8" t="s">
        <v>545</v>
      </c>
      <c r="H110" s="591" t="str">
        <f t="shared" si="3"/>
        <v>Regelzone 50Hertz (gesamt)</v>
      </c>
      <c r="I110" s="587"/>
    </row>
    <row r="111" spans="1:9" hidden="1" outlineLevel="1">
      <c r="A111" s="1659">
        <v>2023</v>
      </c>
      <c r="B111" s="1655" t="s">
        <v>750</v>
      </c>
      <c r="C111" s="1657" t="s">
        <v>2408</v>
      </c>
      <c r="D111" s="1702">
        <v>3302</v>
      </c>
      <c r="E111" s="1702">
        <v>11.79</v>
      </c>
      <c r="F111" s="1700">
        <v>19.510000000000002</v>
      </c>
      <c r="G111" s="8" t="s">
        <v>751</v>
      </c>
      <c r="H111" s="591" t="str">
        <f t="shared" si="3"/>
        <v>Regelzone 50Hertz (gesamt)</v>
      </c>
      <c r="I111" s="587"/>
    </row>
    <row r="112" spans="1:9" hidden="1" outlineLevel="1">
      <c r="A112" s="61">
        <v>2023</v>
      </c>
      <c r="B112" s="73" t="s">
        <v>770</v>
      </c>
      <c r="C112" s="60" t="s">
        <v>2408</v>
      </c>
      <c r="D112" s="1707">
        <v>62769</v>
      </c>
      <c r="E112" s="1707">
        <v>224.09</v>
      </c>
      <c r="F112" s="1700">
        <v>370.96</v>
      </c>
      <c r="G112" s="8" t="s">
        <v>771</v>
      </c>
      <c r="H112" s="591" t="str">
        <f t="shared" si="3"/>
        <v>Regelzone 50Hertz (gesamt)</v>
      </c>
      <c r="I112" s="587"/>
    </row>
    <row r="113" spans="1:9" hidden="1" outlineLevel="1">
      <c r="A113" s="61">
        <v>2023</v>
      </c>
      <c r="B113" s="73" t="s">
        <v>530</v>
      </c>
      <c r="C113" s="60" t="s">
        <v>2408</v>
      </c>
      <c r="D113" s="1707">
        <v>36072</v>
      </c>
      <c r="E113" s="1707">
        <v>128.78</v>
      </c>
      <c r="F113" s="1700">
        <v>213.19</v>
      </c>
      <c r="G113" s="8" t="s">
        <v>531</v>
      </c>
      <c r="H113" s="591" t="str">
        <f t="shared" si="3"/>
        <v>Regelzone 50Hertz (gesamt)</v>
      </c>
      <c r="I113" s="587"/>
    </row>
    <row r="114" spans="1:9" hidden="1" outlineLevel="1">
      <c r="A114" s="61">
        <v>2023</v>
      </c>
      <c r="B114" s="73" t="s">
        <v>716</v>
      </c>
      <c r="C114" s="60" t="s">
        <v>2408</v>
      </c>
      <c r="D114" s="1707">
        <v>-93306</v>
      </c>
      <c r="E114" s="1707">
        <v>-333.1</v>
      </c>
      <c r="F114" s="1700">
        <v>-551.44000000000005</v>
      </c>
      <c r="G114" s="8" t="s">
        <v>717</v>
      </c>
      <c r="H114" s="591" t="str">
        <f t="shared" si="3"/>
        <v>Regelzone 50Hertz (gesamt)</v>
      </c>
      <c r="I114" s="587"/>
    </row>
    <row r="115" spans="1:9" hidden="1" outlineLevel="1">
      <c r="A115" s="61">
        <v>2023</v>
      </c>
      <c r="B115" s="73" t="s">
        <v>538</v>
      </c>
      <c r="C115" s="60" t="s">
        <v>2408</v>
      </c>
      <c r="D115" s="1707">
        <v>372380</v>
      </c>
      <c r="E115" s="1707">
        <v>1329.4</v>
      </c>
      <c r="F115" s="1700">
        <v>2200.77</v>
      </c>
      <c r="G115" s="8" t="s">
        <v>539</v>
      </c>
      <c r="H115" s="591" t="str">
        <f t="shared" si="3"/>
        <v>Regelzone 50Hertz (gesamt)</v>
      </c>
      <c r="I115" s="587"/>
    </row>
    <row r="116" spans="1:9" hidden="1" outlineLevel="1">
      <c r="A116" s="61">
        <v>2023</v>
      </c>
      <c r="B116" s="73" t="s">
        <v>580</v>
      </c>
      <c r="C116" s="60" t="s">
        <v>2408</v>
      </c>
      <c r="D116" s="1707">
        <v>-19749</v>
      </c>
      <c r="E116" s="1707">
        <v>-70.5</v>
      </c>
      <c r="F116" s="1700">
        <v>-116.72</v>
      </c>
      <c r="G116" s="8" t="s">
        <v>581</v>
      </c>
      <c r="H116" s="591" t="str">
        <f t="shared" si="3"/>
        <v>Regelzone 50Hertz (gesamt)</v>
      </c>
      <c r="I116" s="587"/>
    </row>
    <row r="117" spans="1:9" hidden="1" outlineLevel="1">
      <c r="A117" s="61">
        <v>2023</v>
      </c>
      <c r="B117" s="73" t="s">
        <v>626</v>
      </c>
      <c r="C117" s="60" t="s">
        <v>2408</v>
      </c>
      <c r="D117" s="1707">
        <v>-32833</v>
      </c>
      <c r="E117" s="1707">
        <v>-117.21</v>
      </c>
      <c r="F117" s="1700">
        <v>-194.04</v>
      </c>
      <c r="G117" s="8" t="s">
        <v>627</v>
      </c>
      <c r="H117" s="591" t="str">
        <f t="shared" si="3"/>
        <v>Regelzone 50Hertz (gesamt)</v>
      </c>
      <c r="I117" s="587"/>
    </row>
    <row r="118" spans="1:9" hidden="1" outlineLevel="1">
      <c r="A118" s="61">
        <v>2023</v>
      </c>
      <c r="B118" s="73" t="s">
        <v>590</v>
      </c>
      <c r="C118" s="60" t="s">
        <v>2408</v>
      </c>
      <c r="D118" s="1707">
        <v>-148805</v>
      </c>
      <c r="E118" s="1707">
        <v>-531.23</v>
      </c>
      <c r="F118" s="1700">
        <v>-879.44</v>
      </c>
      <c r="G118" s="8" t="s">
        <v>591</v>
      </c>
      <c r="H118" s="591" t="str">
        <f t="shared" si="3"/>
        <v>Regelzone 50Hertz (gesamt)</v>
      </c>
      <c r="I118" s="587"/>
    </row>
    <row r="119" spans="1:9" hidden="1" outlineLevel="1">
      <c r="A119" s="61">
        <v>2023</v>
      </c>
      <c r="B119" s="73" t="s">
        <v>646</v>
      </c>
      <c r="C119" s="60" t="s">
        <v>2408</v>
      </c>
      <c r="D119" s="1707">
        <v>-15819</v>
      </c>
      <c r="E119" s="1707">
        <v>-56.47</v>
      </c>
      <c r="F119" s="1700">
        <v>-93.49</v>
      </c>
      <c r="G119" s="8" t="s">
        <v>647</v>
      </c>
      <c r="H119" s="591" t="str">
        <f t="shared" si="3"/>
        <v>Regelzone 50Hertz (gesamt)</v>
      </c>
      <c r="I119" s="587"/>
    </row>
    <row r="120" spans="1:9" hidden="1" outlineLevel="1">
      <c r="A120" s="61">
        <v>2023</v>
      </c>
      <c r="B120" s="73" t="s">
        <v>600</v>
      </c>
      <c r="C120" s="60" t="s">
        <v>2408</v>
      </c>
      <c r="D120" s="1705">
        <v>131901</v>
      </c>
      <c r="E120" s="1706">
        <v>470.89</v>
      </c>
      <c r="F120" s="1700">
        <v>779.53</v>
      </c>
      <c r="G120" t="s">
        <v>601</v>
      </c>
      <c r="H120" s="591" t="str">
        <f t="shared" si="3"/>
        <v>Regelzone 50Hertz (gesamt)</v>
      </c>
      <c r="I120" s="587"/>
    </row>
    <row r="121" spans="1:9" hidden="1" outlineLevel="1">
      <c r="A121" s="61">
        <v>2023</v>
      </c>
      <c r="B121" s="73" t="s">
        <v>574</v>
      </c>
      <c r="C121" s="60" t="s">
        <v>2408</v>
      </c>
      <c r="D121" s="1706">
        <v>-62230</v>
      </c>
      <c r="E121" s="1706">
        <v>-222.16</v>
      </c>
      <c r="F121" s="1700">
        <v>-367.78</v>
      </c>
      <c r="G121" s="8" t="s">
        <v>2186</v>
      </c>
      <c r="H121" s="591" t="str">
        <f t="shared" si="3"/>
        <v>Regelzone 50Hertz (gesamt)</v>
      </c>
      <c r="I121" s="587"/>
    </row>
    <row r="122" spans="1:9" hidden="1" outlineLevel="1">
      <c r="A122" s="61">
        <v>2023</v>
      </c>
      <c r="B122" s="73" t="s">
        <v>502</v>
      </c>
      <c r="C122" s="60" t="s">
        <v>2408</v>
      </c>
      <c r="D122" s="1706">
        <v>-47291</v>
      </c>
      <c r="E122" s="1706">
        <v>-168.83</v>
      </c>
      <c r="F122" s="1700">
        <v>-279.49</v>
      </c>
      <c r="G122" s="8" t="s">
        <v>503</v>
      </c>
      <c r="H122" s="591" t="str">
        <f t="shared" si="3"/>
        <v>Regelzone 50Hertz (gesamt)</v>
      </c>
      <c r="I122" s="587"/>
    </row>
    <row r="123" spans="1:9" hidden="1" outlineLevel="1">
      <c r="A123" s="61">
        <v>2023</v>
      </c>
      <c r="B123" s="73" t="s">
        <v>458</v>
      </c>
      <c r="C123" s="60" t="s">
        <v>2408</v>
      </c>
      <c r="D123" s="1706">
        <v>-1233</v>
      </c>
      <c r="E123" s="1706">
        <v>-4.4000000000000004</v>
      </c>
      <c r="F123" s="1700">
        <v>-7.29</v>
      </c>
      <c r="G123" s="8" t="s">
        <v>459</v>
      </c>
      <c r="H123" s="591" t="str">
        <f t="shared" si="3"/>
        <v>Regelzone 50Hertz (gesamt)</v>
      </c>
      <c r="I123" s="587"/>
    </row>
    <row r="124" spans="1:9" hidden="1" outlineLevel="1">
      <c r="A124" s="61">
        <v>2023</v>
      </c>
      <c r="B124" s="73" t="s">
        <v>556</v>
      </c>
      <c r="C124" s="60" t="s">
        <v>2408</v>
      </c>
      <c r="D124" s="1707">
        <v>19149</v>
      </c>
      <c r="E124" s="1707">
        <v>68.36</v>
      </c>
      <c r="F124" s="1700">
        <v>113.17</v>
      </c>
      <c r="G124" s="8" t="s">
        <v>557</v>
      </c>
      <c r="H124" s="591" t="str">
        <f t="shared" si="3"/>
        <v>Regelzone 50Hertz (gesamt)</v>
      </c>
      <c r="I124" s="587"/>
    </row>
    <row r="125" spans="1:9" hidden="1" outlineLevel="1">
      <c r="A125" s="61">
        <v>2023</v>
      </c>
      <c r="B125" s="73" t="s">
        <v>670</v>
      </c>
      <c r="C125" s="60" t="s">
        <v>2408</v>
      </c>
      <c r="D125" s="1707">
        <v>37927</v>
      </c>
      <c r="E125" s="1707">
        <v>135.4</v>
      </c>
      <c r="F125" s="1700">
        <v>224.15</v>
      </c>
      <c r="G125" s="8" t="s">
        <v>671</v>
      </c>
      <c r="H125" s="591" t="str">
        <f t="shared" si="3"/>
        <v>Regelzone 50Hertz (gesamt)</v>
      </c>
      <c r="I125" s="587"/>
    </row>
    <row r="126" spans="1:9" hidden="1" outlineLevel="1">
      <c r="A126" s="61">
        <v>2023</v>
      </c>
      <c r="B126" s="73" t="s">
        <v>558</v>
      </c>
      <c r="C126" s="60" t="s">
        <v>2408</v>
      </c>
      <c r="D126" s="1707">
        <v>41405</v>
      </c>
      <c r="E126" s="1707">
        <v>147.82</v>
      </c>
      <c r="F126" s="1700">
        <v>244.7</v>
      </c>
      <c r="G126" s="8" t="s">
        <v>559</v>
      </c>
      <c r="H126" s="591" t="str">
        <f t="shared" si="3"/>
        <v>Regelzone 50Hertz (gesamt)</v>
      </c>
      <c r="I126" s="587"/>
    </row>
    <row r="127" spans="1:9" hidden="1" outlineLevel="1">
      <c r="A127" s="61">
        <v>2023</v>
      </c>
      <c r="B127" s="73" t="s">
        <v>476</v>
      </c>
      <c r="C127" s="60" t="s">
        <v>2408</v>
      </c>
      <c r="D127" s="1707">
        <v>74300</v>
      </c>
      <c r="E127" s="1707">
        <v>265.25</v>
      </c>
      <c r="F127" s="1700">
        <v>439.11</v>
      </c>
      <c r="G127" s="8" t="s">
        <v>477</v>
      </c>
      <c r="H127" s="591" t="str">
        <f t="shared" si="3"/>
        <v>Regelzone 50Hertz (gesamt)</v>
      </c>
      <c r="I127" s="587"/>
    </row>
    <row r="128" spans="1:9" hidden="1" outlineLevel="1">
      <c r="A128" s="61">
        <v>2023</v>
      </c>
      <c r="B128" s="73" t="s">
        <v>674</v>
      </c>
      <c r="C128" s="60" t="s">
        <v>2408</v>
      </c>
      <c r="D128" s="1707">
        <v>550518</v>
      </c>
      <c r="E128" s="1707">
        <v>1965.35</v>
      </c>
      <c r="F128" s="1700">
        <v>3253.56</v>
      </c>
      <c r="G128" s="8" t="s">
        <v>2190</v>
      </c>
      <c r="H128" s="591" t="str">
        <f t="shared" si="3"/>
        <v>Regelzone 50Hertz (gesamt)</v>
      </c>
      <c r="I128" s="587"/>
    </row>
    <row r="129" spans="1:9" hidden="1" outlineLevel="1">
      <c r="A129" s="61">
        <v>2023</v>
      </c>
      <c r="B129" s="73" t="s">
        <v>718</v>
      </c>
      <c r="C129" s="60" t="s">
        <v>2408</v>
      </c>
      <c r="D129" s="1707">
        <v>108808</v>
      </c>
      <c r="E129" s="1707">
        <v>388.44</v>
      </c>
      <c r="F129" s="1700">
        <v>643.05999999999995</v>
      </c>
      <c r="G129" s="8" t="s">
        <v>719</v>
      </c>
      <c r="H129" s="591" t="str">
        <f t="shared" si="3"/>
        <v>Regelzone 50Hertz (gesamt)</v>
      </c>
      <c r="I129" s="587"/>
    </row>
    <row r="130" spans="1:9" hidden="1" outlineLevel="1">
      <c r="A130" s="61">
        <v>2023</v>
      </c>
      <c r="B130" s="73" t="s">
        <v>672</v>
      </c>
      <c r="C130" s="60" t="s">
        <v>2408</v>
      </c>
      <c r="D130" s="1707">
        <v>-17504</v>
      </c>
      <c r="E130" s="1707">
        <v>-62.49</v>
      </c>
      <c r="F130" s="1700">
        <v>-103.45</v>
      </c>
      <c r="G130" s="8" t="s">
        <v>673</v>
      </c>
      <c r="H130" s="591" t="str">
        <f t="shared" si="3"/>
        <v>Regelzone 50Hertz (gesamt)</v>
      </c>
      <c r="I130" s="587"/>
    </row>
    <row r="131" spans="1:9" hidden="1" outlineLevel="1">
      <c r="A131" s="61">
        <v>2023</v>
      </c>
      <c r="B131" s="73" t="s">
        <v>654</v>
      </c>
      <c r="C131" s="60" t="s">
        <v>2408</v>
      </c>
      <c r="D131" s="1707">
        <v>35677</v>
      </c>
      <c r="E131" s="1707">
        <v>127.37</v>
      </c>
      <c r="F131" s="1700">
        <v>210.85</v>
      </c>
      <c r="G131" s="8" t="s">
        <v>655</v>
      </c>
      <c r="H131" s="591" t="str">
        <f t="shared" si="3"/>
        <v>Regelzone 50Hertz (gesamt)</v>
      </c>
      <c r="I131" s="587"/>
    </row>
    <row r="132" spans="1:9" hidden="1" outlineLevel="1">
      <c r="A132" s="61">
        <v>2023</v>
      </c>
      <c r="B132" s="73" t="s">
        <v>686</v>
      </c>
      <c r="C132" s="60" t="s">
        <v>2408</v>
      </c>
      <c r="D132" s="1707">
        <v>-132834421.99999999</v>
      </c>
      <c r="E132" s="1707">
        <v>-474218.89</v>
      </c>
      <c r="F132" s="1700">
        <v>-785051.43</v>
      </c>
      <c r="G132" s="8" t="s">
        <v>687</v>
      </c>
      <c r="H132" s="591" t="str">
        <f t="shared" si="3"/>
        <v>Regelzone 50Hertz (gesamt)</v>
      </c>
      <c r="I132" s="587"/>
    </row>
    <row r="133" spans="1:9" hidden="1" outlineLevel="1">
      <c r="A133" s="61">
        <v>2023</v>
      </c>
      <c r="B133" s="73" t="s">
        <v>686</v>
      </c>
      <c r="C133" s="60" t="s">
        <v>2411</v>
      </c>
      <c r="D133" s="1707">
        <v>713458</v>
      </c>
      <c r="E133" s="1707">
        <v>-2547.0500000000002</v>
      </c>
      <c r="F133" s="1700">
        <v>-4216.54</v>
      </c>
      <c r="G133" s="8" t="s">
        <v>687</v>
      </c>
      <c r="H133" s="591" t="str">
        <f t="shared" si="3"/>
        <v>Regelzone 50Hertz (gesamt)</v>
      </c>
      <c r="I133" s="587"/>
    </row>
    <row r="134" spans="1:9" ht="13.5" hidden="1" outlineLevel="1" thickBot="1">
      <c r="A134" s="916">
        <v>2023</v>
      </c>
      <c r="B134" s="74" t="s">
        <v>536</v>
      </c>
      <c r="C134" s="704" t="s">
        <v>2408</v>
      </c>
      <c r="D134" s="1709">
        <v>-953988</v>
      </c>
      <c r="E134" s="1709">
        <v>-3405.74</v>
      </c>
      <c r="F134" s="1704">
        <v>-5638.07</v>
      </c>
      <c r="G134" s="8" t="s">
        <v>537</v>
      </c>
      <c r="H134" s="591" t="str">
        <f t="shared" si="3"/>
        <v>Regelzone 50Hertz (gesamt)</v>
      </c>
      <c r="I134" s="587"/>
    </row>
    <row r="135" spans="1:9" hidden="1" outlineLevel="1">
      <c r="A135" s="61">
        <v>2024</v>
      </c>
      <c r="B135" s="77" t="s">
        <v>772</v>
      </c>
      <c r="C135" s="703" t="s">
        <v>2408</v>
      </c>
      <c r="D135" s="1710">
        <v>-28438328</v>
      </c>
      <c r="E135" s="1710">
        <v>-78205.399999999994</v>
      </c>
      <c r="F135" s="1700">
        <v>-186555.43</v>
      </c>
      <c r="G135" s="8" t="s">
        <v>773</v>
      </c>
      <c r="H135" s="591" t="str">
        <f t="shared" si="3"/>
        <v>Regelzone 50Hertz (gesamt)</v>
      </c>
      <c r="I135" s="587"/>
    </row>
    <row r="136" spans="1:9" hidden="1" outlineLevel="1">
      <c r="A136" s="61">
        <v>2024</v>
      </c>
      <c r="B136" s="234" t="s">
        <v>758</v>
      </c>
      <c r="C136" s="31" t="s">
        <v>2408</v>
      </c>
      <c r="D136" s="1706">
        <v>-4308086</v>
      </c>
      <c r="E136" s="1706">
        <v>-11847.24</v>
      </c>
      <c r="F136" s="1700">
        <v>-28261.040000000001</v>
      </c>
      <c r="G136" s="8" t="s">
        <v>759</v>
      </c>
      <c r="H136" s="591" t="str">
        <f t="shared" ref="H136:H162" si="4">+H135</f>
        <v>Regelzone 50Hertz (gesamt)</v>
      </c>
      <c r="I136" s="587"/>
    </row>
    <row r="137" spans="1:9" hidden="1" outlineLevel="1">
      <c r="A137" s="61">
        <v>2024</v>
      </c>
      <c r="B137" s="234" t="s">
        <v>943</v>
      </c>
      <c r="C137" s="31" t="s">
        <v>2409</v>
      </c>
      <c r="D137" s="1706">
        <v>-516527.00000000006</v>
      </c>
      <c r="E137" s="1706">
        <v>-142.04</v>
      </c>
      <c r="F137" s="1700">
        <v>-338.84</v>
      </c>
      <c r="G137" s="8" t="s">
        <v>2163</v>
      </c>
      <c r="H137" s="591" t="str">
        <f t="shared" si="4"/>
        <v>Regelzone 50Hertz (gesamt)</v>
      </c>
      <c r="I137" s="587"/>
    </row>
    <row r="138" spans="1:9" hidden="1" outlineLevel="1">
      <c r="A138" s="61">
        <v>2024</v>
      </c>
      <c r="B138" s="234" t="s">
        <v>943</v>
      </c>
      <c r="C138" s="31" t="s">
        <v>2408</v>
      </c>
      <c r="D138" s="1706">
        <v>315786</v>
      </c>
      <c r="E138" s="1706">
        <v>868.41</v>
      </c>
      <c r="F138" s="1700">
        <v>2071.56</v>
      </c>
      <c r="G138" s="8" t="s">
        <v>2163</v>
      </c>
      <c r="H138" s="591" t="str">
        <f t="shared" si="4"/>
        <v>Regelzone 50Hertz (gesamt)</v>
      </c>
      <c r="I138" s="587"/>
    </row>
    <row r="139" spans="1:9" hidden="1" outlineLevel="1">
      <c r="A139" s="61">
        <v>2024</v>
      </c>
      <c r="B139" s="234" t="s">
        <v>943</v>
      </c>
      <c r="C139" s="31" t="s">
        <v>2409</v>
      </c>
      <c r="D139" s="1706">
        <v>-306079</v>
      </c>
      <c r="E139" s="1706">
        <v>-84.17</v>
      </c>
      <c r="F139" s="1700">
        <v>-200.79</v>
      </c>
      <c r="G139" s="8" t="s">
        <v>2163</v>
      </c>
      <c r="H139" s="591" t="str">
        <f t="shared" si="4"/>
        <v>Regelzone 50Hertz (gesamt)</v>
      </c>
      <c r="I139" s="587"/>
    </row>
    <row r="140" spans="1:9" hidden="1" outlineLevel="1">
      <c r="A140" s="61">
        <v>2024</v>
      </c>
      <c r="B140" s="234" t="s">
        <v>943</v>
      </c>
      <c r="C140" s="31" t="s">
        <v>2408</v>
      </c>
      <c r="D140" s="1706">
        <v>-1181524</v>
      </c>
      <c r="E140" s="1706">
        <v>-3249.19</v>
      </c>
      <c r="F140" s="1700">
        <v>-7750.8</v>
      </c>
      <c r="G140" s="8" t="s">
        <v>2163</v>
      </c>
      <c r="H140" s="591" t="str">
        <f t="shared" si="4"/>
        <v>Regelzone 50Hertz (gesamt)</v>
      </c>
      <c r="I140" s="587"/>
    </row>
    <row r="141" spans="1:9" hidden="1" outlineLevel="1">
      <c r="A141" s="61">
        <v>2024</v>
      </c>
      <c r="B141" s="234" t="s">
        <v>598</v>
      </c>
      <c r="C141" s="31" t="s">
        <v>2408</v>
      </c>
      <c r="D141" s="1706">
        <v>-37297743</v>
      </c>
      <c r="E141" s="1706">
        <v>-102568.79</v>
      </c>
      <c r="F141" s="1700">
        <v>-244673.19</v>
      </c>
      <c r="G141" s="8" t="s">
        <v>599</v>
      </c>
      <c r="H141" s="591" t="str">
        <f t="shared" si="4"/>
        <v>Regelzone 50Hertz (gesamt)</v>
      </c>
      <c r="I141" s="587"/>
    </row>
    <row r="142" spans="1:9" hidden="1" outlineLevel="1">
      <c r="A142" s="61">
        <v>2024</v>
      </c>
      <c r="B142" s="234" t="s">
        <v>542</v>
      </c>
      <c r="C142" s="31" t="s">
        <v>2408</v>
      </c>
      <c r="D142" s="1706">
        <v>78503</v>
      </c>
      <c r="E142" s="1706">
        <v>215.88</v>
      </c>
      <c r="F142" s="1700">
        <v>514.98</v>
      </c>
      <c r="G142" s="8" t="s">
        <v>543</v>
      </c>
      <c r="H142" s="591" t="str">
        <f t="shared" si="4"/>
        <v>Regelzone 50Hertz (gesamt)</v>
      </c>
      <c r="I142" s="587"/>
    </row>
    <row r="143" spans="1:9" hidden="1" outlineLevel="1">
      <c r="A143" s="61">
        <v>2024</v>
      </c>
      <c r="B143" s="234" t="s">
        <v>756</v>
      </c>
      <c r="C143" s="31" t="s">
        <v>2408</v>
      </c>
      <c r="D143" s="1706">
        <v>-23899</v>
      </c>
      <c r="E143" s="1706">
        <v>-65.72</v>
      </c>
      <c r="F143" s="1700">
        <v>-156.78</v>
      </c>
      <c r="G143" s="8" t="s">
        <v>757</v>
      </c>
      <c r="H143" s="591" t="str">
        <f t="shared" si="4"/>
        <v>Regelzone 50Hertz (gesamt)</v>
      </c>
      <c r="I143" s="587"/>
    </row>
    <row r="144" spans="1:9" hidden="1" outlineLevel="1">
      <c r="A144" s="61">
        <v>2024</v>
      </c>
      <c r="B144" s="234" t="s">
        <v>456</v>
      </c>
      <c r="C144" s="31" t="s">
        <v>2408</v>
      </c>
      <c r="D144" s="1706">
        <v>972685</v>
      </c>
      <c r="E144" s="1706">
        <v>2674.88</v>
      </c>
      <c r="F144" s="1700">
        <v>6380.81</v>
      </c>
      <c r="G144" s="8" t="s">
        <v>457</v>
      </c>
      <c r="H144" s="591" t="str">
        <f t="shared" si="4"/>
        <v>Regelzone 50Hertz (gesamt)</v>
      </c>
      <c r="I144" s="587"/>
    </row>
    <row r="145" spans="1:9" hidden="1" outlineLevel="1">
      <c r="A145" s="61">
        <v>2024</v>
      </c>
      <c r="B145" s="234" t="s">
        <v>768</v>
      </c>
      <c r="C145" s="31" t="s">
        <v>2408</v>
      </c>
      <c r="D145" s="1706">
        <v>1170720</v>
      </c>
      <c r="E145" s="1706">
        <v>3219.48</v>
      </c>
      <c r="F145" s="1700">
        <v>7679.92</v>
      </c>
      <c r="G145" s="8" t="s">
        <v>769</v>
      </c>
      <c r="H145" s="591" t="str">
        <f t="shared" si="4"/>
        <v>Regelzone 50Hertz (gesamt)</v>
      </c>
      <c r="I145" s="587"/>
    </row>
    <row r="146" spans="1:9" hidden="1" outlineLevel="1">
      <c r="A146" s="61">
        <v>2024</v>
      </c>
      <c r="B146" s="234" t="s">
        <v>484</v>
      </c>
      <c r="C146" s="31" t="s">
        <v>2408</v>
      </c>
      <c r="D146" s="1706">
        <v>116734816</v>
      </c>
      <c r="E146" s="1706">
        <v>321020.74</v>
      </c>
      <c r="F146" s="1700">
        <v>765780.39</v>
      </c>
      <c r="G146" s="8" t="s">
        <v>485</v>
      </c>
      <c r="H146" s="591" t="str">
        <f t="shared" si="4"/>
        <v>Regelzone 50Hertz (gesamt)</v>
      </c>
      <c r="I146" s="587"/>
    </row>
    <row r="147" spans="1:9" hidden="1" outlineLevel="1">
      <c r="A147" s="61">
        <v>2024</v>
      </c>
      <c r="B147" s="234" t="s">
        <v>484</v>
      </c>
      <c r="C147" s="31" t="s">
        <v>2411</v>
      </c>
      <c r="D147" s="1706">
        <v>15360013</v>
      </c>
      <c r="E147" s="1706">
        <v>-42240.04</v>
      </c>
      <c r="F147" s="1700">
        <v>-100761.69</v>
      </c>
      <c r="G147" s="8" t="s">
        <v>485</v>
      </c>
      <c r="H147" s="591" t="str">
        <f t="shared" si="4"/>
        <v>Regelzone 50Hertz (gesamt)</v>
      </c>
      <c r="I147" s="587"/>
    </row>
    <row r="148" spans="1:9" hidden="1" outlineLevel="1">
      <c r="A148" s="61">
        <v>2024</v>
      </c>
      <c r="B148" s="234" t="s">
        <v>728</v>
      </c>
      <c r="C148" s="31" t="s">
        <v>2408</v>
      </c>
      <c r="D148" s="1706">
        <v>3222712</v>
      </c>
      <c r="E148" s="1706">
        <v>8862.4599999999991</v>
      </c>
      <c r="F148" s="1700">
        <v>21140.99</v>
      </c>
      <c r="G148" s="8" t="s">
        <v>729</v>
      </c>
      <c r="H148" s="591" t="str">
        <f t="shared" si="4"/>
        <v>Regelzone 50Hertz (gesamt)</v>
      </c>
      <c r="I148" s="587"/>
    </row>
    <row r="149" spans="1:9" hidden="1" outlineLevel="1">
      <c r="A149" s="61">
        <v>2024</v>
      </c>
      <c r="B149" s="234" t="s">
        <v>682</v>
      </c>
      <c r="C149" s="31" t="s">
        <v>2408</v>
      </c>
      <c r="D149" s="1706">
        <v>40699001</v>
      </c>
      <c r="E149" s="1706">
        <v>111922.25</v>
      </c>
      <c r="F149" s="1700">
        <v>266985.45</v>
      </c>
      <c r="G149" s="8" t="s">
        <v>683</v>
      </c>
      <c r="H149" s="591" t="str">
        <f t="shared" si="4"/>
        <v>Regelzone 50Hertz (gesamt)</v>
      </c>
      <c r="I149" s="587"/>
    </row>
    <row r="150" spans="1:9" hidden="1" outlineLevel="1">
      <c r="A150" s="61">
        <v>2024</v>
      </c>
      <c r="B150" s="234" t="s">
        <v>682</v>
      </c>
      <c r="C150" s="31" t="s">
        <v>2411</v>
      </c>
      <c r="D150" s="1706">
        <v>3342449</v>
      </c>
      <c r="E150" s="1706">
        <v>-9191.73</v>
      </c>
      <c r="F150" s="1700">
        <v>-21926.47</v>
      </c>
      <c r="G150" s="8" t="s">
        <v>683</v>
      </c>
      <c r="H150" s="591" t="str">
        <f t="shared" si="4"/>
        <v>Regelzone 50Hertz (gesamt)</v>
      </c>
      <c r="I150" s="587"/>
    </row>
    <row r="151" spans="1:9" hidden="1" outlineLevel="1">
      <c r="A151" s="61">
        <v>2024</v>
      </c>
      <c r="B151" s="234" t="s">
        <v>722</v>
      </c>
      <c r="C151" s="31" t="s">
        <v>2409</v>
      </c>
      <c r="D151" s="1706">
        <v>1000000</v>
      </c>
      <c r="E151" s="1706">
        <v>275</v>
      </c>
      <c r="F151" s="1700">
        <v>656</v>
      </c>
      <c r="G151" s="8" t="s">
        <v>723</v>
      </c>
      <c r="H151" s="591" t="str">
        <f t="shared" si="4"/>
        <v>Regelzone 50Hertz (gesamt)</v>
      </c>
      <c r="I151" s="587"/>
    </row>
    <row r="152" spans="1:9" hidden="1" outlineLevel="1">
      <c r="A152" s="61">
        <v>2024</v>
      </c>
      <c r="B152" s="234" t="s">
        <v>722</v>
      </c>
      <c r="C152" s="31" t="s">
        <v>2408</v>
      </c>
      <c r="D152" s="1706">
        <v>100242252</v>
      </c>
      <c r="E152" s="1706">
        <v>275666.19</v>
      </c>
      <c r="F152" s="1700">
        <v>657589.17000000004</v>
      </c>
      <c r="G152" s="8" t="s">
        <v>723</v>
      </c>
      <c r="H152" s="591" t="str">
        <f t="shared" si="4"/>
        <v>Regelzone 50Hertz (gesamt)</v>
      </c>
      <c r="I152" s="587"/>
    </row>
    <row r="153" spans="1:9" hidden="1" outlineLevel="1">
      <c r="A153" s="61">
        <v>2024</v>
      </c>
      <c r="B153" s="234" t="s">
        <v>680</v>
      </c>
      <c r="C153" s="31" t="s">
        <v>2409</v>
      </c>
      <c r="D153" s="1706">
        <v>-22029501</v>
      </c>
      <c r="E153" s="1706">
        <v>-6058.11</v>
      </c>
      <c r="F153" s="1700">
        <v>-14451.35</v>
      </c>
      <c r="G153" s="8" t="s">
        <v>2176</v>
      </c>
      <c r="H153" s="591" t="str">
        <f t="shared" si="4"/>
        <v>Regelzone 50Hertz (gesamt)</v>
      </c>
      <c r="I153" s="587"/>
    </row>
    <row r="154" spans="1:9" hidden="1" outlineLevel="1">
      <c r="A154" s="61">
        <v>2024</v>
      </c>
      <c r="B154" s="234" t="s">
        <v>680</v>
      </c>
      <c r="C154" s="31" t="s">
        <v>2412</v>
      </c>
      <c r="D154" s="1706">
        <v>58900</v>
      </c>
      <c r="E154" s="1706">
        <v>32.4</v>
      </c>
      <c r="F154" s="1700">
        <v>77.28</v>
      </c>
      <c r="G154" s="8" t="s">
        <v>2176</v>
      </c>
      <c r="H154" s="591" t="str">
        <f t="shared" si="4"/>
        <v>Regelzone 50Hertz (gesamt)</v>
      </c>
      <c r="I154" s="587"/>
    </row>
    <row r="155" spans="1:9" hidden="1" outlineLevel="1">
      <c r="A155" s="61">
        <v>2024</v>
      </c>
      <c r="B155" s="234" t="s">
        <v>680</v>
      </c>
      <c r="C155" s="31" t="s">
        <v>2408</v>
      </c>
      <c r="D155" s="1706">
        <v>21568523</v>
      </c>
      <c r="E155" s="1706">
        <v>59313.440000000002</v>
      </c>
      <c r="F155" s="1700">
        <v>141489.51</v>
      </c>
      <c r="G155" s="8" t="s">
        <v>2176</v>
      </c>
      <c r="H155" s="591" t="str">
        <f t="shared" si="4"/>
        <v>Regelzone 50Hertz (gesamt)</v>
      </c>
      <c r="I155" s="587"/>
    </row>
    <row r="156" spans="1:9" hidden="1" outlineLevel="1">
      <c r="A156" s="61">
        <v>2024</v>
      </c>
      <c r="B156" s="234" t="s">
        <v>732</v>
      </c>
      <c r="C156" s="31" t="s">
        <v>2408</v>
      </c>
      <c r="D156" s="1706">
        <v>-119692</v>
      </c>
      <c r="E156" s="1706">
        <v>-329.15</v>
      </c>
      <c r="F156" s="1700">
        <v>-785.18</v>
      </c>
      <c r="G156" s="8" t="s">
        <v>733</v>
      </c>
      <c r="H156" s="591" t="str">
        <f t="shared" si="4"/>
        <v>Regelzone 50Hertz (gesamt)</v>
      </c>
      <c r="I156" s="587"/>
    </row>
    <row r="157" spans="1:9" hidden="1" outlineLevel="1">
      <c r="A157" s="61">
        <v>2024</v>
      </c>
      <c r="B157" s="234" t="s">
        <v>470</v>
      </c>
      <c r="C157" s="31" t="s">
        <v>2408</v>
      </c>
      <c r="D157" s="1706">
        <v>182720</v>
      </c>
      <c r="E157" s="1706">
        <v>502.48</v>
      </c>
      <c r="F157" s="1700">
        <v>1198.6400000000001</v>
      </c>
      <c r="G157" s="8" t="s">
        <v>471</v>
      </c>
      <c r="H157" s="591" t="str">
        <f t="shared" si="4"/>
        <v>Regelzone 50Hertz (gesamt)</v>
      </c>
      <c r="I157" s="587"/>
    </row>
    <row r="158" spans="1:9" hidden="1" outlineLevel="1">
      <c r="A158" s="61">
        <v>2024</v>
      </c>
      <c r="B158" s="234" t="s">
        <v>748</v>
      </c>
      <c r="C158" s="31" t="s">
        <v>2408</v>
      </c>
      <c r="D158" s="1706">
        <v>646</v>
      </c>
      <c r="E158" s="1706">
        <v>1.78</v>
      </c>
      <c r="F158" s="1700">
        <v>4.24</v>
      </c>
      <c r="G158" s="8" t="s">
        <v>749</v>
      </c>
      <c r="H158" s="591" t="str">
        <f t="shared" si="4"/>
        <v>Regelzone 50Hertz (gesamt)</v>
      </c>
      <c r="I158" s="587"/>
    </row>
    <row r="159" spans="1:9" hidden="1" outlineLevel="1">
      <c r="A159" s="61">
        <v>2024</v>
      </c>
      <c r="B159" s="234" t="s">
        <v>498</v>
      </c>
      <c r="C159" s="31" t="s">
        <v>2408</v>
      </c>
      <c r="D159" s="1706">
        <v>-113680</v>
      </c>
      <c r="E159" s="1706">
        <v>-312.62</v>
      </c>
      <c r="F159" s="1700">
        <v>-745.74</v>
      </c>
      <c r="G159" s="8" t="s">
        <v>499</v>
      </c>
      <c r="H159" s="591" t="str">
        <f t="shared" si="4"/>
        <v>Regelzone 50Hertz (gesamt)</v>
      </c>
      <c r="I159" s="587"/>
    </row>
    <row r="160" spans="1:9" hidden="1" outlineLevel="1">
      <c r="A160" s="61">
        <v>2024</v>
      </c>
      <c r="B160" s="234" t="s">
        <v>586</v>
      </c>
      <c r="C160" s="31" t="s">
        <v>2408</v>
      </c>
      <c r="D160" s="1706">
        <v>-27194</v>
      </c>
      <c r="E160" s="1706">
        <v>-74.78</v>
      </c>
      <c r="F160" s="1700">
        <v>-178.39</v>
      </c>
      <c r="G160" s="8" t="s">
        <v>587</v>
      </c>
      <c r="H160" s="591" t="str">
        <f t="shared" si="4"/>
        <v>Regelzone 50Hertz (gesamt)</v>
      </c>
      <c r="I160" s="587"/>
    </row>
    <row r="161" spans="1:9" hidden="1" outlineLevel="1">
      <c r="A161" s="61">
        <v>2024</v>
      </c>
      <c r="B161" s="234" t="s">
        <v>604</v>
      </c>
      <c r="C161" s="31" t="s">
        <v>2408</v>
      </c>
      <c r="D161" s="1706">
        <v>-296834</v>
      </c>
      <c r="E161" s="1706">
        <v>-816.29</v>
      </c>
      <c r="F161" s="1700">
        <v>-1947.23</v>
      </c>
      <c r="G161" s="8" t="s">
        <v>2178</v>
      </c>
      <c r="H161" s="591" t="str">
        <f t="shared" si="4"/>
        <v>Regelzone 50Hertz (gesamt)</v>
      </c>
      <c r="I161" s="587"/>
    </row>
    <row r="162" spans="1:9" hidden="1" outlineLevel="1">
      <c r="A162" s="61">
        <v>2024</v>
      </c>
      <c r="B162" s="73" t="s">
        <v>666</v>
      </c>
      <c r="C162" s="60" t="s">
        <v>2408</v>
      </c>
      <c r="D162" s="1707">
        <v>208080</v>
      </c>
      <c r="E162" s="1707">
        <v>572.22</v>
      </c>
      <c r="F162" s="1700">
        <v>1365</v>
      </c>
      <c r="G162" s="8" t="s">
        <v>667</v>
      </c>
      <c r="H162" s="591" t="str">
        <f t="shared" si="4"/>
        <v>Regelzone 50Hertz (gesamt)</v>
      </c>
      <c r="I162" s="587"/>
    </row>
    <row r="163" spans="1:9" hidden="1" outlineLevel="1">
      <c r="A163" s="61">
        <v>2024</v>
      </c>
      <c r="B163" s="73" t="s">
        <v>632</v>
      </c>
      <c r="C163" s="60" t="s">
        <v>2408</v>
      </c>
      <c r="D163" s="1707">
        <v>-21672</v>
      </c>
      <c r="E163" s="1707">
        <v>-59.6</v>
      </c>
      <c r="F163" s="1700">
        <v>-142.16999999999999</v>
      </c>
      <c r="G163" s="8" t="s">
        <v>633</v>
      </c>
      <c r="H163" s="591" t="str">
        <f t="shared" ref="H163:H225" si="5">+H162</f>
        <v>Regelzone 50Hertz (gesamt)</v>
      </c>
      <c r="I163" s="587"/>
    </row>
    <row r="164" spans="1:9" hidden="1" outlineLevel="1">
      <c r="A164" s="61">
        <v>2024</v>
      </c>
      <c r="B164" s="73" t="s">
        <v>610</v>
      </c>
      <c r="C164" s="60" t="s">
        <v>2408</v>
      </c>
      <c r="D164" s="1707">
        <v>-59648</v>
      </c>
      <c r="E164" s="1707">
        <v>-164.03</v>
      </c>
      <c r="F164" s="1700">
        <v>-391.29</v>
      </c>
      <c r="G164" s="8" t="s">
        <v>611</v>
      </c>
      <c r="H164" s="591" t="str">
        <f t="shared" si="5"/>
        <v>Regelzone 50Hertz (gesamt)</v>
      </c>
      <c r="I164" s="587"/>
    </row>
    <row r="165" spans="1:9" hidden="1" outlineLevel="1">
      <c r="A165" s="61">
        <v>2024</v>
      </c>
      <c r="B165" s="73" t="s">
        <v>688</v>
      </c>
      <c r="C165" s="60" t="s">
        <v>2408</v>
      </c>
      <c r="D165" s="1707">
        <v>1146174</v>
      </c>
      <c r="E165" s="1707">
        <v>3151.98</v>
      </c>
      <c r="F165" s="1700">
        <v>7518.9</v>
      </c>
      <c r="G165" s="8" t="s">
        <v>689</v>
      </c>
      <c r="H165" s="591" t="str">
        <f t="shared" si="5"/>
        <v>Regelzone 50Hertz (gesamt)</v>
      </c>
      <c r="I165" s="587"/>
    </row>
    <row r="166" spans="1:9" hidden="1" outlineLevel="1">
      <c r="A166" s="61">
        <v>2024</v>
      </c>
      <c r="B166" s="73" t="s">
        <v>528</v>
      </c>
      <c r="C166" s="60" t="s">
        <v>2408</v>
      </c>
      <c r="D166" s="1707">
        <v>1797887</v>
      </c>
      <c r="E166" s="1707">
        <v>4944.1899999999996</v>
      </c>
      <c r="F166" s="1700">
        <v>11794.14</v>
      </c>
      <c r="G166" s="8" t="s">
        <v>529</v>
      </c>
      <c r="H166" s="591" t="str">
        <f t="shared" si="5"/>
        <v>Regelzone 50Hertz (gesamt)</v>
      </c>
      <c r="I166" s="587"/>
    </row>
    <row r="167" spans="1:9" hidden="1" outlineLevel="1">
      <c r="A167" s="61">
        <v>2024</v>
      </c>
      <c r="B167" s="73" t="s">
        <v>582</v>
      </c>
      <c r="C167" s="60" t="s">
        <v>2408</v>
      </c>
      <c r="D167" s="1707">
        <v>-184991</v>
      </c>
      <c r="E167" s="1707">
        <v>-508.73</v>
      </c>
      <c r="F167" s="1700">
        <v>-1213.54</v>
      </c>
      <c r="G167" s="8" t="s">
        <v>583</v>
      </c>
      <c r="H167" s="591" t="str">
        <f t="shared" si="5"/>
        <v>Regelzone 50Hertz (gesamt)</v>
      </c>
      <c r="I167" s="587"/>
    </row>
    <row r="168" spans="1:9" hidden="1" outlineLevel="1">
      <c r="A168" s="61">
        <v>2024</v>
      </c>
      <c r="B168" s="73" t="s">
        <v>634</v>
      </c>
      <c r="C168" s="60" t="s">
        <v>2408</v>
      </c>
      <c r="D168" s="1707">
        <v>747041</v>
      </c>
      <c r="E168" s="1707">
        <v>2054.36</v>
      </c>
      <c r="F168" s="1700">
        <v>4900.59</v>
      </c>
      <c r="G168" s="8" t="s">
        <v>635</v>
      </c>
      <c r="H168" s="591" t="str">
        <f t="shared" si="5"/>
        <v>Regelzone 50Hertz (gesamt)</v>
      </c>
      <c r="I168" s="587"/>
    </row>
    <row r="169" spans="1:9" hidden="1" outlineLevel="1">
      <c r="A169" s="61">
        <v>2024</v>
      </c>
      <c r="B169" s="73" t="s">
        <v>712</v>
      </c>
      <c r="C169" s="60" t="s">
        <v>2408</v>
      </c>
      <c r="D169" s="1707">
        <v>721102</v>
      </c>
      <c r="E169" s="1707">
        <v>1983.03</v>
      </c>
      <c r="F169" s="1700">
        <v>4730.43</v>
      </c>
      <c r="G169" s="8" t="s">
        <v>713</v>
      </c>
      <c r="H169" s="591" t="str">
        <f t="shared" si="5"/>
        <v>Regelzone 50Hertz (gesamt)</v>
      </c>
      <c r="I169" s="587"/>
    </row>
    <row r="170" spans="1:9" hidden="1" outlineLevel="1">
      <c r="A170" s="61">
        <v>2024</v>
      </c>
      <c r="B170" s="73" t="s">
        <v>490</v>
      </c>
      <c r="C170" s="60" t="s">
        <v>2408</v>
      </c>
      <c r="D170" s="1707">
        <v>359428</v>
      </c>
      <c r="E170" s="1707">
        <v>988.43</v>
      </c>
      <c r="F170" s="1700">
        <v>2357.85</v>
      </c>
      <c r="G170" s="8" t="s">
        <v>491</v>
      </c>
      <c r="H170" s="591" t="str">
        <f t="shared" si="5"/>
        <v>Regelzone 50Hertz (gesamt)</v>
      </c>
      <c r="I170" s="587"/>
    </row>
    <row r="171" spans="1:9" hidden="1" outlineLevel="1">
      <c r="A171" s="61">
        <v>2024</v>
      </c>
      <c r="B171" s="73" t="s">
        <v>462</v>
      </c>
      <c r="C171" s="60" t="s">
        <v>2408</v>
      </c>
      <c r="D171" s="1707">
        <v>-59232</v>
      </c>
      <c r="E171" s="1707">
        <v>-162.88999999999999</v>
      </c>
      <c r="F171" s="1700">
        <v>-388.56</v>
      </c>
      <c r="G171" s="8" t="s">
        <v>463</v>
      </c>
      <c r="H171" s="591" t="str">
        <f t="shared" si="5"/>
        <v>Regelzone 50Hertz (gesamt)</v>
      </c>
      <c r="I171" s="587"/>
    </row>
    <row r="172" spans="1:9" hidden="1" outlineLevel="1">
      <c r="A172" s="61">
        <v>2024</v>
      </c>
      <c r="B172" s="73" t="s">
        <v>692</v>
      </c>
      <c r="C172" s="60" t="s">
        <v>2408</v>
      </c>
      <c r="D172" s="1707">
        <v>-51099</v>
      </c>
      <c r="E172" s="1707">
        <v>-140.52000000000001</v>
      </c>
      <c r="F172" s="1700">
        <v>-335.21</v>
      </c>
      <c r="G172" s="8" t="s">
        <v>693</v>
      </c>
      <c r="H172" s="591" t="str">
        <f t="shared" si="5"/>
        <v>Regelzone 50Hertz (gesamt)</v>
      </c>
      <c r="I172" s="587"/>
    </row>
    <row r="173" spans="1:9" hidden="1" outlineLevel="1">
      <c r="A173" s="61">
        <v>2024</v>
      </c>
      <c r="B173" s="73" t="s">
        <v>506</v>
      </c>
      <c r="C173" s="60" t="s">
        <v>2408</v>
      </c>
      <c r="D173" s="1707">
        <v>992276</v>
      </c>
      <c r="E173" s="1707">
        <v>2728.76</v>
      </c>
      <c r="F173" s="1700">
        <v>6509.33</v>
      </c>
      <c r="G173" s="8" t="s">
        <v>507</v>
      </c>
      <c r="H173" s="591" t="str">
        <f t="shared" si="5"/>
        <v>Regelzone 50Hertz (gesamt)</v>
      </c>
      <c r="I173" s="587"/>
    </row>
    <row r="174" spans="1:9" hidden="1" outlineLevel="1">
      <c r="A174" s="61">
        <v>2024</v>
      </c>
      <c r="B174" s="73" t="s">
        <v>622</v>
      </c>
      <c r="C174" s="60" t="s">
        <v>2409</v>
      </c>
      <c r="D174" s="1707">
        <v>-53</v>
      </c>
      <c r="E174" s="1707">
        <v>-0.01</v>
      </c>
      <c r="F174" s="1700">
        <v>-0.03</v>
      </c>
      <c r="G174" s="8" t="s">
        <v>2030</v>
      </c>
      <c r="H174" s="591" t="str">
        <f t="shared" si="5"/>
        <v>Regelzone 50Hertz (gesamt)</v>
      </c>
      <c r="I174" s="587"/>
    </row>
    <row r="175" spans="1:9" hidden="1" outlineLevel="1">
      <c r="A175" s="61">
        <v>2024</v>
      </c>
      <c r="B175" s="73" t="s">
        <v>622</v>
      </c>
      <c r="C175" s="60" t="s">
        <v>2408</v>
      </c>
      <c r="D175" s="1707">
        <v>-3977869</v>
      </c>
      <c r="E175" s="1707">
        <v>-10939.14</v>
      </c>
      <c r="F175" s="1700">
        <v>-26094.82</v>
      </c>
      <c r="G175" s="8" t="s">
        <v>2030</v>
      </c>
      <c r="H175" s="591" t="str">
        <f t="shared" si="5"/>
        <v>Regelzone 50Hertz (gesamt)</v>
      </c>
      <c r="I175" s="587"/>
    </row>
    <row r="176" spans="1:9" hidden="1" outlineLevel="1">
      <c r="A176" s="61">
        <v>2024</v>
      </c>
      <c r="B176" s="73" t="s">
        <v>510</v>
      </c>
      <c r="C176" s="60" t="s">
        <v>2408</v>
      </c>
      <c r="D176" s="1707">
        <v>2028933</v>
      </c>
      <c r="E176" s="1707">
        <v>5579.57</v>
      </c>
      <c r="F176" s="1700">
        <v>13309.8</v>
      </c>
      <c r="G176" s="8" t="s">
        <v>511</v>
      </c>
      <c r="H176" s="591" t="str">
        <f t="shared" si="5"/>
        <v>Regelzone 50Hertz (gesamt)</v>
      </c>
      <c r="I176" s="587"/>
    </row>
    <row r="177" spans="1:9" hidden="1" outlineLevel="1">
      <c r="A177" s="61">
        <v>2024</v>
      </c>
      <c r="B177" s="73" t="s">
        <v>760</v>
      </c>
      <c r="C177" s="60" t="s">
        <v>2408</v>
      </c>
      <c r="D177" s="1707">
        <v>1852056</v>
      </c>
      <c r="E177" s="1707">
        <v>5093.1499999999996</v>
      </c>
      <c r="F177" s="1700">
        <v>12149.49</v>
      </c>
      <c r="G177" s="8" t="s">
        <v>761</v>
      </c>
      <c r="H177" s="591" t="str">
        <f t="shared" si="5"/>
        <v>Regelzone 50Hertz (gesamt)</v>
      </c>
      <c r="I177" s="587"/>
    </row>
    <row r="178" spans="1:9" hidden="1" outlineLevel="1">
      <c r="A178" s="61">
        <v>2024</v>
      </c>
      <c r="B178" s="73" t="s">
        <v>618</v>
      </c>
      <c r="C178" s="60" t="s">
        <v>2408</v>
      </c>
      <c r="D178" s="1707">
        <v>1688821</v>
      </c>
      <c r="E178" s="1707">
        <v>4644.26</v>
      </c>
      <c r="F178" s="1700">
        <v>11078.67</v>
      </c>
      <c r="G178" s="8" t="s">
        <v>619</v>
      </c>
      <c r="H178" s="591" t="str">
        <f t="shared" si="5"/>
        <v>Regelzone 50Hertz (gesamt)</v>
      </c>
      <c r="I178" s="587"/>
    </row>
    <row r="179" spans="1:9" hidden="1" outlineLevel="1">
      <c r="A179" s="61">
        <v>2024</v>
      </c>
      <c r="B179" s="73" t="s">
        <v>524</v>
      </c>
      <c r="C179" s="60" t="s">
        <v>2408</v>
      </c>
      <c r="D179" s="1707">
        <v>2141015</v>
      </c>
      <c r="E179" s="1707">
        <v>5887.79</v>
      </c>
      <c r="F179" s="1700">
        <v>14045.06</v>
      </c>
      <c r="G179" s="8" t="s">
        <v>525</v>
      </c>
      <c r="H179" s="591" t="str">
        <f t="shared" si="5"/>
        <v>Regelzone 50Hertz (gesamt)</v>
      </c>
      <c r="I179" s="587"/>
    </row>
    <row r="180" spans="1:9" hidden="1" outlineLevel="1">
      <c r="A180" s="61">
        <v>2024</v>
      </c>
      <c r="B180" s="73" t="s">
        <v>540</v>
      </c>
      <c r="C180" s="60" t="s">
        <v>2408</v>
      </c>
      <c r="D180" s="1707">
        <v>-155353</v>
      </c>
      <c r="E180" s="1707">
        <v>-427.22</v>
      </c>
      <c r="F180" s="1700">
        <v>-1019.12</v>
      </c>
      <c r="G180" s="8" t="s">
        <v>541</v>
      </c>
      <c r="H180" s="591" t="str">
        <f t="shared" si="5"/>
        <v>Regelzone 50Hertz (gesamt)</v>
      </c>
      <c r="I180" s="587"/>
    </row>
    <row r="181" spans="1:9" hidden="1" outlineLevel="1">
      <c r="A181" s="61">
        <v>2024</v>
      </c>
      <c r="B181" s="73" t="s">
        <v>648</v>
      </c>
      <c r="C181" s="60" t="s">
        <v>2408</v>
      </c>
      <c r="D181" s="1707">
        <v>-123611</v>
      </c>
      <c r="E181" s="1707">
        <v>-339.93</v>
      </c>
      <c r="F181" s="1700">
        <v>-810.89</v>
      </c>
      <c r="G181" s="8" t="s">
        <v>649</v>
      </c>
      <c r="H181" s="591" t="str">
        <f t="shared" si="5"/>
        <v>Regelzone 50Hertz (gesamt)</v>
      </c>
      <c r="I181" s="587"/>
    </row>
    <row r="182" spans="1:9" hidden="1" outlineLevel="1">
      <c r="A182" s="61">
        <v>2024</v>
      </c>
      <c r="B182" s="73" t="s">
        <v>656</v>
      </c>
      <c r="C182" s="60" t="s">
        <v>2408</v>
      </c>
      <c r="D182" s="1707">
        <v>789535</v>
      </c>
      <c r="E182" s="1707">
        <v>2171.2199999999998</v>
      </c>
      <c r="F182" s="1700">
        <v>5179.3500000000004</v>
      </c>
      <c r="G182" s="8" t="s">
        <v>657</v>
      </c>
      <c r="H182" s="591" t="str">
        <f t="shared" si="5"/>
        <v>Regelzone 50Hertz (gesamt)</v>
      </c>
      <c r="I182" s="587"/>
    </row>
    <row r="183" spans="1:9" hidden="1" outlineLevel="1">
      <c r="A183" s="61">
        <v>2024</v>
      </c>
      <c r="B183" s="73" t="s">
        <v>628</v>
      </c>
      <c r="C183" s="60" t="s">
        <v>2408</v>
      </c>
      <c r="D183" s="1707">
        <v>268189</v>
      </c>
      <c r="E183" s="1707">
        <v>737.52</v>
      </c>
      <c r="F183" s="1700">
        <v>1759.32</v>
      </c>
      <c r="G183" s="8" t="s">
        <v>629</v>
      </c>
      <c r="H183" s="591" t="str">
        <f t="shared" si="5"/>
        <v>Regelzone 50Hertz (gesamt)</v>
      </c>
      <c r="I183" s="587"/>
    </row>
    <row r="184" spans="1:9" hidden="1" outlineLevel="1">
      <c r="A184" s="61">
        <v>2024</v>
      </c>
      <c r="B184" s="73" t="s">
        <v>606</v>
      </c>
      <c r="C184" s="60" t="s">
        <v>2408</v>
      </c>
      <c r="D184" s="1707">
        <v>-128882</v>
      </c>
      <c r="E184" s="1707">
        <v>-354.43</v>
      </c>
      <c r="F184" s="1700">
        <v>-845.47</v>
      </c>
      <c r="G184" s="8" t="s">
        <v>607</v>
      </c>
      <c r="H184" s="591" t="str">
        <f t="shared" si="5"/>
        <v>Regelzone 50Hertz (gesamt)</v>
      </c>
      <c r="I184" s="587"/>
    </row>
    <row r="185" spans="1:9" hidden="1" outlineLevel="1">
      <c r="A185" s="61">
        <v>2024</v>
      </c>
      <c r="B185" s="73" t="s">
        <v>614</v>
      </c>
      <c r="C185" s="60" t="s">
        <v>2408</v>
      </c>
      <c r="D185" s="1707">
        <v>-1770163</v>
      </c>
      <c r="E185" s="1707">
        <v>-4867.95</v>
      </c>
      <c r="F185" s="1700">
        <v>-11612.27</v>
      </c>
      <c r="G185" s="8" t="s">
        <v>615</v>
      </c>
      <c r="H185" s="591" t="str">
        <f t="shared" si="5"/>
        <v>Regelzone 50Hertz (gesamt)</v>
      </c>
      <c r="I185" s="587"/>
    </row>
    <row r="186" spans="1:9" hidden="1" outlineLevel="1">
      <c r="A186" s="61">
        <v>2024</v>
      </c>
      <c r="B186" s="73" t="s">
        <v>608</v>
      </c>
      <c r="C186" s="60" t="s">
        <v>2408</v>
      </c>
      <c r="D186" s="1707">
        <v>281904</v>
      </c>
      <c r="E186" s="1707">
        <v>775.24</v>
      </c>
      <c r="F186" s="1700">
        <v>1849.29</v>
      </c>
      <c r="G186" s="8" t="s">
        <v>609</v>
      </c>
      <c r="H186" s="591" t="str">
        <f t="shared" si="5"/>
        <v>Regelzone 50Hertz (gesamt)</v>
      </c>
      <c r="I186" s="587"/>
    </row>
    <row r="187" spans="1:9" hidden="1" outlineLevel="1">
      <c r="A187" s="61">
        <v>2024</v>
      </c>
      <c r="B187" s="73" t="s">
        <v>570</v>
      </c>
      <c r="C187" s="60" t="s">
        <v>2408</v>
      </c>
      <c r="D187" s="1707">
        <v>-313696</v>
      </c>
      <c r="E187" s="1707">
        <v>-862.66</v>
      </c>
      <c r="F187" s="1700">
        <v>-2057.85</v>
      </c>
      <c r="G187" s="8" t="s">
        <v>571</v>
      </c>
      <c r="H187" s="591" t="str">
        <f t="shared" si="5"/>
        <v>Regelzone 50Hertz (gesamt)</v>
      </c>
      <c r="I187" s="587"/>
    </row>
    <row r="188" spans="1:9" hidden="1" outlineLevel="1">
      <c r="A188" s="61">
        <v>2024</v>
      </c>
      <c r="B188" s="73" t="s">
        <v>526</v>
      </c>
      <c r="C188" s="60" t="s">
        <v>2408</v>
      </c>
      <c r="D188" s="1707">
        <v>247389</v>
      </c>
      <c r="E188" s="1707">
        <v>680.32</v>
      </c>
      <c r="F188" s="1700">
        <v>1622.87</v>
      </c>
      <c r="G188" s="8" t="s">
        <v>527</v>
      </c>
      <c r="H188" s="591" t="str">
        <f t="shared" si="5"/>
        <v>Regelzone 50Hertz (gesamt)</v>
      </c>
      <c r="I188" s="587"/>
    </row>
    <row r="189" spans="1:9" hidden="1" outlineLevel="1">
      <c r="A189" s="61">
        <v>2024</v>
      </c>
      <c r="B189" s="73" t="s">
        <v>514</v>
      </c>
      <c r="C189" s="60" t="s">
        <v>2408</v>
      </c>
      <c r="D189" s="1707">
        <v>261250</v>
      </c>
      <c r="E189" s="1707">
        <v>718.44</v>
      </c>
      <c r="F189" s="1700">
        <v>1713.8</v>
      </c>
      <c r="G189" s="8" t="s">
        <v>2182</v>
      </c>
      <c r="H189" s="591" t="str">
        <f t="shared" si="5"/>
        <v>Regelzone 50Hertz (gesamt)</v>
      </c>
      <c r="I189" s="587"/>
    </row>
    <row r="190" spans="1:9" hidden="1" outlineLevel="1">
      <c r="A190" s="61">
        <v>2024</v>
      </c>
      <c r="B190" s="73" t="s">
        <v>532</v>
      </c>
      <c r="C190" s="60" t="s">
        <v>2408</v>
      </c>
      <c r="D190" s="1707">
        <v>-154744</v>
      </c>
      <c r="E190" s="1707">
        <v>-425.55</v>
      </c>
      <c r="F190" s="1700">
        <v>-1015.12</v>
      </c>
      <c r="G190" s="8" t="s">
        <v>533</v>
      </c>
      <c r="H190" s="591" t="str">
        <f t="shared" si="5"/>
        <v>Regelzone 50Hertz (gesamt)</v>
      </c>
      <c r="I190" s="587"/>
    </row>
    <row r="191" spans="1:9" hidden="1" outlineLevel="1">
      <c r="A191" s="61">
        <v>2024</v>
      </c>
      <c r="B191" s="73" t="s">
        <v>612</v>
      </c>
      <c r="C191" s="60" t="s">
        <v>2408</v>
      </c>
      <c r="D191" s="1707">
        <v>-67636</v>
      </c>
      <c r="E191" s="1707">
        <v>-186</v>
      </c>
      <c r="F191" s="1700">
        <v>-443.69</v>
      </c>
      <c r="G191" s="8" t="s">
        <v>613</v>
      </c>
      <c r="H191" s="591" t="str">
        <f t="shared" si="5"/>
        <v>Regelzone 50Hertz (gesamt)</v>
      </c>
      <c r="I191" s="587"/>
    </row>
    <row r="192" spans="1:9" hidden="1" outlineLevel="1">
      <c r="A192" s="61">
        <v>2024</v>
      </c>
      <c r="B192" s="73" t="s">
        <v>552</v>
      </c>
      <c r="C192" s="60" t="s">
        <v>2408</v>
      </c>
      <c r="D192" s="1707">
        <v>-957399</v>
      </c>
      <c r="E192" s="1707">
        <v>-2632.85</v>
      </c>
      <c r="F192" s="1700">
        <v>-6280.54</v>
      </c>
      <c r="G192" s="8" t="s">
        <v>553</v>
      </c>
      <c r="H192" s="591" t="str">
        <f t="shared" si="5"/>
        <v>Regelzone 50Hertz (gesamt)</v>
      </c>
      <c r="I192" s="587"/>
    </row>
    <row r="193" spans="1:9" hidden="1" outlineLevel="1">
      <c r="A193" s="61">
        <v>2024</v>
      </c>
      <c r="B193" s="73" t="s">
        <v>520</v>
      </c>
      <c r="C193" s="60" t="s">
        <v>2408</v>
      </c>
      <c r="D193" s="1707">
        <v>2056507.9999999998</v>
      </c>
      <c r="E193" s="1707">
        <v>5655.4</v>
      </c>
      <c r="F193" s="1700">
        <v>13490.69</v>
      </c>
      <c r="G193" s="8" t="s">
        <v>521</v>
      </c>
      <c r="H193" s="591" t="str">
        <f t="shared" si="5"/>
        <v>Regelzone 50Hertz (gesamt)</v>
      </c>
      <c r="I193" s="587"/>
    </row>
    <row r="194" spans="1:9" hidden="1" outlineLevel="1">
      <c r="A194" s="61">
        <v>2024</v>
      </c>
      <c r="B194" s="73" t="s">
        <v>472</v>
      </c>
      <c r="C194" s="60" t="s">
        <v>2408</v>
      </c>
      <c r="D194" s="1707">
        <v>1777457</v>
      </c>
      <c r="E194" s="1707">
        <v>4888.01</v>
      </c>
      <c r="F194" s="1700">
        <v>11660.12</v>
      </c>
      <c r="G194" s="8" t="s">
        <v>473</v>
      </c>
      <c r="H194" s="591" t="str">
        <f t="shared" si="5"/>
        <v>Regelzone 50Hertz (gesamt)</v>
      </c>
      <c r="I194" s="587"/>
    </row>
    <row r="195" spans="1:9" hidden="1" outlineLevel="1">
      <c r="A195" s="61">
        <v>2024</v>
      </c>
      <c r="B195" s="73" t="s">
        <v>464</v>
      </c>
      <c r="C195" s="60" t="s">
        <v>2408</v>
      </c>
      <c r="D195" s="1707">
        <v>577483</v>
      </c>
      <c r="E195" s="1707">
        <v>1588.08</v>
      </c>
      <c r="F195" s="1700">
        <v>3788.29</v>
      </c>
      <c r="G195" s="8" t="s">
        <v>465</v>
      </c>
      <c r="H195" s="591" t="str">
        <f t="shared" si="5"/>
        <v>Regelzone 50Hertz (gesamt)</v>
      </c>
      <c r="I195" s="587"/>
    </row>
    <row r="196" spans="1:9" hidden="1" outlineLevel="1">
      <c r="A196" s="61">
        <v>2024</v>
      </c>
      <c r="B196" s="73" t="s">
        <v>720</v>
      </c>
      <c r="C196" s="60" t="s">
        <v>2408</v>
      </c>
      <c r="D196" s="1707">
        <v>-19867</v>
      </c>
      <c r="E196" s="1707">
        <v>-54.63</v>
      </c>
      <c r="F196" s="1700">
        <v>-130.33000000000001</v>
      </c>
      <c r="G196" s="8" t="s">
        <v>721</v>
      </c>
      <c r="H196" s="591" t="str">
        <f t="shared" si="5"/>
        <v>Regelzone 50Hertz (gesamt)</v>
      </c>
      <c r="I196" s="587"/>
    </row>
    <row r="197" spans="1:9" hidden="1" outlineLevel="1">
      <c r="A197" s="61">
        <v>2024</v>
      </c>
      <c r="B197" s="73" t="s">
        <v>504</v>
      </c>
      <c r="C197" s="60" t="s">
        <v>2408</v>
      </c>
      <c r="D197" s="1707">
        <v>-40734</v>
      </c>
      <c r="E197" s="1707">
        <v>-112.02</v>
      </c>
      <c r="F197" s="1700">
        <v>-267.22000000000003</v>
      </c>
      <c r="G197" s="8" t="s">
        <v>505</v>
      </c>
      <c r="H197" s="591" t="str">
        <f t="shared" si="5"/>
        <v>Regelzone 50Hertz (gesamt)</v>
      </c>
      <c r="I197" s="587"/>
    </row>
    <row r="198" spans="1:9" hidden="1" outlineLevel="1">
      <c r="A198" s="61">
        <v>2024</v>
      </c>
      <c r="B198" s="73" t="s">
        <v>544</v>
      </c>
      <c r="C198" s="60" t="s">
        <v>2408</v>
      </c>
      <c r="D198" s="1707">
        <v>-27362</v>
      </c>
      <c r="E198" s="1707">
        <v>-75.25</v>
      </c>
      <c r="F198" s="1700">
        <v>-179.49</v>
      </c>
      <c r="G198" s="8" t="s">
        <v>545</v>
      </c>
      <c r="H198" s="591" t="str">
        <f t="shared" si="5"/>
        <v>Regelzone 50Hertz (gesamt)</v>
      </c>
      <c r="I198" s="587"/>
    </row>
    <row r="199" spans="1:9" hidden="1" outlineLevel="1">
      <c r="A199" s="61">
        <v>2024</v>
      </c>
      <c r="B199" s="73" t="s">
        <v>596</v>
      </c>
      <c r="C199" s="60" t="s">
        <v>2408</v>
      </c>
      <c r="D199" s="1707">
        <v>-48265</v>
      </c>
      <c r="E199" s="1707">
        <v>-132.72999999999999</v>
      </c>
      <c r="F199" s="1700">
        <v>-316.62</v>
      </c>
      <c r="G199" s="8" t="s">
        <v>597</v>
      </c>
      <c r="H199" s="591" t="str">
        <f t="shared" si="5"/>
        <v>Regelzone 50Hertz (gesamt)</v>
      </c>
      <c r="I199" s="587"/>
    </row>
    <row r="200" spans="1:9" hidden="1" outlineLevel="1">
      <c r="A200" s="61">
        <v>2024</v>
      </c>
      <c r="B200" s="73" t="s">
        <v>624</v>
      </c>
      <c r="C200" s="60" t="s">
        <v>2408</v>
      </c>
      <c r="D200" s="1707">
        <v>872409</v>
      </c>
      <c r="E200" s="1707">
        <v>2399.12</v>
      </c>
      <c r="F200" s="1700">
        <v>5723</v>
      </c>
      <c r="G200" s="8" t="s">
        <v>625</v>
      </c>
      <c r="H200" s="591" t="str">
        <f t="shared" si="5"/>
        <v>Regelzone 50Hertz (gesamt)</v>
      </c>
      <c r="I200" s="587"/>
    </row>
    <row r="201" spans="1:9" hidden="1" outlineLevel="1">
      <c r="A201" s="61">
        <v>2024</v>
      </c>
      <c r="B201" s="73" t="s">
        <v>750</v>
      </c>
      <c r="C201" s="60" t="s">
        <v>2408</v>
      </c>
      <c r="D201" s="1707">
        <v>-833994</v>
      </c>
      <c r="E201" s="1707">
        <v>-2293.48</v>
      </c>
      <c r="F201" s="1700">
        <v>-5471</v>
      </c>
      <c r="G201" s="8" t="s">
        <v>751</v>
      </c>
      <c r="H201" s="591" t="str">
        <f t="shared" si="5"/>
        <v>Regelzone 50Hertz (gesamt)</v>
      </c>
      <c r="I201" s="587"/>
    </row>
    <row r="202" spans="1:9" hidden="1" outlineLevel="1">
      <c r="A202" s="61">
        <v>2024</v>
      </c>
      <c r="B202" s="73" t="s">
        <v>770</v>
      </c>
      <c r="C202" s="60" t="s">
        <v>2408</v>
      </c>
      <c r="D202" s="1707">
        <v>174289</v>
      </c>
      <c r="E202" s="1707">
        <v>479.29</v>
      </c>
      <c r="F202" s="1700">
        <v>1143.3399999999999</v>
      </c>
      <c r="G202" s="8" t="s">
        <v>771</v>
      </c>
      <c r="H202" s="591" t="str">
        <f t="shared" si="5"/>
        <v>Regelzone 50Hertz (gesamt)</v>
      </c>
      <c r="I202" s="587"/>
    </row>
    <row r="203" spans="1:9" hidden="1" outlineLevel="1">
      <c r="A203" s="61">
        <v>2024</v>
      </c>
      <c r="B203" s="73" t="s">
        <v>530</v>
      </c>
      <c r="C203" s="60" t="s">
        <v>2408</v>
      </c>
      <c r="D203" s="1707">
        <v>293013</v>
      </c>
      <c r="E203" s="1707">
        <v>805.79</v>
      </c>
      <c r="F203" s="1700">
        <v>1922.17</v>
      </c>
      <c r="G203" s="8" t="s">
        <v>531</v>
      </c>
      <c r="H203" s="591" t="str">
        <f t="shared" si="5"/>
        <v>Regelzone 50Hertz (gesamt)</v>
      </c>
      <c r="I203" s="587"/>
    </row>
    <row r="204" spans="1:9" hidden="1" outlineLevel="1">
      <c r="A204" s="61">
        <v>2024</v>
      </c>
      <c r="B204" s="73" t="s">
        <v>716</v>
      </c>
      <c r="C204" s="60" t="s">
        <v>2408</v>
      </c>
      <c r="D204" s="1707">
        <v>-1209404</v>
      </c>
      <c r="E204" s="1707">
        <v>-3325.86</v>
      </c>
      <c r="F204" s="1700">
        <v>-7933.69</v>
      </c>
      <c r="G204" s="8" t="s">
        <v>717</v>
      </c>
      <c r="H204" s="591" t="str">
        <f t="shared" si="5"/>
        <v>Regelzone 50Hertz (gesamt)</v>
      </c>
      <c r="I204" s="587"/>
    </row>
    <row r="205" spans="1:9" hidden="1" outlineLevel="1">
      <c r="A205" s="61">
        <v>2024</v>
      </c>
      <c r="B205" s="73" t="s">
        <v>538</v>
      </c>
      <c r="C205" s="60" t="s">
        <v>2408</v>
      </c>
      <c r="D205" s="1707">
        <v>5073718</v>
      </c>
      <c r="E205" s="1707">
        <v>13952.72</v>
      </c>
      <c r="F205" s="1700">
        <v>33283.589999999997</v>
      </c>
      <c r="G205" s="8" t="s">
        <v>539</v>
      </c>
      <c r="H205" s="591" t="str">
        <f t="shared" si="5"/>
        <v>Regelzone 50Hertz (gesamt)</v>
      </c>
      <c r="I205" s="587"/>
    </row>
    <row r="206" spans="1:9" hidden="1" outlineLevel="1">
      <c r="A206" s="61">
        <v>2024</v>
      </c>
      <c r="B206" s="73" t="s">
        <v>580</v>
      </c>
      <c r="C206" s="60" t="s">
        <v>2408</v>
      </c>
      <c r="D206" s="1707">
        <v>-37879</v>
      </c>
      <c r="E206" s="1707">
        <v>-104.17</v>
      </c>
      <c r="F206" s="1700">
        <v>-248.49</v>
      </c>
      <c r="G206" s="8" t="s">
        <v>581</v>
      </c>
      <c r="H206" s="591" t="str">
        <f t="shared" si="5"/>
        <v>Regelzone 50Hertz (gesamt)</v>
      </c>
      <c r="I206" s="587"/>
    </row>
    <row r="207" spans="1:9" hidden="1" outlineLevel="1">
      <c r="A207" s="61">
        <v>2024</v>
      </c>
      <c r="B207" s="73" t="s">
        <v>626</v>
      </c>
      <c r="C207" s="60" t="s">
        <v>2408</v>
      </c>
      <c r="D207" s="1707">
        <v>162999</v>
      </c>
      <c r="E207" s="1707">
        <v>448.25</v>
      </c>
      <c r="F207" s="1700">
        <v>1069.27</v>
      </c>
      <c r="G207" s="8" t="s">
        <v>627</v>
      </c>
      <c r="H207" s="591" t="str">
        <f t="shared" si="5"/>
        <v>Regelzone 50Hertz (gesamt)</v>
      </c>
      <c r="I207" s="587"/>
    </row>
    <row r="208" spans="1:9" hidden="1" outlineLevel="1">
      <c r="A208" s="61">
        <v>2024</v>
      </c>
      <c r="B208" s="73" t="s">
        <v>590</v>
      </c>
      <c r="C208" s="60" t="s">
        <v>2408</v>
      </c>
      <c r="D208" s="1707">
        <v>2801030</v>
      </c>
      <c r="E208" s="1707">
        <v>7702.83</v>
      </c>
      <c r="F208" s="1700">
        <v>18374.759999999998</v>
      </c>
      <c r="G208" s="8" t="s">
        <v>591</v>
      </c>
      <c r="H208" s="591" t="str">
        <f t="shared" si="5"/>
        <v>Regelzone 50Hertz (gesamt)</v>
      </c>
      <c r="I208" s="587"/>
    </row>
    <row r="209" spans="1:9" hidden="1" outlineLevel="1">
      <c r="A209" s="61">
        <v>2024</v>
      </c>
      <c r="B209" s="73" t="s">
        <v>646</v>
      </c>
      <c r="C209" s="60" t="s">
        <v>2408</v>
      </c>
      <c r="D209" s="1707">
        <v>-327069</v>
      </c>
      <c r="E209" s="1707">
        <v>-899.44</v>
      </c>
      <c r="F209" s="1700">
        <v>-2145.5700000000002</v>
      </c>
      <c r="G209" s="8" t="s">
        <v>647</v>
      </c>
      <c r="H209" s="591" t="str">
        <f t="shared" si="5"/>
        <v>Regelzone 50Hertz (gesamt)</v>
      </c>
      <c r="I209" s="587"/>
    </row>
    <row r="210" spans="1:9" hidden="1" outlineLevel="1">
      <c r="A210" s="61">
        <v>2024</v>
      </c>
      <c r="B210" s="73" t="s">
        <v>600</v>
      </c>
      <c r="C210" s="60" t="s">
        <v>2408</v>
      </c>
      <c r="D210" s="1707">
        <v>-344380</v>
      </c>
      <c r="E210" s="1707">
        <v>-947.05</v>
      </c>
      <c r="F210" s="1700">
        <v>-2259.13</v>
      </c>
      <c r="G210" s="8" t="s">
        <v>601</v>
      </c>
      <c r="H210" s="591" t="str">
        <f t="shared" si="5"/>
        <v>Regelzone 50Hertz (gesamt)</v>
      </c>
      <c r="I210" s="587"/>
    </row>
    <row r="211" spans="1:9" hidden="1" outlineLevel="1">
      <c r="A211" s="61">
        <v>2024</v>
      </c>
      <c r="B211" s="73" t="s">
        <v>574</v>
      </c>
      <c r="C211" s="60" t="s">
        <v>2408</v>
      </c>
      <c r="D211" s="1707">
        <v>-180375</v>
      </c>
      <c r="E211" s="1707">
        <v>-496.03</v>
      </c>
      <c r="F211" s="1700">
        <v>-1183.26</v>
      </c>
      <c r="G211" s="8" t="s">
        <v>2186</v>
      </c>
      <c r="H211" s="591" t="str">
        <f t="shared" si="5"/>
        <v>Regelzone 50Hertz (gesamt)</v>
      </c>
      <c r="I211" s="587"/>
    </row>
    <row r="212" spans="1:9" hidden="1" outlineLevel="1">
      <c r="A212" s="61">
        <v>2024</v>
      </c>
      <c r="B212" s="73" t="s">
        <v>502</v>
      </c>
      <c r="C212" s="60" t="s">
        <v>2408</v>
      </c>
      <c r="D212" s="1707">
        <v>-79138</v>
      </c>
      <c r="E212" s="1707">
        <v>-217.63</v>
      </c>
      <c r="F212" s="1700">
        <v>-519.15</v>
      </c>
      <c r="G212" s="8" t="s">
        <v>503</v>
      </c>
      <c r="H212" s="591" t="str">
        <f t="shared" si="5"/>
        <v>Regelzone 50Hertz (gesamt)</v>
      </c>
      <c r="I212" s="587"/>
    </row>
    <row r="213" spans="1:9" hidden="1" outlineLevel="1">
      <c r="A213" s="61">
        <v>2024</v>
      </c>
      <c r="B213" s="73" t="s">
        <v>458</v>
      </c>
      <c r="C213" s="60" t="s">
        <v>2408</v>
      </c>
      <c r="D213" s="1707">
        <v>-312052</v>
      </c>
      <c r="E213" s="1707">
        <v>-858.14</v>
      </c>
      <c r="F213" s="1700">
        <v>-2047.06</v>
      </c>
      <c r="G213" s="8" t="s">
        <v>459</v>
      </c>
      <c r="H213" s="591" t="str">
        <f t="shared" si="5"/>
        <v>Regelzone 50Hertz (gesamt)</v>
      </c>
      <c r="I213" s="587"/>
    </row>
    <row r="214" spans="1:9" hidden="1" outlineLevel="1">
      <c r="A214" s="61">
        <v>2024</v>
      </c>
      <c r="B214" s="73" t="s">
        <v>556</v>
      </c>
      <c r="C214" s="60" t="s">
        <v>2408</v>
      </c>
      <c r="D214" s="1707">
        <v>44733</v>
      </c>
      <c r="E214" s="1707">
        <v>123.02</v>
      </c>
      <c r="F214" s="1700">
        <v>293.45</v>
      </c>
      <c r="G214" s="8" t="s">
        <v>557</v>
      </c>
      <c r="H214" s="591" t="str">
        <f t="shared" si="5"/>
        <v>Regelzone 50Hertz (gesamt)</v>
      </c>
      <c r="I214" s="587"/>
    </row>
    <row r="215" spans="1:9" hidden="1" outlineLevel="1">
      <c r="A215" s="61">
        <v>2024</v>
      </c>
      <c r="B215" s="73" t="s">
        <v>670</v>
      </c>
      <c r="C215" s="60" t="s">
        <v>2408</v>
      </c>
      <c r="D215" s="1707">
        <v>76936</v>
      </c>
      <c r="E215" s="1707">
        <v>211.57</v>
      </c>
      <c r="F215" s="1700">
        <v>504.7</v>
      </c>
      <c r="G215" s="8" t="s">
        <v>671</v>
      </c>
      <c r="H215" s="591" t="str">
        <f t="shared" si="5"/>
        <v>Regelzone 50Hertz (gesamt)</v>
      </c>
      <c r="I215" s="587"/>
    </row>
    <row r="216" spans="1:9" hidden="1" outlineLevel="1">
      <c r="A216" s="61">
        <v>2024</v>
      </c>
      <c r="B216" s="73" t="s">
        <v>558</v>
      </c>
      <c r="C216" s="60" t="s">
        <v>2408</v>
      </c>
      <c r="D216" s="1707">
        <v>-49127</v>
      </c>
      <c r="E216" s="1707">
        <v>-135.1</v>
      </c>
      <c r="F216" s="1700">
        <v>-322.27</v>
      </c>
      <c r="G216" s="8" t="s">
        <v>559</v>
      </c>
      <c r="H216" s="591" t="str">
        <f t="shared" si="5"/>
        <v>Regelzone 50Hertz (gesamt)</v>
      </c>
      <c r="I216" s="587"/>
    </row>
    <row r="217" spans="1:9" hidden="1" outlineLevel="1">
      <c r="A217" s="61">
        <v>2024</v>
      </c>
      <c r="B217" s="73" t="s">
        <v>664</v>
      </c>
      <c r="C217" s="60" t="s">
        <v>2408</v>
      </c>
      <c r="D217" s="1707">
        <v>-458649</v>
      </c>
      <c r="E217" s="1707">
        <v>-1261.28</v>
      </c>
      <c r="F217" s="1700">
        <v>-3008.74</v>
      </c>
      <c r="G217" s="8" t="s">
        <v>665</v>
      </c>
      <c r="H217" s="591" t="str">
        <f t="shared" si="5"/>
        <v>Regelzone 50Hertz (gesamt)</v>
      </c>
      <c r="I217" s="587"/>
    </row>
    <row r="218" spans="1:9" hidden="1" outlineLevel="1">
      <c r="A218" s="61">
        <v>2024</v>
      </c>
      <c r="B218" s="73" t="s">
        <v>476</v>
      </c>
      <c r="C218" s="60" t="s">
        <v>2408</v>
      </c>
      <c r="D218" s="1707">
        <v>-457661</v>
      </c>
      <c r="E218" s="1707">
        <v>-1258.57</v>
      </c>
      <c r="F218" s="1700">
        <v>-3002.26</v>
      </c>
      <c r="G218" s="8" t="s">
        <v>477</v>
      </c>
      <c r="H218" s="591" t="str">
        <f t="shared" si="5"/>
        <v>Regelzone 50Hertz (gesamt)</v>
      </c>
      <c r="I218" s="587"/>
    </row>
    <row r="219" spans="1:9" hidden="1" outlineLevel="1">
      <c r="A219" s="61">
        <v>2024</v>
      </c>
      <c r="B219" s="73" t="s">
        <v>674</v>
      </c>
      <c r="C219" s="60" t="s">
        <v>2408</v>
      </c>
      <c r="D219" s="1707">
        <v>827026</v>
      </c>
      <c r="E219" s="1707">
        <v>2274.3200000000002</v>
      </c>
      <c r="F219" s="1700">
        <v>5425.29</v>
      </c>
      <c r="G219" s="8" t="s">
        <v>2190</v>
      </c>
      <c r="H219" s="591" t="str">
        <f t="shared" si="5"/>
        <v>Regelzone 50Hertz (gesamt)</v>
      </c>
      <c r="I219" s="587"/>
    </row>
    <row r="220" spans="1:9" hidden="1" outlineLevel="1">
      <c r="A220" s="61">
        <v>2024</v>
      </c>
      <c r="B220" s="73" t="s">
        <v>718</v>
      </c>
      <c r="C220" s="60" t="s">
        <v>2408</v>
      </c>
      <c r="D220" s="1707">
        <v>331506</v>
      </c>
      <c r="E220" s="1707">
        <v>911.64</v>
      </c>
      <c r="F220" s="1711">
        <v>2174.6799999999998</v>
      </c>
      <c r="G220" s="8" t="s">
        <v>719</v>
      </c>
      <c r="H220" s="591" t="str">
        <f t="shared" si="5"/>
        <v>Regelzone 50Hertz (gesamt)</v>
      </c>
      <c r="I220" s="587"/>
    </row>
    <row r="221" spans="1:9" hidden="1" outlineLevel="1">
      <c r="A221" s="61">
        <v>2024</v>
      </c>
      <c r="B221" s="73" t="s">
        <v>566</v>
      </c>
      <c r="C221" s="60" t="s">
        <v>2408</v>
      </c>
      <c r="D221" s="1707">
        <v>-814763</v>
      </c>
      <c r="E221" s="1707">
        <v>-2240.6</v>
      </c>
      <c r="F221" s="1711">
        <v>-5344.85</v>
      </c>
      <c r="G221" s="8" t="s">
        <v>567</v>
      </c>
      <c r="H221" s="591" t="str">
        <f t="shared" si="5"/>
        <v>Regelzone 50Hertz (gesamt)</v>
      </c>
      <c r="I221" s="587"/>
    </row>
    <row r="222" spans="1:9" hidden="1" outlineLevel="1">
      <c r="A222" s="61">
        <v>2024</v>
      </c>
      <c r="B222" s="73" t="s">
        <v>672</v>
      </c>
      <c r="C222" s="60" t="s">
        <v>2408</v>
      </c>
      <c r="D222" s="1707">
        <v>-322548</v>
      </c>
      <c r="E222" s="1707">
        <v>-887.01</v>
      </c>
      <c r="F222" s="1711">
        <v>-2115.91</v>
      </c>
      <c r="G222" s="8" t="s">
        <v>673</v>
      </c>
      <c r="H222" s="591" t="str">
        <f t="shared" si="5"/>
        <v>Regelzone 50Hertz (gesamt)</v>
      </c>
      <c r="I222" s="587"/>
    </row>
    <row r="223" spans="1:9" hidden="1" outlineLevel="1">
      <c r="A223" s="61">
        <v>2024</v>
      </c>
      <c r="B223" s="73" t="s">
        <v>654</v>
      </c>
      <c r="C223" s="60" t="s">
        <v>2408</v>
      </c>
      <c r="D223" s="1707">
        <v>-1217406</v>
      </c>
      <c r="E223" s="1707">
        <v>-3347.87</v>
      </c>
      <c r="F223" s="1711">
        <v>-7986.18</v>
      </c>
      <c r="G223" s="8" t="s">
        <v>655</v>
      </c>
      <c r="H223" s="591" t="str">
        <f t="shared" si="5"/>
        <v>Regelzone 50Hertz (gesamt)</v>
      </c>
      <c r="I223" s="587"/>
    </row>
    <row r="224" spans="1:9" hidden="1" outlineLevel="1">
      <c r="A224" s="61">
        <v>2024</v>
      </c>
      <c r="B224" s="73" t="s">
        <v>686</v>
      </c>
      <c r="C224" s="60" t="s">
        <v>2408</v>
      </c>
      <c r="D224" s="1707">
        <v>307840227</v>
      </c>
      <c r="E224" s="1707">
        <v>846560.62</v>
      </c>
      <c r="F224" s="1711">
        <v>2019431.89</v>
      </c>
      <c r="G224" s="8" t="s">
        <v>687</v>
      </c>
      <c r="H224" s="591" t="str">
        <f t="shared" si="5"/>
        <v>Regelzone 50Hertz (gesamt)</v>
      </c>
      <c r="I224" s="587"/>
    </row>
    <row r="225" spans="1:9" hidden="1" outlineLevel="1">
      <c r="A225" s="61">
        <v>2024</v>
      </c>
      <c r="B225" s="73" t="s">
        <v>686</v>
      </c>
      <c r="C225" s="60" t="s">
        <v>2411</v>
      </c>
      <c r="D225" s="1707">
        <v>2167</v>
      </c>
      <c r="E225" s="1712">
        <v>-5.96</v>
      </c>
      <c r="F225" s="1713">
        <v>-14.22</v>
      </c>
      <c r="G225" s="8" t="s">
        <v>687</v>
      </c>
      <c r="H225" s="591" t="str">
        <f t="shared" si="5"/>
        <v>Regelzone 50Hertz (gesamt)</v>
      </c>
      <c r="I225" s="587"/>
    </row>
    <row r="226" spans="1:9" ht="13.5" hidden="1" outlineLevel="1" thickBot="1">
      <c r="A226" s="916">
        <v>2024</v>
      </c>
      <c r="B226" s="74" t="s">
        <v>536</v>
      </c>
      <c r="C226" s="704" t="s">
        <v>2408</v>
      </c>
      <c r="D226" s="1709">
        <v>-2918779</v>
      </c>
      <c r="E226" s="1709">
        <v>-8026.64</v>
      </c>
      <c r="F226" s="1704">
        <v>-19147.189999999999</v>
      </c>
      <c r="G226" s="8" t="s">
        <v>537</v>
      </c>
      <c r="H226" s="591" t="str">
        <f t="shared" ref="H226" si="6">+H225</f>
        <v>Regelzone 50Hertz (gesamt)</v>
      </c>
      <c r="I226" s="587"/>
    </row>
    <row r="227" spans="1:9" ht="18" customHeight="1" collapsed="1" thickBot="1">
      <c r="A227" s="913" t="s">
        <v>2413</v>
      </c>
      <c r="B227" s="914"/>
      <c r="C227" s="915"/>
      <c r="D227" s="826">
        <f>+SUM(D8:D226)-D225-D150-D147-D133-D67</f>
        <v>319679737</v>
      </c>
      <c r="E227" s="828">
        <f>+SUM(E8:E226)</f>
        <v>722694.0499999997</v>
      </c>
      <c r="F227" s="806">
        <f>+SUM(F8:F226)</f>
        <v>2198199.9900000002</v>
      </c>
      <c r="H227" s="591"/>
      <c r="I227" s="587"/>
    </row>
    <row r="228" spans="1:9">
      <c r="H228" s="591"/>
      <c r="I228" s="587"/>
    </row>
    <row r="229" spans="1:9">
      <c r="A229" s="907"/>
      <c r="B229" s="908"/>
      <c r="C229" s="1"/>
      <c r="D229" s="15"/>
      <c r="E229" s="15"/>
      <c r="F229" s="15"/>
      <c r="H229" s="591"/>
      <c r="I229" s="587"/>
    </row>
    <row r="230" spans="1:9">
      <c r="A230" s="909" t="s">
        <v>2414</v>
      </c>
      <c r="B230" s="909"/>
      <c r="C230" s="1"/>
      <c r="D230" s="175"/>
      <c r="E230" s="15"/>
      <c r="F230" s="15"/>
      <c r="H230" s="591"/>
      <c r="I230" s="587"/>
    </row>
    <row r="231" spans="1:9" ht="13.5" thickBot="1">
      <c r="A231" s="907"/>
      <c r="B231" s="908"/>
      <c r="D231" s="15"/>
      <c r="E231" s="15"/>
      <c r="F231" s="15"/>
      <c r="H231" s="591"/>
      <c r="I231" s="587"/>
    </row>
    <row r="232" spans="1:9" ht="90" customHeight="1">
      <c r="A232" s="505" t="s">
        <v>2071</v>
      </c>
      <c r="B232" s="910" t="s">
        <v>2403</v>
      </c>
      <c r="C232" s="506" t="s">
        <v>2404</v>
      </c>
      <c r="D232" s="616" t="s">
        <v>2405</v>
      </c>
      <c r="E232" s="500" t="s">
        <v>2406</v>
      </c>
      <c r="F232" s="501" t="s">
        <v>2407</v>
      </c>
      <c r="H232" s="591"/>
      <c r="I232" s="587"/>
    </row>
    <row r="233" spans="1:9" ht="13.5" thickBot="1">
      <c r="A233" s="502"/>
      <c r="B233" s="503"/>
      <c r="C233" s="507"/>
      <c r="D233" s="526" t="s">
        <v>454</v>
      </c>
      <c r="E233" s="528" t="s">
        <v>2054</v>
      </c>
      <c r="F233" s="530" t="s">
        <v>2054</v>
      </c>
      <c r="H233" s="591"/>
      <c r="I233" s="587"/>
    </row>
    <row r="234" spans="1:9" ht="13.5" hidden="1" outlineLevel="1" thickBot="1">
      <c r="A234" s="680">
        <v>2011</v>
      </c>
      <c r="B234" s="682" t="s">
        <v>1138</v>
      </c>
      <c r="C234" s="62" t="s">
        <v>2415</v>
      </c>
      <c r="D234" s="50">
        <v>687</v>
      </c>
      <c r="E234" s="50">
        <v>0.39</v>
      </c>
      <c r="F234" s="688" t="s">
        <v>154</v>
      </c>
      <c r="G234" t="s">
        <v>1139</v>
      </c>
      <c r="H234" s="591" t="s">
        <v>774</v>
      </c>
      <c r="I234" s="587"/>
    </row>
    <row r="235" spans="1:9" ht="13.5" hidden="1" outlineLevel="1" thickBot="1">
      <c r="A235" s="683">
        <v>2012</v>
      </c>
      <c r="B235" s="684" t="s">
        <v>1138</v>
      </c>
      <c r="C235" s="685" t="s">
        <v>2415</v>
      </c>
      <c r="D235" s="686">
        <v>33</v>
      </c>
      <c r="E235" s="686">
        <v>0.02</v>
      </c>
      <c r="F235" s="689" t="s">
        <v>154</v>
      </c>
      <c r="G235" t="s">
        <v>1139</v>
      </c>
      <c r="H235" s="591" t="s">
        <v>774</v>
      </c>
      <c r="I235" s="587"/>
    </row>
    <row r="236" spans="1:9" hidden="1" outlineLevel="1">
      <c r="A236" s="1618">
        <v>2013</v>
      </c>
      <c r="B236" s="1615" t="s">
        <v>1138</v>
      </c>
      <c r="C236" s="1615" t="s">
        <v>2415</v>
      </c>
      <c r="D236" s="692">
        <v>646</v>
      </c>
      <c r="E236" s="692">
        <v>0.74</v>
      </c>
      <c r="F236" s="1619" t="s">
        <v>154</v>
      </c>
      <c r="G236" t="s">
        <v>1139</v>
      </c>
      <c r="H236" s="591" t="s">
        <v>774</v>
      </c>
      <c r="I236" s="587"/>
    </row>
    <row r="237" spans="1:9" ht="13.5" hidden="1" outlineLevel="1" thickBot="1">
      <c r="A237" s="1620">
        <v>2013</v>
      </c>
      <c r="B237" s="693" t="s">
        <v>1138</v>
      </c>
      <c r="C237" s="1616" t="s">
        <v>2416</v>
      </c>
      <c r="D237" s="694">
        <v>646</v>
      </c>
      <c r="E237" s="1621" t="s">
        <v>154</v>
      </c>
      <c r="F237" s="697">
        <v>1.61</v>
      </c>
      <c r="G237" t="s">
        <v>1139</v>
      </c>
      <c r="H237" s="591" t="s">
        <v>774</v>
      </c>
      <c r="I237" s="587"/>
    </row>
    <row r="238" spans="1:9" hidden="1" outlineLevel="1">
      <c r="A238" s="1618">
        <v>2014</v>
      </c>
      <c r="B238" s="1615" t="s">
        <v>1138</v>
      </c>
      <c r="C238" s="1615" t="s">
        <v>2415</v>
      </c>
      <c r="D238" s="692">
        <v>646</v>
      </c>
      <c r="E238" s="692">
        <v>1.1499999999999999</v>
      </c>
      <c r="F238" s="1619" t="s">
        <v>154</v>
      </c>
      <c r="G238" t="s">
        <v>1139</v>
      </c>
      <c r="H238" s="591" t="s">
        <v>774</v>
      </c>
      <c r="I238" s="587"/>
    </row>
    <row r="239" spans="1:9" ht="13.5" hidden="1" outlineLevel="1" thickBot="1">
      <c r="A239" s="1620">
        <v>2014</v>
      </c>
      <c r="B239" s="693" t="s">
        <v>1138</v>
      </c>
      <c r="C239" s="1616" t="s">
        <v>2416</v>
      </c>
      <c r="D239" s="694">
        <v>646</v>
      </c>
      <c r="E239" s="1621" t="s">
        <v>154</v>
      </c>
      <c r="F239" s="697">
        <v>1.62</v>
      </c>
      <c r="G239" t="s">
        <v>1139</v>
      </c>
      <c r="H239" s="591" t="s">
        <v>774</v>
      </c>
      <c r="I239" s="587"/>
    </row>
    <row r="240" spans="1:9" hidden="1" outlineLevel="1">
      <c r="A240" s="681">
        <v>2015</v>
      </c>
      <c r="B240" s="1615" t="s">
        <v>1138</v>
      </c>
      <c r="C240" s="1615" t="s">
        <v>2415</v>
      </c>
      <c r="D240" s="47">
        <v>9649</v>
      </c>
      <c r="E240" s="47">
        <v>24.51</v>
      </c>
      <c r="F240" s="1619" t="s">
        <v>154</v>
      </c>
      <c r="G240" t="s">
        <v>1139</v>
      </c>
      <c r="H240" s="591" t="s">
        <v>774</v>
      </c>
      <c r="I240" s="587"/>
    </row>
    <row r="241" spans="1:9" ht="13.5" hidden="1" outlineLevel="1" thickBot="1">
      <c r="A241" s="690">
        <v>2015</v>
      </c>
      <c r="B241" s="693" t="s">
        <v>1138</v>
      </c>
      <c r="C241" s="1616" t="s">
        <v>2416</v>
      </c>
      <c r="D241" s="49">
        <v>9649</v>
      </c>
      <c r="E241" s="1617" t="s">
        <v>154</v>
      </c>
      <c r="F241" s="697">
        <v>-4.93</v>
      </c>
      <c r="G241" t="s">
        <v>1139</v>
      </c>
      <c r="H241" s="591" t="s">
        <v>774</v>
      </c>
      <c r="I241" s="587"/>
    </row>
    <row r="242" spans="1:9" ht="13.5" hidden="1" outlineLevel="1" thickBot="1">
      <c r="A242" s="64">
        <v>2016</v>
      </c>
      <c r="B242" s="1615" t="s">
        <v>1138</v>
      </c>
      <c r="C242" s="1616" t="s">
        <v>2416</v>
      </c>
      <c r="D242" s="56">
        <v>10045</v>
      </c>
      <c r="E242" s="696">
        <v>44.7</v>
      </c>
      <c r="F242" s="705">
        <v>4.0199999999999996</v>
      </c>
      <c r="G242" t="s">
        <v>1139</v>
      </c>
      <c r="H242" s="591" t="s">
        <v>774</v>
      </c>
      <c r="I242" s="587"/>
    </row>
    <row r="243" spans="1:9" hidden="1" outlineLevel="1">
      <c r="A243" s="681">
        <v>2017</v>
      </c>
      <c r="B243" s="1615" t="s">
        <v>889</v>
      </c>
      <c r="C243" s="1615" t="s">
        <v>2408</v>
      </c>
      <c r="D243" s="47">
        <v>43</v>
      </c>
      <c r="E243" s="47">
        <v>0.19</v>
      </c>
      <c r="F243" s="1619" t="s">
        <v>154</v>
      </c>
      <c r="G243" t="s">
        <v>890</v>
      </c>
      <c r="H243" s="591" t="s">
        <v>774</v>
      </c>
      <c r="I243" s="587"/>
    </row>
    <row r="244" spans="1:9" hidden="1" outlineLevel="1">
      <c r="A244" s="1623">
        <v>2017</v>
      </c>
      <c r="B244" s="1624" t="s">
        <v>889</v>
      </c>
      <c r="C244" s="1625" t="s">
        <v>2416</v>
      </c>
      <c r="D244" s="93">
        <v>43</v>
      </c>
      <c r="E244" s="1626" t="s">
        <v>154</v>
      </c>
      <c r="F244" s="94">
        <v>-0.02</v>
      </c>
      <c r="G244" t="s">
        <v>890</v>
      </c>
      <c r="H244" s="591" t="s">
        <v>774</v>
      </c>
      <c r="I244" s="587"/>
    </row>
    <row r="245" spans="1:9" hidden="1" outlineLevel="1">
      <c r="A245" s="1628">
        <v>2017</v>
      </c>
      <c r="B245" s="1627" t="s">
        <v>1138</v>
      </c>
      <c r="C245" s="1627" t="s">
        <v>2408</v>
      </c>
      <c r="D245" s="48">
        <v>13406</v>
      </c>
      <c r="E245" s="48">
        <v>58.72</v>
      </c>
      <c r="F245" s="1622" t="s">
        <v>154</v>
      </c>
      <c r="G245" t="s">
        <v>1139</v>
      </c>
      <c r="H245" s="591" t="s">
        <v>774</v>
      </c>
      <c r="I245" s="587"/>
    </row>
    <row r="246" spans="1:9" ht="13.5" hidden="1" outlineLevel="1" thickBot="1">
      <c r="A246" s="690">
        <v>2017</v>
      </c>
      <c r="B246" s="1630" t="s">
        <v>1138</v>
      </c>
      <c r="C246" s="1616" t="s">
        <v>2416</v>
      </c>
      <c r="D246" s="49">
        <v>13406</v>
      </c>
      <c r="E246" s="1629" t="s">
        <v>154</v>
      </c>
      <c r="F246" s="697">
        <v>-3.75</v>
      </c>
      <c r="G246" s="8" t="s">
        <v>1139</v>
      </c>
      <c r="H246" s="591" t="s">
        <v>774</v>
      </c>
      <c r="I246" s="587"/>
    </row>
    <row r="247" spans="1:9" hidden="1" outlineLevel="1">
      <c r="A247" s="1618">
        <v>2018</v>
      </c>
      <c r="B247" s="691" t="s">
        <v>889</v>
      </c>
      <c r="C247" s="59" t="s">
        <v>2408</v>
      </c>
      <c r="D247" s="692">
        <v>-2063</v>
      </c>
      <c r="E247" s="707">
        <v>-7.12</v>
      </c>
      <c r="F247" s="1635" t="s">
        <v>154</v>
      </c>
      <c r="G247" s="8" t="s">
        <v>890</v>
      </c>
      <c r="H247" s="591" t="s">
        <v>774</v>
      </c>
      <c r="I247" s="587"/>
    </row>
    <row r="248" spans="1:9" hidden="1" outlineLevel="1">
      <c r="A248" s="1623">
        <v>2018</v>
      </c>
      <c r="B248" s="1624" t="s">
        <v>889</v>
      </c>
      <c r="C248" s="1625" t="s">
        <v>2416</v>
      </c>
      <c r="D248" s="1631">
        <v>-2063</v>
      </c>
      <c r="E248" s="1632" t="s">
        <v>154</v>
      </c>
      <c r="F248" s="94">
        <v>-0.76</v>
      </c>
      <c r="G248" s="8" t="s">
        <v>890</v>
      </c>
      <c r="H248" s="591" t="s">
        <v>774</v>
      </c>
      <c r="I248" s="587"/>
    </row>
    <row r="249" spans="1:9" hidden="1" outlineLevel="1">
      <c r="A249" s="1623">
        <v>2018</v>
      </c>
      <c r="B249" s="32" t="s">
        <v>1096</v>
      </c>
      <c r="C249" s="32" t="s">
        <v>2408</v>
      </c>
      <c r="D249" s="708">
        <v>468327</v>
      </c>
      <c r="E249" s="48">
        <v>1615.72</v>
      </c>
      <c r="F249" s="1636" t="s">
        <v>154</v>
      </c>
      <c r="G249" s="8" t="s">
        <v>1097</v>
      </c>
      <c r="H249" s="591" t="s">
        <v>774</v>
      </c>
      <c r="I249" s="587"/>
    </row>
    <row r="250" spans="1:9" hidden="1" outlineLevel="1">
      <c r="A250" s="1623">
        <v>2018</v>
      </c>
      <c r="B250" s="32" t="s">
        <v>1096</v>
      </c>
      <c r="C250" s="1625" t="s">
        <v>2416</v>
      </c>
      <c r="D250" s="708">
        <v>468327</v>
      </c>
      <c r="E250" s="1633" t="s">
        <v>154</v>
      </c>
      <c r="F250" s="94">
        <v>173.28</v>
      </c>
      <c r="G250" s="8" t="s">
        <v>1097</v>
      </c>
      <c r="H250" s="591" t="s">
        <v>774</v>
      </c>
      <c r="I250" s="587"/>
    </row>
    <row r="251" spans="1:9" hidden="1" outlineLevel="1">
      <c r="A251" s="1623">
        <v>2018</v>
      </c>
      <c r="B251" s="32" t="s">
        <v>1138</v>
      </c>
      <c r="C251" s="695" t="s">
        <v>2408</v>
      </c>
      <c r="D251" s="93">
        <v>127954</v>
      </c>
      <c r="E251" s="709">
        <v>441.44</v>
      </c>
      <c r="F251" s="1636" t="s">
        <v>154</v>
      </c>
      <c r="G251" s="8" t="s">
        <v>1139</v>
      </c>
      <c r="H251" s="591" t="s">
        <v>774</v>
      </c>
      <c r="I251" s="587"/>
    </row>
    <row r="252" spans="1:9" ht="13.5" hidden="1" outlineLevel="1" thickBot="1">
      <c r="A252" s="1620">
        <v>2018</v>
      </c>
      <c r="B252" s="34" t="s">
        <v>1138</v>
      </c>
      <c r="C252" s="34" t="s">
        <v>2416</v>
      </c>
      <c r="D252" s="694">
        <v>127954</v>
      </c>
      <c r="E252" s="1634" t="s">
        <v>154</v>
      </c>
      <c r="F252" s="697">
        <v>47.34</v>
      </c>
      <c r="G252" s="8" t="s">
        <v>1139</v>
      </c>
      <c r="H252" s="591" t="s">
        <v>774</v>
      </c>
      <c r="I252" s="587"/>
    </row>
    <row r="253" spans="1:9" hidden="1" outlineLevel="1">
      <c r="A253" s="1637">
        <v>2019</v>
      </c>
      <c r="B253" s="59" t="s">
        <v>889</v>
      </c>
      <c r="C253" s="59" t="s">
        <v>2408</v>
      </c>
      <c r="D253" s="707">
        <v>11335</v>
      </c>
      <c r="E253" s="1638">
        <v>31.74</v>
      </c>
      <c r="F253" s="706">
        <v>47.15</v>
      </c>
      <c r="G253" s="8" t="s">
        <v>890</v>
      </c>
      <c r="H253" s="591" t="s">
        <v>774</v>
      </c>
      <c r="I253" s="587"/>
    </row>
    <row r="254" spans="1:9" hidden="1" outlineLevel="1">
      <c r="A254" s="1639">
        <v>2019</v>
      </c>
      <c r="B254" s="32" t="s">
        <v>1096</v>
      </c>
      <c r="C254" s="32" t="s">
        <v>2408</v>
      </c>
      <c r="D254" s="708">
        <v>474380</v>
      </c>
      <c r="E254" s="48">
        <v>1328.27</v>
      </c>
      <c r="F254" s="94">
        <v>1973.42</v>
      </c>
      <c r="G254" s="8" t="s">
        <v>1097</v>
      </c>
      <c r="H254" s="591" t="s">
        <v>774</v>
      </c>
      <c r="I254" s="587"/>
    </row>
    <row r="255" spans="1:9" hidden="1" outlineLevel="1">
      <c r="A255" s="1639">
        <v>2019</v>
      </c>
      <c r="B255" s="31" t="s">
        <v>1138</v>
      </c>
      <c r="C255" s="32" t="s">
        <v>2408</v>
      </c>
      <c r="D255" s="93">
        <v>1370655</v>
      </c>
      <c r="E255" s="48">
        <v>3837.83</v>
      </c>
      <c r="F255" s="94">
        <v>5701.93</v>
      </c>
      <c r="G255" s="8" t="s">
        <v>1139</v>
      </c>
      <c r="H255" s="591" t="s">
        <v>774</v>
      </c>
      <c r="I255" s="587"/>
    </row>
    <row r="256" spans="1:9" ht="13.5" hidden="1" outlineLevel="1" thickBot="1">
      <c r="A256" s="1640">
        <v>2019</v>
      </c>
      <c r="B256" s="33" t="s">
        <v>1144</v>
      </c>
      <c r="C256" s="34" t="s">
        <v>2408</v>
      </c>
      <c r="D256" s="694">
        <v>18845</v>
      </c>
      <c r="E256" s="49">
        <v>52.76</v>
      </c>
      <c r="F256" s="697">
        <v>78.400000000000006</v>
      </c>
      <c r="G256" s="8" t="s">
        <v>1145</v>
      </c>
      <c r="H256" s="591" t="s">
        <v>774</v>
      </c>
      <c r="I256" s="587"/>
    </row>
    <row r="257" spans="1:9" hidden="1" outlineLevel="1">
      <c r="A257" s="681">
        <v>2020</v>
      </c>
      <c r="B257" s="76" t="s">
        <v>883</v>
      </c>
      <c r="C257" s="59" t="s">
        <v>2408</v>
      </c>
      <c r="D257" s="692">
        <v>2367</v>
      </c>
      <c r="E257" s="47">
        <v>5.35</v>
      </c>
      <c r="F257" s="706">
        <v>9.85</v>
      </c>
      <c r="G257" s="8" t="s">
        <v>884</v>
      </c>
      <c r="H257" s="591" t="s">
        <v>774</v>
      </c>
      <c r="I257" s="587"/>
    </row>
    <row r="258" spans="1:9" hidden="1" outlineLevel="1">
      <c r="A258" s="1628">
        <v>2020</v>
      </c>
      <c r="B258" s="31" t="s">
        <v>889</v>
      </c>
      <c r="C258" s="32" t="s">
        <v>2408</v>
      </c>
      <c r="D258" s="93">
        <v>16212</v>
      </c>
      <c r="E258" s="48">
        <v>36.64</v>
      </c>
      <c r="F258" s="94">
        <v>67.44</v>
      </c>
      <c r="G258" s="8" t="s">
        <v>890</v>
      </c>
      <c r="H258" s="591" t="s">
        <v>774</v>
      </c>
      <c r="I258" s="587"/>
    </row>
    <row r="259" spans="1:9" hidden="1" outlineLevel="1">
      <c r="A259" s="1628">
        <v>2020</v>
      </c>
      <c r="B259" s="31" t="s">
        <v>1096</v>
      </c>
      <c r="C259" s="32" t="s">
        <v>2408</v>
      </c>
      <c r="D259" s="48">
        <v>476777</v>
      </c>
      <c r="E259" s="48">
        <v>1077.51</v>
      </c>
      <c r="F259" s="94">
        <v>1983.39</v>
      </c>
      <c r="G259" s="8" t="s">
        <v>1097</v>
      </c>
      <c r="H259" s="591" t="s">
        <v>774</v>
      </c>
      <c r="I259" s="587"/>
    </row>
    <row r="260" spans="1:9" hidden="1" outlineLevel="1">
      <c r="A260" s="1628">
        <v>2020</v>
      </c>
      <c r="B260" s="31" t="s">
        <v>1138</v>
      </c>
      <c r="C260" s="695" t="s">
        <v>2408</v>
      </c>
      <c r="D260" s="48">
        <v>3539434</v>
      </c>
      <c r="E260" s="709">
        <v>7999.12</v>
      </c>
      <c r="F260" s="94">
        <v>14724.04</v>
      </c>
      <c r="G260" s="231" t="s">
        <v>1139</v>
      </c>
      <c r="H260" s="591" t="s">
        <v>774</v>
      </c>
      <c r="I260" s="587"/>
    </row>
    <row r="261" spans="1:9" ht="13.5" hidden="1" outlineLevel="1" thickBot="1">
      <c r="A261" s="690">
        <v>2020</v>
      </c>
      <c r="B261" s="1641" t="s">
        <v>1144</v>
      </c>
      <c r="C261" s="1641" t="s">
        <v>2408</v>
      </c>
      <c r="D261" s="49">
        <v>442418</v>
      </c>
      <c r="E261" s="49">
        <v>999.86</v>
      </c>
      <c r="F261" s="697">
        <v>1840.46</v>
      </c>
      <c r="G261" s="231" t="s">
        <v>1145</v>
      </c>
      <c r="H261" s="591" t="str">
        <f>+H260</f>
        <v>Regelzone Amprion (gesamt)</v>
      </c>
      <c r="I261" s="587"/>
    </row>
    <row r="262" spans="1:9" hidden="1" outlineLevel="1">
      <c r="A262" s="681">
        <v>2021</v>
      </c>
      <c r="B262" s="76" t="s">
        <v>857</v>
      </c>
      <c r="C262" s="59" t="s">
        <v>2408</v>
      </c>
      <c r="D262" s="47">
        <v>4986</v>
      </c>
      <c r="E262" s="47">
        <v>12.66</v>
      </c>
      <c r="F262" s="706">
        <v>19.690000000000001</v>
      </c>
      <c r="G262" s="231" t="s">
        <v>858</v>
      </c>
      <c r="H262" s="591" t="str">
        <f t="shared" ref="H262:H327" si="7">+H261</f>
        <v>Regelzone Amprion (gesamt)</v>
      </c>
      <c r="I262" s="587"/>
    </row>
    <row r="263" spans="1:9" hidden="1" outlineLevel="1">
      <c r="A263" s="1639">
        <v>2021</v>
      </c>
      <c r="B263" s="30" t="s">
        <v>883</v>
      </c>
      <c r="C263" s="30" t="s">
        <v>2408</v>
      </c>
      <c r="D263" s="48">
        <v>336738</v>
      </c>
      <c r="E263" s="48">
        <v>855.31</v>
      </c>
      <c r="F263" s="94">
        <v>1330.11</v>
      </c>
      <c r="G263" s="231" t="s">
        <v>884</v>
      </c>
      <c r="H263" s="591" t="str">
        <f t="shared" si="7"/>
        <v>Regelzone Amprion (gesamt)</v>
      </c>
      <c r="I263" s="587"/>
    </row>
    <row r="264" spans="1:9" hidden="1" outlineLevel="1">
      <c r="A264" s="1639">
        <v>2021</v>
      </c>
      <c r="B264" s="31" t="s">
        <v>889</v>
      </c>
      <c r="C264" s="32" t="s">
        <v>2408</v>
      </c>
      <c r="D264" s="48">
        <v>91313</v>
      </c>
      <c r="E264" s="48">
        <v>231.94</v>
      </c>
      <c r="F264" s="94">
        <v>360.69</v>
      </c>
      <c r="G264" s="8" t="s">
        <v>890</v>
      </c>
      <c r="H264" s="591" t="str">
        <f t="shared" si="7"/>
        <v>Regelzone Amprion (gesamt)</v>
      </c>
      <c r="I264" s="587"/>
    </row>
    <row r="265" spans="1:9" hidden="1" outlineLevel="1">
      <c r="A265" s="1639">
        <v>2021</v>
      </c>
      <c r="B265" s="30" t="s">
        <v>2074</v>
      </c>
      <c r="C265" s="30" t="s">
        <v>2408</v>
      </c>
      <c r="D265" s="48">
        <v>1058726</v>
      </c>
      <c r="E265" s="48">
        <v>2689.16</v>
      </c>
      <c r="F265" s="94">
        <v>4181.97</v>
      </c>
      <c r="G265" s="8" t="s">
        <v>2075</v>
      </c>
      <c r="H265" s="591" t="str">
        <f t="shared" si="7"/>
        <v>Regelzone Amprion (gesamt)</v>
      </c>
      <c r="I265" s="587"/>
    </row>
    <row r="266" spans="1:9" hidden="1" outlineLevel="1">
      <c r="A266" s="1639">
        <v>2021</v>
      </c>
      <c r="B266" s="31" t="s">
        <v>923</v>
      </c>
      <c r="C266" s="32" t="s">
        <v>2408</v>
      </c>
      <c r="D266" s="48">
        <v>17696</v>
      </c>
      <c r="E266" s="48">
        <v>44.95</v>
      </c>
      <c r="F266" s="94">
        <v>69.900000000000006</v>
      </c>
      <c r="G266" s="8" t="s">
        <v>924</v>
      </c>
      <c r="H266" s="591" t="str">
        <f t="shared" si="7"/>
        <v>Regelzone Amprion (gesamt)</v>
      </c>
      <c r="I266" s="587"/>
    </row>
    <row r="267" spans="1:9" hidden="1" outlineLevel="1">
      <c r="A267" s="1639">
        <v>2021</v>
      </c>
      <c r="B267" s="30" t="s">
        <v>1030</v>
      </c>
      <c r="C267" s="30" t="s">
        <v>2408</v>
      </c>
      <c r="D267" s="48">
        <v>1519211</v>
      </c>
      <c r="E267" s="48">
        <v>3858.8</v>
      </c>
      <c r="F267" s="94">
        <v>6000.89</v>
      </c>
      <c r="G267" s="8" t="s">
        <v>1031</v>
      </c>
      <c r="H267" s="591" t="str">
        <f t="shared" si="7"/>
        <v>Regelzone Amprion (gesamt)</v>
      </c>
      <c r="I267" s="587"/>
    </row>
    <row r="268" spans="1:9" hidden="1" outlineLevel="1">
      <c r="A268" s="1642">
        <v>2021</v>
      </c>
      <c r="B268" s="73" t="s">
        <v>1096</v>
      </c>
      <c r="C268" s="32" t="s">
        <v>2408</v>
      </c>
      <c r="D268" s="48">
        <v>581425</v>
      </c>
      <c r="E268" s="48">
        <v>1476.82</v>
      </c>
      <c r="F268" s="94">
        <v>2296.62</v>
      </c>
      <c r="G268" s="8" t="s">
        <v>1097</v>
      </c>
      <c r="H268" s="591" t="str">
        <f t="shared" si="7"/>
        <v>Regelzone Amprion (gesamt)</v>
      </c>
      <c r="I268" s="587"/>
    </row>
    <row r="269" spans="1:9" hidden="1" outlineLevel="1">
      <c r="A269" s="1642">
        <v>2021</v>
      </c>
      <c r="B269" s="73" t="s">
        <v>1138</v>
      </c>
      <c r="C269" s="31" t="s">
        <v>2408</v>
      </c>
      <c r="D269" s="48">
        <v>4531336</v>
      </c>
      <c r="E269" s="48">
        <v>11509.6</v>
      </c>
      <c r="F269" s="94">
        <v>17898.77</v>
      </c>
      <c r="G269" s="8" t="s">
        <v>1139</v>
      </c>
      <c r="H269" s="591" t="str">
        <f t="shared" si="7"/>
        <v>Regelzone Amprion (gesamt)</v>
      </c>
      <c r="I269" s="587"/>
    </row>
    <row r="270" spans="1:9" hidden="1" outlineLevel="1">
      <c r="A270" s="1642">
        <v>2021</v>
      </c>
      <c r="B270" s="73" t="s">
        <v>1144</v>
      </c>
      <c r="C270" s="31" t="s">
        <v>2408</v>
      </c>
      <c r="D270" s="48">
        <v>455655</v>
      </c>
      <c r="E270" s="48">
        <v>1157.3699999999999</v>
      </c>
      <c r="F270" s="94">
        <v>1799.84</v>
      </c>
      <c r="G270" s="8" t="s">
        <v>1145</v>
      </c>
      <c r="H270" s="591" t="str">
        <f t="shared" si="7"/>
        <v>Regelzone Amprion (gesamt)</v>
      </c>
      <c r="I270" s="587"/>
    </row>
    <row r="271" spans="1:9" ht="13.5" hidden="1" outlineLevel="1" thickBot="1">
      <c r="A271" s="1643">
        <v>2021</v>
      </c>
      <c r="B271" s="74" t="s">
        <v>1176</v>
      </c>
      <c r="C271" s="33" t="s">
        <v>2408</v>
      </c>
      <c r="D271" s="49">
        <v>21055</v>
      </c>
      <c r="E271" s="49">
        <v>53.48</v>
      </c>
      <c r="F271" s="697">
        <v>83.17</v>
      </c>
      <c r="G271" s="8" t="s">
        <v>1177</v>
      </c>
      <c r="H271" s="591" t="str">
        <f t="shared" si="7"/>
        <v>Regelzone Amprion (gesamt)</v>
      </c>
      <c r="I271" s="587"/>
    </row>
    <row r="272" spans="1:9" hidden="1" outlineLevel="1">
      <c r="A272" s="1644">
        <v>2022</v>
      </c>
      <c r="B272" s="75" t="s">
        <v>775</v>
      </c>
      <c r="C272" s="76" t="s">
        <v>2408</v>
      </c>
      <c r="D272" s="47">
        <v>26955</v>
      </c>
      <c r="E272" s="47">
        <v>101.89</v>
      </c>
      <c r="F272" s="706">
        <v>112.94</v>
      </c>
      <c r="G272" s="8" t="s">
        <v>776</v>
      </c>
      <c r="H272" s="591" t="str">
        <f t="shared" ref="H272:H288" si="8">+H270</f>
        <v>Regelzone Amprion (gesamt)</v>
      </c>
      <c r="I272" s="587"/>
    </row>
    <row r="273" spans="1:9" hidden="1" outlineLevel="1">
      <c r="A273" s="1642">
        <v>2022</v>
      </c>
      <c r="B273" s="73" t="s">
        <v>456</v>
      </c>
      <c r="C273" s="31" t="s">
        <v>2408</v>
      </c>
      <c r="D273" s="48">
        <v>2798400</v>
      </c>
      <c r="E273" s="48">
        <v>10577.95</v>
      </c>
      <c r="F273" s="94">
        <v>11725.3</v>
      </c>
      <c r="G273" s="8" t="s">
        <v>457</v>
      </c>
      <c r="H273" s="591" t="str">
        <f t="shared" si="8"/>
        <v>Regelzone Amprion (gesamt)</v>
      </c>
      <c r="I273" s="587"/>
    </row>
    <row r="274" spans="1:9" hidden="1" outlineLevel="1">
      <c r="A274" s="1642">
        <v>2022</v>
      </c>
      <c r="B274" s="73" t="s">
        <v>777</v>
      </c>
      <c r="C274" s="31" t="s">
        <v>2408</v>
      </c>
      <c r="D274" s="48">
        <v>10924</v>
      </c>
      <c r="E274" s="48">
        <v>41.29</v>
      </c>
      <c r="F274" s="94">
        <v>45.77</v>
      </c>
      <c r="G274" s="8" t="s">
        <v>778</v>
      </c>
      <c r="H274" s="591" t="str">
        <f t="shared" si="8"/>
        <v>Regelzone Amprion (gesamt)</v>
      </c>
      <c r="I274" s="587"/>
    </row>
    <row r="275" spans="1:9" hidden="1" outlineLevel="1">
      <c r="A275" s="1642">
        <v>2022</v>
      </c>
      <c r="B275" s="73" t="s">
        <v>781</v>
      </c>
      <c r="C275" s="31" t="s">
        <v>2408</v>
      </c>
      <c r="D275" s="48">
        <v>1990957</v>
      </c>
      <c r="E275" s="48">
        <v>7525.82</v>
      </c>
      <c r="F275" s="94">
        <v>8342.11</v>
      </c>
      <c r="G275" s="8" t="s">
        <v>782</v>
      </c>
      <c r="H275" s="591" t="str">
        <f t="shared" si="8"/>
        <v>Regelzone Amprion (gesamt)</v>
      </c>
      <c r="I275" s="587"/>
    </row>
    <row r="276" spans="1:9" hidden="1" outlineLevel="1">
      <c r="A276" s="1642">
        <v>2022</v>
      </c>
      <c r="B276" s="73" t="s">
        <v>787</v>
      </c>
      <c r="C276" s="31" t="s">
        <v>2408</v>
      </c>
      <c r="D276" s="48">
        <v>-41315</v>
      </c>
      <c r="E276" s="48">
        <v>-156.18</v>
      </c>
      <c r="F276" s="94">
        <v>-173.11</v>
      </c>
      <c r="G276" s="8" t="s">
        <v>788</v>
      </c>
      <c r="H276" s="591" t="str">
        <f t="shared" si="8"/>
        <v>Regelzone Amprion (gesamt)</v>
      </c>
      <c r="I276" s="587"/>
    </row>
    <row r="277" spans="1:9" hidden="1" outlineLevel="1">
      <c r="A277" s="1642">
        <v>2022</v>
      </c>
      <c r="B277" s="73" t="s">
        <v>789</v>
      </c>
      <c r="C277" s="31" t="s">
        <v>2408</v>
      </c>
      <c r="D277" s="48">
        <v>1988073</v>
      </c>
      <c r="E277" s="48">
        <v>7514.92</v>
      </c>
      <c r="F277" s="94">
        <v>8330.02</v>
      </c>
      <c r="G277" s="8" t="s">
        <v>790</v>
      </c>
      <c r="H277" s="591" t="str">
        <f t="shared" si="8"/>
        <v>Regelzone Amprion (gesamt)</v>
      </c>
      <c r="I277" s="587"/>
    </row>
    <row r="278" spans="1:9" hidden="1" outlineLevel="1">
      <c r="A278" s="1642">
        <v>2022</v>
      </c>
      <c r="B278" s="73" t="s">
        <v>791</v>
      </c>
      <c r="C278" s="31" t="s">
        <v>2408</v>
      </c>
      <c r="D278" s="48">
        <v>-372252</v>
      </c>
      <c r="E278" s="48">
        <v>-1407.11</v>
      </c>
      <c r="F278" s="94">
        <v>-1559.74</v>
      </c>
      <c r="G278" s="8" t="s">
        <v>792</v>
      </c>
      <c r="H278" s="591" t="str">
        <f t="shared" si="8"/>
        <v>Regelzone Amprion (gesamt)</v>
      </c>
      <c r="I278" s="587"/>
    </row>
    <row r="279" spans="1:9" hidden="1" outlineLevel="1">
      <c r="A279" s="1642">
        <v>2022</v>
      </c>
      <c r="B279" s="73" t="s">
        <v>793</v>
      </c>
      <c r="C279" s="31" t="s">
        <v>2408</v>
      </c>
      <c r="D279" s="48">
        <v>55559</v>
      </c>
      <c r="E279" s="48">
        <v>210.02</v>
      </c>
      <c r="F279" s="94">
        <v>232.79</v>
      </c>
      <c r="G279" s="8" t="s">
        <v>794</v>
      </c>
      <c r="H279" s="591" t="str">
        <f t="shared" si="8"/>
        <v>Regelzone Amprion (gesamt)</v>
      </c>
      <c r="I279" s="587"/>
    </row>
    <row r="280" spans="1:9" hidden="1" outlineLevel="1">
      <c r="A280" s="1642">
        <v>2022</v>
      </c>
      <c r="B280" s="73" t="s">
        <v>795</v>
      </c>
      <c r="C280" s="31" t="s">
        <v>2408</v>
      </c>
      <c r="D280" s="48">
        <v>107270</v>
      </c>
      <c r="E280" s="48">
        <v>405.48</v>
      </c>
      <c r="F280" s="94">
        <v>449.47</v>
      </c>
      <c r="G280" s="8" t="s">
        <v>796</v>
      </c>
      <c r="H280" s="591" t="str">
        <f t="shared" si="8"/>
        <v>Regelzone Amprion (gesamt)</v>
      </c>
      <c r="I280" s="587"/>
    </row>
    <row r="281" spans="1:9" hidden="1" outlineLevel="1">
      <c r="A281" s="1642">
        <v>2022</v>
      </c>
      <c r="B281" s="73" t="s">
        <v>797</v>
      </c>
      <c r="C281" s="31" t="s">
        <v>2408</v>
      </c>
      <c r="D281" s="48">
        <v>26938</v>
      </c>
      <c r="E281" s="48">
        <v>101.82</v>
      </c>
      <c r="F281" s="94">
        <v>112.87</v>
      </c>
      <c r="G281" s="8" t="s">
        <v>798</v>
      </c>
      <c r="H281" s="591" t="str">
        <f t="shared" si="8"/>
        <v>Regelzone Amprion (gesamt)</v>
      </c>
      <c r="I281" s="587"/>
    </row>
    <row r="282" spans="1:9" hidden="1" outlineLevel="1">
      <c r="A282" s="1642">
        <v>2022</v>
      </c>
      <c r="B282" s="73" t="s">
        <v>799</v>
      </c>
      <c r="C282" s="31" t="s">
        <v>2408</v>
      </c>
      <c r="D282" s="48">
        <v>21698</v>
      </c>
      <c r="E282" s="48">
        <v>82.02</v>
      </c>
      <c r="F282" s="94">
        <v>90.92</v>
      </c>
      <c r="G282" s="8" t="s">
        <v>800</v>
      </c>
      <c r="H282" s="591" t="str">
        <f t="shared" si="8"/>
        <v>Regelzone Amprion (gesamt)</v>
      </c>
      <c r="I282" s="587"/>
    </row>
    <row r="283" spans="1:9" hidden="1" outlineLevel="1">
      <c r="A283" s="1642">
        <v>2022</v>
      </c>
      <c r="B283" s="73" t="s">
        <v>805</v>
      </c>
      <c r="C283" s="31" t="s">
        <v>2408</v>
      </c>
      <c r="D283" s="48">
        <v>2190</v>
      </c>
      <c r="E283" s="48">
        <v>8.2799999999999994</v>
      </c>
      <c r="F283" s="94">
        <v>9.17</v>
      </c>
      <c r="G283" s="8" t="s">
        <v>806</v>
      </c>
      <c r="H283" s="591" t="str">
        <f t="shared" si="8"/>
        <v>Regelzone Amprion (gesamt)</v>
      </c>
      <c r="I283" s="587"/>
    </row>
    <row r="284" spans="1:9" hidden="1" outlineLevel="1">
      <c r="A284" s="1642">
        <v>2022</v>
      </c>
      <c r="B284" s="73" t="s">
        <v>809</v>
      </c>
      <c r="C284" s="31" t="s">
        <v>2408</v>
      </c>
      <c r="D284" s="48">
        <v>81311</v>
      </c>
      <c r="E284" s="48">
        <v>307.35000000000002</v>
      </c>
      <c r="F284" s="94">
        <v>340.7</v>
      </c>
      <c r="G284" s="8" t="s">
        <v>810</v>
      </c>
      <c r="H284" s="591" t="str">
        <f t="shared" si="8"/>
        <v>Regelzone Amprion (gesamt)</v>
      </c>
      <c r="I284" s="587"/>
    </row>
    <row r="285" spans="1:9" hidden="1" outlineLevel="1">
      <c r="A285" s="1642">
        <v>2022</v>
      </c>
      <c r="B285" s="73" t="s">
        <v>811</v>
      </c>
      <c r="C285" s="31" t="s">
        <v>2408</v>
      </c>
      <c r="D285" s="48">
        <v>6627242</v>
      </c>
      <c r="E285" s="48">
        <v>25050.97</v>
      </c>
      <c r="F285" s="94">
        <v>27768.14</v>
      </c>
      <c r="G285" s="8" t="s">
        <v>812</v>
      </c>
      <c r="H285" s="591" t="str">
        <f t="shared" si="8"/>
        <v>Regelzone Amprion (gesamt)</v>
      </c>
      <c r="I285" s="587"/>
    </row>
    <row r="286" spans="1:9" hidden="1" outlineLevel="1">
      <c r="A286" s="1642">
        <v>2022</v>
      </c>
      <c r="B286" s="73" t="s">
        <v>813</v>
      </c>
      <c r="C286" s="31" t="s">
        <v>2408</v>
      </c>
      <c r="D286" s="48">
        <v>-6834</v>
      </c>
      <c r="E286" s="48">
        <v>-25.84</v>
      </c>
      <c r="F286" s="94">
        <v>-28.64</v>
      </c>
      <c r="G286" s="8" t="s">
        <v>814</v>
      </c>
      <c r="H286" s="591" t="str">
        <f t="shared" si="8"/>
        <v>Regelzone Amprion (gesamt)</v>
      </c>
      <c r="I286" s="587"/>
    </row>
    <row r="287" spans="1:9" hidden="1" outlineLevel="1">
      <c r="A287" s="1642">
        <v>2022</v>
      </c>
      <c r="B287" s="73" t="s">
        <v>817</v>
      </c>
      <c r="C287" s="31" t="s">
        <v>2408</v>
      </c>
      <c r="D287" s="48">
        <v>-439</v>
      </c>
      <c r="E287" s="48">
        <v>-1.66</v>
      </c>
      <c r="F287" s="94">
        <v>-1.84</v>
      </c>
      <c r="G287" s="8" t="s">
        <v>818</v>
      </c>
      <c r="H287" s="591" t="str">
        <f t="shared" si="8"/>
        <v>Regelzone Amprion (gesamt)</v>
      </c>
      <c r="I287" s="587"/>
    </row>
    <row r="288" spans="1:9" hidden="1" outlineLevel="1">
      <c r="A288" s="1642">
        <v>2022</v>
      </c>
      <c r="B288" s="73" t="s">
        <v>819</v>
      </c>
      <c r="C288" s="31" t="s">
        <v>2408</v>
      </c>
      <c r="D288" s="48">
        <v>54841287</v>
      </c>
      <c r="E288" s="48">
        <v>207300.07</v>
      </c>
      <c r="F288" s="94">
        <v>229784.99</v>
      </c>
      <c r="G288" s="8" t="s">
        <v>820</v>
      </c>
      <c r="H288" s="591" t="str">
        <f t="shared" si="8"/>
        <v>Regelzone Amprion (gesamt)</v>
      </c>
      <c r="I288" s="587"/>
    </row>
    <row r="289" spans="1:9" hidden="1" outlineLevel="1">
      <c r="A289" s="1642">
        <v>2022</v>
      </c>
      <c r="B289" s="73" t="s">
        <v>825</v>
      </c>
      <c r="C289" s="31" t="s">
        <v>2408</v>
      </c>
      <c r="D289" s="48">
        <v>-12951</v>
      </c>
      <c r="E289" s="48">
        <v>-48.96</v>
      </c>
      <c r="F289" s="94">
        <v>-54.26</v>
      </c>
      <c r="G289" s="8" t="s">
        <v>826</v>
      </c>
      <c r="H289" s="591" t="str">
        <f t="shared" si="7"/>
        <v>Regelzone Amprion (gesamt)</v>
      </c>
      <c r="I289" s="587"/>
    </row>
    <row r="290" spans="1:9" hidden="1" outlineLevel="1">
      <c r="A290" s="1642">
        <v>2022</v>
      </c>
      <c r="B290" s="73" t="s">
        <v>827</v>
      </c>
      <c r="C290" s="31" t="s">
        <v>2408</v>
      </c>
      <c r="D290" s="48">
        <v>-30418</v>
      </c>
      <c r="E290" s="48">
        <v>-114.98</v>
      </c>
      <c r="F290" s="94">
        <v>-127.46</v>
      </c>
      <c r="G290" s="8" t="s">
        <v>828</v>
      </c>
      <c r="H290" s="591" t="str">
        <f t="shared" si="7"/>
        <v>Regelzone Amprion (gesamt)</v>
      </c>
      <c r="I290" s="587"/>
    </row>
    <row r="291" spans="1:9" hidden="1" outlineLevel="1">
      <c r="A291" s="1642">
        <v>2022</v>
      </c>
      <c r="B291" s="73" t="s">
        <v>833</v>
      </c>
      <c r="C291" s="31" t="s">
        <v>2408</v>
      </c>
      <c r="D291" s="48">
        <v>815542</v>
      </c>
      <c r="E291" s="48">
        <v>3082.75</v>
      </c>
      <c r="F291" s="94">
        <v>3417.12</v>
      </c>
      <c r="G291" s="8" t="s">
        <v>834</v>
      </c>
      <c r="H291" s="591" t="str">
        <f t="shared" si="7"/>
        <v>Regelzone Amprion (gesamt)</v>
      </c>
      <c r="I291" s="587"/>
    </row>
    <row r="292" spans="1:9" hidden="1" outlineLevel="1">
      <c r="A292" s="1642">
        <v>2022</v>
      </c>
      <c r="B292" s="73" t="s">
        <v>839</v>
      </c>
      <c r="C292" s="31" t="s">
        <v>2417</v>
      </c>
      <c r="D292" s="48">
        <v>7865976</v>
      </c>
      <c r="E292" s="48">
        <v>2359.79</v>
      </c>
      <c r="F292" s="94">
        <v>2359.79</v>
      </c>
      <c r="G292" s="8" t="s">
        <v>840</v>
      </c>
      <c r="H292" s="591" t="str">
        <f t="shared" si="7"/>
        <v>Regelzone Amprion (gesamt)</v>
      </c>
      <c r="I292" s="587"/>
    </row>
    <row r="293" spans="1:9" hidden="1" outlineLevel="1">
      <c r="A293" s="1642">
        <v>2022</v>
      </c>
      <c r="B293" s="73" t="s">
        <v>839</v>
      </c>
      <c r="C293" s="31" t="s">
        <v>2408</v>
      </c>
      <c r="D293" s="48">
        <v>-14925368</v>
      </c>
      <c r="E293" s="48">
        <v>-56417.9</v>
      </c>
      <c r="F293" s="94">
        <v>-62537.3</v>
      </c>
      <c r="G293" s="8" t="s">
        <v>840</v>
      </c>
      <c r="H293" s="591" t="str">
        <f t="shared" si="7"/>
        <v>Regelzone Amprion (gesamt)</v>
      </c>
      <c r="I293" s="587"/>
    </row>
    <row r="294" spans="1:9" hidden="1" outlineLevel="1">
      <c r="A294" s="1642">
        <v>2022</v>
      </c>
      <c r="B294" s="73" t="s">
        <v>841</v>
      </c>
      <c r="C294" s="31" t="s">
        <v>2408</v>
      </c>
      <c r="D294" s="48">
        <v>636</v>
      </c>
      <c r="E294" s="48">
        <v>2.4</v>
      </c>
      <c r="F294" s="94">
        <v>2.67</v>
      </c>
      <c r="G294" s="8" t="s">
        <v>842</v>
      </c>
      <c r="H294" s="591" t="str">
        <f t="shared" si="7"/>
        <v>Regelzone Amprion (gesamt)</v>
      </c>
      <c r="I294" s="587"/>
    </row>
    <row r="295" spans="1:9" hidden="1" outlineLevel="1">
      <c r="A295" s="1642">
        <v>2022</v>
      </c>
      <c r="B295" s="73" t="s">
        <v>845</v>
      </c>
      <c r="C295" s="31" t="s">
        <v>2408</v>
      </c>
      <c r="D295" s="48">
        <v>75621</v>
      </c>
      <c r="E295" s="48">
        <v>285.83999999999997</v>
      </c>
      <c r="F295" s="94">
        <v>316.85000000000002</v>
      </c>
      <c r="G295" s="8" t="s">
        <v>846</v>
      </c>
      <c r="H295" s="591" t="str">
        <f t="shared" si="7"/>
        <v>Regelzone Amprion (gesamt)</v>
      </c>
      <c r="I295" s="587"/>
    </row>
    <row r="296" spans="1:9" hidden="1" outlineLevel="1">
      <c r="A296" s="1642">
        <v>2022</v>
      </c>
      <c r="B296" s="73" t="s">
        <v>849</v>
      </c>
      <c r="C296" s="31" t="s">
        <v>2408</v>
      </c>
      <c r="D296" s="48">
        <v>-18727</v>
      </c>
      <c r="E296" s="48">
        <v>-70.790000000000006</v>
      </c>
      <c r="F296" s="94">
        <v>-78.459999999999994</v>
      </c>
      <c r="G296" s="8" t="s">
        <v>850</v>
      </c>
      <c r="H296" s="591" t="str">
        <f t="shared" si="7"/>
        <v>Regelzone Amprion (gesamt)</v>
      </c>
      <c r="I296" s="587"/>
    </row>
    <row r="297" spans="1:9" hidden="1" outlineLevel="1">
      <c r="A297" s="1642">
        <v>2022</v>
      </c>
      <c r="B297" s="73" t="s">
        <v>853</v>
      </c>
      <c r="C297" s="31" t="s">
        <v>2417</v>
      </c>
      <c r="D297" s="48">
        <v>10821025</v>
      </c>
      <c r="E297" s="48">
        <v>3246.31</v>
      </c>
      <c r="F297" s="94">
        <v>3246.31</v>
      </c>
      <c r="G297" s="8" t="s">
        <v>854</v>
      </c>
      <c r="H297" s="591" t="str">
        <f t="shared" si="7"/>
        <v>Regelzone Amprion (gesamt)</v>
      </c>
      <c r="I297" s="587"/>
    </row>
    <row r="298" spans="1:9" hidden="1" outlineLevel="1">
      <c r="A298" s="1642">
        <v>2022</v>
      </c>
      <c r="B298" s="73" t="s">
        <v>853</v>
      </c>
      <c r="C298" s="31" t="s">
        <v>2408</v>
      </c>
      <c r="D298" s="48">
        <v>-154331845</v>
      </c>
      <c r="E298" s="48">
        <v>-583374.37</v>
      </c>
      <c r="F298" s="94">
        <v>-646650.43000000005</v>
      </c>
      <c r="G298" s="8" t="s">
        <v>854</v>
      </c>
      <c r="H298" s="591" t="str">
        <f t="shared" si="7"/>
        <v>Regelzone Amprion (gesamt)</v>
      </c>
      <c r="I298" s="587"/>
    </row>
    <row r="299" spans="1:9" hidden="1" outlineLevel="1">
      <c r="A299" s="1642">
        <v>2022</v>
      </c>
      <c r="B299" s="73" t="s">
        <v>857</v>
      </c>
      <c r="C299" s="31" t="s">
        <v>2408</v>
      </c>
      <c r="D299" s="48">
        <v>-17017</v>
      </c>
      <c r="E299" s="48">
        <v>-64.319999999999993</v>
      </c>
      <c r="F299" s="94">
        <v>-71.3</v>
      </c>
      <c r="G299" s="8" t="s">
        <v>858</v>
      </c>
      <c r="H299" s="591" t="str">
        <f t="shared" si="7"/>
        <v>Regelzone Amprion (gesamt)</v>
      </c>
      <c r="I299" s="587"/>
    </row>
    <row r="300" spans="1:9" hidden="1" outlineLevel="1">
      <c r="A300" s="1642">
        <v>2022</v>
      </c>
      <c r="B300" s="73" t="s">
        <v>859</v>
      </c>
      <c r="C300" s="31" t="s">
        <v>2408</v>
      </c>
      <c r="D300" s="48">
        <v>92921</v>
      </c>
      <c r="E300" s="48">
        <v>351.24</v>
      </c>
      <c r="F300" s="94">
        <v>389.34</v>
      </c>
      <c r="G300" s="8" t="s">
        <v>860</v>
      </c>
      <c r="H300" s="591" t="str">
        <f t="shared" si="7"/>
        <v>Regelzone Amprion (gesamt)</v>
      </c>
      <c r="I300" s="587"/>
    </row>
    <row r="301" spans="1:9" hidden="1" outlineLevel="1">
      <c r="A301" s="1642">
        <v>2022</v>
      </c>
      <c r="B301" s="73" t="s">
        <v>867</v>
      </c>
      <c r="C301" s="31" t="s">
        <v>2408</v>
      </c>
      <c r="D301" s="48">
        <v>-8772</v>
      </c>
      <c r="E301" s="48">
        <v>-33.159999999999997</v>
      </c>
      <c r="F301" s="94">
        <v>-36.76</v>
      </c>
      <c r="G301" s="8" t="s">
        <v>868</v>
      </c>
      <c r="H301" s="591" t="str">
        <f t="shared" si="7"/>
        <v>Regelzone Amprion (gesamt)</v>
      </c>
      <c r="I301" s="587"/>
    </row>
    <row r="302" spans="1:9" hidden="1" outlineLevel="1">
      <c r="A302" s="1642">
        <v>2022</v>
      </c>
      <c r="B302" s="73" t="s">
        <v>869</v>
      </c>
      <c r="C302" s="31" t="s">
        <v>2408</v>
      </c>
      <c r="D302" s="48">
        <v>-3368</v>
      </c>
      <c r="E302" s="48">
        <v>-12.73</v>
      </c>
      <c r="F302" s="94">
        <v>-14.12</v>
      </c>
      <c r="G302" s="8" t="s">
        <v>870</v>
      </c>
      <c r="H302" s="591" t="str">
        <f t="shared" si="7"/>
        <v>Regelzone Amprion (gesamt)</v>
      </c>
      <c r="I302" s="587"/>
    </row>
    <row r="303" spans="1:9" hidden="1" outlineLevel="1">
      <c r="A303" s="1642">
        <v>2022</v>
      </c>
      <c r="B303" s="73" t="s">
        <v>871</v>
      </c>
      <c r="C303" s="31" t="s">
        <v>2408</v>
      </c>
      <c r="D303" s="48">
        <v>-10189</v>
      </c>
      <c r="E303" s="48">
        <v>-38.51</v>
      </c>
      <c r="F303" s="94">
        <v>-42.69</v>
      </c>
      <c r="G303" s="8" t="s">
        <v>872</v>
      </c>
      <c r="H303" s="591" t="str">
        <f t="shared" si="7"/>
        <v>Regelzone Amprion (gesamt)</v>
      </c>
      <c r="I303" s="587"/>
    </row>
    <row r="304" spans="1:9" hidden="1" outlineLevel="1">
      <c r="A304" s="1642">
        <v>2022</v>
      </c>
      <c r="B304" s="73" t="s">
        <v>875</v>
      </c>
      <c r="C304" s="31" t="s">
        <v>2408</v>
      </c>
      <c r="D304" s="48">
        <v>25379</v>
      </c>
      <c r="E304" s="48">
        <v>95.93</v>
      </c>
      <c r="F304" s="94">
        <v>106.34</v>
      </c>
      <c r="G304" s="8" t="s">
        <v>876</v>
      </c>
      <c r="H304" s="591" t="str">
        <f t="shared" si="7"/>
        <v>Regelzone Amprion (gesamt)</v>
      </c>
      <c r="I304" s="587"/>
    </row>
    <row r="305" spans="1:9" hidden="1" outlineLevel="1">
      <c r="A305" s="1642">
        <v>2022</v>
      </c>
      <c r="B305" s="73" t="s">
        <v>877</v>
      </c>
      <c r="C305" s="31" t="s">
        <v>2408</v>
      </c>
      <c r="D305" s="48">
        <v>-22778</v>
      </c>
      <c r="E305" s="48">
        <v>-86.1</v>
      </c>
      <c r="F305" s="94">
        <v>-95.44</v>
      </c>
      <c r="G305" s="8" t="s">
        <v>878</v>
      </c>
      <c r="H305" s="591" t="str">
        <f t="shared" si="7"/>
        <v>Regelzone Amprion (gesamt)</v>
      </c>
      <c r="I305" s="587"/>
    </row>
    <row r="306" spans="1:9" hidden="1" outlineLevel="1">
      <c r="A306" s="1642">
        <v>2022</v>
      </c>
      <c r="B306" s="73" t="s">
        <v>542</v>
      </c>
      <c r="C306" s="31" t="s">
        <v>2408</v>
      </c>
      <c r="D306" s="48">
        <v>-26624</v>
      </c>
      <c r="E306" s="48">
        <v>-100.63</v>
      </c>
      <c r="F306" s="94">
        <v>-111.56</v>
      </c>
      <c r="G306" s="8" t="s">
        <v>543</v>
      </c>
      <c r="H306" s="591" t="str">
        <f t="shared" si="7"/>
        <v>Regelzone Amprion (gesamt)</v>
      </c>
      <c r="I306" s="587"/>
    </row>
    <row r="307" spans="1:9" hidden="1" outlineLevel="1">
      <c r="A307" s="1642">
        <v>2022</v>
      </c>
      <c r="B307" s="73" t="s">
        <v>883</v>
      </c>
      <c r="C307" s="31" t="s">
        <v>2408</v>
      </c>
      <c r="D307" s="48">
        <v>12101</v>
      </c>
      <c r="E307" s="48">
        <v>45.74</v>
      </c>
      <c r="F307" s="94">
        <v>50.7</v>
      </c>
      <c r="G307" s="8" t="s">
        <v>884</v>
      </c>
      <c r="H307" s="591" t="str">
        <f t="shared" si="7"/>
        <v>Regelzone Amprion (gesamt)</v>
      </c>
      <c r="I307" s="587"/>
    </row>
    <row r="308" spans="1:9" hidden="1" outlineLevel="1">
      <c r="A308" s="1642">
        <v>2022</v>
      </c>
      <c r="B308" s="73" t="s">
        <v>889</v>
      </c>
      <c r="C308" s="31" t="s">
        <v>2408</v>
      </c>
      <c r="D308" s="48">
        <v>99318</v>
      </c>
      <c r="E308" s="48">
        <v>375.42</v>
      </c>
      <c r="F308" s="94">
        <v>416.14</v>
      </c>
      <c r="G308" s="8" t="s">
        <v>890</v>
      </c>
      <c r="H308" s="591" t="str">
        <f t="shared" si="7"/>
        <v>Regelzone Amprion (gesamt)</v>
      </c>
      <c r="I308" s="587"/>
    </row>
    <row r="309" spans="1:9" hidden="1" outlineLevel="1">
      <c r="A309" s="1642">
        <v>2022</v>
      </c>
      <c r="B309" s="73" t="s">
        <v>2074</v>
      </c>
      <c r="C309" s="31" t="s">
        <v>2408</v>
      </c>
      <c r="D309" s="48">
        <v>546595</v>
      </c>
      <c r="E309" s="48">
        <v>2066.12</v>
      </c>
      <c r="F309" s="94">
        <v>2290.2399999999998</v>
      </c>
      <c r="G309" s="8" t="s">
        <v>2075</v>
      </c>
      <c r="H309" s="591" t="str">
        <f t="shared" si="7"/>
        <v>Regelzone Amprion (gesamt)</v>
      </c>
      <c r="I309" s="587"/>
    </row>
    <row r="310" spans="1:9" hidden="1" outlineLevel="1">
      <c r="A310" s="1642">
        <v>2022</v>
      </c>
      <c r="B310" s="73" t="s">
        <v>895</v>
      </c>
      <c r="C310" s="31" t="s">
        <v>2408</v>
      </c>
      <c r="D310" s="48">
        <v>373998</v>
      </c>
      <c r="E310" s="48">
        <v>1413.71</v>
      </c>
      <c r="F310" s="94">
        <v>1567.05</v>
      </c>
      <c r="G310" s="8" t="s">
        <v>896</v>
      </c>
      <c r="H310" s="591" t="str">
        <f t="shared" si="7"/>
        <v>Regelzone Amprion (gesamt)</v>
      </c>
      <c r="I310" s="587"/>
    </row>
    <row r="311" spans="1:9" hidden="1" outlineLevel="1">
      <c r="A311" s="1642">
        <v>2022</v>
      </c>
      <c r="B311" s="73" t="s">
        <v>903</v>
      </c>
      <c r="C311" s="31" t="s">
        <v>2408</v>
      </c>
      <c r="D311" s="48">
        <v>-9797</v>
      </c>
      <c r="E311" s="48">
        <v>-37.03</v>
      </c>
      <c r="F311" s="94">
        <v>-41.05</v>
      </c>
      <c r="G311" s="8" t="s">
        <v>904</v>
      </c>
      <c r="H311" s="591" t="str">
        <f t="shared" si="7"/>
        <v>Regelzone Amprion (gesamt)</v>
      </c>
      <c r="I311" s="587"/>
    </row>
    <row r="312" spans="1:9" hidden="1" outlineLevel="1">
      <c r="A312" s="1642">
        <v>2022</v>
      </c>
      <c r="B312" s="73" t="s">
        <v>909</v>
      </c>
      <c r="C312" s="31" t="s">
        <v>2408</v>
      </c>
      <c r="D312" s="48">
        <v>-56185</v>
      </c>
      <c r="E312" s="48">
        <v>-212.38</v>
      </c>
      <c r="F312" s="94">
        <v>-235.41</v>
      </c>
      <c r="G312" s="8" t="s">
        <v>910</v>
      </c>
      <c r="H312" s="591" t="str">
        <f t="shared" si="7"/>
        <v>Regelzone Amprion (gesamt)</v>
      </c>
      <c r="I312" s="587"/>
    </row>
    <row r="313" spans="1:9" hidden="1" outlineLevel="1">
      <c r="A313" s="1642">
        <v>2022</v>
      </c>
      <c r="B313" s="73" t="s">
        <v>913</v>
      </c>
      <c r="C313" s="31" t="s">
        <v>2408</v>
      </c>
      <c r="D313" s="48">
        <v>-3228</v>
      </c>
      <c r="E313" s="48">
        <v>-12.2</v>
      </c>
      <c r="F313" s="94">
        <v>-13.52</v>
      </c>
      <c r="G313" s="8" t="s">
        <v>914</v>
      </c>
      <c r="H313" s="591" t="str">
        <f t="shared" si="7"/>
        <v>Regelzone Amprion (gesamt)</v>
      </c>
      <c r="I313" s="587"/>
    </row>
    <row r="314" spans="1:9" hidden="1" outlineLevel="1">
      <c r="A314" s="1642">
        <v>2022</v>
      </c>
      <c r="B314" s="73" t="s">
        <v>915</v>
      </c>
      <c r="C314" s="31" t="s">
        <v>2408</v>
      </c>
      <c r="D314" s="48">
        <v>-24946</v>
      </c>
      <c r="E314" s="48">
        <v>-94.29</v>
      </c>
      <c r="F314" s="94">
        <v>-104.52</v>
      </c>
      <c r="G314" s="8" t="s">
        <v>916</v>
      </c>
      <c r="H314" s="591" t="str">
        <f t="shared" si="7"/>
        <v>Regelzone Amprion (gesamt)</v>
      </c>
      <c r="I314" s="587"/>
    </row>
    <row r="315" spans="1:9" hidden="1" outlineLevel="1">
      <c r="A315" s="1642">
        <v>2022</v>
      </c>
      <c r="B315" s="73" t="s">
        <v>919</v>
      </c>
      <c r="C315" s="31" t="s">
        <v>2408</v>
      </c>
      <c r="D315" s="48">
        <v>350624</v>
      </c>
      <c r="E315" s="48">
        <v>1325.36</v>
      </c>
      <c r="F315" s="94">
        <v>1469.12</v>
      </c>
      <c r="G315" s="8" t="s">
        <v>920</v>
      </c>
      <c r="H315" s="591" t="str">
        <f t="shared" si="7"/>
        <v>Regelzone Amprion (gesamt)</v>
      </c>
      <c r="I315" s="587"/>
    </row>
    <row r="316" spans="1:9" hidden="1" outlineLevel="1">
      <c r="A316" s="1642">
        <v>2022</v>
      </c>
      <c r="B316" s="73" t="s">
        <v>921</v>
      </c>
      <c r="C316" s="31" t="s">
        <v>2408</v>
      </c>
      <c r="D316" s="48">
        <v>-136865</v>
      </c>
      <c r="E316" s="48">
        <v>-517.35</v>
      </c>
      <c r="F316" s="94">
        <v>-573.46</v>
      </c>
      <c r="G316" s="8" t="s">
        <v>922</v>
      </c>
      <c r="H316" s="591" t="str">
        <f t="shared" si="7"/>
        <v>Regelzone Amprion (gesamt)</v>
      </c>
      <c r="I316" s="587"/>
    </row>
    <row r="317" spans="1:9" hidden="1" outlineLevel="1">
      <c r="A317" s="1642">
        <v>2022</v>
      </c>
      <c r="B317" s="73" t="s">
        <v>923</v>
      </c>
      <c r="C317" s="31" t="s">
        <v>2408</v>
      </c>
      <c r="D317" s="48">
        <v>42453</v>
      </c>
      <c r="E317" s="48">
        <v>160.47</v>
      </c>
      <c r="F317" s="94">
        <v>177.88</v>
      </c>
      <c r="G317" s="8" t="s">
        <v>924</v>
      </c>
      <c r="H317" s="591" t="str">
        <f t="shared" si="7"/>
        <v>Regelzone Amprion (gesamt)</v>
      </c>
      <c r="I317" s="587"/>
    </row>
    <row r="318" spans="1:9" hidden="1" outlineLevel="1">
      <c r="A318" s="1642">
        <v>2022</v>
      </c>
      <c r="B318" s="73" t="s">
        <v>929</v>
      </c>
      <c r="C318" s="31" t="s">
        <v>2408</v>
      </c>
      <c r="D318" s="48">
        <v>2503</v>
      </c>
      <c r="E318" s="48">
        <v>9.4700000000000006</v>
      </c>
      <c r="F318" s="94">
        <v>10.49</v>
      </c>
      <c r="G318" s="8" t="s">
        <v>930</v>
      </c>
      <c r="H318" s="591" t="str">
        <f t="shared" si="7"/>
        <v>Regelzone Amprion (gesamt)</v>
      </c>
      <c r="I318" s="587"/>
    </row>
    <row r="319" spans="1:9" hidden="1" outlineLevel="1">
      <c r="A319" s="1642">
        <v>2022</v>
      </c>
      <c r="B319" s="73" t="s">
        <v>933</v>
      </c>
      <c r="C319" s="31" t="s">
        <v>2408</v>
      </c>
      <c r="D319" s="48">
        <v>160924</v>
      </c>
      <c r="E319" s="48">
        <v>608.29</v>
      </c>
      <c r="F319" s="94">
        <v>674.27</v>
      </c>
      <c r="G319" s="8" t="s">
        <v>934</v>
      </c>
      <c r="H319" s="591" t="str">
        <f t="shared" si="7"/>
        <v>Regelzone Amprion (gesamt)</v>
      </c>
      <c r="I319" s="587"/>
    </row>
    <row r="320" spans="1:9" hidden="1" outlineLevel="1">
      <c r="A320" s="1642">
        <v>2022</v>
      </c>
      <c r="B320" s="73" t="s">
        <v>941</v>
      </c>
      <c r="C320" s="31" t="s">
        <v>2408</v>
      </c>
      <c r="D320" s="48">
        <v>355103</v>
      </c>
      <c r="E320" s="48">
        <v>1342.29</v>
      </c>
      <c r="F320" s="94">
        <v>1487.88</v>
      </c>
      <c r="G320" s="8" t="s">
        <v>942</v>
      </c>
      <c r="H320" s="591" t="str">
        <f t="shared" si="7"/>
        <v>Regelzone Amprion (gesamt)</v>
      </c>
      <c r="I320" s="587"/>
    </row>
    <row r="321" spans="1:9" hidden="1" outlineLevel="1">
      <c r="A321" s="1642">
        <v>2022</v>
      </c>
      <c r="B321" s="73" t="s">
        <v>943</v>
      </c>
      <c r="C321" s="31" t="s">
        <v>2409</v>
      </c>
      <c r="D321" s="48">
        <v>289</v>
      </c>
      <c r="E321" s="48">
        <v>0.12</v>
      </c>
      <c r="F321" s="94">
        <v>0.12</v>
      </c>
      <c r="G321" s="8" t="s">
        <v>944</v>
      </c>
      <c r="H321" s="591" t="str">
        <f t="shared" si="7"/>
        <v>Regelzone Amprion (gesamt)</v>
      </c>
      <c r="I321" s="587"/>
    </row>
    <row r="322" spans="1:9" hidden="1" outlineLevel="1">
      <c r="A322" s="1642">
        <v>2022</v>
      </c>
      <c r="B322" s="73" t="s">
        <v>943</v>
      </c>
      <c r="C322" s="31" t="s">
        <v>2417</v>
      </c>
      <c r="D322" s="48">
        <v>-159896</v>
      </c>
      <c r="E322" s="48">
        <v>-47.97</v>
      </c>
      <c r="F322" s="94">
        <v>-47.97</v>
      </c>
      <c r="G322" s="8" t="s">
        <v>944</v>
      </c>
      <c r="H322" s="591" t="str">
        <f t="shared" si="7"/>
        <v>Regelzone Amprion (gesamt)</v>
      </c>
      <c r="I322" s="587"/>
    </row>
    <row r="323" spans="1:9" hidden="1" outlineLevel="1">
      <c r="A323" s="1642">
        <v>2022</v>
      </c>
      <c r="B323" s="73" t="s">
        <v>943</v>
      </c>
      <c r="C323" s="31" t="s">
        <v>2408</v>
      </c>
      <c r="D323" s="48">
        <v>-476939</v>
      </c>
      <c r="E323" s="48">
        <v>-1802.83</v>
      </c>
      <c r="F323" s="94">
        <v>-1998.38</v>
      </c>
      <c r="G323" s="8" t="s">
        <v>944</v>
      </c>
      <c r="H323" s="591" t="str">
        <f t="shared" si="7"/>
        <v>Regelzone Amprion (gesamt)</v>
      </c>
      <c r="I323" s="587"/>
    </row>
    <row r="324" spans="1:9" hidden="1" outlineLevel="1">
      <c r="A324" s="1642">
        <v>2022</v>
      </c>
      <c r="B324" s="73" t="s">
        <v>945</v>
      </c>
      <c r="C324" s="31" t="s">
        <v>2408</v>
      </c>
      <c r="D324" s="48">
        <v>-61861</v>
      </c>
      <c r="E324" s="48">
        <v>-233.83</v>
      </c>
      <c r="F324" s="94">
        <v>-259.19</v>
      </c>
      <c r="G324" s="8" t="s">
        <v>946</v>
      </c>
      <c r="H324" s="591" t="str">
        <f t="shared" si="7"/>
        <v>Regelzone Amprion (gesamt)</v>
      </c>
      <c r="I324" s="587"/>
    </row>
    <row r="325" spans="1:9" hidden="1" outlineLevel="1">
      <c r="A325" s="1642">
        <v>2022</v>
      </c>
      <c r="B325" s="73" t="s">
        <v>949</v>
      </c>
      <c r="C325" s="31" t="s">
        <v>2408</v>
      </c>
      <c r="D325" s="48">
        <v>138096</v>
      </c>
      <c r="E325" s="48">
        <v>522</v>
      </c>
      <c r="F325" s="94">
        <v>578.62</v>
      </c>
      <c r="G325" s="8" t="s">
        <v>950</v>
      </c>
      <c r="H325" s="591" t="str">
        <f t="shared" si="7"/>
        <v>Regelzone Amprion (gesamt)</v>
      </c>
      <c r="I325" s="587"/>
    </row>
    <row r="326" spans="1:9" hidden="1" outlineLevel="1">
      <c r="A326" s="1642">
        <v>2022</v>
      </c>
      <c r="B326" s="73" t="s">
        <v>953</v>
      </c>
      <c r="C326" s="31" t="s">
        <v>2408</v>
      </c>
      <c r="D326" s="48">
        <v>56397</v>
      </c>
      <c r="E326" s="48">
        <v>213.18</v>
      </c>
      <c r="F326" s="94">
        <v>236.3</v>
      </c>
      <c r="G326" s="8" t="s">
        <v>954</v>
      </c>
      <c r="H326" s="591" t="str">
        <f t="shared" si="7"/>
        <v>Regelzone Amprion (gesamt)</v>
      </c>
      <c r="I326" s="587"/>
    </row>
    <row r="327" spans="1:9" hidden="1" outlineLevel="1">
      <c r="A327" s="1642">
        <v>2022</v>
      </c>
      <c r="B327" s="73" t="s">
        <v>955</v>
      </c>
      <c r="C327" s="31" t="s">
        <v>2408</v>
      </c>
      <c r="D327" s="48">
        <v>73436</v>
      </c>
      <c r="E327" s="48">
        <v>277.58999999999997</v>
      </c>
      <c r="F327" s="94">
        <v>307.7</v>
      </c>
      <c r="G327" s="8" t="s">
        <v>956</v>
      </c>
      <c r="H327" s="591" t="str">
        <f t="shared" si="7"/>
        <v>Regelzone Amprion (gesamt)</v>
      </c>
      <c r="I327" s="587"/>
    </row>
    <row r="328" spans="1:9" hidden="1" outlineLevel="1">
      <c r="A328" s="1642">
        <v>2022</v>
      </c>
      <c r="B328" s="73" t="s">
        <v>957</v>
      </c>
      <c r="C328" s="31" t="s">
        <v>2408</v>
      </c>
      <c r="D328" s="48">
        <v>-23398</v>
      </c>
      <c r="E328" s="48">
        <v>-88.45</v>
      </c>
      <c r="F328" s="94">
        <v>-98.04</v>
      </c>
      <c r="G328" s="8" t="s">
        <v>958</v>
      </c>
      <c r="H328" s="591" t="str">
        <f t="shared" ref="H328:H391" si="9">+H327</f>
        <v>Regelzone Amprion (gesamt)</v>
      </c>
      <c r="I328" s="587"/>
    </row>
    <row r="329" spans="1:9" hidden="1" outlineLevel="1">
      <c r="A329" s="1642">
        <v>2022</v>
      </c>
      <c r="B329" s="73" t="s">
        <v>963</v>
      </c>
      <c r="C329" s="31" t="s">
        <v>2408</v>
      </c>
      <c r="D329" s="48">
        <v>400641</v>
      </c>
      <c r="E329" s="48">
        <v>1514.42</v>
      </c>
      <c r="F329" s="94">
        <v>1678.68</v>
      </c>
      <c r="G329" s="8" t="s">
        <v>964</v>
      </c>
      <c r="H329" s="591" t="str">
        <f t="shared" si="9"/>
        <v>Regelzone Amprion (gesamt)</v>
      </c>
      <c r="I329" s="587"/>
    </row>
    <row r="330" spans="1:9" hidden="1" outlineLevel="1">
      <c r="A330" s="1642">
        <v>2022</v>
      </c>
      <c r="B330" s="73" t="s">
        <v>969</v>
      </c>
      <c r="C330" s="31" t="s">
        <v>2408</v>
      </c>
      <c r="D330" s="48">
        <v>53018</v>
      </c>
      <c r="E330" s="48">
        <v>200.4</v>
      </c>
      <c r="F330" s="94">
        <v>222.14</v>
      </c>
      <c r="G330" s="8" t="s">
        <v>970</v>
      </c>
      <c r="H330" s="591" t="str">
        <f t="shared" si="9"/>
        <v>Regelzone Amprion (gesamt)</v>
      </c>
      <c r="I330" s="587"/>
    </row>
    <row r="331" spans="1:9" hidden="1" outlineLevel="1">
      <c r="A331" s="1642">
        <v>2022</v>
      </c>
      <c r="B331" s="73" t="s">
        <v>973</v>
      </c>
      <c r="C331" s="31" t="s">
        <v>2408</v>
      </c>
      <c r="D331" s="48">
        <v>-751</v>
      </c>
      <c r="E331" s="48">
        <v>-2.84</v>
      </c>
      <c r="F331" s="94">
        <v>-3.15</v>
      </c>
      <c r="G331" s="8" t="s">
        <v>974</v>
      </c>
      <c r="H331" s="591" t="str">
        <f t="shared" si="9"/>
        <v>Regelzone Amprion (gesamt)</v>
      </c>
      <c r="I331" s="587"/>
    </row>
    <row r="332" spans="1:9" hidden="1" outlineLevel="1">
      <c r="A332" s="1642">
        <v>2022</v>
      </c>
      <c r="B332" s="73" t="s">
        <v>975</v>
      </c>
      <c r="C332" s="31" t="s">
        <v>2408</v>
      </c>
      <c r="D332" s="48">
        <v>28666</v>
      </c>
      <c r="E332" s="48">
        <v>108.36</v>
      </c>
      <c r="F332" s="94">
        <v>120.11</v>
      </c>
      <c r="G332" s="8" t="s">
        <v>976</v>
      </c>
      <c r="H332" s="591" t="str">
        <f t="shared" si="9"/>
        <v>Regelzone Amprion (gesamt)</v>
      </c>
      <c r="I332" s="587"/>
    </row>
    <row r="333" spans="1:9" hidden="1" outlineLevel="1">
      <c r="A333" s="1642">
        <v>2022</v>
      </c>
      <c r="B333" s="73" t="s">
        <v>985</v>
      </c>
      <c r="C333" s="31" t="s">
        <v>2408</v>
      </c>
      <c r="D333" s="48">
        <v>1904597</v>
      </c>
      <c r="E333" s="48">
        <v>7199.38</v>
      </c>
      <c r="F333" s="94">
        <v>7980.26</v>
      </c>
      <c r="G333" s="8" t="s">
        <v>986</v>
      </c>
      <c r="H333" s="591" t="str">
        <f t="shared" si="9"/>
        <v>Regelzone Amprion (gesamt)</v>
      </c>
      <c r="I333" s="587"/>
    </row>
    <row r="334" spans="1:9" hidden="1" outlineLevel="1">
      <c r="A334" s="1642">
        <v>2022</v>
      </c>
      <c r="B334" s="73" t="s">
        <v>991</v>
      </c>
      <c r="C334" s="31" t="s">
        <v>2408</v>
      </c>
      <c r="D334" s="48">
        <v>909</v>
      </c>
      <c r="E334" s="48">
        <v>3.43</v>
      </c>
      <c r="F334" s="94">
        <v>3.81</v>
      </c>
      <c r="G334" s="8" t="s">
        <v>992</v>
      </c>
      <c r="H334" s="591" t="str">
        <f t="shared" si="9"/>
        <v>Regelzone Amprion (gesamt)</v>
      </c>
      <c r="I334" s="587"/>
    </row>
    <row r="335" spans="1:9" hidden="1" outlineLevel="1">
      <c r="A335" s="1642">
        <v>2022</v>
      </c>
      <c r="B335" s="73" t="s">
        <v>997</v>
      </c>
      <c r="C335" s="31" t="s">
        <v>2408</v>
      </c>
      <c r="D335" s="48">
        <v>209956</v>
      </c>
      <c r="E335" s="48">
        <v>793.63</v>
      </c>
      <c r="F335" s="94">
        <v>879.71</v>
      </c>
      <c r="G335" s="8" t="s">
        <v>998</v>
      </c>
      <c r="H335" s="591" t="str">
        <f t="shared" si="9"/>
        <v>Regelzone Amprion (gesamt)</v>
      </c>
      <c r="I335" s="587"/>
    </row>
    <row r="336" spans="1:9" hidden="1" outlineLevel="1">
      <c r="A336" s="1642">
        <v>2022</v>
      </c>
      <c r="B336" s="73" t="s">
        <v>1005</v>
      </c>
      <c r="C336" s="31" t="s">
        <v>2408</v>
      </c>
      <c r="D336" s="48">
        <v>22489862</v>
      </c>
      <c r="E336" s="48">
        <v>85011.68</v>
      </c>
      <c r="F336" s="94">
        <v>94232.52</v>
      </c>
      <c r="G336" s="8" t="s">
        <v>1006</v>
      </c>
      <c r="H336" s="591" t="str">
        <f t="shared" si="9"/>
        <v>Regelzone Amprion (gesamt)</v>
      </c>
      <c r="I336" s="587"/>
    </row>
    <row r="337" spans="1:9" hidden="1" outlineLevel="1">
      <c r="A337" s="1642">
        <v>2022</v>
      </c>
      <c r="B337" s="73" t="s">
        <v>1007</v>
      </c>
      <c r="C337" s="31" t="s">
        <v>2408</v>
      </c>
      <c r="D337" s="48">
        <v>1729</v>
      </c>
      <c r="E337" s="48">
        <v>6.54</v>
      </c>
      <c r="F337" s="94">
        <v>7.25</v>
      </c>
      <c r="G337" s="8" t="s">
        <v>1008</v>
      </c>
      <c r="H337" s="591" t="str">
        <f t="shared" si="9"/>
        <v>Regelzone Amprion (gesamt)</v>
      </c>
      <c r="I337" s="587"/>
    </row>
    <row r="338" spans="1:9" hidden="1" outlineLevel="1">
      <c r="A338" s="1642">
        <v>2022</v>
      </c>
      <c r="B338" s="73" t="s">
        <v>1009</v>
      </c>
      <c r="C338" s="31" t="s">
        <v>2408</v>
      </c>
      <c r="D338" s="48">
        <v>26010</v>
      </c>
      <c r="E338" s="48">
        <v>98.31</v>
      </c>
      <c r="F338" s="94">
        <v>108.98</v>
      </c>
      <c r="G338" s="8" t="s">
        <v>1010</v>
      </c>
      <c r="H338" s="591" t="str">
        <f t="shared" si="9"/>
        <v>Regelzone Amprion (gesamt)</v>
      </c>
      <c r="I338" s="587"/>
    </row>
    <row r="339" spans="1:9" hidden="1" outlineLevel="1">
      <c r="A339" s="1642">
        <v>2022</v>
      </c>
      <c r="B339" s="73" t="s">
        <v>1011</v>
      </c>
      <c r="C339" s="31" t="s">
        <v>2408</v>
      </c>
      <c r="D339" s="48">
        <v>227789</v>
      </c>
      <c r="E339" s="48">
        <v>861.04</v>
      </c>
      <c r="F339" s="94">
        <v>954.44</v>
      </c>
      <c r="G339" s="8" t="s">
        <v>1012</v>
      </c>
      <c r="H339" s="591" t="str">
        <f t="shared" si="9"/>
        <v>Regelzone Amprion (gesamt)</v>
      </c>
      <c r="I339" s="587"/>
    </row>
    <row r="340" spans="1:9" hidden="1" outlineLevel="1">
      <c r="A340" s="1642">
        <v>2022</v>
      </c>
      <c r="B340" s="73" t="s">
        <v>1015</v>
      </c>
      <c r="C340" s="31" t="s">
        <v>2408</v>
      </c>
      <c r="D340" s="48">
        <v>-57</v>
      </c>
      <c r="E340" s="48">
        <v>-0.21</v>
      </c>
      <c r="F340" s="94">
        <v>-0.24</v>
      </c>
      <c r="G340" s="8" t="s">
        <v>1016</v>
      </c>
      <c r="H340" s="591" t="str">
        <f t="shared" si="9"/>
        <v>Regelzone Amprion (gesamt)</v>
      </c>
      <c r="I340" s="587"/>
    </row>
    <row r="341" spans="1:9" hidden="1" outlineLevel="1">
      <c r="A341" s="1642">
        <v>2022</v>
      </c>
      <c r="B341" s="73" t="s">
        <v>1021</v>
      </c>
      <c r="C341" s="31" t="s">
        <v>2409</v>
      </c>
      <c r="D341" s="48">
        <v>-47774</v>
      </c>
      <c r="E341" s="48">
        <v>-19.11</v>
      </c>
      <c r="F341" s="94">
        <v>-19.11</v>
      </c>
      <c r="G341" s="8" t="s">
        <v>944</v>
      </c>
      <c r="H341" s="591" t="str">
        <f t="shared" si="9"/>
        <v>Regelzone Amprion (gesamt)</v>
      </c>
      <c r="I341" s="587"/>
    </row>
    <row r="342" spans="1:9" hidden="1" outlineLevel="1">
      <c r="A342" s="1642">
        <v>2022</v>
      </c>
      <c r="B342" s="73" t="s">
        <v>1021</v>
      </c>
      <c r="C342" s="31" t="s">
        <v>2408</v>
      </c>
      <c r="D342" s="48">
        <v>-1165</v>
      </c>
      <c r="E342" s="48">
        <v>-4.4000000000000004</v>
      </c>
      <c r="F342" s="94">
        <v>-4.88</v>
      </c>
      <c r="G342" s="8" t="s">
        <v>944</v>
      </c>
      <c r="H342" s="591" t="str">
        <f t="shared" si="9"/>
        <v>Regelzone Amprion (gesamt)</v>
      </c>
      <c r="I342" s="587"/>
    </row>
    <row r="343" spans="1:9" hidden="1" outlineLevel="1">
      <c r="A343" s="1642">
        <v>2022</v>
      </c>
      <c r="B343" s="73" t="s">
        <v>1026</v>
      </c>
      <c r="C343" s="31" t="s">
        <v>2408</v>
      </c>
      <c r="D343" s="48">
        <v>-1888</v>
      </c>
      <c r="E343" s="48">
        <v>-7.13</v>
      </c>
      <c r="F343" s="94">
        <v>-7.91</v>
      </c>
      <c r="G343" s="8" t="s">
        <v>1027</v>
      </c>
      <c r="H343" s="591" t="str">
        <f t="shared" si="9"/>
        <v>Regelzone Amprion (gesamt)</v>
      </c>
      <c r="I343" s="587"/>
    </row>
    <row r="344" spans="1:9" hidden="1" outlineLevel="1">
      <c r="A344" s="1642">
        <v>2022</v>
      </c>
      <c r="B344" s="73" t="s">
        <v>1030</v>
      </c>
      <c r="C344" s="31" t="s">
        <v>2408</v>
      </c>
      <c r="D344" s="48">
        <v>713984</v>
      </c>
      <c r="E344" s="48">
        <v>2698.86</v>
      </c>
      <c r="F344" s="94">
        <v>2991.59</v>
      </c>
      <c r="G344" s="8" t="s">
        <v>1031</v>
      </c>
      <c r="H344" s="591" t="str">
        <f t="shared" si="9"/>
        <v>Regelzone Amprion (gesamt)</v>
      </c>
      <c r="I344" s="587"/>
    </row>
    <row r="345" spans="1:9" hidden="1" outlineLevel="1">
      <c r="A345" s="1642">
        <v>2022</v>
      </c>
      <c r="B345" s="73" t="s">
        <v>1032</v>
      </c>
      <c r="C345" s="31" t="s">
        <v>2408</v>
      </c>
      <c r="D345" s="48">
        <v>119682</v>
      </c>
      <c r="E345" s="48">
        <v>452.4</v>
      </c>
      <c r="F345" s="94">
        <v>501.47</v>
      </c>
      <c r="G345" s="8" t="s">
        <v>1033</v>
      </c>
      <c r="H345" s="591" t="str">
        <f t="shared" si="9"/>
        <v>Regelzone Amprion (gesamt)</v>
      </c>
      <c r="I345" s="587"/>
    </row>
    <row r="346" spans="1:9" hidden="1" outlineLevel="1">
      <c r="A346" s="1642">
        <v>2022</v>
      </c>
      <c r="B346" s="73" t="s">
        <v>1042</v>
      </c>
      <c r="C346" s="31" t="s">
        <v>2408</v>
      </c>
      <c r="D346" s="48">
        <v>-14697</v>
      </c>
      <c r="E346" s="48">
        <v>-55.56</v>
      </c>
      <c r="F346" s="94">
        <v>-61.58</v>
      </c>
      <c r="G346" s="8" t="s">
        <v>1043</v>
      </c>
      <c r="H346" s="591" t="str">
        <f t="shared" si="9"/>
        <v>Regelzone Amprion (gesamt)</v>
      </c>
      <c r="I346" s="587"/>
    </row>
    <row r="347" spans="1:9" hidden="1" outlineLevel="1">
      <c r="A347" s="1642">
        <v>2022</v>
      </c>
      <c r="B347" s="73" t="s">
        <v>1044</v>
      </c>
      <c r="C347" s="31" t="s">
        <v>2408</v>
      </c>
      <c r="D347" s="48">
        <v>58735</v>
      </c>
      <c r="E347" s="48">
        <v>222.02</v>
      </c>
      <c r="F347" s="94">
        <v>246.1</v>
      </c>
      <c r="G347" s="8" t="s">
        <v>1045</v>
      </c>
      <c r="H347" s="591" t="str">
        <f t="shared" si="9"/>
        <v>Regelzone Amprion (gesamt)</v>
      </c>
      <c r="I347" s="587"/>
    </row>
    <row r="348" spans="1:9" hidden="1" outlineLevel="1">
      <c r="A348" s="1642">
        <v>2022</v>
      </c>
      <c r="B348" s="73" t="s">
        <v>1062</v>
      </c>
      <c r="C348" s="31" t="s">
        <v>2408</v>
      </c>
      <c r="D348" s="48">
        <v>-14924</v>
      </c>
      <c r="E348" s="48">
        <v>-56.42</v>
      </c>
      <c r="F348" s="94">
        <v>-62.53</v>
      </c>
      <c r="G348" s="8" t="s">
        <v>1063</v>
      </c>
      <c r="H348" s="591" t="str">
        <f t="shared" si="9"/>
        <v>Regelzone Amprion (gesamt)</v>
      </c>
      <c r="I348" s="587"/>
    </row>
    <row r="349" spans="1:9" hidden="1" outlineLevel="1">
      <c r="A349" s="1642">
        <v>2022</v>
      </c>
      <c r="B349" s="73" t="s">
        <v>1064</v>
      </c>
      <c r="C349" s="31" t="s">
        <v>2408</v>
      </c>
      <c r="D349" s="48">
        <v>422974</v>
      </c>
      <c r="E349" s="48">
        <v>1598.84</v>
      </c>
      <c r="F349" s="94">
        <v>1772.26</v>
      </c>
      <c r="G349" s="8" t="s">
        <v>1065</v>
      </c>
      <c r="H349" s="591" t="str">
        <f t="shared" si="9"/>
        <v>Regelzone Amprion (gesamt)</v>
      </c>
      <c r="I349" s="587"/>
    </row>
    <row r="350" spans="1:9" hidden="1" outlineLevel="1">
      <c r="A350" s="1642">
        <v>2022</v>
      </c>
      <c r="B350" s="73" t="s">
        <v>1068</v>
      </c>
      <c r="C350" s="31" t="s">
        <v>2408</v>
      </c>
      <c r="D350" s="48">
        <v>-303407</v>
      </c>
      <c r="E350" s="48">
        <v>-1146.8699999999999</v>
      </c>
      <c r="F350" s="94">
        <v>-1271.27</v>
      </c>
      <c r="G350" s="8" t="s">
        <v>1069</v>
      </c>
      <c r="H350" s="591" t="str">
        <f t="shared" si="9"/>
        <v>Regelzone Amprion (gesamt)</v>
      </c>
      <c r="I350" s="587"/>
    </row>
    <row r="351" spans="1:9" hidden="1" outlineLevel="1">
      <c r="A351" s="1642">
        <v>2022</v>
      </c>
      <c r="B351" s="73" t="s">
        <v>1072</v>
      </c>
      <c r="C351" s="31" t="s">
        <v>2408</v>
      </c>
      <c r="D351" s="48">
        <v>-5122448</v>
      </c>
      <c r="E351" s="48">
        <v>-19362.86</v>
      </c>
      <c r="F351" s="94">
        <v>-21463.05</v>
      </c>
      <c r="G351" s="8" t="s">
        <v>1073</v>
      </c>
      <c r="H351" s="591" t="str">
        <f t="shared" si="9"/>
        <v>Regelzone Amprion (gesamt)</v>
      </c>
      <c r="I351" s="587"/>
    </row>
    <row r="352" spans="1:9" hidden="1" outlineLevel="1">
      <c r="A352" s="1642">
        <v>2022</v>
      </c>
      <c r="B352" s="73" t="s">
        <v>1074</v>
      </c>
      <c r="C352" s="31" t="s">
        <v>2408</v>
      </c>
      <c r="D352" s="48">
        <v>-3024460</v>
      </c>
      <c r="E352" s="48">
        <v>-11432.46</v>
      </c>
      <c r="F352" s="94">
        <v>-12672.49</v>
      </c>
      <c r="G352" s="8" t="s">
        <v>1075</v>
      </c>
      <c r="H352" s="591" t="str">
        <f t="shared" si="9"/>
        <v>Regelzone Amprion (gesamt)</v>
      </c>
      <c r="I352" s="587"/>
    </row>
    <row r="353" spans="1:9" hidden="1" outlineLevel="1">
      <c r="A353" s="1642">
        <v>2022</v>
      </c>
      <c r="B353" s="73" t="s">
        <v>1076</v>
      </c>
      <c r="C353" s="31" t="s">
        <v>2408</v>
      </c>
      <c r="D353" s="48">
        <v>5765</v>
      </c>
      <c r="E353" s="48">
        <v>21.79</v>
      </c>
      <c r="F353" s="94">
        <v>24.16</v>
      </c>
      <c r="G353" s="8" t="s">
        <v>1077</v>
      </c>
      <c r="H353" s="591" t="str">
        <f t="shared" si="9"/>
        <v>Regelzone Amprion (gesamt)</v>
      </c>
      <c r="I353" s="587"/>
    </row>
    <row r="354" spans="1:9" hidden="1" outlineLevel="1">
      <c r="A354" s="1642">
        <v>2022</v>
      </c>
      <c r="B354" s="73" t="s">
        <v>1082</v>
      </c>
      <c r="C354" s="31" t="s">
        <v>2408</v>
      </c>
      <c r="D354" s="48">
        <v>312033</v>
      </c>
      <c r="E354" s="48">
        <v>1179.48</v>
      </c>
      <c r="F354" s="94">
        <v>1307.42</v>
      </c>
      <c r="G354" s="8" t="s">
        <v>1083</v>
      </c>
      <c r="H354" s="591" t="str">
        <f t="shared" si="9"/>
        <v>Regelzone Amprion (gesamt)</v>
      </c>
      <c r="I354" s="587"/>
    </row>
    <row r="355" spans="1:9" hidden="1" outlineLevel="1">
      <c r="A355" s="1642">
        <v>2022</v>
      </c>
      <c r="B355" s="73" t="s">
        <v>1090</v>
      </c>
      <c r="C355" s="31" t="s">
        <v>2408</v>
      </c>
      <c r="D355" s="48">
        <v>-483056</v>
      </c>
      <c r="E355" s="48">
        <v>-1825.96</v>
      </c>
      <c r="F355" s="94">
        <v>-2024</v>
      </c>
      <c r="G355" s="8" t="s">
        <v>1091</v>
      </c>
      <c r="H355" s="591" t="str">
        <f t="shared" si="9"/>
        <v>Regelzone Amprion (gesamt)</v>
      </c>
      <c r="I355" s="587"/>
    </row>
    <row r="356" spans="1:9" hidden="1" outlineLevel="1">
      <c r="A356" s="1642">
        <v>2022</v>
      </c>
      <c r="B356" s="73" t="s">
        <v>1092</v>
      </c>
      <c r="C356" s="31" t="s">
        <v>2408</v>
      </c>
      <c r="D356" s="48">
        <v>44796</v>
      </c>
      <c r="E356" s="48">
        <v>169.33</v>
      </c>
      <c r="F356" s="94">
        <v>187.69</v>
      </c>
      <c r="G356" s="8" t="s">
        <v>1093</v>
      </c>
      <c r="H356" s="591" t="str">
        <f t="shared" si="9"/>
        <v>Regelzone Amprion (gesamt)</v>
      </c>
      <c r="I356" s="587"/>
    </row>
    <row r="357" spans="1:9" hidden="1" outlineLevel="1">
      <c r="A357" s="1642">
        <v>2022</v>
      </c>
      <c r="B357" s="73" t="s">
        <v>1094</v>
      </c>
      <c r="C357" s="31" t="s">
        <v>2408</v>
      </c>
      <c r="D357" s="48">
        <v>4095</v>
      </c>
      <c r="E357" s="48">
        <v>15.48</v>
      </c>
      <c r="F357" s="94">
        <v>17.16</v>
      </c>
      <c r="G357" s="8" t="s">
        <v>1095</v>
      </c>
      <c r="H357" s="591" t="str">
        <f t="shared" si="9"/>
        <v>Regelzone Amprion (gesamt)</v>
      </c>
      <c r="I357" s="587"/>
    </row>
    <row r="358" spans="1:9" hidden="1" outlineLevel="1">
      <c r="A358" s="1642">
        <v>2022</v>
      </c>
      <c r="B358" s="73" t="s">
        <v>1096</v>
      </c>
      <c r="C358" s="31" t="s">
        <v>2408</v>
      </c>
      <c r="D358" s="48">
        <v>586473</v>
      </c>
      <c r="E358" s="48">
        <v>2216.87</v>
      </c>
      <c r="F358" s="94">
        <v>2457.33</v>
      </c>
      <c r="G358" s="8" t="s">
        <v>1097</v>
      </c>
      <c r="H358" s="591" t="str">
        <f t="shared" si="9"/>
        <v>Regelzone Amprion (gesamt)</v>
      </c>
      <c r="I358" s="587"/>
    </row>
    <row r="359" spans="1:9" hidden="1" outlineLevel="1">
      <c r="A359" s="1642">
        <v>2022</v>
      </c>
      <c r="B359" s="73" t="s">
        <v>1100</v>
      </c>
      <c r="C359" s="31" t="s">
        <v>2408</v>
      </c>
      <c r="D359" s="48">
        <v>-1641805</v>
      </c>
      <c r="E359" s="48">
        <v>-6206.02</v>
      </c>
      <c r="F359" s="94">
        <v>-6879.16</v>
      </c>
      <c r="G359" s="8" t="s">
        <v>1101</v>
      </c>
      <c r="H359" s="591" t="str">
        <f t="shared" si="9"/>
        <v>Regelzone Amprion (gesamt)</v>
      </c>
      <c r="I359" s="587"/>
    </row>
    <row r="360" spans="1:9" hidden="1" outlineLevel="1">
      <c r="A360" s="1642">
        <v>2022</v>
      </c>
      <c r="B360" s="73" t="s">
        <v>1104</v>
      </c>
      <c r="C360" s="31" t="s">
        <v>2408</v>
      </c>
      <c r="D360" s="48">
        <v>7861</v>
      </c>
      <c r="E360" s="48">
        <v>29.72</v>
      </c>
      <c r="F360" s="94">
        <v>32.93</v>
      </c>
      <c r="G360" s="8" t="s">
        <v>1105</v>
      </c>
      <c r="H360" s="591" t="str">
        <f t="shared" si="9"/>
        <v>Regelzone Amprion (gesamt)</v>
      </c>
      <c r="I360" s="587"/>
    </row>
    <row r="361" spans="1:9" hidden="1" outlineLevel="1">
      <c r="A361" s="1642">
        <v>2022</v>
      </c>
      <c r="B361" s="73" t="s">
        <v>1114</v>
      </c>
      <c r="C361" s="31" t="s">
        <v>2408</v>
      </c>
      <c r="D361" s="48">
        <v>-8853</v>
      </c>
      <c r="E361" s="48">
        <v>-33.47</v>
      </c>
      <c r="F361" s="94">
        <v>-37.1</v>
      </c>
      <c r="G361" s="8" t="s">
        <v>1115</v>
      </c>
      <c r="H361" s="591" t="str">
        <f t="shared" si="9"/>
        <v>Regelzone Amprion (gesamt)</v>
      </c>
      <c r="I361" s="587"/>
    </row>
    <row r="362" spans="1:9" hidden="1" outlineLevel="1">
      <c r="A362" s="1642">
        <v>2022</v>
      </c>
      <c r="B362" s="73" t="s">
        <v>1118</v>
      </c>
      <c r="C362" s="31" t="s">
        <v>2408</v>
      </c>
      <c r="D362" s="48">
        <v>-1716830</v>
      </c>
      <c r="E362" s="48">
        <v>-6489.62</v>
      </c>
      <c r="F362" s="94">
        <v>-7193.52</v>
      </c>
      <c r="G362" s="8" t="s">
        <v>1119</v>
      </c>
      <c r="H362" s="591" t="str">
        <f t="shared" si="9"/>
        <v>Regelzone Amprion (gesamt)</v>
      </c>
      <c r="I362" s="587"/>
    </row>
    <row r="363" spans="1:9" hidden="1" outlineLevel="1">
      <c r="A363" s="1639">
        <v>2022</v>
      </c>
      <c r="B363" s="73" t="s">
        <v>1122</v>
      </c>
      <c r="C363" s="80" t="s">
        <v>2408</v>
      </c>
      <c r="D363" s="48">
        <v>544156</v>
      </c>
      <c r="E363" s="48">
        <v>2056.91</v>
      </c>
      <c r="F363" s="94">
        <v>2280.02</v>
      </c>
      <c r="G363" s="8" t="s">
        <v>1123</v>
      </c>
      <c r="H363" s="591" t="str">
        <f t="shared" si="9"/>
        <v>Regelzone Amprion (gesamt)</v>
      </c>
      <c r="I363" s="587"/>
    </row>
    <row r="364" spans="1:9" hidden="1" outlineLevel="1">
      <c r="A364" s="1639">
        <v>2022</v>
      </c>
      <c r="B364" s="73" t="s">
        <v>1122</v>
      </c>
      <c r="C364" s="80" t="s">
        <v>2408</v>
      </c>
      <c r="D364" s="48">
        <v>429179</v>
      </c>
      <c r="E364" s="48">
        <v>1622.29</v>
      </c>
      <c r="F364" s="94">
        <v>1798.26</v>
      </c>
      <c r="G364" s="8" t="s">
        <v>1123</v>
      </c>
      <c r="H364" s="591" t="str">
        <f t="shared" si="9"/>
        <v>Regelzone Amprion (gesamt)</v>
      </c>
      <c r="I364" s="587"/>
    </row>
    <row r="365" spans="1:9" hidden="1" outlineLevel="1">
      <c r="A365" s="1639">
        <v>2022</v>
      </c>
      <c r="B365" s="73" t="s">
        <v>1124</v>
      </c>
      <c r="C365" s="80" t="s">
        <v>2408</v>
      </c>
      <c r="D365" s="48">
        <v>367155</v>
      </c>
      <c r="E365" s="48">
        <v>1387.84</v>
      </c>
      <c r="F365" s="94">
        <v>1538.38</v>
      </c>
      <c r="G365" s="8" t="s">
        <v>1125</v>
      </c>
      <c r="H365" s="591" t="str">
        <f t="shared" si="9"/>
        <v>Regelzone Amprion (gesamt)</v>
      </c>
      <c r="I365" s="587"/>
    </row>
    <row r="366" spans="1:9" hidden="1" outlineLevel="1">
      <c r="A366" s="1639">
        <v>2022</v>
      </c>
      <c r="B366" s="73" t="s">
        <v>1134</v>
      </c>
      <c r="C366" s="80" t="s">
        <v>2408</v>
      </c>
      <c r="D366" s="48">
        <v>-30649</v>
      </c>
      <c r="E366" s="48">
        <v>-115.85</v>
      </c>
      <c r="F366" s="94">
        <v>-128.41999999999999</v>
      </c>
      <c r="G366" s="8" t="s">
        <v>1135</v>
      </c>
      <c r="H366" s="591" t="str">
        <f t="shared" si="9"/>
        <v>Regelzone Amprion (gesamt)</v>
      </c>
      <c r="I366" s="587"/>
    </row>
    <row r="367" spans="1:9" hidden="1" outlineLevel="1">
      <c r="A367" s="1639">
        <v>2022</v>
      </c>
      <c r="B367" s="73" t="s">
        <v>1138</v>
      </c>
      <c r="C367" s="80" t="s">
        <v>2408</v>
      </c>
      <c r="D367" s="48">
        <v>5237694</v>
      </c>
      <c r="E367" s="48">
        <v>19798.490000000002</v>
      </c>
      <c r="F367" s="94">
        <v>21945.94</v>
      </c>
      <c r="G367" s="8" t="s">
        <v>1139</v>
      </c>
      <c r="H367" s="591" t="str">
        <f t="shared" si="9"/>
        <v>Regelzone Amprion (gesamt)</v>
      </c>
      <c r="I367" s="587"/>
    </row>
    <row r="368" spans="1:9" hidden="1" outlineLevel="1">
      <c r="A368" s="1639">
        <v>2022</v>
      </c>
      <c r="B368" s="73" t="s">
        <v>726</v>
      </c>
      <c r="C368" s="31" t="s">
        <v>2408</v>
      </c>
      <c r="D368" s="48">
        <v>446927</v>
      </c>
      <c r="E368" s="48">
        <v>1689.38</v>
      </c>
      <c r="F368" s="94">
        <v>1872.62</v>
      </c>
      <c r="G368" s="8" t="s">
        <v>727</v>
      </c>
      <c r="H368" s="591" t="str">
        <f t="shared" si="9"/>
        <v>Regelzone Amprion (gesamt)</v>
      </c>
      <c r="I368" s="587"/>
    </row>
    <row r="369" spans="1:9" hidden="1" outlineLevel="1">
      <c r="A369" s="1639">
        <v>2022</v>
      </c>
      <c r="B369" s="73" t="s">
        <v>1142</v>
      </c>
      <c r="C369" s="31" t="s">
        <v>2408</v>
      </c>
      <c r="D369" s="48">
        <v>8629392</v>
      </c>
      <c r="E369" s="48">
        <v>32619.1</v>
      </c>
      <c r="F369" s="94">
        <v>36157.15</v>
      </c>
      <c r="G369" s="8" t="s">
        <v>1143</v>
      </c>
      <c r="H369" s="591" t="str">
        <f t="shared" si="9"/>
        <v>Regelzone Amprion (gesamt)</v>
      </c>
      <c r="I369" s="587"/>
    </row>
    <row r="370" spans="1:9" hidden="1" outlineLevel="1">
      <c r="A370" s="1639">
        <v>2022</v>
      </c>
      <c r="B370" s="73" t="s">
        <v>730</v>
      </c>
      <c r="C370" s="80" t="s">
        <v>2408</v>
      </c>
      <c r="D370" s="48">
        <v>1279791</v>
      </c>
      <c r="E370" s="48">
        <v>4837.6099999999997</v>
      </c>
      <c r="F370" s="94">
        <v>5362.33</v>
      </c>
      <c r="G370" s="8" t="s">
        <v>731</v>
      </c>
      <c r="H370" s="591" t="str">
        <f t="shared" si="9"/>
        <v>Regelzone Amprion (gesamt)</v>
      </c>
      <c r="I370" s="587"/>
    </row>
    <row r="371" spans="1:9" hidden="1" outlineLevel="1">
      <c r="A371" s="1639">
        <v>2022</v>
      </c>
      <c r="B371" s="73" t="s">
        <v>1144</v>
      </c>
      <c r="C371" s="80" t="s">
        <v>2408</v>
      </c>
      <c r="D371" s="48">
        <v>507165</v>
      </c>
      <c r="E371" s="48">
        <v>1917.08</v>
      </c>
      <c r="F371" s="94">
        <v>2125.02</v>
      </c>
      <c r="G371" s="8" t="s">
        <v>1145</v>
      </c>
      <c r="H371" s="591" t="str">
        <f t="shared" si="9"/>
        <v>Regelzone Amprion (gesamt)</v>
      </c>
      <c r="I371" s="587"/>
    </row>
    <row r="372" spans="1:9" hidden="1" outlineLevel="1">
      <c r="A372" s="1639">
        <v>2022</v>
      </c>
      <c r="B372" s="73" t="s">
        <v>1146</v>
      </c>
      <c r="C372" s="80" t="s">
        <v>2408</v>
      </c>
      <c r="D372" s="48">
        <v>-73423</v>
      </c>
      <c r="E372" s="48">
        <v>-277.54000000000002</v>
      </c>
      <c r="F372" s="94">
        <v>-307.64999999999998</v>
      </c>
      <c r="G372" s="8" t="s">
        <v>1147</v>
      </c>
      <c r="H372" s="591" t="str">
        <f t="shared" si="9"/>
        <v>Regelzone Amprion (gesamt)</v>
      </c>
      <c r="I372" s="587"/>
    </row>
    <row r="373" spans="1:9" hidden="1" outlineLevel="1">
      <c r="A373" s="1639">
        <v>2022</v>
      </c>
      <c r="B373" s="73" t="s">
        <v>1148</v>
      </c>
      <c r="C373" s="80" t="s">
        <v>2408</v>
      </c>
      <c r="D373" s="48">
        <v>32215</v>
      </c>
      <c r="E373" s="48">
        <v>121.77</v>
      </c>
      <c r="F373" s="94">
        <v>134.97999999999999</v>
      </c>
      <c r="G373" s="8" t="s">
        <v>1149</v>
      </c>
      <c r="H373" s="591" t="str">
        <f t="shared" si="9"/>
        <v>Regelzone Amprion (gesamt)</v>
      </c>
      <c r="I373" s="587"/>
    </row>
    <row r="374" spans="1:9" hidden="1" outlineLevel="1">
      <c r="A374" s="1639">
        <v>2022</v>
      </c>
      <c r="B374" s="73" t="s">
        <v>1152</v>
      </c>
      <c r="C374" s="80" t="s">
        <v>2408</v>
      </c>
      <c r="D374" s="48">
        <v>124841</v>
      </c>
      <c r="E374" s="48">
        <v>471.9</v>
      </c>
      <c r="F374" s="94">
        <v>523.09</v>
      </c>
      <c r="G374" s="8" t="s">
        <v>1153</v>
      </c>
      <c r="H374" s="591" t="str">
        <f t="shared" si="9"/>
        <v>Regelzone Amprion (gesamt)</v>
      </c>
      <c r="I374" s="587"/>
    </row>
    <row r="375" spans="1:9" hidden="1" outlineLevel="1">
      <c r="A375" s="1639">
        <v>2022</v>
      </c>
      <c r="B375" s="73" t="s">
        <v>1156</v>
      </c>
      <c r="C375" s="80" t="s">
        <v>2408</v>
      </c>
      <c r="D375" s="48">
        <v>143330</v>
      </c>
      <c r="E375" s="48">
        <v>541.79</v>
      </c>
      <c r="F375" s="94">
        <v>600.55999999999995</v>
      </c>
      <c r="G375" s="8" t="s">
        <v>1157</v>
      </c>
      <c r="H375" s="591" t="str">
        <f t="shared" si="9"/>
        <v>Regelzone Amprion (gesamt)</v>
      </c>
      <c r="I375" s="587"/>
    </row>
    <row r="376" spans="1:9" hidden="1" outlineLevel="1">
      <c r="A376" s="1639">
        <v>2022</v>
      </c>
      <c r="B376" s="73" t="s">
        <v>1158</v>
      </c>
      <c r="C376" s="80" t="s">
        <v>2408</v>
      </c>
      <c r="D376" s="48">
        <v>-1143928</v>
      </c>
      <c r="E376" s="48">
        <v>-4324.05</v>
      </c>
      <c r="F376" s="94">
        <v>-4793.05</v>
      </c>
      <c r="G376" s="8" t="s">
        <v>1159</v>
      </c>
      <c r="H376" s="591" t="str">
        <f>+H375</f>
        <v>Regelzone Amprion (gesamt)</v>
      </c>
      <c r="I376" s="587"/>
    </row>
    <row r="377" spans="1:9" hidden="1" outlineLevel="1">
      <c r="A377" s="1639">
        <v>2022</v>
      </c>
      <c r="B377" s="73" t="s">
        <v>1160</v>
      </c>
      <c r="C377" s="80" t="s">
        <v>2408</v>
      </c>
      <c r="D377" s="48">
        <v>25388</v>
      </c>
      <c r="E377" s="48">
        <v>95.97</v>
      </c>
      <c r="F377" s="94">
        <v>106.37</v>
      </c>
      <c r="G377" s="8" t="s">
        <v>1161</v>
      </c>
      <c r="H377" s="591" t="str">
        <f t="shared" si="9"/>
        <v>Regelzone Amprion (gesamt)</v>
      </c>
      <c r="I377" s="587"/>
    </row>
    <row r="378" spans="1:9" hidden="1" outlineLevel="1">
      <c r="A378" s="1639">
        <v>2022</v>
      </c>
      <c r="B378" s="73" t="s">
        <v>1170</v>
      </c>
      <c r="C378" s="80" t="s">
        <v>2408</v>
      </c>
      <c r="D378" s="48">
        <v>29627</v>
      </c>
      <c r="E378" s="48">
        <v>111.99</v>
      </c>
      <c r="F378" s="94">
        <v>124.14</v>
      </c>
      <c r="G378" s="8" t="s">
        <v>1171</v>
      </c>
      <c r="H378" s="591" t="str">
        <f t="shared" si="9"/>
        <v>Regelzone Amprion (gesamt)</v>
      </c>
      <c r="I378" s="587"/>
    </row>
    <row r="379" spans="1:9" hidden="1" outlineLevel="1">
      <c r="A379" s="1639">
        <v>2022</v>
      </c>
      <c r="B379" s="73" t="s">
        <v>1174</v>
      </c>
      <c r="C379" s="80" t="s">
        <v>2408</v>
      </c>
      <c r="D379" s="48">
        <v>-2445109</v>
      </c>
      <c r="E379" s="48">
        <v>-9242.51</v>
      </c>
      <c r="F379" s="94">
        <v>-10245.01</v>
      </c>
      <c r="G379" s="8" t="s">
        <v>1175</v>
      </c>
      <c r="H379" s="591" t="str">
        <f t="shared" si="9"/>
        <v>Regelzone Amprion (gesamt)</v>
      </c>
      <c r="I379" s="587"/>
    </row>
    <row r="380" spans="1:9" hidden="1" outlineLevel="1">
      <c r="A380" s="1639">
        <v>2022</v>
      </c>
      <c r="B380" s="73" t="s">
        <v>1176</v>
      </c>
      <c r="C380" s="80" t="s">
        <v>2408</v>
      </c>
      <c r="D380" s="48">
        <v>257504</v>
      </c>
      <c r="E380" s="48">
        <v>973.37</v>
      </c>
      <c r="F380" s="94">
        <v>1078.94</v>
      </c>
      <c r="G380" s="8" t="s">
        <v>1177</v>
      </c>
      <c r="H380" s="591" t="str">
        <f t="shared" si="9"/>
        <v>Regelzone Amprion (gesamt)</v>
      </c>
      <c r="I380" s="587"/>
    </row>
    <row r="381" spans="1:9" hidden="1" outlineLevel="1">
      <c r="A381" s="1639">
        <v>2022</v>
      </c>
      <c r="B381" s="73" t="s">
        <v>1182</v>
      </c>
      <c r="C381" s="80" t="s">
        <v>2408</v>
      </c>
      <c r="D381" s="48">
        <v>-10727</v>
      </c>
      <c r="E381" s="48">
        <v>-40.549999999999997</v>
      </c>
      <c r="F381" s="94">
        <v>-44.94</v>
      </c>
      <c r="G381" s="8" t="s">
        <v>1183</v>
      </c>
      <c r="H381" s="591" t="str">
        <f t="shared" si="9"/>
        <v>Regelzone Amprion (gesamt)</v>
      </c>
      <c r="I381" s="587"/>
    </row>
    <row r="382" spans="1:9" hidden="1" outlineLevel="1">
      <c r="A382" s="1639">
        <v>2022</v>
      </c>
      <c r="B382" s="73" t="s">
        <v>1188</v>
      </c>
      <c r="C382" s="80" t="s">
        <v>2408</v>
      </c>
      <c r="D382" s="48">
        <v>-852</v>
      </c>
      <c r="E382" s="48">
        <v>-3.22</v>
      </c>
      <c r="F382" s="94">
        <v>-3.57</v>
      </c>
      <c r="G382" s="8" t="s">
        <v>1189</v>
      </c>
      <c r="H382" s="591" t="str">
        <f t="shared" si="9"/>
        <v>Regelzone Amprion (gesamt)</v>
      </c>
      <c r="I382" s="587"/>
    </row>
    <row r="383" spans="1:9" hidden="1" outlineLevel="1">
      <c r="A383" s="1639">
        <v>2022</v>
      </c>
      <c r="B383" s="73" t="s">
        <v>1190</v>
      </c>
      <c r="C383" s="80" t="s">
        <v>2408</v>
      </c>
      <c r="D383" s="48">
        <v>348769</v>
      </c>
      <c r="E383" s="48">
        <v>1318.35</v>
      </c>
      <c r="F383" s="94">
        <v>1461.34</v>
      </c>
      <c r="G383" s="8" t="s">
        <v>1191</v>
      </c>
      <c r="H383" s="591" t="str">
        <f t="shared" si="9"/>
        <v>Regelzone Amprion (gesamt)</v>
      </c>
      <c r="I383" s="587"/>
    </row>
    <row r="384" spans="1:9" hidden="1" outlineLevel="1">
      <c r="A384" s="1639">
        <v>2022</v>
      </c>
      <c r="B384" s="73" t="s">
        <v>1192</v>
      </c>
      <c r="C384" s="80" t="s">
        <v>2408</v>
      </c>
      <c r="D384" s="48">
        <v>-25913</v>
      </c>
      <c r="E384" s="48">
        <v>-97.95</v>
      </c>
      <c r="F384" s="94">
        <v>-108.57</v>
      </c>
      <c r="G384" s="8" t="s">
        <v>1193</v>
      </c>
      <c r="H384" s="591" t="str">
        <f t="shared" si="9"/>
        <v>Regelzone Amprion (gesamt)</v>
      </c>
      <c r="I384" s="587"/>
    </row>
    <row r="385" spans="1:9" hidden="1" outlineLevel="1">
      <c r="A385" s="1639">
        <v>2022</v>
      </c>
      <c r="B385" s="73" t="s">
        <v>1194</v>
      </c>
      <c r="C385" s="80" t="s">
        <v>2408</v>
      </c>
      <c r="D385" s="48">
        <v>9154</v>
      </c>
      <c r="E385" s="48">
        <v>34.6</v>
      </c>
      <c r="F385" s="94">
        <v>38.35</v>
      </c>
      <c r="G385" s="8" t="s">
        <v>1195</v>
      </c>
      <c r="H385" s="591" t="str">
        <f t="shared" si="9"/>
        <v>Regelzone Amprion (gesamt)</v>
      </c>
      <c r="I385" s="587"/>
    </row>
    <row r="386" spans="1:9" hidden="1" outlineLevel="1">
      <c r="A386" s="1639">
        <v>2022</v>
      </c>
      <c r="B386" s="73" t="s">
        <v>1198</v>
      </c>
      <c r="C386" s="80" t="s">
        <v>2408</v>
      </c>
      <c r="D386" s="48">
        <v>18179</v>
      </c>
      <c r="E386" s="48">
        <v>68.72</v>
      </c>
      <c r="F386" s="94">
        <v>76.17</v>
      </c>
      <c r="G386" s="8" t="s">
        <v>1199</v>
      </c>
      <c r="H386" s="591" t="str">
        <f t="shared" si="9"/>
        <v>Regelzone Amprion (gesamt)</v>
      </c>
      <c r="I386" s="587"/>
    </row>
    <row r="387" spans="1:9" hidden="1" outlineLevel="1">
      <c r="A387" s="1639">
        <v>2022</v>
      </c>
      <c r="B387" s="73" t="s">
        <v>1200</v>
      </c>
      <c r="C387" s="80" t="s">
        <v>2408</v>
      </c>
      <c r="D387" s="48">
        <v>2606</v>
      </c>
      <c r="E387" s="48">
        <v>9.85</v>
      </c>
      <c r="F387" s="94">
        <v>10.92</v>
      </c>
      <c r="G387" s="8" t="s">
        <v>1201</v>
      </c>
      <c r="H387" s="591" t="str">
        <f t="shared" si="9"/>
        <v>Regelzone Amprion (gesamt)</v>
      </c>
      <c r="I387" s="587"/>
    </row>
    <row r="388" spans="1:9" hidden="1" outlineLevel="1">
      <c r="A388" s="1639">
        <v>2022</v>
      </c>
      <c r="B388" s="73" t="s">
        <v>1206</v>
      </c>
      <c r="C388" s="80" t="s">
        <v>2408</v>
      </c>
      <c r="D388" s="48">
        <v>-28</v>
      </c>
      <c r="E388" s="48">
        <v>-0.11</v>
      </c>
      <c r="F388" s="94">
        <v>-0.11</v>
      </c>
      <c r="G388" s="8" t="s">
        <v>1207</v>
      </c>
      <c r="H388" s="591" t="str">
        <f t="shared" si="9"/>
        <v>Regelzone Amprion (gesamt)</v>
      </c>
      <c r="I388" s="587"/>
    </row>
    <row r="389" spans="1:9" ht="13.5" hidden="1" outlineLevel="1" thickBot="1">
      <c r="A389" s="1640">
        <v>2022</v>
      </c>
      <c r="B389" s="74" t="s">
        <v>768</v>
      </c>
      <c r="C389" s="687" t="s">
        <v>2408</v>
      </c>
      <c r="D389" s="49">
        <v>50</v>
      </c>
      <c r="E389" s="49">
        <v>0.18</v>
      </c>
      <c r="F389" s="697">
        <v>0.21</v>
      </c>
      <c r="G389" s="8" t="s">
        <v>769</v>
      </c>
      <c r="H389" s="591" t="str">
        <f t="shared" si="9"/>
        <v>Regelzone Amprion (gesamt)</v>
      </c>
      <c r="I389" s="587"/>
    </row>
    <row r="390" spans="1:9" hidden="1" outlineLevel="1">
      <c r="A390" s="1637">
        <v>2023</v>
      </c>
      <c r="B390" s="75" t="s">
        <v>775</v>
      </c>
      <c r="C390" s="79" t="s">
        <v>2408</v>
      </c>
      <c r="D390" s="47">
        <v>-966479</v>
      </c>
      <c r="E390" s="47">
        <v>-3450.33</v>
      </c>
      <c r="F390" s="706">
        <v>-5711.89</v>
      </c>
      <c r="G390" s="8" t="s">
        <v>776</v>
      </c>
      <c r="H390" s="591" t="str">
        <f t="shared" si="9"/>
        <v>Regelzone Amprion (gesamt)</v>
      </c>
      <c r="I390" s="587"/>
    </row>
    <row r="391" spans="1:9" hidden="1" outlineLevel="1">
      <c r="A391" s="1639">
        <v>2023</v>
      </c>
      <c r="B391" s="73" t="s">
        <v>456</v>
      </c>
      <c r="C391" s="80" t="s">
        <v>2408</v>
      </c>
      <c r="D391" s="48">
        <v>1202402</v>
      </c>
      <c r="E391" s="48">
        <v>4292.58</v>
      </c>
      <c r="F391" s="94">
        <v>7106.19</v>
      </c>
      <c r="G391" s="8" t="s">
        <v>457</v>
      </c>
      <c r="H391" s="591" t="str">
        <f t="shared" si="9"/>
        <v>Regelzone Amprion (gesamt)</v>
      </c>
      <c r="I391" s="587"/>
    </row>
    <row r="392" spans="1:9" hidden="1" outlineLevel="1">
      <c r="A392" s="1639">
        <v>2023</v>
      </c>
      <c r="B392" s="73" t="s">
        <v>777</v>
      </c>
      <c r="C392" s="80" t="s">
        <v>2408</v>
      </c>
      <c r="D392" s="48">
        <v>47653</v>
      </c>
      <c r="E392" s="48">
        <v>170.12</v>
      </c>
      <c r="F392" s="94">
        <v>281.63</v>
      </c>
      <c r="G392" s="8" t="s">
        <v>778</v>
      </c>
      <c r="H392" s="591" t="str">
        <f t="shared" ref="H392:H456" si="10">+H391</f>
        <v>Regelzone Amprion (gesamt)</v>
      </c>
      <c r="I392" s="587"/>
    </row>
    <row r="393" spans="1:9" hidden="1" outlineLevel="1">
      <c r="A393" s="1639">
        <v>2023</v>
      </c>
      <c r="B393" s="73" t="s">
        <v>781</v>
      </c>
      <c r="C393" s="80" t="s">
        <v>2409</v>
      </c>
      <c r="D393" s="48">
        <v>-9677</v>
      </c>
      <c r="E393" s="94">
        <v>-3.87</v>
      </c>
      <c r="F393" s="94">
        <v>-3.87</v>
      </c>
      <c r="G393" s="8" t="s">
        <v>782</v>
      </c>
      <c r="H393" s="591" t="str">
        <f t="shared" si="10"/>
        <v>Regelzone Amprion (gesamt)</v>
      </c>
      <c r="I393" s="587"/>
    </row>
    <row r="394" spans="1:9" hidden="1" outlineLevel="1">
      <c r="A394" s="1639">
        <v>2023</v>
      </c>
      <c r="B394" s="73" t="s">
        <v>781</v>
      </c>
      <c r="C394" s="80" t="s">
        <v>2408</v>
      </c>
      <c r="D394" s="48">
        <v>1611214</v>
      </c>
      <c r="E394" s="48">
        <v>5752.04</v>
      </c>
      <c r="F394" s="94">
        <v>9522.27</v>
      </c>
      <c r="G394" s="8" t="s">
        <v>782</v>
      </c>
      <c r="H394" s="591" t="str">
        <f t="shared" si="10"/>
        <v>Regelzone Amprion (gesamt)</v>
      </c>
      <c r="I394" s="587"/>
    </row>
    <row r="395" spans="1:9" hidden="1" outlineLevel="1">
      <c r="A395" s="1639">
        <v>2023</v>
      </c>
      <c r="B395" s="73" t="s">
        <v>787</v>
      </c>
      <c r="C395" s="80" t="s">
        <v>2408</v>
      </c>
      <c r="D395" s="48">
        <v>-10154710</v>
      </c>
      <c r="E395" s="48">
        <v>-36252.31</v>
      </c>
      <c r="F395" s="94">
        <v>-60014.34</v>
      </c>
      <c r="G395" s="8" t="s">
        <v>788</v>
      </c>
      <c r="H395" s="591" t="str">
        <f t="shared" si="10"/>
        <v>Regelzone Amprion (gesamt)</v>
      </c>
      <c r="I395" s="587"/>
    </row>
    <row r="396" spans="1:9" hidden="1" outlineLevel="1">
      <c r="A396" s="1639">
        <v>2023</v>
      </c>
      <c r="B396" s="73" t="s">
        <v>789</v>
      </c>
      <c r="C396" s="80" t="s">
        <v>2408</v>
      </c>
      <c r="D396" s="48">
        <v>10911807</v>
      </c>
      <c r="E396" s="48">
        <v>38955.15</v>
      </c>
      <c r="F396" s="94">
        <v>64488.77</v>
      </c>
      <c r="G396" s="8" t="s">
        <v>790</v>
      </c>
      <c r="H396" s="591" t="str">
        <f>+H395</f>
        <v>Regelzone Amprion (gesamt)</v>
      </c>
      <c r="I396" s="587"/>
    </row>
    <row r="397" spans="1:9" hidden="1" outlineLevel="1">
      <c r="A397" s="1639">
        <v>2023</v>
      </c>
      <c r="B397" s="73" t="s">
        <v>791</v>
      </c>
      <c r="C397" s="80" t="s">
        <v>2408</v>
      </c>
      <c r="D397" s="48">
        <v>-285417</v>
      </c>
      <c r="E397" s="48">
        <v>-1018.94</v>
      </c>
      <c r="F397" s="94">
        <v>-1686.82</v>
      </c>
      <c r="G397" s="8" t="s">
        <v>792</v>
      </c>
      <c r="H397" s="591" t="str">
        <f>+H395</f>
        <v>Regelzone Amprion (gesamt)</v>
      </c>
      <c r="I397" s="587"/>
    </row>
    <row r="398" spans="1:9" hidden="1" outlineLevel="1">
      <c r="A398" s="1639">
        <v>2023</v>
      </c>
      <c r="B398" s="73" t="s">
        <v>793</v>
      </c>
      <c r="C398" s="80" t="s">
        <v>2408</v>
      </c>
      <c r="D398" s="48">
        <v>30937</v>
      </c>
      <c r="E398" s="48">
        <v>110.44</v>
      </c>
      <c r="F398" s="94">
        <v>182.84</v>
      </c>
      <c r="G398" s="8" t="s">
        <v>794</v>
      </c>
      <c r="H398" s="591" t="str">
        <f t="shared" si="10"/>
        <v>Regelzone Amprion (gesamt)</v>
      </c>
      <c r="I398" s="587"/>
    </row>
    <row r="399" spans="1:9" hidden="1" outlineLevel="1">
      <c r="A399" s="1639">
        <v>2023</v>
      </c>
      <c r="B399" s="73" t="s">
        <v>795</v>
      </c>
      <c r="C399" s="80" t="s">
        <v>2408</v>
      </c>
      <c r="D399" s="48">
        <v>-1672261</v>
      </c>
      <c r="E399" s="48">
        <v>-5969.97</v>
      </c>
      <c r="F399" s="94">
        <v>-9883.06</v>
      </c>
      <c r="G399" s="8" t="s">
        <v>796</v>
      </c>
      <c r="H399" s="591" t="str">
        <f t="shared" si="10"/>
        <v>Regelzone Amprion (gesamt)</v>
      </c>
      <c r="I399" s="587"/>
    </row>
    <row r="400" spans="1:9" hidden="1" outlineLevel="1">
      <c r="A400" s="1639">
        <v>2023</v>
      </c>
      <c r="B400" s="73" t="s">
        <v>797</v>
      </c>
      <c r="C400" s="80" t="s">
        <v>2408</v>
      </c>
      <c r="D400" s="48">
        <v>-106421</v>
      </c>
      <c r="E400" s="48">
        <v>-379.92</v>
      </c>
      <c r="F400" s="94">
        <v>-628.95000000000005</v>
      </c>
      <c r="G400" s="8" t="s">
        <v>798</v>
      </c>
      <c r="H400" s="591" t="str">
        <f t="shared" si="10"/>
        <v>Regelzone Amprion (gesamt)</v>
      </c>
      <c r="I400" s="587"/>
    </row>
    <row r="401" spans="1:9" hidden="1" outlineLevel="1">
      <c r="A401" s="1639">
        <v>2023</v>
      </c>
      <c r="B401" s="73" t="s">
        <v>799</v>
      </c>
      <c r="C401" s="80" t="s">
        <v>2408</v>
      </c>
      <c r="D401" s="48">
        <v>-944592</v>
      </c>
      <c r="E401" s="48">
        <v>-3372.2</v>
      </c>
      <c r="F401" s="94">
        <v>-5582.54</v>
      </c>
      <c r="G401" s="8" t="s">
        <v>800</v>
      </c>
      <c r="H401" s="591" t="str">
        <f t="shared" si="10"/>
        <v>Regelzone Amprion (gesamt)</v>
      </c>
      <c r="I401" s="587"/>
    </row>
    <row r="402" spans="1:9" hidden="1" outlineLevel="1">
      <c r="A402" s="1639">
        <v>2023</v>
      </c>
      <c r="B402" s="73" t="s">
        <v>805</v>
      </c>
      <c r="C402" s="80" t="s">
        <v>2408</v>
      </c>
      <c r="D402" s="48">
        <v>107059</v>
      </c>
      <c r="E402" s="48">
        <v>382.2</v>
      </c>
      <c r="F402" s="94">
        <v>632.72</v>
      </c>
      <c r="G402" s="8" t="s">
        <v>806</v>
      </c>
      <c r="H402" s="591" t="str">
        <f t="shared" si="10"/>
        <v>Regelzone Amprion (gesamt)</v>
      </c>
      <c r="I402" s="587"/>
    </row>
    <row r="403" spans="1:9" hidden="1" outlineLevel="1">
      <c r="A403" s="1639">
        <v>2023</v>
      </c>
      <c r="B403" s="73" t="s">
        <v>809</v>
      </c>
      <c r="C403" s="80" t="s">
        <v>2408</v>
      </c>
      <c r="D403" s="48">
        <v>-20513</v>
      </c>
      <c r="E403" s="48">
        <v>-73.23</v>
      </c>
      <c r="F403" s="94">
        <v>-121.23</v>
      </c>
      <c r="G403" s="8" t="s">
        <v>810</v>
      </c>
      <c r="H403" s="591" t="str">
        <f t="shared" si="10"/>
        <v>Regelzone Amprion (gesamt)</v>
      </c>
      <c r="I403" s="587"/>
    </row>
    <row r="404" spans="1:9" hidden="1" outlineLevel="1">
      <c r="A404" s="1639">
        <v>2023</v>
      </c>
      <c r="B404" s="73" t="s">
        <v>811</v>
      </c>
      <c r="C404" s="80" t="s">
        <v>2409</v>
      </c>
      <c r="D404" s="48">
        <v>83</v>
      </c>
      <c r="E404" s="48">
        <v>0.03</v>
      </c>
      <c r="F404" s="94">
        <v>0.03</v>
      </c>
      <c r="G404" s="8" t="s">
        <v>812</v>
      </c>
      <c r="H404" s="591" t="str">
        <f t="shared" si="10"/>
        <v>Regelzone Amprion (gesamt)</v>
      </c>
      <c r="I404" s="587"/>
    </row>
    <row r="405" spans="1:9" hidden="1" outlineLevel="1">
      <c r="A405" s="1639">
        <v>2023</v>
      </c>
      <c r="B405" s="73" t="s">
        <v>811</v>
      </c>
      <c r="C405" s="31" t="s">
        <v>2408</v>
      </c>
      <c r="D405" s="48">
        <v>-34661512</v>
      </c>
      <c r="E405" s="48">
        <v>-123741.6</v>
      </c>
      <c r="F405" s="94">
        <v>-204849.53</v>
      </c>
      <c r="G405" s="8" t="s">
        <v>812</v>
      </c>
      <c r="H405" s="591" t="str">
        <f t="shared" si="10"/>
        <v>Regelzone Amprion (gesamt)</v>
      </c>
      <c r="I405" s="587"/>
    </row>
    <row r="406" spans="1:9" hidden="1" outlineLevel="1">
      <c r="A406" s="1639">
        <v>2023</v>
      </c>
      <c r="B406" s="73" t="s">
        <v>813</v>
      </c>
      <c r="C406" s="80" t="s">
        <v>2408</v>
      </c>
      <c r="D406" s="48">
        <v>-11414</v>
      </c>
      <c r="E406" s="94">
        <v>-40.75</v>
      </c>
      <c r="F406" s="94">
        <v>-67.45</v>
      </c>
      <c r="G406" s="8" t="s">
        <v>814</v>
      </c>
      <c r="H406" s="591" t="str">
        <f t="shared" si="10"/>
        <v>Regelzone Amprion (gesamt)</v>
      </c>
      <c r="I406" s="587"/>
    </row>
    <row r="407" spans="1:9" hidden="1" outlineLevel="1">
      <c r="A407" s="1639">
        <v>2023</v>
      </c>
      <c r="B407" s="73" t="s">
        <v>817</v>
      </c>
      <c r="C407" s="80" t="s">
        <v>2408</v>
      </c>
      <c r="D407" s="48">
        <v>59345</v>
      </c>
      <c r="E407" s="48">
        <v>211.86</v>
      </c>
      <c r="F407" s="94">
        <v>350.73</v>
      </c>
      <c r="G407" s="8" t="s">
        <v>818</v>
      </c>
      <c r="H407" s="591" t="str">
        <f t="shared" si="10"/>
        <v>Regelzone Amprion (gesamt)</v>
      </c>
      <c r="I407" s="587"/>
    </row>
    <row r="408" spans="1:9" hidden="1" outlineLevel="1">
      <c r="A408" s="1639">
        <v>2023</v>
      </c>
      <c r="B408" s="73" t="s">
        <v>821</v>
      </c>
      <c r="C408" s="80" t="s">
        <v>2408</v>
      </c>
      <c r="D408" s="48">
        <v>28323</v>
      </c>
      <c r="E408" s="48">
        <v>101.11</v>
      </c>
      <c r="F408" s="94">
        <v>167.39</v>
      </c>
      <c r="G408" s="8" t="s">
        <v>822</v>
      </c>
      <c r="H408" s="591" t="str">
        <f t="shared" si="10"/>
        <v>Regelzone Amprion (gesamt)</v>
      </c>
      <c r="I408" s="587"/>
    </row>
    <row r="409" spans="1:9" hidden="1" outlineLevel="1">
      <c r="A409" s="1639">
        <v>2023</v>
      </c>
      <c r="B409" s="73" t="s">
        <v>825</v>
      </c>
      <c r="C409" s="80" t="s">
        <v>2408</v>
      </c>
      <c r="D409" s="48">
        <v>-12414</v>
      </c>
      <c r="E409" s="48">
        <v>-44.32</v>
      </c>
      <c r="F409" s="94">
        <v>-73.37</v>
      </c>
      <c r="G409" s="8" t="s">
        <v>826</v>
      </c>
      <c r="H409" s="591" t="str">
        <f t="shared" si="10"/>
        <v>Regelzone Amprion (gesamt)</v>
      </c>
      <c r="I409" s="587"/>
    </row>
    <row r="410" spans="1:9" hidden="1" outlineLevel="1">
      <c r="A410" s="1639">
        <v>2023</v>
      </c>
      <c r="B410" s="73" t="s">
        <v>827</v>
      </c>
      <c r="C410" s="80" t="s">
        <v>2408</v>
      </c>
      <c r="D410" s="48">
        <v>101976</v>
      </c>
      <c r="E410" s="48">
        <v>364.05</v>
      </c>
      <c r="F410" s="94">
        <v>602.67999999999995</v>
      </c>
      <c r="G410" s="8" t="s">
        <v>828</v>
      </c>
      <c r="H410" s="591" t="str">
        <f t="shared" si="10"/>
        <v>Regelzone Amprion (gesamt)</v>
      </c>
      <c r="I410" s="587"/>
    </row>
    <row r="411" spans="1:9" hidden="1" outlineLevel="1">
      <c r="A411" s="1639">
        <v>2023</v>
      </c>
      <c r="B411" s="73" t="s">
        <v>829</v>
      </c>
      <c r="C411" s="80" t="s">
        <v>2408</v>
      </c>
      <c r="D411" s="48">
        <v>-82053</v>
      </c>
      <c r="E411" s="48">
        <v>-292.93</v>
      </c>
      <c r="F411" s="94">
        <v>-484.93</v>
      </c>
      <c r="G411" s="8" t="s">
        <v>830</v>
      </c>
      <c r="H411" s="591" t="str">
        <f t="shared" si="10"/>
        <v>Regelzone Amprion (gesamt)</v>
      </c>
      <c r="I411" s="587"/>
    </row>
    <row r="412" spans="1:9" hidden="1" outlineLevel="1">
      <c r="A412" s="1639">
        <v>2023</v>
      </c>
      <c r="B412" s="73" t="s">
        <v>833</v>
      </c>
      <c r="C412" s="80" t="s">
        <v>2408</v>
      </c>
      <c r="D412" s="48">
        <v>-9515198</v>
      </c>
      <c r="E412" s="48">
        <v>-33969.26</v>
      </c>
      <c r="F412" s="94">
        <v>-56234.82</v>
      </c>
      <c r="G412" s="8" t="s">
        <v>834</v>
      </c>
      <c r="H412" s="591" t="str">
        <f t="shared" si="10"/>
        <v>Regelzone Amprion (gesamt)</v>
      </c>
      <c r="I412" s="587"/>
    </row>
    <row r="413" spans="1:9" hidden="1" outlineLevel="1">
      <c r="A413" s="1639">
        <v>2023</v>
      </c>
      <c r="B413" s="73" t="s">
        <v>835</v>
      </c>
      <c r="C413" s="80" t="s">
        <v>2408</v>
      </c>
      <c r="D413" s="48">
        <v>8782</v>
      </c>
      <c r="E413" s="48">
        <v>31.35</v>
      </c>
      <c r="F413" s="94">
        <v>51.9</v>
      </c>
      <c r="G413" s="8" t="s">
        <v>836</v>
      </c>
      <c r="H413" s="591" t="str">
        <f t="shared" si="10"/>
        <v>Regelzone Amprion (gesamt)</v>
      </c>
      <c r="I413" s="587"/>
    </row>
    <row r="414" spans="1:9" hidden="1" outlineLevel="1">
      <c r="A414" s="1639">
        <v>2023</v>
      </c>
      <c r="B414" s="73" t="s">
        <v>839</v>
      </c>
      <c r="C414" s="80" t="s">
        <v>2408</v>
      </c>
      <c r="D414" s="48">
        <v>-3258005</v>
      </c>
      <c r="E414" s="48">
        <v>-11631.08</v>
      </c>
      <c r="F414" s="94">
        <v>-19254.810000000001</v>
      </c>
      <c r="G414" s="8" t="s">
        <v>840</v>
      </c>
      <c r="H414" s="591" t="str">
        <f t="shared" si="10"/>
        <v>Regelzone Amprion (gesamt)</v>
      </c>
      <c r="I414" s="587"/>
    </row>
    <row r="415" spans="1:9" hidden="1" outlineLevel="1">
      <c r="A415" s="1639">
        <v>2023</v>
      </c>
      <c r="B415" s="73" t="s">
        <v>841</v>
      </c>
      <c r="C415" s="80" t="s">
        <v>2408</v>
      </c>
      <c r="D415" s="48">
        <v>-1173374</v>
      </c>
      <c r="E415" s="48">
        <v>-4188.9399999999996</v>
      </c>
      <c r="F415" s="94">
        <v>-6934.64</v>
      </c>
      <c r="G415" s="8" t="s">
        <v>842</v>
      </c>
      <c r="H415" s="591" t="str">
        <f t="shared" si="10"/>
        <v>Regelzone Amprion (gesamt)</v>
      </c>
      <c r="I415" s="587"/>
    </row>
    <row r="416" spans="1:9" hidden="1" outlineLevel="1">
      <c r="A416" s="1639">
        <v>2023</v>
      </c>
      <c r="B416" s="73" t="s">
        <v>845</v>
      </c>
      <c r="C416" s="80" t="s">
        <v>2408</v>
      </c>
      <c r="D416" s="48">
        <v>80275</v>
      </c>
      <c r="E416" s="48">
        <v>286.58</v>
      </c>
      <c r="F416" s="94">
        <v>474.43</v>
      </c>
      <c r="G416" s="8" t="s">
        <v>846</v>
      </c>
      <c r="H416" s="591" t="str">
        <f t="shared" si="10"/>
        <v>Regelzone Amprion (gesamt)</v>
      </c>
      <c r="I416" s="587"/>
    </row>
    <row r="417" spans="1:9" hidden="1" outlineLevel="1">
      <c r="A417" s="1639">
        <v>2023</v>
      </c>
      <c r="B417" s="73" t="s">
        <v>847</v>
      </c>
      <c r="C417" s="80" t="s">
        <v>2409</v>
      </c>
      <c r="D417" s="48">
        <v>9895758</v>
      </c>
      <c r="E417" s="48">
        <v>3958.3</v>
      </c>
      <c r="F417" s="94">
        <v>3958.3</v>
      </c>
      <c r="G417" s="8" t="s">
        <v>848</v>
      </c>
      <c r="H417" s="591" t="str">
        <f t="shared" si="10"/>
        <v>Regelzone Amprion (gesamt)</v>
      </c>
      <c r="I417" s="587"/>
    </row>
    <row r="418" spans="1:9" hidden="1" outlineLevel="1">
      <c r="A418" s="1639">
        <v>2023</v>
      </c>
      <c r="B418" s="73" t="s">
        <v>847</v>
      </c>
      <c r="C418" s="80" t="s">
        <v>2417</v>
      </c>
      <c r="D418" s="48">
        <v>-9895758</v>
      </c>
      <c r="E418" s="48">
        <v>-2968.73</v>
      </c>
      <c r="F418" s="94">
        <v>-2968.73</v>
      </c>
      <c r="G418" s="8" t="s">
        <v>848</v>
      </c>
      <c r="H418" s="591" t="str">
        <f t="shared" si="10"/>
        <v>Regelzone Amprion (gesamt)</v>
      </c>
      <c r="I418" s="587"/>
    </row>
    <row r="419" spans="1:9" hidden="1" outlineLevel="1">
      <c r="A419" s="1639">
        <v>2023</v>
      </c>
      <c r="B419" s="73" t="s">
        <v>847</v>
      </c>
      <c r="C419" s="80" t="s">
        <v>2408</v>
      </c>
      <c r="D419" s="48">
        <v>139911</v>
      </c>
      <c r="E419" s="48">
        <v>499.48</v>
      </c>
      <c r="F419" s="94">
        <v>826.87</v>
      </c>
      <c r="G419" s="8" t="s">
        <v>848</v>
      </c>
      <c r="H419" s="591" t="str">
        <f t="shared" si="10"/>
        <v>Regelzone Amprion (gesamt)</v>
      </c>
      <c r="I419" s="587"/>
    </row>
    <row r="420" spans="1:9" hidden="1" outlineLevel="1">
      <c r="A420" s="1639">
        <v>2023</v>
      </c>
      <c r="B420" s="73" t="s">
        <v>849</v>
      </c>
      <c r="C420" s="80" t="s">
        <v>2408</v>
      </c>
      <c r="D420" s="48">
        <v>-186209</v>
      </c>
      <c r="E420" s="48">
        <v>-664.77</v>
      </c>
      <c r="F420" s="94">
        <v>-1100.5</v>
      </c>
      <c r="G420" s="8" t="s">
        <v>850</v>
      </c>
      <c r="H420" s="591" t="str">
        <f t="shared" si="10"/>
        <v>Regelzone Amprion (gesamt)</v>
      </c>
      <c r="I420" s="587"/>
    </row>
    <row r="421" spans="1:9" hidden="1" outlineLevel="1">
      <c r="A421" s="1639">
        <v>2023</v>
      </c>
      <c r="B421" s="73" t="s">
        <v>857</v>
      </c>
      <c r="C421" s="80" t="s">
        <v>2408</v>
      </c>
      <c r="D421" s="48">
        <v>30399</v>
      </c>
      <c r="E421" s="48">
        <v>108.53</v>
      </c>
      <c r="F421" s="94">
        <v>179.65</v>
      </c>
      <c r="G421" s="8" t="s">
        <v>858</v>
      </c>
      <c r="H421" s="591" t="str">
        <f t="shared" si="10"/>
        <v>Regelzone Amprion (gesamt)</v>
      </c>
      <c r="I421" s="587"/>
    </row>
    <row r="422" spans="1:9" hidden="1" outlineLevel="1">
      <c r="A422" s="1639">
        <v>2023</v>
      </c>
      <c r="B422" s="73" t="s">
        <v>859</v>
      </c>
      <c r="C422" s="80" t="s">
        <v>2408</v>
      </c>
      <c r="D422" s="48">
        <v>563245</v>
      </c>
      <c r="E422" s="48">
        <v>2010.79</v>
      </c>
      <c r="F422" s="94">
        <v>3328.78</v>
      </c>
      <c r="G422" s="8" t="s">
        <v>860</v>
      </c>
      <c r="H422" s="591" t="str">
        <f t="shared" si="10"/>
        <v>Regelzone Amprion (gesamt)</v>
      </c>
      <c r="I422" s="587"/>
    </row>
    <row r="423" spans="1:9" hidden="1" outlineLevel="1">
      <c r="A423" s="1639">
        <v>2023</v>
      </c>
      <c r="B423" s="73" t="s">
        <v>867</v>
      </c>
      <c r="C423" s="80" t="s">
        <v>2408</v>
      </c>
      <c r="D423" s="48">
        <v>12437</v>
      </c>
      <c r="E423" s="48">
        <v>44.4</v>
      </c>
      <c r="F423" s="94">
        <v>73.510000000000005</v>
      </c>
      <c r="G423" s="8" t="s">
        <v>868</v>
      </c>
      <c r="H423" s="591" t="str">
        <f t="shared" si="10"/>
        <v>Regelzone Amprion (gesamt)</v>
      </c>
      <c r="I423" s="587"/>
    </row>
    <row r="424" spans="1:9" hidden="1" outlineLevel="1">
      <c r="A424" s="1639">
        <v>2023</v>
      </c>
      <c r="B424" s="73" t="s">
        <v>869</v>
      </c>
      <c r="C424" s="80" t="s">
        <v>2408</v>
      </c>
      <c r="D424" s="48">
        <v>15927</v>
      </c>
      <c r="E424" s="48">
        <v>56.86</v>
      </c>
      <c r="F424" s="94">
        <v>94.13</v>
      </c>
      <c r="G424" s="8" t="s">
        <v>870</v>
      </c>
      <c r="H424" s="591" t="str">
        <f t="shared" si="10"/>
        <v>Regelzone Amprion (gesamt)</v>
      </c>
      <c r="I424" s="587"/>
    </row>
    <row r="425" spans="1:9" hidden="1" outlineLevel="1">
      <c r="A425" s="1639">
        <v>2023</v>
      </c>
      <c r="B425" s="73" t="s">
        <v>871</v>
      </c>
      <c r="C425" s="80" t="s">
        <v>2408</v>
      </c>
      <c r="D425" s="48">
        <v>-46848</v>
      </c>
      <c r="E425" s="48">
        <v>-167.25</v>
      </c>
      <c r="F425" s="94">
        <v>-276.87</v>
      </c>
      <c r="G425" s="8" t="s">
        <v>872</v>
      </c>
      <c r="H425" s="591" t="str">
        <f t="shared" si="10"/>
        <v>Regelzone Amprion (gesamt)</v>
      </c>
      <c r="I425" s="587"/>
    </row>
    <row r="426" spans="1:9" hidden="1" outlineLevel="1">
      <c r="A426" s="1639">
        <v>2023</v>
      </c>
      <c r="B426" s="73" t="s">
        <v>875</v>
      </c>
      <c r="C426" s="80" t="s">
        <v>2408</v>
      </c>
      <c r="D426" s="48">
        <v>948509</v>
      </c>
      <c r="E426" s="48">
        <v>3386.17</v>
      </c>
      <c r="F426" s="94">
        <v>5605.69</v>
      </c>
      <c r="G426" s="8" t="s">
        <v>876</v>
      </c>
      <c r="H426" s="591" t="str">
        <f t="shared" si="10"/>
        <v>Regelzone Amprion (gesamt)</v>
      </c>
      <c r="I426" s="587"/>
    </row>
    <row r="427" spans="1:9" hidden="1" outlineLevel="1">
      <c r="A427" s="1639">
        <v>2023</v>
      </c>
      <c r="B427" s="73" t="s">
        <v>877</v>
      </c>
      <c r="C427" s="80" t="s">
        <v>2408</v>
      </c>
      <c r="D427" s="48">
        <v>81629</v>
      </c>
      <c r="E427" s="48">
        <v>291.42</v>
      </c>
      <c r="F427" s="94">
        <v>482.43</v>
      </c>
      <c r="G427" s="8" t="s">
        <v>878</v>
      </c>
      <c r="H427" s="591" t="str">
        <f t="shared" si="10"/>
        <v>Regelzone Amprion (gesamt)</v>
      </c>
      <c r="I427" s="587"/>
    </row>
    <row r="428" spans="1:9" hidden="1" outlineLevel="1">
      <c r="A428" s="1639">
        <v>2023</v>
      </c>
      <c r="B428" s="73" t="s">
        <v>542</v>
      </c>
      <c r="C428" s="80" t="s">
        <v>2408</v>
      </c>
      <c r="D428" s="48">
        <v>-60086</v>
      </c>
      <c r="E428" s="48">
        <v>-214.5</v>
      </c>
      <c r="F428" s="94">
        <v>-355.11</v>
      </c>
      <c r="G428" s="8" t="s">
        <v>543</v>
      </c>
      <c r="H428" s="591" t="str">
        <f t="shared" si="10"/>
        <v>Regelzone Amprion (gesamt)</v>
      </c>
      <c r="I428" s="587"/>
    </row>
    <row r="429" spans="1:9" hidden="1" outlineLevel="1">
      <c r="A429" s="1639">
        <v>2023</v>
      </c>
      <c r="B429" s="73" t="s">
        <v>883</v>
      </c>
      <c r="C429" s="80" t="s">
        <v>2408</v>
      </c>
      <c r="D429" s="48">
        <v>147961</v>
      </c>
      <c r="E429" s="48">
        <v>528.22</v>
      </c>
      <c r="F429" s="94">
        <v>874.45</v>
      </c>
      <c r="G429" s="8" t="s">
        <v>884</v>
      </c>
      <c r="H429" s="591" t="str">
        <f t="shared" si="10"/>
        <v>Regelzone Amprion (gesamt)</v>
      </c>
      <c r="I429" s="587"/>
    </row>
    <row r="430" spans="1:9" hidden="1" outlineLevel="1">
      <c r="A430" s="1639">
        <v>2023</v>
      </c>
      <c r="B430" s="73" t="s">
        <v>889</v>
      </c>
      <c r="C430" s="80" t="s">
        <v>2408</v>
      </c>
      <c r="D430" s="48">
        <v>73496</v>
      </c>
      <c r="E430" s="48">
        <v>262.38</v>
      </c>
      <c r="F430" s="94">
        <v>434.36</v>
      </c>
      <c r="G430" s="8" t="s">
        <v>890</v>
      </c>
      <c r="H430" s="591" t="str">
        <f t="shared" si="10"/>
        <v>Regelzone Amprion (gesamt)</v>
      </c>
      <c r="I430" s="587"/>
    </row>
    <row r="431" spans="1:9" hidden="1" outlineLevel="1">
      <c r="A431" s="1639">
        <v>2023</v>
      </c>
      <c r="B431" s="73" t="s">
        <v>2074</v>
      </c>
      <c r="C431" s="80" t="s">
        <v>2408</v>
      </c>
      <c r="D431" s="48">
        <v>971273</v>
      </c>
      <c r="E431" s="48">
        <v>3467.45</v>
      </c>
      <c r="F431" s="94">
        <v>5740.22</v>
      </c>
      <c r="G431" s="8" t="s">
        <v>2075</v>
      </c>
      <c r="H431" s="591" t="str">
        <f t="shared" si="10"/>
        <v>Regelzone Amprion (gesamt)</v>
      </c>
      <c r="I431" s="587"/>
    </row>
    <row r="432" spans="1:9" hidden="1" outlineLevel="1">
      <c r="A432" s="1639">
        <v>2023</v>
      </c>
      <c r="B432" s="73" t="s">
        <v>895</v>
      </c>
      <c r="C432" s="80" t="s">
        <v>2408</v>
      </c>
      <c r="D432" s="48">
        <v>215968</v>
      </c>
      <c r="E432" s="48">
        <v>771.01</v>
      </c>
      <c r="F432" s="94">
        <v>1276.3699999999999</v>
      </c>
      <c r="G432" s="8" t="s">
        <v>896</v>
      </c>
      <c r="H432" s="591" t="str">
        <f t="shared" si="10"/>
        <v>Regelzone Amprion (gesamt)</v>
      </c>
      <c r="I432" s="587"/>
    </row>
    <row r="433" spans="1:9" hidden="1" outlineLevel="1">
      <c r="A433" s="1639">
        <v>2023</v>
      </c>
      <c r="B433" s="73" t="s">
        <v>897</v>
      </c>
      <c r="C433" s="80" t="s">
        <v>2408</v>
      </c>
      <c r="D433" s="48">
        <v>-4377</v>
      </c>
      <c r="E433" s="48">
        <v>-15.63</v>
      </c>
      <c r="F433" s="94">
        <v>-25.87</v>
      </c>
      <c r="G433" s="8" t="s">
        <v>898</v>
      </c>
      <c r="H433" s="591" t="str">
        <f t="shared" si="10"/>
        <v>Regelzone Amprion (gesamt)</v>
      </c>
      <c r="I433" s="587"/>
    </row>
    <row r="434" spans="1:9" hidden="1" outlineLevel="1">
      <c r="A434" s="1639">
        <v>2023</v>
      </c>
      <c r="B434" s="73" t="s">
        <v>903</v>
      </c>
      <c r="C434" s="80" t="s">
        <v>2408</v>
      </c>
      <c r="D434" s="48">
        <v>42952</v>
      </c>
      <c r="E434" s="48">
        <v>153.34</v>
      </c>
      <c r="F434" s="94">
        <v>253.85</v>
      </c>
      <c r="G434" s="8" t="s">
        <v>904</v>
      </c>
      <c r="H434" s="591" t="str">
        <f t="shared" si="10"/>
        <v>Regelzone Amprion (gesamt)</v>
      </c>
      <c r="I434" s="587"/>
    </row>
    <row r="435" spans="1:9" hidden="1" outlineLevel="1">
      <c r="A435" s="1639">
        <v>2023</v>
      </c>
      <c r="B435" s="73" t="s">
        <v>909</v>
      </c>
      <c r="C435" s="80" t="s">
        <v>2408</v>
      </c>
      <c r="D435" s="48">
        <v>-2499374</v>
      </c>
      <c r="E435" s="48">
        <v>-8922.76</v>
      </c>
      <c r="F435" s="94">
        <v>-14771.3</v>
      </c>
      <c r="G435" s="8" t="s">
        <v>910</v>
      </c>
      <c r="H435" s="591" t="str">
        <f t="shared" si="10"/>
        <v>Regelzone Amprion (gesamt)</v>
      </c>
      <c r="I435" s="587"/>
    </row>
    <row r="436" spans="1:9" hidden="1" outlineLevel="1">
      <c r="A436" s="1639">
        <v>2023</v>
      </c>
      <c r="B436" s="73" t="s">
        <v>913</v>
      </c>
      <c r="C436" s="80" t="s">
        <v>2408</v>
      </c>
      <c r="D436" s="48">
        <v>-17993</v>
      </c>
      <c r="E436" s="48">
        <v>-64.239999999999995</v>
      </c>
      <c r="F436" s="94">
        <v>-106.33</v>
      </c>
      <c r="G436" s="8" t="s">
        <v>914</v>
      </c>
      <c r="H436" s="591" t="str">
        <f t="shared" si="10"/>
        <v>Regelzone Amprion (gesamt)</v>
      </c>
      <c r="I436" s="587"/>
    </row>
    <row r="437" spans="1:9" hidden="1" outlineLevel="1">
      <c r="A437" s="1639">
        <v>2023</v>
      </c>
      <c r="B437" s="73" t="s">
        <v>915</v>
      </c>
      <c r="C437" s="80" t="s">
        <v>2408</v>
      </c>
      <c r="D437" s="48">
        <v>223036</v>
      </c>
      <c r="E437" s="48">
        <v>796.24</v>
      </c>
      <c r="F437" s="94">
        <v>1318.14</v>
      </c>
      <c r="G437" s="8" t="s">
        <v>916</v>
      </c>
      <c r="H437" s="591" t="str">
        <f t="shared" si="10"/>
        <v>Regelzone Amprion (gesamt)</v>
      </c>
      <c r="I437" s="587"/>
    </row>
    <row r="438" spans="1:9" hidden="1" outlineLevel="1">
      <c r="A438" s="1639">
        <v>2023</v>
      </c>
      <c r="B438" s="73" t="s">
        <v>917</v>
      </c>
      <c r="C438" s="80" t="s">
        <v>2408</v>
      </c>
      <c r="D438" s="48">
        <v>-3987</v>
      </c>
      <c r="E438" s="48">
        <v>-14.23</v>
      </c>
      <c r="F438" s="94">
        <v>-23.56</v>
      </c>
      <c r="G438" s="8" t="s">
        <v>918</v>
      </c>
      <c r="H438" s="591" t="str">
        <f t="shared" si="10"/>
        <v>Regelzone Amprion (gesamt)</v>
      </c>
      <c r="I438" s="587"/>
    </row>
    <row r="439" spans="1:9" hidden="1" outlineLevel="1">
      <c r="A439" s="1639">
        <v>2023</v>
      </c>
      <c r="B439" s="73" t="s">
        <v>919</v>
      </c>
      <c r="C439" s="80" t="s">
        <v>2408</v>
      </c>
      <c r="D439" s="48">
        <v>1106307</v>
      </c>
      <c r="E439" s="48">
        <v>3949.52</v>
      </c>
      <c r="F439" s="94">
        <v>6538.27</v>
      </c>
      <c r="G439" s="8" t="s">
        <v>920</v>
      </c>
      <c r="H439" s="591" t="str">
        <f t="shared" si="10"/>
        <v>Regelzone Amprion (gesamt)</v>
      </c>
      <c r="I439" s="587"/>
    </row>
    <row r="440" spans="1:9" hidden="1" outlineLevel="1">
      <c r="A440" s="1639">
        <v>2023</v>
      </c>
      <c r="B440" s="73" t="s">
        <v>921</v>
      </c>
      <c r="C440" s="80" t="s">
        <v>2408</v>
      </c>
      <c r="D440" s="48">
        <v>-418748</v>
      </c>
      <c r="E440" s="48">
        <v>-1494.93</v>
      </c>
      <c r="F440" s="94">
        <v>-2474.8000000000002</v>
      </c>
      <c r="G440" s="8" t="s">
        <v>922</v>
      </c>
      <c r="H440" s="591" t="str">
        <f t="shared" si="10"/>
        <v>Regelzone Amprion (gesamt)</v>
      </c>
      <c r="I440" s="587"/>
    </row>
    <row r="441" spans="1:9" hidden="1" outlineLevel="1">
      <c r="A441" s="1639">
        <v>2023</v>
      </c>
      <c r="B441" s="73" t="s">
        <v>923</v>
      </c>
      <c r="C441" s="80" t="s">
        <v>2408</v>
      </c>
      <c r="D441" s="48">
        <v>106808</v>
      </c>
      <c r="E441" s="48">
        <v>381.3</v>
      </c>
      <c r="F441" s="94">
        <v>631.23</v>
      </c>
      <c r="G441" s="8" t="s">
        <v>924</v>
      </c>
      <c r="H441" s="591" t="str">
        <f t="shared" si="10"/>
        <v>Regelzone Amprion (gesamt)</v>
      </c>
      <c r="I441" s="587"/>
    </row>
    <row r="442" spans="1:9" hidden="1" outlineLevel="1">
      <c r="A442" s="1639">
        <v>2023</v>
      </c>
      <c r="B442" s="73" t="s">
        <v>927</v>
      </c>
      <c r="C442" s="80" t="s">
        <v>2408</v>
      </c>
      <c r="D442" s="48">
        <v>-15340</v>
      </c>
      <c r="E442" s="48">
        <v>-54.76</v>
      </c>
      <c r="F442" s="94">
        <v>-90.66</v>
      </c>
      <c r="G442" s="8" t="s">
        <v>928</v>
      </c>
      <c r="H442" s="591" t="str">
        <f t="shared" si="10"/>
        <v>Regelzone Amprion (gesamt)</v>
      </c>
      <c r="I442" s="587"/>
    </row>
    <row r="443" spans="1:9" hidden="1" outlineLevel="1">
      <c r="A443" s="1639">
        <v>2023</v>
      </c>
      <c r="B443" s="73" t="s">
        <v>929</v>
      </c>
      <c r="C443" s="80" t="s">
        <v>2408</v>
      </c>
      <c r="D443" s="48">
        <v>-33941</v>
      </c>
      <c r="E443" s="48">
        <v>-121.17</v>
      </c>
      <c r="F443" s="94">
        <v>-200.59</v>
      </c>
      <c r="G443" s="8" t="s">
        <v>930</v>
      </c>
      <c r="H443" s="591" t="str">
        <f t="shared" si="10"/>
        <v>Regelzone Amprion (gesamt)</v>
      </c>
      <c r="I443" s="587"/>
    </row>
    <row r="444" spans="1:9" hidden="1" outlineLevel="1">
      <c r="A444" s="1639">
        <v>2023</v>
      </c>
      <c r="B444" s="73" t="s">
        <v>933</v>
      </c>
      <c r="C444" s="80" t="s">
        <v>2408</v>
      </c>
      <c r="D444" s="48">
        <v>-4114631</v>
      </c>
      <c r="E444" s="48">
        <v>-14689.23</v>
      </c>
      <c r="F444" s="94">
        <v>-24317.46</v>
      </c>
      <c r="G444" s="8" t="s">
        <v>934</v>
      </c>
      <c r="H444" s="591" t="str">
        <f t="shared" si="10"/>
        <v>Regelzone Amprion (gesamt)</v>
      </c>
      <c r="I444" s="587"/>
    </row>
    <row r="445" spans="1:9" hidden="1" outlineLevel="1">
      <c r="A445" s="1639">
        <v>2023</v>
      </c>
      <c r="B445" s="73" t="s">
        <v>941</v>
      </c>
      <c r="C445" s="80" t="s">
        <v>2408</v>
      </c>
      <c r="D445" s="48">
        <v>398671</v>
      </c>
      <c r="E445" s="48">
        <v>1423.26</v>
      </c>
      <c r="F445" s="94">
        <v>2356.15</v>
      </c>
      <c r="G445" s="8" t="s">
        <v>942</v>
      </c>
      <c r="H445" s="591" t="str">
        <f t="shared" si="10"/>
        <v>Regelzone Amprion (gesamt)</v>
      </c>
      <c r="I445" s="587"/>
    </row>
    <row r="446" spans="1:9" hidden="1" outlineLevel="1">
      <c r="A446" s="1639">
        <v>2023</v>
      </c>
      <c r="B446" s="73" t="s">
        <v>943</v>
      </c>
      <c r="C446" s="80" t="s">
        <v>2409</v>
      </c>
      <c r="D446" s="48">
        <v>-833138</v>
      </c>
      <c r="E446" s="48">
        <v>-333.26</v>
      </c>
      <c r="F446" s="94">
        <v>-333.26</v>
      </c>
      <c r="G446" s="8" t="s">
        <v>944</v>
      </c>
      <c r="H446" s="591" t="str">
        <f t="shared" si="10"/>
        <v>Regelzone Amprion (gesamt)</v>
      </c>
      <c r="I446" s="587"/>
    </row>
    <row r="447" spans="1:9" hidden="1" outlineLevel="1">
      <c r="A447" s="1639">
        <v>2023</v>
      </c>
      <c r="B447" s="73" t="s">
        <v>943</v>
      </c>
      <c r="C447" s="80" t="s">
        <v>2417</v>
      </c>
      <c r="D447" s="48">
        <v>-291632</v>
      </c>
      <c r="E447" s="48">
        <v>-87.49</v>
      </c>
      <c r="F447" s="94">
        <v>-87.49</v>
      </c>
      <c r="G447" s="8" t="s">
        <v>944</v>
      </c>
      <c r="H447" s="591" t="str">
        <f t="shared" si="10"/>
        <v>Regelzone Amprion (gesamt)</v>
      </c>
      <c r="I447" s="587"/>
    </row>
    <row r="448" spans="1:9" hidden="1" outlineLevel="1">
      <c r="A448" s="1639">
        <v>2023</v>
      </c>
      <c r="B448" s="73" t="s">
        <v>943</v>
      </c>
      <c r="C448" s="80" t="s">
        <v>2408</v>
      </c>
      <c r="D448" s="48">
        <v>-303015</v>
      </c>
      <c r="E448" s="48">
        <v>-1081.77</v>
      </c>
      <c r="F448" s="94">
        <v>-1790.82</v>
      </c>
      <c r="G448" s="8" t="s">
        <v>944</v>
      </c>
      <c r="H448" s="591" t="str">
        <f t="shared" si="10"/>
        <v>Regelzone Amprion (gesamt)</v>
      </c>
      <c r="I448" s="587"/>
    </row>
    <row r="449" spans="1:9" hidden="1" outlineLevel="1">
      <c r="A449" s="1639">
        <v>2023</v>
      </c>
      <c r="B449" s="73" t="s">
        <v>945</v>
      </c>
      <c r="C449" s="80" t="s">
        <v>2408</v>
      </c>
      <c r="D449" s="48">
        <v>-39926</v>
      </c>
      <c r="E449" s="48">
        <v>-142.54</v>
      </c>
      <c r="F449" s="94">
        <v>-235.96</v>
      </c>
      <c r="G449" s="8" t="s">
        <v>946</v>
      </c>
      <c r="H449" s="591" t="str">
        <f t="shared" si="10"/>
        <v>Regelzone Amprion (gesamt)</v>
      </c>
      <c r="I449" s="587"/>
    </row>
    <row r="450" spans="1:9" hidden="1" outlineLevel="1">
      <c r="A450" s="1639">
        <v>2023</v>
      </c>
      <c r="B450" s="73" t="s">
        <v>949</v>
      </c>
      <c r="C450" s="80" t="s">
        <v>2408</v>
      </c>
      <c r="D450" s="48">
        <v>934786</v>
      </c>
      <c r="E450" s="48">
        <v>3337.18</v>
      </c>
      <c r="F450" s="94">
        <v>5524.59</v>
      </c>
      <c r="G450" s="8" t="s">
        <v>950</v>
      </c>
      <c r="H450" s="591" t="str">
        <f t="shared" si="10"/>
        <v>Regelzone Amprion (gesamt)</v>
      </c>
      <c r="I450" s="587"/>
    </row>
    <row r="451" spans="1:9" hidden="1" outlineLevel="1">
      <c r="A451" s="1639">
        <v>2023</v>
      </c>
      <c r="B451" s="73" t="s">
        <v>953</v>
      </c>
      <c r="C451" s="80" t="s">
        <v>2408</v>
      </c>
      <c r="D451" s="48">
        <v>54604</v>
      </c>
      <c r="E451" s="48">
        <v>194.94</v>
      </c>
      <c r="F451" s="94">
        <v>322.70999999999998</v>
      </c>
      <c r="G451" s="8" t="s">
        <v>954</v>
      </c>
      <c r="H451" s="591" t="str">
        <f t="shared" si="10"/>
        <v>Regelzone Amprion (gesamt)</v>
      </c>
      <c r="I451" s="587"/>
    </row>
    <row r="452" spans="1:9" hidden="1" outlineLevel="1">
      <c r="A452" s="1639">
        <v>2023</v>
      </c>
      <c r="B452" s="73" t="s">
        <v>955</v>
      </c>
      <c r="C452" s="80" t="s">
        <v>2408</v>
      </c>
      <c r="D452" s="48">
        <v>52679</v>
      </c>
      <c r="E452" s="48">
        <v>188.07</v>
      </c>
      <c r="F452" s="94">
        <v>311.33</v>
      </c>
      <c r="G452" s="8" t="s">
        <v>956</v>
      </c>
      <c r="H452" s="591" t="str">
        <f t="shared" si="10"/>
        <v>Regelzone Amprion (gesamt)</v>
      </c>
      <c r="I452" s="587"/>
    </row>
    <row r="453" spans="1:9" hidden="1" outlineLevel="1">
      <c r="A453" s="1639">
        <v>2023</v>
      </c>
      <c r="B453" s="73" t="s">
        <v>957</v>
      </c>
      <c r="C453" s="80" t="s">
        <v>2408</v>
      </c>
      <c r="D453" s="48">
        <v>359560</v>
      </c>
      <c r="E453" s="48">
        <v>1283.6300000000001</v>
      </c>
      <c r="F453" s="94">
        <v>2125</v>
      </c>
      <c r="G453" s="8" t="s">
        <v>958</v>
      </c>
      <c r="H453" s="591" t="str">
        <f t="shared" si="10"/>
        <v>Regelzone Amprion (gesamt)</v>
      </c>
      <c r="I453" s="587"/>
    </row>
    <row r="454" spans="1:9" hidden="1" outlineLevel="1">
      <c r="A454" s="1639">
        <v>2023</v>
      </c>
      <c r="B454" s="73" t="s">
        <v>963</v>
      </c>
      <c r="C454" s="80" t="s">
        <v>2408</v>
      </c>
      <c r="D454" s="48">
        <v>306084</v>
      </c>
      <c r="E454" s="48">
        <v>1092.72</v>
      </c>
      <c r="F454" s="94">
        <v>1808.96</v>
      </c>
      <c r="G454" s="8" t="s">
        <v>964</v>
      </c>
      <c r="H454" s="591" t="str">
        <f t="shared" si="10"/>
        <v>Regelzone Amprion (gesamt)</v>
      </c>
      <c r="I454" s="587"/>
    </row>
    <row r="455" spans="1:9" hidden="1" outlineLevel="1">
      <c r="A455" s="1639">
        <v>2023</v>
      </c>
      <c r="B455" s="73" t="s">
        <v>969</v>
      </c>
      <c r="C455" s="80" t="s">
        <v>2408</v>
      </c>
      <c r="D455" s="48">
        <v>26889</v>
      </c>
      <c r="E455" s="48">
        <v>96</v>
      </c>
      <c r="F455" s="94">
        <v>158.91999999999999</v>
      </c>
      <c r="G455" s="8" t="s">
        <v>970</v>
      </c>
      <c r="H455" s="591" t="str">
        <f t="shared" si="10"/>
        <v>Regelzone Amprion (gesamt)</v>
      </c>
      <c r="I455" s="587"/>
    </row>
    <row r="456" spans="1:9" hidden="1" outlineLevel="1">
      <c r="A456" s="1639">
        <v>2023</v>
      </c>
      <c r="B456" s="73" t="s">
        <v>973</v>
      </c>
      <c r="C456" s="80" t="s">
        <v>2408</v>
      </c>
      <c r="D456" s="48">
        <v>-637</v>
      </c>
      <c r="E456" s="48">
        <v>-2.27</v>
      </c>
      <c r="F456" s="94">
        <v>-3.76</v>
      </c>
      <c r="G456" s="8" t="s">
        <v>974</v>
      </c>
      <c r="H456" s="591" t="str">
        <f t="shared" si="10"/>
        <v>Regelzone Amprion (gesamt)</v>
      </c>
      <c r="I456" s="587"/>
    </row>
    <row r="457" spans="1:9" hidden="1" outlineLevel="1">
      <c r="A457" s="1639">
        <v>2023</v>
      </c>
      <c r="B457" s="73" t="s">
        <v>975</v>
      </c>
      <c r="C457" s="80" t="s">
        <v>2408</v>
      </c>
      <c r="D457" s="48">
        <v>-459368</v>
      </c>
      <c r="E457" s="48">
        <v>-1639.94</v>
      </c>
      <c r="F457" s="94">
        <v>-2714.86</v>
      </c>
      <c r="G457" s="8" t="s">
        <v>976</v>
      </c>
      <c r="H457" s="591" t="str">
        <f t="shared" ref="H457:H584" si="11">+H456</f>
        <v>Regelzone Amprion (gesamt)</v>
      </c>
      <c r="I457" s="587"/>
    </row>
    <row r="458" spans="1:9" hidden="1" outlineLevel="1">
      <c r="A458" s="1639">
        <v>2023</v>
      </c>
      <c r="B458" s="73" t="s">
        <v>985</v>
      </c>
      <c r="C458" s="80" t="s">
        <v>2408</v>
      </c>
      <c r="D458" s="48">
        <v>6205130</v>
      </c>
      <c r="E458" s="48">
        <v>22152.31</v>
      </c>
      <c r="F458" s="94">
        <v>36672.32</v>
      </c>
      <c r="G458" s="8" t="s">
        <v>986</v>
      </c>
      <c r="H458" s="591" t="str">
        <f t="shared" si="11"/>
        <v>Regelzone Amprion (gesamt)</v>
      </c>
      <c r="I458" s="587"/>
    </row>
    <row r="459" spans="1:9" hidden="1" outlineLevel="1">
      <c r="A459" s="1639">
        <v>2023</v>
      </c>
      <c r="B459" s="73" t="s">
        <v>987</v>
      </c>
      <c r="C459" s="80" t="s">
        <v>2408</v>
      </c>
      <c r="D459" s="48">
        <v>-5858</v>
      </c>
      <c r="E459" s="48">
        <v>-20.92</v>
      </c>
      <c r="F459" s="94">
        <v>-34.619999999999997</v>
      </c>
      <c r="G459" s="8" t="s">
        <v>988</v>
      </c>
      <c r="H459" s="591" t="str">
        <f t="shared" si="11"/>
        <v>Regelzone Amprion (gesamt)</v>
      </c>
      <c r="I459" s="587"/>
    </row>
    <row r="460" spans="1:9" hidden="1" outlineLevel="1">
      <c r="A460" s="1639">
        <v>2023</v>
      </c>
      <c r="B460" s="73" t="s">
        <v>991</v>
      </c>
      <c r="C460" s="80" t="s">
        <v>2408</v>
      </c>
      <c r="D460" s="48">
        <v>-2675</v>
      </c>
      <c r="E460" s="48">
        <v>-9.5500000000000007</v>
      </c>
      <c r="F460" s="94">
        <v>-15.81</v>
      </c>
      <c r="G460" s="8" t="s">
        <v>992</v>
      </c>
      <c r="H460" s="591" t="str">
        <f t="shared" si="11"/>
        <v>Regelzone Amprion (gesamt)</v>
      </c>
      <c r="I460" s="587"/>
    </row>
    <row r="461" spans="1:9" hidden="1" outlineLevel="1">
      <c r="A461" s="1639">
        <v>2023</v>
      </c>
      <c r="B461" s="73" t="s">
        <v>997</v>
      </c>
      <c r="C461" s="80" t="s">
        <v>2408</v>
      </c>
      <c r="D461" s="48">
        <v>91907</v>
      </c>
      <c r="E461" s="48">
        <v>328.1</v>
      </c>
      <c r="F461" s="94">
        <v>543.16999999999996</v>
      </c>
      <c r="G461" s="8" t="s">
        <v>998</v>
      </c>
      <c r="H461" s="591" t="str">
        <f t="shared" si="11"/>
        <v>Regelzone Amprion (gesamt)</v>
      </c>
      <c r="I461" s="587"/>
    </row>
    <row r="462" spans="1:9" hidden="1" outlineLevel="1">
      <c r="A462" s="1639">
        <v>2023</v>
      </c>
      <c r="B462" s="73" t="s">
        <v>1005</v>
      </c>
      <c r="C462" s="80" t="s">
        <v>2408</v>
      </c>
      <c r="D462" s="48">
        <v>97054658</v>
      </c>
      <c r="E462" s="48">
        <v>346485.13</v>
      </c>
      <c r="F462" s="94">
        <v>573593.02</v>
      </c>
      <c r="G462" s="8" t="s">
        <v>1006</v>
      </c>
      <c r="H462" s="591" t="str">
        <f t="shared" si="11"/>
        <v>Regelzone Amprion (gesamt)</v>
      </c>
      <c r="I462" s="587"/>
    </row>
    <row r="463" spans="1:9" hidden="1" outlineLevel="1">
      <c r="A463" s="1639">
        <v>2023</v>
      </c>
      <c r="B463" s="73" t="s">
        <v>1007</v>
      </c>
      <c r="C463" s="80" t="s">
        <v>2408</v>
      </c>
      <c r="D463" s="48">
        <v>3874</v>
      </c>
      <c r="E463" s="48">
        <v>13.83</v>
      </c>
      <c r="F463" s="94">
        <v>22.89</v>
      </c>
      <c r="G463" s="8" t="s">
        <v>1008</v>
      </c>
      <c r="H463" s="591" t="str">
        <f t="shared" si="11"/>
        <v>Regelzone Amprion (gesamt)</v>
      </c>
      <c r="I463" s="587"/>
    </row>
    <row r="464" spans="1:9" hidden="1" outlineLevel="1">
      <c r="A464" s="1639">
        <v>2023</v>
      </c>
      <c r="B464" s="73" t="s">
        <v>1009</v>
      </c>
      <c r="C464" s="80" t="s">
        <v>2408</v>
      </c>
      <c r="D464" s="48">
        <v>72394</v>
      </c>
      <c r="E464" s="48">
        <v>258.45</v>
      </c>
      <c r="F464" s="94">
        <v>427.85</v>
      </c>
      <c r="G464" s="8" t="s">
        <v>1010</v>
      </c>
      <c r="H464" s="591" t="str">
        <f t="shared" si="11"/>
        <v>Regelzone Amprion (gesamt)</v>
      </c>
      <c r="I464" s="587"/>
    </row>
    <row r="465" spans="1:9" hidden="1" outlineLevel="1">
      <c r="A465" s="1639">
        <v>2023</v>
      </c>
      <c r="B465" s="73" t="s">
        <v>1011</v>
      </c>
      <c r="C465" s="80" t="s">
        <v>2408</v>
      </c>
      <c r="D465" s="48">
        <v>-709394</v>
      </c>
      <c r="E465" s="48">
        <v>-2532.54</v>
      </c>
      <c r="F465" s="94">
        <v>-4192.5200000000004</v>
      </c>
      <c r="G465" s="8" t="s">
        <v>1012</v>
      </c>
      <c r="H465" s="591" t="str">
        <f t="shared" si="11"/>
        <v>Regelzone Amprion (gesamt)</v>
      </c>
      <c r="I465" s="587"/>
    </row>
    <row r="466" spans="1:9" hidden="1" outlineLevel="1">
      <c r="A466" s="1639">
        <v>2023</v>
      </c>
      <c r="B466" s="73" t="s">
        <v>1015</v>
      </c>
      <c r="C466" s="80" t="s">
        <v>2408</v>
      </c>
      <c r="D466" s="48">
        <v>4018</v>
      </c>
      <c r="E466" s="48">
        <v>14.34</v>
      </c>
      <c r="F466" s="94">
        <v>23.75</v>
      </c>
      <c r="G466" s="8" t="s">
        <v>1016</v>
      </c>
      <c r="H466" s="591" t="str">
        <f t="shared" si="11"/>
        <v>Regelzone Amprion (gesamt)</v>
      </c>
      <c r="I466" s="587"/>
    </row>
    <row r="467" spans="1:9" hidden="1" outlineLevel="1">
      <c r="A467" s="1639">
        <v>2023</v>
      </c>
      <c r="B467" s="73" t="s">
        <v>1017</v>
      </c>
      <c r="C467" s="80" t="s">
        <v>2408</v>
      </c>
      <c r="D467" s="48">
        <v>-9586270</v>
      </c>
      <c r="E467" s="48">
        <v>-34222.99</v>
      </c>
      <c r="F467" s="94">
        <v>-56654.85</v>
      </c>
      <c r="G467" s="8" t="s">
        <v>1018</v>
      </c>
      <c r="H467" s="591" t="str">
        <f t="shared" si="11"/>
        <v>Regelzone Amprion (gesamt)</v>
      </c>
      <c r="I467" s="587"/>
    </row>
    <row r="468" spans="1:9" hidden="1" outlineLevel="1">
      <c r="A468" s="1639">
        <v>2023</v>
      </c>
      <c r="B468" s="73" t="s">
        <v>1019</v>
      </c>
      <c r="C468" s="80" t="s">
        <v>2408</v>
      </c>
      <c r="D468" s="48">
        <v>-16121</v>
      </c>
      <c r="E468" s="48">
        <v>-57.55</v>
      </c>
      <c r="F468" s="94">
        <v>-95.27</v>
      </c>
      <c r="G468" s="8" t="s">
        <v>1020</v>
      </c>
      <c r="H468" s="591" t="str">
        <f t="shared" si="11"/>
        <v>Regelzone Amprion (gesamt)</v>
      </c>
      <c r="I468" s="587"/>
    </row>
    <row r="469" spans="1:9" hidden="1" outlineLevel="1">
      <c r="A469" s="1639">
        <v>2023</v>
      </c>
      <c r="B469" s="73" t="s">
        <v>1021</v>
      </c>
      <c r="C469" s="80" t="s">
        <v>2409</v>
      </c>
      <c r="D469" s="48">
        <v>-102002</v>
      </c>
      <c r="E469" s="48">
        <v>-40.799999999999997</v>
      </c>
      <c r="F469" s="94">
        <v>-40.799999999999997</v>
      </c>
      <c r="G469" s="8" t="s">
        <v>944</v>
      </c>
      <c r="H469" s="591" t="str">
        <f t="shared" si="11"/>
        <v>Regelzone Amprion (gesamt)</v>
      </c>
      <c r="I469" s="587"/>
    </row>
    <row r="470" spans="1:9" hidden="1" outlineLevel="1">
      <c r="A470" s="1639">
        <v>2023</v>
      </c>
      <c r="B470" s="73" t="s">
        <v>1021</v>
      </c>
      <c r="C470" s="80" t="s">
        <v>2417</v>
      </c>
      <c r="D470" s="48">
        <v>3496</v>
      </c>
      <c r="E470" s="48">
        <v>1.05</v>
      </c>
      <c r="F470" s="94">
        <v>1.05</v>
      </c>
      <c r="G470" s="8" t="s">
        <v>944</v>
      </c>
      <c r="H470" s="591" t="str">
        <f t="shared" si="11"/>
        <v>Regelzone Amprion (gesamt)</v>
      </c>
      <c r="I470" s="587"/>
    </row>
    <row r="471" spans="1:9" hidden="1" outlineLevel="1">
      <c r="A471" s="1639">
        <v>2023</v>
      </c>
      <c r="B471" s="73" t="s">
        <v>1021</v>
      </c>
      <c r="C471" s="80" t="s">
        <v>2408</v>
      </c>
      <c r="D471" s="48">
        <v>-48979</v>
      </c>
      <c r="E471" s="48">
        <v>-174.86</v>
      </c>
      <c r="F471" s="94">
        <v>-289.47000000000003</v>
      </c>
      <c r="G471" s="8" t="s">
        <v>944</v>
      </c>
      <c r="H471" s="591" t="str">
        <f t="shared" si="11"/>
        <v>Regelzone Amprion (gesamt)</v>
      </c>
      <c r="I471" s="587"/>
    </row>
    <row r="472" spans="1:9" hidden="1" outlineLevel="1">
      <c r="A472" s="1639">
        <v>2023</v>
      </c>
      <c r="B472" s="73" t="s">
        <v>1026</v>
      </c>
      <c r="C472" s="80" t="s">
        <v>2408</v>
      </c>
      <c r="D472" s="48">
        <v>-2419</v>
      </c>
      <c r="E472" s="48">
        <v>-8.6300000000000008</v>
      </c>
      <c r="F472" s="94">
        <v>-14.29</v>
      </c>
      <c r="G472" s="8" t="s">
        <v>1027</v>
      </c>
      <c r="H472" s="591" t="str">
        <f t="shared" si="11"/>
        <v>Regelzone Amprion (gesamt)</v>
      </c>
      <c r="I472" s="587"/>
    </row>
    <row r="473" spans="1:9" hidden="1" outlineLevel="1">
      <c r="A473" s="1639">
        <v>2023</v>
      </c>
      <c r="B473" s="73" t="s">
        <v>1030</v>
      </c>
      <c r="C473" s="80" t="s">
        <v>2408</v>
      </c>
      <c r="D473" s="48">
        <v>-11486050</v>
      </c>
      <c r="E473" s="48">
        <v>-41005.199999999997</v>
      </c>
      <c r="F473" s="94">
        <v>-67882.55</v>
      </c>
      <c r="G473" s="8" t="s">
        <v>1031</v>
      </c>
      <c r="H473" s="591" t="str">
        <f t="shared" si="11"/>
        <v>Regelzone Amprion (gesamt)</v>
      </c>
      <c r="I473" s="587"/>
    </row>
    <row r="474" spans="1:9" hidden="1" outlineLevel="1">
      <c r="A474" s="1639">
        <v>2023</v>
      </c>
      <c r="B474" s="73" t="s">
        <v>1032</v>
      </c>
      <c r="C474" s="80" t="s">
        <v>2408</v>
      </c>
      <c r="D474" s="48">
        <v>-8467</v>
      </c>
      <c r="E474" s="48">
        <v>-30.22</v>
      </c>
      <c r="F474" s="94">
        <v>-50.04</v>
      </c>
      <c r="G474" s="8" t="s">
        <v>1033</v>
      </c>
      <c r="H474" s="591" t="str">
        <f t="shared" si="11"/>
        <v>Regelzone Amprion (gesamt)</v>
      </c>
      <c r="I474" s="587"/>
    </row>
    <row r="475" spans="1:9" hidden="1" outlineLevel="1">
      <c r="A475" s="1639">
        <v>2023</v>
      </c>
      <c r="B475" s="73" t="s">
        <v>1034</v>
      </c>
      <c r="C475" s="80" t="s">
        <v>2408</v>
      </c>
      <c r="D475" s="48">
        <v>-99068</v>
      </c>
      <c r="E475" s="48">
        <v>-353.67</v>
      </c>
      <c r="F475" s="94">
        <v>-585.5</v>
      </c>
      <c r="G475" s="8" t="s">
        <v>1035</v>
      </c>
      <c r="H475" s="591" t="str">
        <f t="shared" si="11"/>
        <v>Regelzone Amprion (gesamt)</v>
      </c>
      <c r="I475" s="587"/>
    </row>
    <row r="476" spans="1:9" hidden="1" outlineLevel="1">
      <c r="A476" s="1642">
        <v>2023</v>
      </c>
      <c r="B476" s="73" t="s">
        <v>1036</v>
      </c>
      <c r="C476" s="80" t="s">
        <v>2408</v>
      </c>
      <c r="D476" s="48">
        <v>-3349455</v>
      </c>
      <c r="E476" s="48">
        <v>-11957.55</v>
      </c>
      <c r="F476" s="94">
        <v>-19795.28</v>
      </c>
      <c r="G476" s="8" t="s">
        <v>1037</v>
      </c>
      <c r="H476" s="591" t="str">
        <f t="shared" si="11"/>
        <v>Regelzone Amprion (gesamt)</v>
      </c>
      <c r="I476" s="587"/>
    </row>
    <row r="477" spans="1:9" hidden="1" outlineLevel="1">
      <c r="A477" s="1642">
        <v>2023</v>
      </c>
      <c r="B477" s="73" t="s">
        <v>1042</v>
      </c>
      <c r="C477" s="80" t="s">
        <v>2408</v>
      </c>
      <c r="D477" s="48">
        <v>37535</v>
      </c>
      <c r="E477" s="48">
        <v>134</v>
      </c>
      <c r="F477" s="94">
        <v>221.83</v>
      </c>
      <c r="G477" s="8" t="s">
        <v>1043</v>
      </c>
      <c r="H477" s="591" t="str">
        <f t="shared" si="11"/>
        <v>Regelzone Amprion (gesamt)</v>
      </c>
      <c r="I477" s="587"/>
    </row>
    <row r="478" spans="1:9" hidden="1" outlineLevel="1">
      <c r="A478" s="1642">
        <v>2023</v>
      </c>
      <c r="B478" s="73" t="s">
        <v>1044</v>
      </c>
      <c r="C478" s="80" t="s">
        <v>2408</v>
      </c>
      <c r="D478" s="48">
        <v>80021</v>
      </c>
      <c r="E478" s="48">
        <v>285.68</v>
      </c>
      <c r="F478" s="94">
        <v>472.92</v>
      </c>
      <c r="G478" s="8" t="s">
        <v>1045</v>
      </c>
      <c r="H478" s="591" t="str">
        <f t="shared" si="11"/>
        <v>Regelzone Amprion (gesamt)</v>
      </c>
      <c r="I478" s="587"/>
    </row>
    <row r="479" spans="1:9" hidden="1" outlineLevel="1">
      <c r="A479" s="1642">
        <v>2023</v>
      </c>
      <c r="B479" s="73" t="s">
        <v>1048</v>
      </c>
      <c r="C479" s="80" t="s">
        <v>2408</v>
      </c>
      <c r="D479" s="48">
        <v>-13894233</v>
      </c>
      <c r="E479" s="48">
        <v>-49602.41</v>
      </c>
      <c r="F479" s="94">
        <v>-82114.91</v>
      </c>
      <c r="G479" s="8" t="s">
        <v>1049</v>
      </c>
      <c r="H479" s="591" t="str">
        <f t="shared" si="11"/>
        <v>Regelzone Amprion (gesamt)</v>
      </c>
      <c r="I479" s="587"/>
    </row>
    <row r="480" spans="1:9" hidden="1" outlineLevel="1">
      <c r="A480" s="1642">
        <v>2023</v>
      </c>
      <c r="B480" s="73" t="s">
        <v>1060</v>
      </c>
      <c r="C480" s="80" t="s">
        <v>2408</v>
      </c>
      <c r="D480" s="48">
        <v>40488</v>
      </c>
      <c r="E480" s="48">
        <v>144.54</v>
      </c>
      <c r="F480" s="94">
        <v>239.29</v>
      </c>
      <c r="G480" s="8" t="s">
        <v>1061</v>
      </c>
      <c r="H480" s="591" t="str">
        <f t="shared" si="11"/>
        <v>Regelzone Amprion (gesamt)</v>
      </c>
      <c r="I480" s="587"/>
    </row>
    <row r="481" spans="1:9" hidden="1" outlineLevel="1">
      <c r="A481" s="1642">
        <v>2023</v>
      </c>
      <c r="B481" s="73" t="s">
        <v>1062</v>
      </c>
      <c r="C481" s="80" t="s">
        <v>2408</v>
      </c>
      <c r="D481" s="48">
        <v>-27271</v>
      </c>
      <c r="E481" s="48">
        <v>-97.35</v>
      </c>
      <c r="F481" s="94">
        <v>-161.16999999999999</v>
      </c>
      <c r="G481" s="8" t="s">
        <v>1063</v>
      </c>
      <c r="H481" s="591" t="str">
        <f t="shared" si="11"/>
        <v>Regelzone Amprion (gesamt)</v>
      </c>
      <c r="I481" s="587"/>
    </row>
    <row r="482" spans="1:9" hidden="1" outlineLevel="1">
      <c r="A482" s="1642">
        <v>2023</v>
      </c>
      <c r="B482" s="73" t="s">
        <v>1064</v>
      </c>
      <c r="C482" s="80" t="s">
        <v>2408</v>
      </c>
      <c r="D482" s="48">
        <v>10505246</v>
      </c>
      <c r="E482" s="48">
        <v>37503.730000000003</v>
      </c>
      <c r="F482" s="94">
        <v>62086</v>
      </c>
      <c r="G482" s="8" t="s">
        <v>1065</v>
      </c>
      <c r="H482" s="591" t="str">
        <f t="shared" si="11"/>
        <v>Regelzone Amprion (gesamt)</v>
      </c>
      <c r="I482" s="587"/>
    </row>
    <row r="483" spans="1:9" hidden="1" outlineLevel="1">
      <c r="A483" s="1642">
        <v>2023</v>
      </c>
      <c r="B483" s="73" t="s">
        <v>1066</v>
      </c>
      <c r="C483" s="80" t="s">
        <v>2408</v>
      </c>
      <c r="D483" s="48">
        <v>-560</v>
      </c>
      <c r="E483" s="48">
        <v>-2</v>
      </c>
      <c r="F483" s="94">
        <v>-3.31</v>
      </c>
      <c r="G483" s="8" t="s">
        <v>1067</v>
      </c>
      <c r="H483" s="591" t="str">
        <f t="shared" si="11"/>
        <v>Regelzone Amprion (gesamt)</v>
      </c>
      <c r="I483" s="587"/>
    </row>
    <row r="484" spans="1:9" hidden="1" outlineLevel="1">
      <c r="A484" s="1642">
        <v>2023</v>
      </c>
      <c r="B484" s="73" t="s">
        <v>1068</v>
      </c>
      <c r="C484" s="80" t="s">
        <v>2408</v>
      </c>
      <c r="D484" s="48">
        <v>1015033</v>
      </c>
      <c r="E484" s="48">
        <v>3623.67</v>
      </c>
      <c r="F484" s="94">
        <v>5998.85</v>
      </c>
      <c r="G484" s="8" t="s">
        <v>1069</v>
      </c>
      <c r="H484" s="591" t="str">
        <f t="shared" si="11"/>
        <v>Regelzone Amprion (gesamt)</v>
      </c>
      <c r="I484" s="587"/>
    </row>
    <row r="485" spans="1:9" hidden="1" outlineLevel="1">
      <c r="A485" s="1642">
        <v>2023</v>
      </c>
      <c r="B485" s="73" t="s">
        <v>1072</v>
      </c>
      <c r="C485" s="80" t="s">
        <v>2408</v>
      </c>
      <c r="D485" s="48">
        <v>615324</v>
      </c>
      <c r="E485" s="48">
        <v>2196.71</v>
      </c>
      <c r="F485" s="94">
        <v>3636.56</v>
      </c>
      <c r="G485" s="8" t="s">
        <v>1073</v>
      </c>
      <c r="H485" s="591" t="str">
        <f t="shared" si="11"/>
        <v>Regelzone Amprion (gesamt)</v>
      </c>
      <c r="I485" s="587"/>
    </row>
    <row r="486" spans="1:9" hidden="1" outlineLevel="1">
      <c r="A486" s="1642">
        <v>2023</v>
      </c>
      <c r="B486" s="73" t="s">
        <v>1074</v>
      </c>
      <c r="C486" s="80" t="s">
        <v>2408</v>
      </c>
      <c r="D486" s="48">
        <v>-8037222</v>
      </c>
      <c r="E486" s="48">
        <v>-28692.880000000001</v>
      </c>
      <c r="F486" s="94">
        <v>-47499.98</v>
      </c>
      <c r="G486" s="8" t="s">
        <v>1075</v>
      </c>
      <c r="H486" s="591" t="str">
        <f t="shared" si="11"/>
        <v>Regelzone Amprion (gesamt)</v>
      </c>
      <c r="I486" s="587"/>
    </row>
    <row r="487" spans="1:9" hidden="1" outlineLevel="1">
      <c r="A487" s="1642">
        <v>2023</v>
      </c>
      <c r="B487" s="73" t="s">
        <v>1076</v>
      </c>
      <c r="C487" s="80" t="s">
        <v>2408</v>
      </c>
      <c r="D487" s="48">
        <v>-218299</v>
      </c>
      <c r="E487" s="48">
        <v>-779.33</v>
      </c>
      <c r="F487" s="94">
        <v>-1290.1500000000001</v>
      </c>
      <c r="G487" s="8" t="s">
        <v>1077</v>
      </c>
      <c r="H487" s="591" t="str">
        <f t="shared" si="11"/>
        <v>Regelzone Amprion (gesamt)</v>
      </c>
      <c r="I487" s="587"/>
    </row>
    <row r="488" spans="1:9" hidden="1" outlineLevel="1">
      <c r="A488" s="1642">
        <v>2023</v>
      </c>
      <c r="B488" s="73" t="s">
        <v>1082</v>
      </c>
      <c r="C488" s="80" t="s">
        <v>2408</v>
      </c>
      <c r="D488" s="48">
        <v>576621</v>
      </c>
      <c r="E488" s="48">
        <v>2058.5300000000002</v>
      </c>
      <c r="F488" s="94">
        <v>3407.83</v>
      </c>
      <c r="G488" s="8" t="s">
        <v>1083</v>
      </c>
      <c r="H488" s="591" t="str">
        <f t="shared" si="11"/>
        <v>Regelzone Amprion (gesamt)</v>
      </c>
      <c r="I488" s="587"/>
    </row>
    <row r="489" spans="1:9" hidden="1" outlineLevel="1">
      <c r="A489" s="1642">
        <v>2023</v>
      </c>
      <c r="B489" s="73" t="s">
        <v>1090</v>
      </c>
      <c r="C489" s="80" t="s">
        <v>2408</v>
      </c>
      <c r="D489" s="48">
        <v>-612184</v>
      </c>
      <c r="E489" s="48">
        <v>-2185.5</v>
      </c>
      <c r="F489" s="94">
        <v>-3618.01</v>
      </c>
      <c r="G489" s="8" t="s">
        <v>1091</v>
      </c>
      <c r="H489" s="591" t="str">
        <f t="shared" si="11"/>
        <v>Regelzone Amprion (gesamt)</v>
      </c>
      <c r="I489" s="587"/>
    </row>
    <row r="490" spans="1:9" hidden="1" outlineLevel="1">
      <c r="A490" s="1642">
        <v>2023</v>
      </c>
      <c r="B490" s="73" t="s">
        <v>1092</v>
      </c>
      <c r="C490" s="80" t="s">
        <v>2408</v>
      </c>
      <c r="D490" s="48">
        <v>29769</v>
      </c>
      <c r="E490" s="48">
        <v>106.27</v>
      </c>
      <c r="F490" s="94">
        <v>175.94</v>
      </c>
      <c r="G490" s="8" t="s">
        <v>1093</v>
      </c>
      <c r="H490" s="591" t="str">
        <f t="shared" si="11"/>
        <v>Regelzone Amprion (gesamt)</v>
      </c>
      <c r="I490" s="587"/>
    </row>
    <row r="491" spans="1:9" hidden="1" outlineLevel="1">
      <c r="A491" s="1642">
        <v>2023</v>
      </c>
      <c r="B491" s="73" t="s">
        <v>1094</v>
      </c>
      <c r="C491" s="80" t="s">
        <v>2408</v>
      </c>
      <c r="D491" s="48">
        <v>5081</v>
      </c>
      <c r="E491" s="48">
        <v>18.14</v>
      </c>
      <c r="F491" s="94">
        <v>30.03</v>
      </c>
      <c r="G491" s="8" t="s">
        <v>1095</v>
      </c>
      <c r="H491" s="591" t="str">
        <f t="shared" si="11"/>
        <v>Regelzone Amprion (gesamt)</v>
      </c>
      <c r="I491" s="587"/>
    </row>
    <row r="492" spans="1:9" hidden="1" outlineLevel="1">
      <c r="A492" s="1642">
        <v>2023</v>
      </c>
      <c r="B492" s="73" t="s">
        <v>1096</v>
      </c>
      <c r="C492" s="80" t="s">
        <v>2408</v>
      </c>
      <c r="D492" s="48">
        <v>802950</v>
      </c>
      <c r="E492" s="48">
        <v>2866.53</v>
      </c>
      <c r="F492" s="94">
        <v>4745.4399999999996</v>
      </c>
      <c r="G492" s="8" t="s">
        <v>1097</v>
      </c>
      <c r="H492" s="591" t="str">
        <f t="shared" si="11"/>
        <v>Regelzone Amprion (gesamt)</v>
      </c>
      <c r="I492" s="587"/>
    </row>
    <row r="493" spans="1:9" hidden="1" outlineLevel="1">
      <c r="A493" s="1642">
        <v>2023</v>
      </c>
      <c r="B493" s="73" t="s">
        <v>1098</v>
      </c>
      <c r="C493" s="80" t="s">
        <v>2408</v>
      </c>
      <c r="D493" s="48">
        <v>-3907</v>
      </c>
      <c r="E493" s="48">
        <v>-13.95</v>
      </c>
      <c r="F493" s="94">
        <v>-23.09</v>
      </c>
      <c r="G493" s="8" t="s">
        <v>1099</v>
      </c>
      <c r="H493" s="591" t="str">
        <f t="shared" si="11"/>
        <v>Regelzone Amprion (gesamt)</v>
      </c>
      <c r="I493" s="587"/>
    </row>
    <row r="494" spans="1:9" hidden="1" outlineLevel="1">
      <c r="A494" s="1642">
        <v>2023</v>
      </c>
      <c r="B494" s="73" t="s">
        <v>1100</v>
      </c>
      <c r="C494" s="80" t="s">
        <v>2408</v>
      </c>
      <c r="D494" s="48">
        <v>722685</v>
      </c>
      <c r="E494" s="48">
        <v>2579.9899999999998</v>
      </c>
      <c r="F494" s="94">
        <v>4271.07</v>
      </c>
      <c r="G494" s="8" t="s">
        <v>1101</v>
      </c>
      <c r="H494" s="591" t="str">
        <f t="shared" si="11"/>
        <v>Regelzone Amprion (gesamt)</v>
      </c>
      <c r="I494" s="587"/>
    </row>
    <row r="495" spans="1:9" hidden="1" outlineLevel="1">
      <c r="A495" s="1642">
        <v>2023</v>
      </c>
      <c r="B495" s="73" t="s">
        <v>1102</v>
      </c>
      <c r="C495" s="80" t="s">
        <v>2408</v>
      </c>
      <c r="D495" s="48">
        <v>427206</v>
      </c>
      <c r="E495" s="48">
        <v>1525.12</v>
      </c>
      <c r="F495" s="94">
        <v>2524.7800000000002</v>
      </c>
      <c r="G495" s="8" t="s">
        <v>1103</v>
      </c>
      <c r="H495" s="591" t="str">
        <f t="shared" si="11"/>
        <v>Regelzone Amprion (gesamt)</v>
      </c>
      <c r="I495" s="587"/>
    </row>
    <row r="496" spans="1:9" hidden="1" outlineLevel="1">
      <c r="A496" s="1642">
        <v>2023</v>
      </c>
      <c r="B496" s="73" t="s">
        <v>1104</v>
      </c>
      <c r="C496" s="80" t="s">
        <v>2408</v>
      </c>
      <c r="D496" s="48">
        <v>-13738</v>
      </c>
      <c r="E496" s="48">
        <v>-49.05</v>
      </c>
      <c r="F496" s="94">
        <v>-81.19</v>
      </c>
      <c r="G496" s="8" t="s">
        <v>1105</v>
      </c>
      <c r="H496" s="591" t="str">
        <f t="shared" si="11"/>
        <v>Regelzone Amprion (gesamt)</v>
      </c>
      <c r="I496" s="587"/>
    </row>
    <row r="497" spans="1:9" hidden="1" outlineLevel="1">
      <c r="A497" s="1642">
        <v>2023</v>
      </c>
      <c r="B497" s="73" t="s">
        <v>1110</v>
      </c>
      <c r="C497" s="80" t="s">
        <v>2408</v>
      </c>
      <c r="D497" s="48">
        <v>-475</v>
      </c>
      <c r="E497" s="48">
        <v>-1.7</v>
      </c>
      <c r="F497" s="94">
        <v>-2.81</v>
      </c>
      <c r="G497" s="8" t="s">
        <v>1111</v>
      </c>
      <c r="H497" s="591" t="str">
        <f t="shared" si="11"/>
        <v>Regelzone Amprion (gesamt)</v>
      </c>
      <c r="I497" s="587"/>
    </row>
    <row r="498" spans="1:9" hidden="1" outlineLevel="1">
      <c r="A498" s="1642">
        <v>2023</v>
      </c>
      <c r="B498" s="73" t="s">
        <v>1114</v>
      </c>
      <c r="C498" s="80" t="s">
        <v>2408</v>
      </c>
      <c r="D498" s="48">
        <v>17750</v>
      </c>
      <c r="E498" s="48">
        <v>63.37</v>
      </c>
      <c r="F498" s="94">
        <v>104.9</v>
      </c>
      <c r="G498" s="8" t="s">
        <v>1115</v>
      </c>
      <c r="H498" s="591" t="str">
        <f t="shared" si="11"/>
        <v>Regelzone Amprion (gesamt)</v>
      </c>
      <c r="I498" s="587"/>
    </row>
    <row r="499" spans="1:9" hidden="1" outlineLevel="1">
      <c r="A499" s="1642">
        <v>2023</v>
      </c>
      <c r="B499" s="73" t="s">
        <v>1122</v>
      </c>
      <c r="C499" s="80" t="s">
        <v>2408</v>
      </c>
      <c r="D499" s="48">
        <v>7551336</v>
      </c>
      <c r="E499" s="48">
        <v>26958.27</v>
      </c>
      <c r="F499" s="78">
        <v>44628.39</v>
      </c>
      <c r="G499" s="8" t="s">
        <v>1123</v>
      </c>
      <c r="H499" s="591" t="str">
        <f t="shared" si="11"/>
        <v>Regelzone Amprion (gesamt)</v>
      </c>
      <c r="I499" s="587"/>
    </row>
    <row r="500" spans="1:9" hidden="1" outlineLevel="1">
      <c r="A500" s="1642">
        <v>2023</v>
      </c>
      <c r="B500" s="73" t="s">
        <v>1122</v>
      </c>
      <c r="C500" s="80" t="s">
        <v>2408</v>
      </c>
      <c r="D500" s="48">
        <v>1056339</v>
      </c>
      <c r="E500" s="48">
        <v>3771.13</v>
      </c>
      <c r="F500" s="78">
        <v>6242.96</v>
      </c>
      <c r="G500" s="8" t="s">
        <v>1123</v>
      </c>
      <c r="H500" s="591" t="str">
        <f t="shared" ref="H500:H531" si="12">+H499</f>
        <v>Regelzone Amprion (gesamt)</v>
      </c>
      <c r="I500" s="587"/>
    </row>
    <row r="501" spans="1:9" hidden="1" outlineLevel="1">
      <c r="A501" s="1642">
        <v>2023</v>
      </c>
      <c r="B501" s="73" t="s">
        <v>1134</v>
      </c>
      <c r="C501" s="80" t="s">
        <v>2408</v>
      </c>
      <c r="D501" s="48">
        <v>-61914</v>
      </c>
      <c r="E501" s="48">
        <v>-221.03</v>
      </c>
      <c r="F501" s="78">
        <v>-365.92</v>
      </c>
      <c r="G501" s="8" t="s">
        <v>1135</v>
      </c>
      <c r="H501" s="591" t="str">
        <f t="shared" si="12"/>
        <v>Regelzone Amprion (gesamt)</v>
      </c>
      <c r="I501" s="587"/>
    </row>
    <row r="502" spans="1:9" hidden="1" outlineLevel="1">
      <c r="A502" s="1642">
        <v>2023</v>
      </c>
      <c r="B502" s="73" t="s">
        <v>1138</v>
      </c>
      <c r="C502" s="80" t="s">
        <v>2408</v>
      </c>
      <c r="D502" s="48">
        <v>3252216</v>
      </c>
      <c r="E502" s="48">
        <v>11610.41</v>
      </c>
      <c r="F502" s="78">
        <v>19220.59</v>
      </c>
      <c r="G502" s="8" t="s">
        <v>1139</v>
      </c>
      <c r="H502" s="591" t="str">
        <f t="shared" si="12"/>
        <v>Regelzone Amprion (gesamt)</v>
      </c>
      <c r="I502" s="587"/>
    </row>
    <row r="503" spans="1:9" hidden="1" outlineLevel="1">
      <c r="A503" s="1642">
        <v>2023</v>
      </c>
      <c r="B503" s="73" t="s">
        <v>1144</v>
      </c>
      <c r="C503" s="80" t="s">
        <v>2408</v>
      </c>
      <c r="D503" s="48">
        <v>383806</v>
      </c>
      <c r="E503" s="48">
        <v>1370.19</v>
      </c>
      <c r="F503" s="78">
        <v>2268.3000000000002</v>
      </c>
      <c r="G503" s="8" t="s">
        <v>1145</v>
      </c>
      <c r="H503" s="591" t="str">
        <f t="shared" si="12"/>
        <v>Regelzone Amprion (gesamt)</v>
      </c>
      <c r="I503" s="587"/>
    </row>
    <row r="504" spans="1:9" hidden="1" outlineLevel="1">
      <c r="A504" s="1642">
        <v>2023</v>
      </c>
      <c r="B504" s="73" t="s">
        <v>1146</v>
      </c>
      <c r="C504" s="80" t="s">
        <v>2408</v>
      </c>
      <c r="D504" s="48">
        <v>-99360</v>
      </c>
      <c r="E504" s="48">
        <v>-354.71</v>
      </c>
      <c r="F504" s="78">
        <v>-587.22</v>
      </c>
      <c r="G504" s="8" t="s">
        <v>1147</v>
      </c>
      <c r="H504" s="591" t="str">
        <f t="shared" si="12"/>
        <v>Regelzone Amprion (gesamt)</v>
      </c>
      <c r="I504" s="587"/>
    </row>
    <row r="505" spans="1:9" hidden="1" outlineLevel="1">
      <c r="A505" s="1642">
        <v>2023</v>
      </c>
      <c r="B505" s="73" t="s">
        <v>1148</v>
      </c>
      <c r="C505" s="80" t="s">
        <v>2408</v>
      </c>
      <c r="D505" s="48">
        <v>236717</v>
      </c>
      <c r="E505" s="48">
        <v>845.08</v>
      </c>
      <c r="F505" s="78">
        <v>1399</v>
      </c>
      <c r="G505" s="8" t="s">
        <v>1149</v>
      </c>
      <c r="H505" s="591" t="str">
        <f t="shared" si="12"/>
        <v>Regelzone Amprion (gesamt)</v>
      </c>
      <c r="I505" s="587"/>
    </row>
    <row r="506" spans="1:9" hidden="1" outlineLevel="1">
      <c r="A506" s="1642">
        <v>2023</v>
      </c>
      <c r="B506" s="73" t="s">
        <v>1150</v>
      </c>
      <c r="C506" s="80" t="s">
        <v>2408</v>
      </c>
      <c r="D506" s="48">
        <v>-969017</v>
      </c>
      <c r="E506" s="48">
        <v>-3459.39</v>
      </c>
      <c r="F506" s="78">
        <v>-5726.89</v>
      </c>
      <c r="G506" s="8" t="s">
        <v>1151</v>
      </c>
      <c r="H506" s="591" t="str">
        <f t="shared" si="12"/>
        <v>Regelzone Amprion (gesamt)</v>
      </c>
      <c r="I506" s="587"/>
    </row>
    <row r="507" spans="1:9" hidden="1" outlineLevel="1">
      <c r="A507" s="1642">
        <v>2023</v>
      </c>
      <c r="B507" s="73" t="s">
        <v>1152</v>
      </c>
      <c r="C507" s="80" t="s">
        <v>2408</v>
      </c>
      <c r="D507" s="48">
        <v>315414</v>
      </c>
      <c r="E507" s="48">
        <v>1126.03</v>
      </c>
      <c r="F507" s="78">
        <v>1864.09</v>
      </c>
      <c r="G507" s="8" t="s">
        <v>1153</v>
      </c>
      <c r="H507" s="591" t="str">
        <f t="shared" si="12"/>
        <v>Regelzone Amprion (gesamt)</v>
      </c>
      <c r="I507" s="587"/>
    </row>
    <row r="508" spans="1:9" hidden="1" outlineLevel="1">
      <c r="A508" s="1642">
        <v>2023</v>
      </c>
      <c r="B508" s="73" t="s">
        <v>1154</v>
      </c>
      <c r="C508" s="80" t="s">
        <v>2408</v>
      </c>
      <c r="D508" s="48">
        <v>-8564</v>
      </c>
      <c r="E508" s="48">
        <v>-30.58</v>
      </c>
      <c r="F508" s="78">
        <v>-50.61</v>
      </c>
      <c r="G508" s="8" t="s">
        <v>1155</v>
      </c>
      <c r="H508" s="591" t="str">
        <f t="shared" si="12"/>
        <v>Regelzone Amprion (gesamt)</v>
      </c>
      <c r="I508" s="587"/>
    </row>
    <row r="509" spans="1:9" hidden="1" outlineLevel="1">
      <c r="A509" s="1642">
        <v>2023</v>
      </c>
      <c r="B509" s="73" t="s">
        <v>1156</v>
      </c>
      <c r="C509" s="80" t="s">
        <v>2408</v>
      </c>
      <c r="D509" s="48">
        <v>530226</v>
      </c>
      <c r="E509" s="48">
        <v>1892.91</v>
      </c>
      <c r="F509" s="78">
        <v>3133.64</v>
      </c>
      <c r="G509" s="8" t="s">
        <v>1157</v>
      </c>
      <c r="H509" s="591" t="str">
        <f t="shared" si="12"/>
        <v>Regelzone Amprion (gesamt)</v>
      </c>
      <c r="I509" s="587"/>
    </row>
    <row r="510" spans="1:9" hidden="1" outlineLevel="1">
      <c r="A510" s="1642">
        <v>2023</v>
      </c>
      <c r="B510" s="73" t="s">
        <v>1158</v>
      </c>
      <c r="C510" s="80" t="s">
        <v>2408</v>
      </c>
      <c r="D510" s="48">
        <v>4449799</v>
      </c>
      <c r="E510" s="48">
        <v>15885.78</v>
      </c>
      <c r="F510" s="78">
        <v>26298.31</v>
      </c>
      <c r="G510" s="8" t="s">
        <v>1159</v>
      </c>
      <c r="H510" s="591" t="str">
        <f t="shared" si="12"/>
        <v>Regelzone Amprion (gesamt)</v>
      </c>
      <c r="I510" s="587"/>
    </row>
    <row r="511" spans="1:9" hidden="1" outlineLevel="1">
      <c r="A511" s="1642">
        <v>2023</v>
      </c>
      <c r="B511" s="73" t="s">
        <v>1160</v>
      </c>
      <c r="C511" s="80" t="s">
        <v>2408</v>
      </c>
      <c r="D511" s="48">
        <v>-145837</v>
      </c>
      <c r="E511" s="48">
        <v>-520.64</v>
      </c>
      <c r="F511" s="78">
        <v>-861.9</v>
      </c>
      <c r="G511" s="8" t="s">
        <v>1161</v>
      </c>
      <c r="H511" s="591" t="str">
        <f t="shared" si="12"/>
        <v>Regelzone Amprion (gesamt)</v>
      </c>
      <c r="I511" s="587"/>
    </row>
    <row r="512" spans="1:9" hidden="1" outlineLevel="1">
      <c r="A512" s="1642">
        <v>2023</v>
      </c>
      <c r="B512" s="73" t="s">
        <v>1170</v>
      </c>
      <c r="C512" s="80" t="s">
        <v>2408</v>
      </c>
      <c r="D512" s="48">
        <v>367659</v>
      </c>
      <c r="E512" s="48">
        <v>1312.54</v>
      </c>
      <c r="F512" s="78">
        <v>2172.86</v>
      </c>
      <c r="G512" s="8" t="s">
        <v>1171</v>
      </c>
      <c r="H512" s="591" t="str">
        <f t="shared" si="12"/>
        <v>Regelzone Amprion (gesamt)</v>
      </c>
      <c r="I512" s="587"/>
    </row>
    <row r="513" spans="1:9" hidden="1" outlineLevel="1">
      <c r="A513" s="1642">
        <v>2023</v>
      </c>
      <c r="B513" s="73" t="s">
        <v>1172</v>
      </c>
      <c r="C513" s="80" t="s">
        <v>2408</v>
      </c>
      <c r="D513" s="48">
        <v>-2549</v>
      </c>
      <c r="E513" s="48">
        <v>-9.1</v>
      </c>
      <c r="F513" s="78">
        <v>-15.06</v>
      </c>
      <c r="G513" s="8" t="s">
        <v>1173</v>
      </c>
      <c r="H513" s="591" t="str">
        <f t="shared" si="12"/>
        <v>Regelzone Amprion (gesamt)</v>
      </c>
      <c r="I513" s="587"/>
    </row>
    <row r="514" spans="1:9" hidden="1" outlineLevel="1">
      <c r="A514" s="1642">
        <v>2023</v>
      </c>
      <c r="B514" s="73" t="s">
        <v>1174</v>
      </c>
      <c r="C514" s="80" t="s">
        <v>2408</v>
      </c>
      <c r="D514" s="48">
        <v>-2050742</v>
      </c>
      <c r="E514" s="48">
        <v>-7321.15</v>
      </c>
      <c r="F514" s="78">
        <v>-12119.89</v>
      </c>
      <c r="G514" s="8" t="s">
        <v>1175</v>
      </c>
      <c r="H514" s="591" t="str">
        <f t="shared" si="12"/>
        <v>Regelzone Amprion (gesamt)</v>
      </c>
      <c r="I514" s="587"/>
    </row>
    <row r="515" spans="1:9" hidden="1" outlineLevel="1">
      <c r="A515" s="1642">
        <v>2023</v>
      </c>
      <c r="B515" s="73" t="s">
        <v>1176</v>
      </c>
      <c r="C515" s="80" t="s">
        <v>2408</v>
      </c>
      <c r="D515" s="48">
        <v>744451</v>
      </c>
      <c r="E515" s="48">
        <v>2657.69</v>
      </c>
      <c r="F515" s="78">
        <v>4399.71</v>
      </c>
      <c r="G515" s="8" t="s">
        <v>1177</v>
      </c>
      <c r="H515" s="591" t="str">
        <f t="shared" si="12"/>
        <v>Regelzone Amprion (gesamt)</v>
      </c>
      <c r="I515" s="587"/>
    </row>
    <row r="516" spans="1:9" hidden="1" outlineLevel="1">
      <c r="A516" s="1642">
        <v>2023</v>
      </c>
      <c r="B516" s="73" t="s">
        <v>1182</v>
      </c>
      <c r="C516" s="80" t="s">
        <v>2408</v>
      </c>
      <c r="D516" s="48">
        <v>-8869</v>
      </c>
      <c r="E516" s="48">
        <v>-31.66</v>
      </c>
      <c r="F516" s="78">
        <v>-52.41</v>
      </c>
      <c r="G516" s="8" t="s">
        <v>1183</v>
      </c>
      <c r="H516" s="591" t="str">
        <f t="shared" si="12"/>
        <v>Regelzone Amprion (gesamt)</v>
      </c>
      <c r="I516" s="587"/>
    </row>
    <row r="517" spans="1:9" hidden="1" outlineLevel="1">
      <c r="A517" s="1642">
        <v>2023</v>
      </c>
      <c r="B517" s="73" t="s">
        <v>1186</v>
      </c>
      <c r="C517" s="80" t="s">
        <v>2418</v>
      </c>
      <c r="D517" s="48">
        <v>-1908018</v>
      </c>
      <c r="E517" s="48">
        <v>-1021.74</v>
      </c>
      <c r="F517" s="78">
        <v>-1691.46</v>
      </c>
      <c r="G517" s="8" t="s">
        <v>1187</v>
      </c>
      <c r="H517" s="591" t="str">
        <f t="shared" si="12"/>
        <v>Regelzone Amprion (gesamt)</v>
      </c>
      <c r="I517" s="587"/>
    </row>
    <row r="518" spans="1:9" hidden="1" outlineLevel="1">
      <c r="A518" s="1642">
        <v>2023</v>
      </c>
      <c r="B518" s="73" t="s">
        <v>1186</v>
      </c>
      <c r="C518" s="80" t="s">
        <v>2408</v>
      </c>
      <c r="D518" s="48">
        <v>1908018</v>
      </c>
      <c r="E518" s="48">
        <v>6811.63</v>
      </c>
      <c r="F518" s="78">
        <v>11276.39</v>
      </c>
      <c r="G518" s="8" t="s">
        <v>1187</v>
      </c>
      <c r="H518" s="591" t="str">
        <f t="shared" si="12"/>
        <v>Regelzone Amprion (gesamt)</v>
      </c>
      <c r="I518" s="587"/>
    </row>
    <row r="519" spans="1:9" hidden="1" outlineLevel="1">
      <c r="A519" s="1642">
        <v>2023</v>
      </c>
      <c r="B519" s="73" t="s">
        <v>1188</v>
      </c>
      <c r="C519" s="80" t="s">
        <v>2408</v>
      </c>
      <c r="D519" s="48">
        <v>-10557</v>
      </c>
      <c r="E519" s="48">
        <v>-37.69</v>
      </c>
      <c r="F519" s="78">
        <v>-62.39</v>
      </c>
      <c r="G519" s="8" t="s">
        <v>1189</v>
      </c>
      <c r="H519" s="591" t="str">
        <f t="shared" si="12"/>
        <v>Regelzone Amprion (gesamt)</v>
      </c>
      <c r="I519" s="587"/>
    </row>
    <row r="520" spans="1:9" hidden="1" outlineLevel="1">
      <c r="A520" s="1642">
        <v>2023</v>
      </c>
      <c r="B520" s="73" t="s">
        <v>1190</v>
      </c>
      <c r="C520" s="80" t="s">
        <v>2408</v>
      </c>
      <c r="D520" s="48">
        <v>391451</v>
      </c>
      <c r="E520" s="48">
        <v>1397.48</v>
      </c>
      <c r="F520" s="78">
        <v>2313.4699999999998</v>
      </c>
      <c r="G520" s="8" t="s">
        <v>1191</v>
      </c>
      <c r="H520" s="591" t="str">
        <f t="shared" si="12"/>
        <v>Regelzone Amprion (gesamt)</v>
      </c>
      <c r="I520" s="587"/>
    </row>
    <row r="521" spans="1:9" hidden="1" outlineLevel="1">
      <c r="A521" s="1642">
        <v>2023</v>
      </c>
      <c r="B521" s="73" t="s">
        <v>1192</v>
      </c>
      <c r="C521" s="80" t="s">
        <v>2408</v>
      </c>
      <c r="D521" s="48">
        <v>-43412</v>
      </c>
      <c r="E521" s="48">
        <v>-154.97999999999999</v>
      </c>
      <c r="F521" s="78">
        <v>-256.56</v>
      </c>
      <c r="G521" s="8" t="s">
        <v>1193</v>
      </c>
      <c r="H521" s="591" t="str">
        <f t="shared" si="12"/>
        <v>Regelzone Amprion (gesamt)</v>
      </c>
      <c r="I521" s="587"/>
    </row>
    <row r="522" spans="1:9" hidden="1" outlineLevel="1">
      <c r="A522" s="1642">
        <v>2023</v>
      </c>
      <c r="B522" s="73" t="s">
        <v>1194</v>
      </c>
      <c r="C522" s="80" t="s">
        <v>2408</v>
      </c>
      <c r="D522" s="48">
        <v>126583</v>
      </c>
      <c r="E522" s="48">
        <v>451.9</v>
      </c>
      <c r="F522" s="78">
        <v>748.1</v>
      </c>
      <c r="G522" s="8" t="s">
        <v>1195</v>
      </c>
      <c r="H522" s="591" t="str">
        <f t="shared" si="12"/>
        <v>Regelzone Amprion (gesamt)</v>
      </c>
      <c r="I522" s="587"/>
    </row>
    <row r="523" spans="1:9" hidden="1" outlineLevel="1">
      <c r="A523" s="1642">
        <v>2023</v>
      </c>
      <c r="B523" s="73" t="s">
        <v>1198</v>
      </c>
      <c r="C523" s="80" t="s">
        <v>2408</v>
      </c>
      <c r="D523" s="48">
        <v>-171232</v>
      </c>
      <c r="E523" s="48">
        <v>-611.29999999999995</v>
      </c>
      <c r="F523" s="78">
        <v>-1011.98</v>
      </c>
      <c r="G523" s="8" t="s">
        <v>1199</v>
      </c>
      <c r="H523" s="591" t="str">
        <f t="shared" si="12"/>
        <v>Regelzone Amprion (gesamt)</v>
      </c>
      <c r="I523" s="587"/>
    </row>
    <row r="524" spans="1:9" hidden="1" outlineLevel="1">
      <c r="A524" s="1642">
        <v>2023</v>
      </c>
      <c r="B524" s="73" t="s">
        <v>1200</v>
      </c>
      <c r="C524" s="80" t="s">
        <v>2408</v>
      </c>
      <c r="D524" s="48">
        <v>71644</v>
      </c>
      <c r="E524" s="48">
        <v>255.77</v>
      </c>
      <c r="F524" s="78">
        <v>423.42</v>
      </c>
      <c r="G524" s="8" t="s">
        <v>1201</v>
      </c>
      <c r="H524" s="591" t="str">
        <f t="shared" si="12"/>
        <v>Regelzone Amprion (gesamt)</v>
      </c>
      <c r="I524" s="587"/>
    </row>
    <row r="525" spans="1:9" hidden="1" outlineLevel="1">
      <c r="A525" s="1642">
        <v>2023</v>
      </c>
      <c r="B525" s="73" t="s">
        <v>1206</v>
      </c>
      <c r="C525" s="80" t="s">
        <v>2408</v>
      </c>
      <c r="D525" s="48">
        <v>2619</v>
      </c>
      <c r="E525" s="48">
        <v>9.35</v>
      </c>
      <c r="F525" s="78">
        <v>15.48</v>
      </c>
      <c r="G525" s="8" t="s">
        <v>1207</v>
      </c>
      <c r="H525" s="591" t="str">
        <f t="shared" si="12"/>
        <v>Regelzone Amprion (gesamt)</v>
      </c>
      <c r="I525" s="587"/>
    </row>
    <row r="526" spans="1:9" hidden="1" outlineLevel="1">
      <c r="A526" s="1642">
        <v>2023</v>
      </c>
      <c r="B526" s="73" t="s">
        <v>768</v>
      </c>
      <c r="C526" s="80" t="s">
        <v>2408</v>
      </c>
      <c r="D526" s="48">
        <v>-107843</v>
      </c>
      <c r="E526" s="48">
        <v>-385</v>
      </c>
      <c r="F526" s="78">
        <v>-637.35</v>
      </c>
      <c r="G526" s="8" t="s">
        <v>769</v>
      </c>
      <c r="H526" s="591" t="str">
        <f t="shared" si="12"/>
        <v>Regelzone Amprion (gesamt)</v>
      </c>
      <c r="I526" s="587"/>
    </row>
    <row r="527" spans="1:9" ht="13.5" hidden="1" outlineLevel="1" thickBot="1">
      <c r="A527" s="1643">
        <v>2023</v>
      </c>
      <c r="B527" s="74" t="s">
        <v>1216</v>
      </c>
      <c r="C527" s="687" t="s">
        <v>2408</v>
      </c>
      <c r="D527" s="49">
        <v>-7395</v>
      </c>
      <c r="E527" s="49">
        <v>-26.4</v>
      </c>
      <c r="F527" s="1645">
        <v>-43.7</v>
      </c>
      <c r="G527" s="8" t="s">
        <v>1217</v>
      </c>
      <c r="H527" s="591" t="str">
        <f t="shared" si="12"/>
        <v>Regelzone Amprion (gesamt)</v>
      </c>
      <c r="I527" s="587"/>
    </row>
    <row r="528" spans="1:9" hidden="1" outlineLevel="1">
      <c r="A528" s="1644">
        <v>2024</v>
      </c>
      <c r="B528" s="77" t="s">
        <v>775</v>
      </c>
      <c r="C528" s="567" t="s">
        <v>2408</v>
      </c>
      <c r="D528" s="55">
        <v>-2352183</v>
      </c>
      <c r="E528" s="55">
        <v>-6468.51</v>
      </c>
      <c r="F528" s="55">
        <v>-15430.32</v>
      </c>
      <c r="G528" s="8" t="s">
        <v>776</v>
      </c>
      <c r="H528" s="591" t="str">
        <f t="shared" si="12"/>
        <v>Regelzone Amprion (gesamt)</v>
      </c>
      <c r="I528" s="587"/>
    </row>
    <row r="529" spans="1:9" hidden="1" outlineLevel="1">
      <c r="A529" s="1642">
        <v>2024</v>
      </c>
      <c r="B529" s="77" t="s">
        <v>456</v>
      </c>
      <c r="C529" s="567" t="s">
        <v>2408</v>
      </c>
      <c r="D529" s="55">
        <v>1685828</v>
      </c>
      <c r="E529" s="55">
        <v>4636.03</v>
      </c>
      <c r="F529" s="72">
        <v>11059.03</v>
      </c>
      <c r="G529" s="8" t="s">
        <v>457</v>
      </c>
      <c r="H529" s="591" t="str">
        <f t="shared" si="12"/>
        <v>Regelzone Amprion (gesamt)</v>
      </c>
      <c r="I529" s="587"/>
    </row>
    <row r="530" spans="1:9" hidden="1" outlineLevel="1">
      <c r="A530" s="1642">
        <v>2024</v>
      </c>
      <c r="B530" s="77" t="s">
        <v>777</v>
      </c>
      <c r="C530" s="567" t="s">
        <v>2408</v>
      </c>
      <c r="D530" s="55">
        <v>90599</v>
      </c>
      <c r="E530" s="55">
        <v>249.15</v>
      </c>
      <c r="F530" s="72">
        <v>594.33000000000004</v>
      </c>
      <c r="G530" s="8" t="s">
        <v>778</v>
      </c>
      <c r="H530" s="591" t="str">
        <f t="shared" si="12"/>
        <v>Regelzone Amprion (gesamt)</v>
      </c>
      <c r="I530" s="587"/>
    </row>
    <row r="531" spans="1:9" hidden="1" outlineLevel="1">
      <c r="A531" s="1642">
        <v>2024</v>
      </c>
      <c r="B531" s="77" t="s">
        <v>781</v>
      </c>
      <c r="C531" s="567" t="s">
        <v>2409</v>
      </c>
      <c r="D531" s="55">
        <v>-35779</v>
      </c>
      <c r="E531" s="55">
        <v>-9.84</v>
      </c>
      <c r="F531" s="72">
        <v>-23.47</v>
      </c>
      <c r="G531" s="8" t="s">
        <v>782</v>
      </c>
      <c r="H531" s="591" t="str">
        <f t="shared" si="12"/>
        <v>Regelzone Amprion (gesamt)</v>
      </c>
      <c r="I531" s="587"/>
    </row>
    <row r="532" spans="1:9" hidden="1" outlineLevel="1">
      <c r="A532" s="1642">
        <v>2024</v>
      </c>
      <c r="B532" s="77" t="s">
        <v>781</v>
      </c>
      <c r="C532" s="567" t="s">
        <v>2408</v>
      </c>
      <c r="D532" s="55">
        <v>-4486955</v>
      </c>
      <c r="E532" s="55">
        <v>-12339.13</v>
      </c>
      <c r="F532" s="72">
        <v>-29434.43</v>
      </c>
      <c r="G532" s="8" t="s">
        <v>782</v>
      </c>
      <c r="H532" s="591" t="str">
        <f t="shared" ref="H532:H563" si="13">+H531</f>
        <v>Regelzone Amprion (gesamt)</v>
      </c>
      <c r="I532" s="587"/>
    </row>
    <row r="533" spans="1:9" hidden="1" outlineLevel="1">
      <c r="A533" s="1642">
        <v>2024</v>
      </c>
      <c r="B533" s="77" t="s">
        <v>783</v>
      </c>
      <c r="C533" s="567" t="s">
        <v>2408</v>
      </c>
      <c r="D533" s="55">
        <v>1430331</v>
      </c>
      <c r="E533" s="55">
        <v>3933.41</v>
      </c>
      <c r="F533" s="72">
        <v>9382.98</v>
      </c>
      <c r="G533" s="8" t="s">
        <v>784</v>
      </c>
      <c r="H533" s="591" t="str">
        <f t="shared" si="13"/>
        <v>Regelzone Amprion (gesamt)</v>
      </c>
      <c r="I533" s="587"/>
    </row>
    <row r="534" spans="1:9" hidden="1" outlineLevel="1">
      <c r="A534" s="1642">
        <v>2024</v>
      </c>
      <c r="B534" s="77" t="s">
        <v>787</v>
      </c>
      <c r="C534" s="567" t="s">
        <v>2408</v>
      </c>
      <c r="D534" s="55">
        <v>4462341</v>
      </c>
      <c r="E534" s="55">
        <v>12271.44</v>
      </c>
      <c r="F534" s="72">
        <v>29272.959999999999</v>
      </c>
      <c r="G534" s="8" t="s">
        <v>788</v>
      </c>
      <c r="H534" s="591" t="str">
        <f t="shared" si="13"/>
        <v>Regelzone Amprion (gesamt)</v>
      </c>
      <c r="I534" s="587"/>
    </row>
    <row r="535" spans="1:9" hidden="1" outlineLevel="1">
      <c r="A535" s="1642">
        <v>2024</v>
      </c>
      <c r="B535" s="77" t="s">
        <v>789</v>
      </c>
      <c r="C535" s="567" t="s">
        <v>2408</v>
      </c>
      <c r="D535" s="55">
        <v>38705476</v>
      </c>
      <c r="E535" s="55">
        <v>106440.06</v>
      </c>
      <c r="F535" s="72">
        <v>253907.92</v>
      </c>
      <c r="G535" s="8" t="s">
        <v>790</v>
      </c>
      <c r="H535" s="591" t="str">
        <f t="shared" si="13"/>
        <v>Regelzone Amprion (gesamt)</v>
      </c>
      <c r="I535" s="587"/>
    </row>
    <row r="536" spans="1:9" hidden="1" outlineLevel="1">
      <c r="A536" s="1642">
        <v>2024</v>
      </c>
      <c r="B536" s="77" t="s">
        <v>789</v>
      </c>
      <c r="C536" s="567" t="s">
        <v>2411</v>
      </c>
      <c r="D536" s="55">
        <v>8654122</v>
      </c>
      <c r="E536" s="55">
        <v>-23798.84</v>
      </c>
      <c r="F536" s="72">
        <v>-56771.040000000001</v>
      </c>
      <c r="G536" s="8" t="s">
        <v>790</v>
      </c>
      <c r="H536" s="591" t="str">
        <f t="shared" si="13"/>
        <v>Regelzone Amprion (gesamt)</v>
      </c>
      <c r="I536" s="587"/>
    </row>
    <row r="537" spans="1:9" hidden="1" outlineLevel="1">
      <c r="A537" s="1642">
        <v>2024</v>
      </c>
      <c r="B537" s="77" t="s">
        <v>791</v>
      </c>
      <c r="C537" s="567" t="s">
        <v>2408</v>
      </c>
      <c r="D537" s="55">
        <v>3275907</v>
      </c>
      <c r="E537" s="55">
        <v>9008.74</v>
      </c>
      <c r="F537" s="72">
        <v>21489.95</v>
      </c>
      <c r="G537" s="8" t="s">
        <v>792</v>
      </c>
      <c r="H537" s="591" t="str">
        <f>+H535</f>
        <v>Regelzone Amprion (gesamt)</v>
      </c>
      <c r="I537" s="587"/>
    </row>
    <row r="538" spans="1:9" hidden="1" outlineLevel="1">
      <c r="A538" s="1642">
        <v>2024</v>
      </c>
      <c r="B538" s="77" t="s">
        <v>793</v>
      </c>
      <c r="C538" s="567" t="s">
        <v>2408</v>
      </c>
      <c r="D538" s="55">
        <v>-515433</v>
      </c>
      <c r="E538" s="55">
        <v>-1417.44</v>
      </c>
      <c r="F538" s="55">
        <v>-3381.24</v>
      </c>
      <c r="G538" s="8" t="s">
        <v>794</v>
      </c>
      <c r="H538" s="591" t="str">
        <f t="shared" si="13"/>
        <v>Regelzone Amprion (gesamt)</v>
      </c>
      <c r="I538" s="587"/>
    </row>
    <row r="539" spans="1:9" hidden="1" outlineLevel="1">
      <c r="A539" s="1642">
        <v>2024</v>
      </c>
      <c r="B539" s="77" t="s">
        <v>795</v>
      </c>
      <c r="C539" s="567" t="s">
        <v>2408</v>
      </c>
      <c r="D539" s="55">
        <v>2431917</v>
      </c>
      <c r="E539" s="55">
        <v>6687.77</v>
      </c>
      <c r="F539" s="72">
        <v>15953.38</v>
      </c>
      <c r="G539" s="8" t="s">
        <v>796</v>
      </c>
      <c r="H539" s="591" t="str">
        <f t="shared" si="13"/>
        <v>Regelzone Amprion (gesamt)</v>
      </c>
      <c r="I539" s="587"/>
    </row>
    <row r="540" spans="1:9" hidden="1" outlineLevel="1">
      <c r="A540" s="1642">
        <v>2024</v>
      </c>
      <c r="B540" s="77" t="s">
        <v>797</v>
      </c>
      <c r="C540" s="567" t="s">
        <v>2408</v>
      </c>
      <c r="D540" s="55">
        <v>-1739548</v>
      </c>
      <c r="E540" s="55">
        <v>-4783.76</v>
      </c>
      <c r="F540" s="72">
        <v>-11411.44</v>
      </c>
      <c r="G540" s="8" t="s">
        <v>798</v>
      </c>
      <c r="H540" s="591" t="str">
        <f t="shared" si="13"/>
        <v>Regelzone Amprion (gesamt)</v>
      </c>
      <c r="I540" s="587"/>
    </row>
    <row r="541" spans="1:9" hidden="1" outlineLevel="1">
      <c r="A541" s="1642">
        <v>2024</v>
      </c>
      <c r="B541" s="77" t="s">
        <v>799</v>
      </c>
      <c r="C541" s="567" t="s">
        <v>2408</v>
      </c>
      <c r="D541" s="55">
        <v>-577661</v>
      </c>
      <c r="E541" s="55">
        <v>-1588.57</v>
      </c>
      <c r="F541" s="72">
        <v>-3789.45</v>
      </c>
      <c r="G541" s="8" t="s">
        <v>800</v>
      </c>
      <c r="H541" s="591" t="str">
        <f t="shared" si="13"/>
        <v>Regelzone Amprion (gesamt)</v>
      </c>
      <c r="I541" s="587"/>
    </row>
    <row r="542" spans="1:9" hidden="1" outlineLevel="1">
      <c r="A542" s="1642">
        <v>2024</v>
      </c>
      <c r="B542" s="77" t="s">
        <v>801</v>
      </c>
      <c r="C542" s="567" t="s">
        <v>2408</v>
      </c>
      <c r="D542" s="55">
        <v>1129883</v>
      </c>
      <c r="E542" s="55">
        <v>3107.18</v>
      </c>
      <c r="F542" s="72">
        <v>7412.04</v>
      </c>
      <c r="G542" s="8" t="s">
        <v>802</v>
      </c>
      <c r="H542" s="591" t="str">
        <f t="shared" si="13"/>
        <v>Regelzone Amprion (gesamt)</v>
      </c>
      <c r="I542" s="587"/>
    </row>
    <row r="543" spans="1:9" hidden="1" outlineLevel="1">
      <c r="A543" s="1642">
        <v>2024</v>
      </c>
      <c r="B543" s="77" t="s">
        <v>805</v>
      </c>
      <c r="C543" s="567" t="s">
        <v>2408</v>
      </c>
      <c r="D543" s="55">
        <v>-726332</v>
      </c>
      <c r="E543" s="55">
        <v>-1997.41</v>
      </c>
      <c r="F543" s="72">
        <v>-4764.7299999999996</v>
      </c>
      <c r="G543" s="8" t="s">
        <v>806</v>
      </c>
      <c r="H543" s="591" t="str">
        <f t="shared" si="13"/>
        <v>Regelzone Amprion (gesamt)</v>
      </c>
      <c r="I543" s="587"/>
    </row>
    <row r="544" spans="1:9" hidden="1" outlineLevel="1">
      <c r="A544" s="1642">
        <v>2024</v>
      </c>
      <c r="B544" s="77" t="s">
        <v>807</v>
      </c>
      <c r="C544" s="567" t="s">
        <v>2408</v>
      </c>
      <c r="D544" s="55">
        <v>1934802</v>
      </c>
      <c r="E544" s="55">
        <v>5320.71</v>
      </c>
      <c r="F544" s="72">
        <v>12692.3</v>
      </c>
      <c r="G544" s="8" t="s">
        <v>808</v>
      </c>
      <c r="H544" s="591" t="str">
        <f t="shared" si="13"/>
        <v>Regelzone Amprion (gesamt)</v>
      </c>
      <c r="I544" s="587"/>
    </row>
    <row r="545" spans="1:9" hidden="1" outlineLevel="1">
      <c r="A545" s="1642">
        <v>2024</v>
      </c>
      <c r="B545" s="77" t="s">
        <v>809</v>
      </c>
      <c r="C545" s="567" t="s">
        <v>2408</v>
      </c>
      <c r="D545" s="55">
        <v>-751544</v>
      </c>
      <c r="E545" s="55">
        <v>-2066.7399999999998</v>
      </c>
      <c r="F545" s="72">
        <v>-4930.13</v>
      </c>
      <c r="G545" s="8" t="s">
        <v>810</v>
      </c>
      <c r="H545" s="591" t="str">
        <f t="shared" si="13"/>
        <v>Regelzone Amprion (gesamt)</v>
      </c>
      <c r="I545" s="587"/>
    </row>
    <row r="546" spans="1:9" hidden="1" outlineLevel="1">
      <c r="A546" s="1642">
        <v>2024</v>
      </c>
      <c r="B546" s="77" t="s">
        <v>813</v>
      </c>
      <c r="C546" s="567" t="s">
        <v>2408</v>
      </c>
      <c r="D546" s="55">
        <v>-27265</v>
      </c>
      <c r="E546" s="55">
        <v>-74.98</v>
      </c>
      <c r="F546" s="72">
        <v>-178.85</v>
      </c>
      <c r="G546" s="8" t="s">
        <v>814</v>
      </c>
      <c r="H546" s="591" t="str">
        <f t="shared" si="13"/>
        <v>Regelzone Amprion (gesamt)</v>
      </c>
      <c r="I546" s="587"/>
    </row>
    <row r="547" spans="1:9" hidden="1" outlineLevel="1">
      <c r="A547" s="1642">
        <v>2024</v>
      </c>
      <c r="B547" s="77" t="s">
        <v>817</v>
      </c>
      <c r="C547" s="567" t="s">
        <v>2408</v>
      </c>
      <c r="D547" s="55">
        <v>-77787</v>
      </c>
      <c r="E547" s="55">
        <v>-213.91</v>
      </c>
      <c r="F547" s="72">
        <v>-510.29</v>
      </c>
      <c r="G547" s="8" t="s">
        <v>818</v>
      </c>
      <c r="H547" s="591" t="str">
        <f t="shared" si="13"/>
        <v>Regelzone Amprion (gesamt)</v>
      </c>
      <c r="I547" s="587"/>
    </row>
    <row r="548" spans="1:9" hidden="1" outlineLevel="1">
      <c r="A548" s="1642">
        <v>2024</v>
      </c>
      <c r="B548" s="77" t="s">
        <v>819</v>
      </c>
      <c r="C548" s="567" t="s">
        <v>2408</v>
      </c>
      <c r="D548" s="55">
        <v>-3782141</v>
      </c>
      <c r="E548" s="55">
        <v>-10400.879999999999</v>
      </c>
      <c r="F548" s="72">
        <v>-24810.85</v>
      </c>
      <c r="G548" s="8" t="s">
        <v>820</v>
      </c>
      <c r="H548" s="591" t="str">
        <f t="shared" si="13"/>
        <v>Regelzone Amprion (gesamt)</v>
      </c>
      <c r="I548" s="587"/>
    </row>
    <row r="549" spans="1:9" hidden="1" outlineLevel="1">
      <c r="A549" s="1642">
        <v>2024</v>
      </c>
      <c r="B549" s="77" t="s">
        <v>821</v>
      </c>
      <c r="C549" s="567" t="s">
        <v>2408</v>
      </c>
      <c r="D549" s="55">
        <v>105961</v>
      </c>
      <c r="E549" s="55">
        <v>291.39</v>
      </c>
      <c r="F549" s="72">
        <v>695.11</v>
      </c>
      <c r="G549" s="8" t="s">
        <v>822</v>
      </c>
      <c r="H549" s="591" t="str">
        <f t="shared" si="13"/>
        <v>Regelzone Amprion (gesamt)</v>
      </c>
      <c r="I549" s="587"/>
    </row>
    <row r="550" spans="1:9" hidden="1" outlineLevel="1">
      <c r="A550" s="1642">
        <v>2024</v>
      </c>
      <c r="B550" s="77" t="s">
        <v>823</v>
      </c>
      <c r="C550" s="567" t="s">
        <v>2408</v>
      </c>
      <c r="D550" s="55">
        <v>519140</v>
      </c>
      <c r="E550" s="55">
        <v>1427.63</v>
      </c>
      <c r="F550" s="72">
        <v>3405.56</v>
      </c>
      <c r="G550" s="8" t="s">
        <v>824</v>
      </c>
      <c r="H550" s="591" t="str">
        <f t="shared" si="13"/>
        <v>Regelzone Amprion (gesamt)</v>
      </c>
      <c r="I550" s="587"/>
    </row>
    <row r="551" spans="1:9" hidden="1" outlineLevel="1">
      <c r="A551" s="1642">
        <v>2024</v>
      </c>
      <c r="B551" s="77" t="s">
        <v>825</v>
      </c>
      <c r="C551" s="567" t="s">
        <v>2408</v>
      </c>
      <c r="D551" s="55">
        <v>-87576</v>
      </c>
      <c r="E551" s="55">
        <v>-240.83</v>
      </c>
      <c r="F551" s="72">
        <v>-574.5</v>
      </c>
      <c r="G551" s="8" t="s">
        <v>826</v>
      </c>
      <c r="H551" s="591" t="str">
        <f t="shared" si="13"/>
        <v>Regelzone Amprion (gesamt)</v>
      </c>
      <c r="I551" s="587"/>
    </row>
    <row r="552" spans="1:9" hidden="1" outlineLevel="1">
      <c r="A552" s="1642">
        <v>2024</v>
      </c>
      <c r="B552" s="77" t="s">
        <v>827</v>
      </c>
      <c r="C552" s="567" t="s">
        <v>2408</v>
      </c>
      <c r="D552" s="55">
        <v>161907</v>
      </c>
      <c r="E552" s="55">
        <v>445.25</v>
      </c>
      <c r="F552" s="72">
        <v>1062.1099999999999</v>
      </c>
      <c r="G552" s="8" t="s">
        <v>828</v>
      </c>
      <c r="H552" s="591" t="str">
        <f t="shared" si="13"/>
        <v>Regelzone Amprion (gesamt)</v>
      </c>
      <c r="I552" s="587"/>
    </row>
    <row r="553" spans="1:9" hidden="1" outlineLevel="1">
      <c r="A553" s="1642">
        <v>2024</v>
      </c>
      <c r="B553" s="77" t="s">
        <v>829</v>
      </c>
      <c r="C553" s="567" t="s">
        <v>2408</v>
      </c>
      <c r="D553" s="55">
        <v>-950158</v>
      </c>
      <c r="E553" s="55">
        <v>-2612.9299999999998</v>
      </c>
      <c r="F553" s="72">
        <v>-6233.03</v>
      </c>
      <c r="G553" s="8" t="s">
        <v>830</v>
      </c>
      <c r="H553" s="591" t="str">
        <f t="shared" si="13"/>
        <v>Regelzone Amprion (gesamt)</v>
      </c>
      <c r="I553" s="587"/>
    </row>
    <row r="554" spans="1:9" hidden="1" outlineLevel="1">
      <c r="A554" s="1642">
        <v>2024</v>
      </c>
      <c r="B554" s="77" t="s">
        <v>831</v>
      </c>
      <c r="C554" s="567" t="s">
        <v>2408</v>
      </c>
      <c r="D554" s="55">
        <v>-64755</v>
      </c>
      <c r="E554" s="55">
        <v>-178.08</v>
      </c>
      <c r="F554" s="72">
        <v>-424.8</v>
      </c>
      <c r="G554" s="8" t="s">
        <v>832</v>
      </c>
      <c r="H554" s="591" t="str">
        <f t="shared" si="13"/>
        <v>Regelzone Amprion (gesamt)</v>
      </c>
      <c r="I554" s="587"/>
    </row>
    <row r="555" spans="1:9" hidden="1" outlineLevel="1">
      <c r="A555" s="1642">
        <v>2024</v>
      </c>
      <c r="B555" s="77" t="s">
        <v>833</v>
      </c>
      <c r="C555" s="567" t="s">
        <v>2408</v>
      </c>
      <c r="D555" s="55">
        <v>205558</v>
      </c>
      <c r="E555" s="55">
        <v>565.29</v>
      </c>
      <c r="F555" s="72">
        <v>1348.46</v>
      </c>
      <c r="G555" s="8" t="s">
        <v>834</v>
      </c>
      <c r="H555" s="591" t="str">
        <f t="shared" si="13"/>
        <v>Regelzone Amprion (gesamt)</v>
      </c>
      <c r="I555" s="587"/>
    </row>
    <row r="556" spans="1:9" hidden="1" outlineLevel="1">
      <c r="A556" s="1642">
        <v>2024</v>
      </c>
      <c r="B556" s="77" t="s">
        <v>835</v>
      </c>
      <c r="C556" s="567" t="s">
        <v>2408</v>
      </c>
      <c r="D556" s="55">
        <v>-17917</v>
      </c>
      <c r="E556" s="55">
        <v>-49.27</v>
      </c>
      <c r="F556" s="72">
        <v>-117.53</v>
      </c>
      <c r="G556" s="8" t="s">
        <v>836</v>
      </c>
      <c r="H556" s="591" t="str">
        <f t="shared" si="13"/>
        <v>Regelzone Amprion (gesamt)</v>
      </c>
      <c r="I556" s="587"/>
    </row>
    <row r="557" spans="1:9" hidden="1" outlineLevel="1">
      <c r="A557" s="1642">
        <v>2024</v>
      </c>
      <c r="B557" s="77" t="s">
        <v>839</v>
      </c>
      <c r="C557" s="567" t="s">
        <v>2408</v>
      </c>
      <c r="D557" s="55">
        <v>26144243</v>
      </c>
      <c r="E557" s="55">
        <v>71896.67</v>
      </c>
      <c r="F557" s="72">
        <v>171506.23</v>
      </c>
      <c r="G557" s="8" t="s">
        <v>840</v>
      </c>
      <c r="H557" s="591" t="str">
        <f t="shared" si="13"/>
        <v>Regelzone Amprion (gesamt)</v>
      </c>
      <c r="I557" s="587"/>
    </row>
    <row r="558" spans="1:9" hidden="1" outlineLevel="1">
      <c r="A558" s="1642">
        <v>2024</v>
      </c>
      <c r="B558" s="77" t="s">
        <v>839</v>
      </c>
      <c r="C558" s="567" t="s">
        <v>2411</v>
      </c>
      <c r="D558" s="55">
        <v>-328457</v>
      </c>
      <c r="E558" s="55">
        <v>903.26</v>
      </c>
      <c r="F558" s="72">
        <v>2154.67</v>
      </c>
      <c r="G558" s="8" t="s">
        <v>840</v>
      </c>
      <c r="H558" s="591" t="s">
        <v>774</v>
      </c>
      <c r="I558" s="587"/>
    </row>
    <row r="559" spans="1:9" hidden="1" outlineLevel="1">
      <c r="A559" s="1642">
        <v>2024</v>
      </c>
      <c r="B559" s="77" t="s">
        <v>841</v>
      </c>
      <c r="C559" s="567" t="s">
        <v>2408</v>
      </c>
      <c r="D559" s="55">
        <v>-7591133</v>
      </c>
      <c r="E559" s="55">
        <v>-20875.61</v>
      </c>
      <c r="F559" s="72">
        <v>-49797.83</v>
      </c>
      <c r="G559" s="8" t="s">
        <v>842</v>
      </c>
      <c r="H559" s="591" t="str">
        <f>+H557</f>
        <v>Regelzone Amprion (gesamt)</v>
      </c>
      <c r="I559" s="587"/>
    </row>
    <row r="560" spans="1:9" hidden="1" outlineLevel="1">
      <c r="A560" s="1642">
        <v>2024</v>
      </c>
      <c r="B560" s="77" t="s">
        <v>845</v>
      </c>
      <c r="C560" s="567" t="s">
        <v>2408</v>
      </c>
      <c r="D560" s="55">
        <v>69141</v>
      </c>
      <c r="E560" s="55">
        <v>190.14</v>
      </c>
      <c r="F560" s="72">
        <v>453.57</v>
      </c>
      <c r="G560" s="8" t="s">
        <v>846</v>
      </c>
      <c r="H560" s="591" t="str">
        <f t="shared" si="13"/>
        <v>Regelzone Amprion (gesamt)</v>
      </c>
      <c r="I560" s="587"/>
    </row>
    <row r="561" spans="1:9" hidden="1" outlineLevel="1">
      <c r="A561" s="1642">
        <v>2024</v>
      </c>
      <c r="B561" s="77" t="s">
        <v>847</v>
      </c>
      <c r="C561" s="567" t="s">
        <v>2408</v>
      </c>
      <c r="D561" s="55">
        <v>-1868686</v>
      </c>
      <c r="E561" s="55">
        <v>-5138.8900000000003</v>
      </c>
      <c r="F561" s="72">
        <v>-12258.58</v>
      </c>
      <c r="G561" s="8" t="s">
        <v>848</v>
      </c>
      <c r="H561" s="591" t="str">
        <f t="shared" si="13"/>
        <v>Regelzone Amprion (gesamt)</v>
      </c>
      <c r="I561" s="587"/>
    </row>
    <row r="562" spans="1:9" hidden="1" outlineLevel="1">
      <c r="A562" s="1642">
        <v>2024</v>
      </c>
      <c r="B562" s="77" t="s">
        <v>849</v>
      </c>
      <c r="C562" s="567" t="s">
        <v>2408</v>
      </c>
      <c r="D562" s="55">
        <v>-541129</v>
      </c>
      <c r="E562" s="55">
        <v>-1488.1</v>
      </c>
      <c r="F562" s="72">
        <v>-3549.8</v>
      </c>
      <c r="G562" s="8" t="s">
        <v>850</v>
      </c>
      <c r="H562" s="591" t="str">
        <f t="shared" si="13"/>
        <v>Regelzone Amprion (gesamt)</v>
      </c>
      <c r="I562" s="587"/>
    </row>
    <row r="563" spans="1:9" hidden="1" outlineLevel="1">
      <c r="A563" s="1642">
        <v>2024</v>
      </c>
      <c r="B563" s="77" t="s">
        <v>855</v>
      </c>
      <c r="C563" s="567" t="s">
        <v>2408</v>
      </c>
      <c r="D563" s="55">
        <v>2635233</v>
      </c>
      <c r="E563" s="55">
        <v>7246.89</v>
      </c>
      <c r="F563" s="72">
        <v>17287.13</v>
      </c>
      <c r="G563" s="8" t="s">
        <v>856</v>
      </c>
      <c r="H563" s="591" t="str">
        <f t="shared" si="13"/>
        <v>Regelzone Amprion (gesamt)</v>
      </c>
      <c r="I563" s="587"/>
    </row>
    <row r="564" spans="1:9" hidden="1" outlineLevel="1">
      <c r="A564" s="1642">
        <v>2024</v>
      </c>
      <c r="B564" s="73" t="s">
        <v>857</v>
      </c>
      <c r="C564" s="80" t="s">
        <v>2408</v>
      </c>
      <c r="D564" s="48">
        <v>114512</v>
      </c>
      <c r="E564" s="48">
        <v>314.89999999999998</v>
      </c>
      <c r="F564" s="72">
        <v>751.2</v>
      </c>
      <c r="G564" s="8" t="s">
        <v>858</v>
      </c>
      <c r="H564" s="591" t="str">
        <f>+H499</f>
        <v>Regelzone Amprion (gesamt)</v>
      </c>
      <c r="I564" s="587"/>
    </row>
    <row r="565" spans="1:9" hidden="1" outlineLevel="1">
      <c r="A565" s="1642">
        <v>2024</v>
      </c>
      <c r="B565" s="73" t="s">
        <v>859</v>
      </c>
      <c r="C565" s="80" t="s">
        <v>2408</v>
      </c>
      <c r="D565" s="48">
        <v>-15583</v>
      </c>
      <c r="E565" s="48">
        <v>-42.85</v>
      </c>
      <c r="F565" s="48">
        <v>-102.23</v>
      </c>
      <c r="G565" s="8" t="s">
        <v>860</v>
      </c>
      <c r="H565" s="591" t="str">
        <f t="shared" si="11"/>
        <v>Regelzone Amprion (gesamt)</v>
      </c>
      <c r="I565" s="587"/>
    </row>
    <row r="566" spans="1:9" hidden="1" outlineLevel="1">
      <c r="A566" s="1642">
        <v>2024</v>
      </c>
      <c r="B566" s="73" t="s">
        <v>867</v>
      </c>
      <c r="C566" s="80" t="s">
        <v>2408</v>
      </c>
      <c r="D566" s="48">
        <v>64140</v>
      </c>
      <c r="E566" s="48">
        <v>176.38</v>
      </c>
      <c r="F566" s="48">
        <v>420.76</v>
      </c>
      <c r="G566" s="8" t="s">
        <v>868</v>
      </c>
      <c r="H566" s="591" t="str">
        <f t="shared" si="11"/>
        <v>Regelzone Amprion (gesamt)</v>
      </c>
      <c r="I566" s="587"/>
    </row>
    <row r="567" spans="1:9" hidden="1" outlineLevel="1">
      <c r="A567" s="1642">
        <v>2024</v>
      </c>
      <c r="B567" s="73" t="s">
        <v>869</v>
      </c>
      <c r="C567" s="80" t="s">
        <v>2408</v>
      </c>
      <c r="D567" s="48">
        <v>-11836</v>
      </c>
      <c r="E567" s="48">
        <v>-32.549999999999997</v>
      </c>
      <c r="F567" s="72">
        <v>-77.650000000000006</v>
      </c>
      <c r="G567" s="8" t="s">
        <v>870</v>
      </c>
      <c r="H567" s="591" t="str">
        <f t="shared" si="11"/>
        <v>Regelzone Amprion (gesamt)</v>
      </c>
      <c r="I567" s="587"/>
    </row>
    <row r="568" spans="1:9" hidden="1" outlineLevel="1">
      <c r="A568" s="1642">
        <v>2024</v>
      </c>
      <c r="B568" s="73" t="s">
        <v>871</v>
      </c>
      <c r="C568" s="80" t="s">
        <v>2408</v>
      </c>
      <c r="D568" s="48">
        <v>-1058927</v>
      </c>
      <c r="E568" s="48">
        <v>-2912.04</v>
      </c>
      <c r="F568" s="72">
        <v>-6946.56</v>
      </c>
      <c r="G568" s="8" t="s">
        <v>872</v>
      </c>
      <c r="H568" s="591" t="str">
        <f t="shared" si="11"/>
        <v>Regelzone Amprion (gesamt)</v>
      </c>
      <c r="I568" s="587"/>
    </row>
    <row r="569" spans="1:9" hidden="1" outlineLevel="1">
      <c r="A569" s="1642">
        <v>2024</v>
      </c>
      <c r="B569" s="73" t="s">
        <v>873</v>
      </c>
      <c r="C569" s="80" t="s">
        <v>2419</v>
      </c>
      <c r="D569" s="48">
        <v>394976</v>
      </c>
      <c r="E569" s="48">
        <v>217.24</v>
      </c>
      <c r="F569" s="72">
        <v>518.21</v>
      </c>
      <c r="G569" s="8" t="s">
        <v>874</v>
      </c>
      <c r="H569" s="591" t="str">
        <f t="shared" si="11"/>
        <v>Regelzone Amprion (gesamt)</v>
      </c>
      <c r="I569" s="587"/>
    </row>
    <row r="570" spans="1:9" hidden="1" outlineLevel="1">
      <c r="A570" s="1642">
        <v>2024</v>
      </c>
      <c r="B570" s="73" t="s">
        <v>873</v>
      </c>
      <c r="C570" s="80" t="s">
        <v>2409</v>
      </c>
      <c r="D570" s="48">
        <v>30569134</v>
      </c>
      <c r="E570" s="48">
        <v>8406.51</v>
      </c>
      <c r="F570" s="72">
        <v>20053.349999999999</v>
      </c>
      <c r="G570" s="8" t="s">
        <v>874</v>
      </c>
      <c r="H570" s="591" t="str">
        <f t="shared" si="11"/>
        <v>Regelzone Amprion (gesamt)</v>
      </c>
      <c r="I570" s="587"/>
    </row>
    <row r="571" spans="1:9" hidden="1" outlineLevel="1">
      <c r="A571" s="1642">
        <v>2024</v>
      </c>
      <c r="B571" s="73" t="s">
        <v>873</v>
      </c>
      <c r="C571" s="80" t="s">
        <v>2408</v>
      </c>
      <c r="D571" s="48">
        <v>-29944163</v>
      </c>
      <c r="E571" s="48">
        <v>-82346.45</v>
      </c>
      <c r="F571" s="72">
        <v>-196433.71</v>
      </c>
      <c r="G571" s="8" t="s">
        <v>874</v>
      </c>
      <c r="H571" s="591" t="str">
        <f t="shared" si="11"/>
        <v>Regelzone Amprion (gesamt)</v>
      </c>
      <c r="I571" s="587"/>
    </row>
    <row r="572" spans="1:9" hidden="1" outlineLevel="1">
      <c r="A572" s="1642">
        <v>2024</v>
      </c>
      <c r="B572" s="73" t="s">
        <v>875</v>
      </c>
      <c r="C572" s="80" t="s">
        <v>2408</v>
      </c>
      <c r="D572" s="48">
        <v>442197</v>
      </c>
      <c r="E572" s="48">
        <v>1216.04</v>
      </c>
      <c r="F572" s="72">
        <v>2900.82</v>
      </c>
      <c r="G572" s="8" t="s">
        <v>876</v>
      </c>
      <c r="H572" s="591" t="str">
        <f t="shared" si="11"/>
        <v>Regelzone Amprion (gesamt)</v>
      </c>
      <c r="I572" s="587"/>
    </row>
    <row r="573" spans="1:9" hidden="1" outlineLevel="1">
      <c r="A573" s="1642">
        <v>2024</v>
      </c>
      <c r="B573" s="73" t="s">
        <v>877</v>
      </c>
      <c r="C573" s="80" t="s">
        <v>2408</v>
      </c>
      <c r="D573" s="48">
        <v>-188585</v>
      </c>
      <c r="E573" s="48">
        <v>-518.61</v>
      </c>
      <c r="F573" s="72">
        <v>-1237.1199999999999</v>
      </c>
      <c r="G573" s="8" t="s">
        <v>878</v>
      </c>
      <c r="H573" s="591" t="str">
        <f t="shared" si="11"/>
        <v>Regelzone Amprion (gesamt)</v>
      </c>
      <c r="I573" s="587"/>
    </row>
    <row r="574" spans="1:9" hidden="1" outlineLevel="1">
      <c r="A574" s="1642">
        <v>2024</v>
      </c>
      <c r="B574" s="73" t="s">
        <v>879</v>
      </c>
      <c r="C574" s="80" t="s">
        <v>2408</v>
      </c>
      <c r="D574" s="48">
        <v>1249975</v>
      </c>
      <c r="E574" s="48">
        <v>3437.43</v>
      </c>
      <c r="F574" s="72">
        <v>8199.84</v>
      </c>
      <c r="G574" s="8" t="s">
        <v>880</v>
      </c>
      <c r="H574" s="591" t="str">
        <f t="shared" si="11"/>
        <v>Regelzone Amprion (gesamt)</v>
      </c>
      <c r="I574" s="587"/>
    </row>
    <row r="575" spans="1:9" hidden="1" outlineLevel="1">
      <c r="A575" s="1642">
        <v>2024</v>
      </c>
      <c r="B575" s="73" t="s">
        <v>542</v>
      </c>
      <c r="C575" s="80" t="s">
        <v>2408</v>
      </c>
      <c r="D575" s="48">
        <v>-316431</v>
      </c>
      <c r="E575" s="48">
        <v>-870.19</v>
      </c>
      <c r="F575" s="72">
        <v>-2075.79</v>
      </c>
      <c r="G575" s="8" t="s">
        <v>543</v>
      </c>
      <c r="H575" s="591" t="str">
        <f t="shared" si="11"/>
        <v>Regelzone Amprion (gesamt)</v>
      </c>
      <c r="I575" s="587"/>
    </row>
    <row r="576" spans="1:9" hidden="1" outlineLevel="1">
      <c r="A576" s="1642">
        <v>2024</v>
      </c>
      <c r="B576" s="73" t="s">
        <v>883</v>
      </c>
      <c r="C576" s="80" t="s">
        <v>2408</v>
      </c>
      <c r="D576" s="48">
        <v>476542</v>
      </c>
      <c r="E576" s="48">
        <v>1310.49</v>
      </c>
      <c r="F576" s="72">
        <v>3126.11</v>
      </c>
      <c r="G576" s="8" t="s">
        <v>884</v>
      </c>
      <c r="H576" s="591" t="str">
        <f t="shared" si="11"/>
        <v>Regelzone Amprion (gesamt)</v>
      </c>
      <c r="I576" s="587"/>
    </row>
    <row r="577" spans="1:9" hidden="1" outlineLevel="1">
      <c r="A577" s="1642">
        <v>2024</v>
      </c>
      <c r="B577" s="73" t="s">
        <v>889</v>
      </c>
      <c r="C577" s="80" t="s">
        <v>2408</v>
      </c>
      <c r="D577" s="48">
        <v>488140</v>
      </c>
      <c r="E577" s="48">
        <v>1342.39</v>
      </c>
      <c r="F577" s="72">
        <v>3202.2</v>
      </c>
      <c r="G577" s="8" t="s">
        <v>890</v>
      </c>
      <c r="H577" s="591" t="str">
        <f t="shared" si="11"/>
        <v>Regelzone Amprion (gesamt)</v>
      </c>
      <c r="I577" s="587"/>
    </row>
    <row r="578" spans="1:9" hidden="1" outlineLevel="1">
      <c r="A578" s="1642">
        <v>2024</v>
      </c>
      <c r="B578" s="73" t="s">
        <v>2074</v>
      </c>
      <c r="C578" s="80" t="s">
        <v>2408</v>
      </c>
      <c r="D578" s="48">
        <v>8257782</v>
      </c>
      <c r="E578" s="48">
        <v>22708.9</v>
      </c>
      <c r="F578" s="72">
        <v>54171.05</v>
      </c>
      <c r="G578" s="8" t="s">
        <v>2075</v>
      </c>
      <c r="H578" s="591" t="str">
        <f t="shared" si="11"/>
        <v>Regelzone Amprion (gesamt)</v>
      </c>
      <c r="I578" s="587"/>
    </row>
    <row r="579" spans="1:9" hidden="1" outlineLevel="1">
      <c r="A579" s="1642">
        <v>2024</v>
      </c>
      <c r="B579" s="73" t="s">
        <v>895</v>
      </c>
      <c r="C579" s="80" t="s">
        <v>2408</v>
      </c>
      <c r="D579" s="48">
        <v>-1160878</v>
      </c>
      <c r="E579" s="48">
        <v>-3192.41</v>
      </c>
      <c r="F579" s="72">
        <v>-7615.36</v>
      </c>
      <c r="G579" s="8" t="s">
        <v>896</v>
      </c>
      <c r="H579" s="591" t="str">
        <f t="shared" si="11"/>
        <v>Regelzone Amprion (gesamt)</v>
      </c>
      <c r="I579" s="587"/>
    </row>
    <row r="580" spans="1:9" hidden="1" outlineLevel="1">
      <c r="A580" s="1642">
        <v>2024</v>
      </c>
      <c r="B580" s="73" t="s">
        <v>897</v>
      </c>
      <c r="C580" s="80" t="s">
        <v>2408</v>
      </c>
      <c r="D580" s="48">
        <v>160687</v>
      </c>
      <c r="E580" s="48">
        <v>441.89</v>
      </c>
      <c r="F580" s="72">
        <v>1054.1099999999999</v>
      </c>
      <c r="G580" s="8" t="s">
        <v>898</v>
      </c>
      <c r="H580" s="591" t="str">
        <f t="shared" si="11"/>
        <v>Regelzone Amprion (gesamt)</v>
      </c>
      <c r="I580" s="587"/>
    </row>
    <row r="581" spans="1:9" hidden="1" outlineLevel="1">
      <c r="A581" s="1642">
        <v>2024</v>
      </c>
      <c r="B581" s="73" t="s">
        <v>903</v>
      </c>
      <c r="C581" s="80" t="s">
        <v>2408</v>
      </c>
      <c r="D581" s="48">
        <v>1370977</v>
      </c>
      <c r="E581" s="48">
        <v>3770.18</v>
      </c>
      <c r="F581" s="72">
        <v>8993.61</v>
      </c>
      <c r="G581" s="8" t="s">
        <v>904</v>
      </c>
      <c r="H581" s="591" t="str">
        <f t="shared" si="11"/>
        <v>Regelzone Amprion (gesamt)</v>
      </c>
      <c r="I581" s="587"/>
    </row>
    <row r="582" spans="1:9" hidden="1" outlineLevel="1">
      <c r="A582" s="1642">
        <v>2024</v>
      </c>
      <c r="B582" s="73" t="s">
        <v>907</v>
      </c>
      <c r="C582" s="80" t="s">
        <v>2408</v>
      </c>
      <c r="D582" s="48">
        <v>-3653994</v>
      </c>
      <c r="E582" s="48">
        <v>-10048.49</v>
      </c>
      <c r="F582" s="72">
        <v>-23970.2</v>
      </c>
      <c r="G582" s="8" t="s">
        <v>908</v>
      </c>
      <c r="H582" s="591" t="str">
        <f t="shared" si="11"/>
        <v>Regelzone Amprion (gesamt)</v>
      </c>
      <c r="I582" s="587"/>
    </row>
    <row r="583" spans="1:9" hidden="1" outlineLevel="1">
      <c r="A583" s="1642">
        <v>2024</v>
      </c>
      <c r="B583" s="73" t="s">
        <v>909</v>
      </c>
      <c r="C583" s="80" t="s">
        <v>2419</v>
      </c>
      <c r="D583" s="48">
        <v>635520</v>
      </c>
      <c r="E583" s="48">
        <v>349.54</v>
      </c>
      <c r="F583" s="72">
        <v>833.8</v>
      </c>
      <c r="G583" s="8" t="s">
        <v>910</v>
      </c>
      <c r="H583" s="591" t="str">
        <f t="shared" si="11"/>
        <v>Regelzone Amprion (gesamt)</v>
      </c>
      <c r="I583" s="587"/>
    </row>
    <row r="584" spans="1:9" hidden="1" outlineLevel="1">
      <c r="A584" s="1642">
        <v>2024</v>
      </c>
      <c r="B584" s="73" t="s">
        <v>909</v>
      </c>
      <c r="C584" s="80" t="s">
        <v>2409</v>
      </c>
      <c r="D584" s="48">
        <v>770688</v>
      </c>
      <c r="E584" s="48">
        <v>211.94</v>
      </c>
      <c r="F584" s="72">
        <v>505.57</v>
      </c>
      <c r="G584" s="8" t="s">
        <v>910</v>
      </c>
      <c r="H584" s="591" t="str">
        <f t="shared" si="11"/>
        <v>Regelzone Amprion (gesamt)</v>
      </c>
      <c r="I584" s="587"/>
    </row>
    <row r="585" spans="1:9" hidden="1" outlineLevel="1">
      <c r="A585" s="1642">
        <v>2024</v>
      </c>
      <c r="B585" s="73" t="s">
        <v>909</v>
      </c>
      <c r="C585" s="80" t="s">
        <v>2408</v>
      </c>
      <c r="D585" s="48">
        <v>6761544</v>
      </c>
      <c r="E585" s="48">
        <v>18594.25</v>
      </c>
      <c r="F585" s="72">
        <v>44355.73</v>
      </c>
      <c r="G585" s="8" t="s">
        <v>910</v>
      </c>
      <c r="H585" s="591" t="str">
        <f t="shared" ref="H585:H682" si="14">+H584</f>
        <v>Regelzone Amprion (gesamt)</v>
      </c>
      <c r="I585" s="587"/>
    </row>
    <row r="586" spans="1:9" hidden="1" outlineLevel="1">
      <c r="A586" s="1642">
        <v>2024</v>
      </c>
      <c r="B586" s="73" t="s">
        <v>913</v>
      </c>
      <c r="C586" s="80" t="s">
        <v>2408</v>
      </c>
      <c r="D586" s="48">
        <v>-124408</v>
      </c>
      <c r="E586" s="48">
        <v>-342.12</v>
      </c>
      <c r="F586" s="72">
        <v>-816.12</v>
      </c>
      <c r="G586" s="8" t="s">
        <v>914</v>
      </c>
      <c r="H586" s="591" t="str">
        <f t="shared" si="14"/>
        <v>Regelzone Amprion (gesamt)</v>
      </c>
      <c r="I586" s="587"/>
    </row>
    <row r="587" spans="1:9" hidden="1" outlineLevel="1">
      <c r="A587" s="1642">
        <v>2024</v>
      </c>
      <c r="B587" s="73" t="s">
        <v>915</v>
      </c>
      <c r="C587" s="80" t="s">
        <v>2408</v>
      </c>
      <c r="D587" s="48">
        <v>6156424</v>
      </c>
      <c r="E587" s="48">
        <v>16930.16</v>
      </c>
      <c r="F587" s="72">
        <v>40386.14</v>
      </c>
      <c r="G587" s="8" t="s">
        <v>916</v>
      </c>
      <c r="H587" s="591" t="str">
        <f t="shared" si="14"/>
        <v>Regelzone Amprion (gesamt)</v>
      </c>
      <c r="I587" s="587"/>
    </row>
    <row r="588" spans="1:9" hidden="1" outlineLevel="1">
      <c r="A588" s="1642">
        <v>2024</v>
      </c>
      <c r="B588" s="73" t="s">
        <v>917</v>
      </c>
      <c r="C588" s="80" t="s">
        <v>2408</v>
      </c>
      <c r="D588" s="48">
        <v>-44125</v>
      </c>
      <c r="E588" s="48">
        <v>-121.34</v>
      </c>
      <c r="F588" s="72">
        <v>-289.45999999999998</v>
      </c>
      <c r="G588" s="8" t="s">
        <v>918</v>
      </c>
      <c r="H588" s="591" t="str">
        <f t="shared" si="14"/>
        <v>Regelzone Amprion (gesamt)</v>
      </c>
      <c r="I588" s="587"/>
    </row>
    <row r="589" spans="1:9" hidden="1" outlineLevel="1">
      <c r="A589" s="1642">
        <v>2024</v>
      </c>
      <c r="B589" s="73" t="s">
        <v>919</v>
      </c>
      <c r="C589" s="80" t="s">
        <v>2408</v>
      </c>
      <c r="D589" s="48">
        <v>-3190422</v>
      </c>
      <c r="E589" s="48">
        <v>-8773.66</v>
      </c>
      <c r="F589" s="72">
        <v>-20929.169999999998</v>
      </c>
      <c r="G589" s="8" t="s">
        <v>920</v>
      </c>
      <c r="H589" s="591" t="str">
        <f t="shared" si="14"/>
        <v>Regelzone Amprion (gesamt)</v>
      </c>
      <c r="I589" s="587"/>
    </row>
    <row r="590" spans="1:9" hidden="1" outlineLevel="1">
      <c r="A590" s="1642">
        <v>2024</v>
      </c>
      <c r="B590" s="73" t="s">
        <v>921</v>
      </c>
      <c r="C590" s="80" t="s">
        <v>2408</v>
      </c>
      <c r="D590" s="48">
        <v>5349925</v>
      </c>
      <c r="E590" s="48">
        <v>14712.29</v>
      </c>
      <c r="F590" s="72">
        <v>35095.51</v>
      </c>
      <c r="G590" s="8" t="s">
        <v>922</v>
      </c>
      <c r="H590" s="591" t="str">
        <f t="shared" si="14"/>
        <v>Regelzone Amprion (gesamt)</v>
      </c>
      <c r="I590" s="587"/>
    </row>
    <row r="591" spans="1:9" hidden="1" outlineLevel="1">
      <c r="A591" s="1642">
        <v>2024</v>
      </c>
      <c r="B591" s="73" t="s">
        <v>923</v>
      </c>
      <c r="C591" s="80" t="s">
        <v>2408</v>
      </c>
      <c r="D591" s="48">
        <v>546981</v>
      </c>
      <c r="E591" s="48">
        <v>1504.2</v>
      </c>
      <c r="F591" s="72">
        <v>3588.19</v>
      </c>
      <c r="G591" s="8" t="s">
        <v>924</v>
      </c>
      <c r="H591" s="591" t="str">
        <f t="shared" si="14"/>
        <v>Regelzone Amprion (gesamt)</v>
      </c>
      <c r="I591" s="587"/>
    </row>
    <row r="592" spans="1:9" hidden="1" outlineLevel="1">
      <c r="A592" s="1642">
        <v>2024</v>
      </c>
      <c r="B592" s="73" t="s">
        <v>927</v>
      </c>
      <c r="C592" s="80" t="s">
        <v>2408</v>
      </c>
      <c r="D592" s="48">
        <v>-87011</v>
      </c>
      <c r="E592" s="48">
        <v>-239.28</v>
      </c>
      <c r="F592" s="48">
        <v>-570.79</v>
      </c>
      <c r="G592" s="8" t="s">
        <v>928</v>
      </c>
      <c r="H592" s="591" t="str">
        <f t="shared" si="14"/>
        <v>Regelzone Amprion (gesamt)</v>
      </c>
      <c r="I592" s="587"/>
    </row>
    <row r="593" spans="1:9" hidden="1" outlineLevel="1">
      <c r="A593" s="1642">
        <v>2024</v>
      </c>
      <c r="B593" s="73" t="s">
        <v>929</v>
      </c>
      <c r="C593" s="80" t="s">
        <v>2408</v>
      </c>
      <c r="D593" s="48">
        <v>11780</v>
      </c>
      <c r="E593" s="48">
        <v>32.39</v>
      </c>
      <c r="F593" s="48">
        <v>77.28</v>
      </c>
      <c r="G593" s="8" t="s">
        <v>930</v>
      </c>
      <c r="H593" s="591" t="str">
        <f t="shared" si="14"/>
        <v>Regelzone Amprion (gesamt)</v>
      </c>
      <c r="I593" s="587"/>
    </row>
    <row r="594" spans="1:9" hidden="1" outlineLevel="1">
      <c r="A594" s="1642">
        <v>2024</v>
      </c>
      <c r="B594" s="73" t="s">
        <v>933</v>
      </c>
      <c r="C594" s="80" t="s">
        <v>2408</v>
      </c>
      <c r="D594" s="48">
        <v>-23248103</v>
      </c>
      <c r="E594" s="48">
        <v>-63932.29</v>
      </c>
      <c r="F594" s="72">
        <v>-152507.56</v>
      </c>
      <c r="G594" s="8" t="s">
        <v>934</v>
      </c>
      <c r="H594" s="591" t="str">
        <f t="shared" si="14"/>
        <v>Regelzone Amprion (gesamt)</v>
      </c>
      <c r="I594" s="587"/>
    </row>
    <row r="595" spans="1:9" hidden="1" outlineLevel="1">
      <c r="A595" s="1642">
        <v>2024</v>
      </c>
      <c r="B595" s="73" t="s">
        <v>937</v>
      </c>
      <c r="C595" s="80" t="s">
        <v>2408</v>
      </c>
      <c r="D595" s="48">
        <v>-16629044</v>
      </c>
      <c r="E595" s="48">
        <v>-45729.87</v>
      </c>
      <c r="F595" s="72">
        <v>-109086.53</v>
      </c>
      <c r="G595" s="8" t="s">
        <v>938</v>
      </c>
      <c r="H595" s="591" t="str">
        <f t="shared" si="14"/>
        <v>Regelzone Amprion (gesamt)</v>
      </c>
      <c r="I595" s="587"/>
    </row>
    <row r="596" spans="1:9" hidden="1" outlineLevel="1">
      <c r="A596" s="1642">
        <v>2024</v>
      </c>
      <c r="B596" s="73" t="s">
        <v>939</v>
      </c>
      <c r="C596" s="80" t="s">
        <v>2408</v>
      </c>
      <c r="D596" s="48">
        <v>3701616</v>
      </c>
      <c r="E596" s="48">
        <v>10179.450000000001</v>
      </c>
      <c r="F596" s="72">
        <v>24282.6</v>
      </c>
      <c r="G596" s="8" t="s">
        <v>940</v>
      </c>
      <c r="H596" s="591" t="str">
        <f t="shared" si="14"/>
        <v>Regelzone Amprion (gesamt)</v>
      </c>
      <c r="I596" s="587"/>
    </row>
    <row r="597" spans="1:9" hidden="1" outlineLevel="1">
      <c r="A597" s="1642">
        <v>2024</v>
      </c>
      <c r="B597" s="73" t="s">
        <v>941</v>
      </c>
      <c r="C597" s="80" t="s">
        <v>2408</v>
      </c>
      <c r="D597" s="48">
        <v>382445</v>
      </c>
      <c r="E597" s="48">
        <v>1051.73</v>
      </c>
      <c r="F597" s="72">
        <v>2508.84</v>
      </c>
      <c r="G597" s="8" t="s">
        <v>942</v>
      </c>
      <c r="H597" s="591" t="str">
        <f t="shared" si="14"/>
        <v>Regelzone Amprion (gesamt)</v>
      </c>
      <c r="I597" s="587"/>
    </row>
    <row r="598" spans="1:9" hidden="1" outlineLevel="1">
      <c r="A598" s="1642">
        <v>2024</v>
      </c>
      <c r="B598" s="73" t="s">
        <v>943</v>
      </c>
      <c r="C598" s="80" t="s">
        <v>2409</v>
      </c>
      <c r="D598" s="48">
        <v>-816262</v>
      </c>
      <c r="E598" s="48">
        <v>-224.47</v>
      </c>
      <c r="F598" s="72">
        <v>-535.47</v>
      </c>
      <c r="G598" s="8" t="s">
        <v>944</v>
      </c>
      <c r="H598" s="591" t="str">
        <f t="shared" si="14"/>
        <v>Regelzone Amprion (gesamt)</v>
      </c>
      <c r="I598" s="587"/>
    </row>
    <row r="599" spans="1:9" hidden="1" outlineLevel="1">
      <c r="A599" s="1642">
        <v>2024</v>
      </c>
      <c r="B599" s="73" t="s">
        <v>943</v>
      </c>
      <c r="C599" s="80" t="s">
        <v>2408</v>
      </c>
      <c r="D599" s="48">
        <v>26039</v>
      </c>
      <c r="E599" s="48">
        <v>71.599999999999994</v>
      </c>
      <c r="F599" s="72">
        <v>170.81</v>
      </c>
      <c r="G599" s="8" t="s">
        <v>944</v>
      </c>
      <c r="H599" s="591" t="str">
        <f t="shared" si="14"/>
        <v>Regelzone Amprion (gesamt)</v>
      </c>
      <c r="I599" s="587"/>
    </row>
    <row r="600" spans="1:9" hidden="1" outlineLevel="1">
      <c r="A600" s="1642">
        <v>2024</v>
      </c>
      <c r="B600" s="73" t="s">
        <v>945</v>
      </c>
      <c r="C600" s="80" t="s">
        <v>2408</v>
      </c>
      <c r="D600" s="48">
        <v>1637897</v>
      </c>
      <c r="E600" s="48">
        <v>4504.21</v>
      </c>
      <c r="F600" s="48">
        <v>10744.6</v>
      </c>
      <c r="G600" s="8" t="s">
        <v>946</v>
      </c>
      <c r="H600" s="591" t="str">
        <f t="shared" si="14"/>
        <v>Regelzone Amprion (gesamt)</v>
      </c>
      <c r="I600" s="587"/>
    </row>
    <row r="601" spans="1:9" hidden="1" outlineLevel="1">
      <c r="A601" s="1642">
        <v>2024</v>
      </c>
      <c r="B601" s="73" t="s">
        <v>947</v>
      </c>
      <c r="C601" s="31" t="s">
        <v>2408</v>
      </c>
      <c r="D601" s="48">
        <v>-649676</v>
      </c>
      <c r="E601" s="48">
        <v>-1786.61</v>
      </c>
      <c r="F601" s="72">
        <v>-4261.87</v>
      </c>
      <c r="G601" s="8" t="s">
        <v>948</v>
      </c>
      <c r="H601" s="591" t="str">
        <f t="shared" si="14"/>
        <v>Regelzone Amprion (gesamt)</v>
      </c>
      <c r="I601" s="587"/>
    </row>
    <row r="602" spans="1:9" hidden="1" outlineLevel="1">
      <c r="A602" s="1642">
        <v>2024</v>
      </c>
      <c r="B602" s="73" t="s">
        <v>949</v>
      </c>
      <c r="C602" s="80" t="s">
        <v>2408</v>
      </c>
      <c r="D602" s="48">
        <v>3041035</v>
      </c>
      <c r="E602" s="48">
        <v>8362.85</v>
      </c>
      <c r="F602" s="72">
        <v>19949.189999999999</v>
      </c>
      <c r="G602" s="8" t="s">
        <v>950</v>
      </c>
      <c r="H602" s="591" t="str">
        <f t="shared" si="14"/>
        <v>Regelzone Amprion (gesamt)</v>
      </c>
      <c r="I602" s="587"/>
    </row>
    <row r="603" spans="1:9" hidden="1" outlineLevel="1">
      <c r="A603" s="1642">
        <v>2024</v>
      </c>
      <c r="B603" s="73" t="s">
        <v>953</v>
      </c>
      <c r="C603" s="80" t="s">
        <v>2408</v>
      </c>
      <c r="D603" s="48">
        <v>-187071</v>
      </c>
      <c r="E603" s="48">
        <v>-514.45000000000005</v>
      </c>
      <c r="F603" s="72">
        <v>-1227.19</v>
      </c>
      <c r="G603" s="8" t="s">
        <v>954</v>
      </c>
      <c r="H603" s="591" t="str">
        <f t="shared" si="14"/>
        <v>Regelzone Amprion (gesamt)</v>
      </c>
      <c r="I603" s="587"/>
    </row>
    <row r="604" spans="1:9" hidden="1" outlineLevel="1">
      <c r="A604" s="1642">
        <v>2024</v>
      </c>
      <c r="B604" s="73" t="s">
        <v>955</v>
      </c>
      <c r="C604" s="80" t="s">
        <v>2408</v>
      </c>
      <c r="D604" s="48">
        <v>-84687</v>
      </c>
      <c r="E604" s="48">
        <v>-232.89</v>
      </c>
      <c r="F604" s="72">
        <v>-555.54999999999995</v>
      </c>
      <c r="G604" s="8" t="s">
        <v>956</v>
      </c>
      <c r="H604" s="591" t="str">
        <f t="shared" si="14"/>
        <v>Regelzone Amprion (gesamt)</v>
      </c>
      <c r="I604" s="587"/>
    </row>
    <row r="605" spans="1:9" hidden="1" outlineLevel="1">
      <c r="A605" s="1642">
        <v>2024</v>
      </c>
      <c r="B605" s="73" t="s">
        <v>957</v>
      </c>
      <c r="C605" s="80" t="s">
        <v>2408</v>
      </c>
      <c r="D605" s="48">
        <v>-1742337</v>
      </c>
      <c r="E605" s="48">
        <v>-4791.42</v>
      </c>
      <c r="F605" s="72">
        <v>-11429.73</v>
      </c>
      <c r="G605" s="8" t="s">
        <v>958</v>
      </c>
      <c r="H605" s="591" t="str">
        <f t="shared" si="14"/>
        <v>Regelzone Amprion (gesamt)</v>
      </c>
      <c r="I605" s="587"/>
    </row>
    <row r="606" spans="1:9" hidden="1" outlineLevel="1">
      <c r="A606" s="1642">
        <v>2024</v>
      </c>
      <c r="B606" s="73" t="s">
        <v>959</v>
      </c>
      <c r="C606" s="80" t="s">
        <v>2408</v>
      </c>
      <c r="D606" s="48">
        <v>11521</v>
      </c>
      <c r="E606" s="48">
        <v>31.68</v>
      </c>
      <c r="F606" s="72">
        <v>75.569999999999993</v>
      </c>
      <c r="G606" s="8" t="s">
        <v>960</v>
      </c>
      <c r="H606" s="591" t="str">
        <f t="shared" si="14"/>
        <v>Regelzone Amprion (gesamt)</v>
      </c>
      <c r="I606" s="587"/>
    </row>
    <row r="607" spans="1:9" hidden="1" outlineLevel="1">
      <c r="A607" s="1642">
        <v>2024</v>
      </c>
      <c r="B607" s="73" t="s">
        <v>963</v>
      </c>
      <c r="C607" s="80" t="s">
        <v>2408</v>
      </c>
      <c r="D607" s="48">
        <v>388104</v>
      </c>
      <c r="E607" s="48">
        <v>1067.29</v>
      </c>
      <c r="F607" s="72">
        <v>2545.96</v>
      </c>
      <c r="G607" s="8" t="s">
        <v>964</v>
      </c>
      <c r="H607" s="591" t="str">
        <f t="shared" si="14"/>
        <v>Regelzone Amprion (gesamt)</v>
      </c>
      <c r="I607" s="587"/>
    </row>
    <row r="608" spans="1:9" hidden="1" outlineLevel="1">
      <c r="A608" s="1642">
        <v>2024</v>
      </c>
      <c r="B608" s="73" t="s">
        <v>965</v>
      </c>
      <c r="C608" s="80" t="s">
        <v>2408</v>
      </c>
      <c r="D608" s="48">
        <v>1426406</v>
      </c>
      <c r="E608" s="48">
        <v>3922.62</v>
      </c>
      <c r="F608" s="72">
        <v>9357.2199999999993</v>
      </c>
      <c r="G608" s="8" t="s">
        <v>966</v>
      </c>
      <c r="H608" s="591" t="str">
        <f t="shared" si="14"/>
        <v>Regelzone Amprion (gesamt)</v>
      </c>
      <c r="I608" s="587"/>
    </row>
    <row r="609" spans="1:9" hidden="1" outlineLevel="1">
      <c r="A609" s="1642">
        <v>2024</v>
      </c>
      <c r="B609" s="73" t="s">
        <v>969</v>
      </c>
      <c r="C609" s="80" t="s">
        <v>2408</v>
      </c>
      <c r="D609" s="48">
        <v>-68415</v>
      </c>
      <c r="E609" s="48">
        <v>-188.14</v>
      </c>
      <c r="F609" s="72">
        <v>-448.8</v>
      </c>
      <c r="G609" s="8" t="s">
        <v>970</v>
      </c>
      <c r="H609" s="591" t="str">
        <f t="shared" si="14"/>
        <v>Regelzone Amprion (gesamt)</v>
      </c>
      <c r="I609" s="587"/>
    </row>
    <row r="610" spans="1:9" hidden="1" outlineLevel="1">
      <c r="A610" s="1642">
        <v>2024</v>
      </c>
      <c r="B610" s="73" t="s">
        <v>973</v>
      </c>
      <c r="C610" s="80" t="s">
        <v>2408</v>
      </c>
      <c r="D610" s="48">
        <v>-92500</v>
      </c>
      <c r="E610" s="48">
        <v>-254.38</v>
      </c>
      <c r="F610" s="72">
        <v>-606.79999999999995</v>
      </c>
      <c r="G610" s="8" t="s">
        <v>974</v>
      </c>
      <c r="H610" s="591" t="str">
        <f t="shared" si="14"/>
        <v>Regelzone Amprion (gesamt)</v>
      </c>
      <c r="I610" s="587"/>
    </row>
    <row r="611" spans="1:9" hidden="1" outlineLevel="1">
      <c r="A611" s="1642">
        <v>2024</v>
      </c>
      <c r="B611" s="73" t="s">
        <v>975</v>
      </c>
      <c r="C611" s="80" t="s">
        <v>2408</v>
      </c>
      <c r="D611" s="48">
        <v>1849198</v>
      </c>
      <c r="E611" s="48">
        <v>5085.3</v>
      </c>
      <c r="F611" s="72">
        <v>12130.74</v>
      </c>
      <c r="G611" s="8" t="s">
        <v>976</v>
      </c>
      <c r="H611" s="591" t="str">
        <f t="shared" si="14"/>
        <v>Regelzone Amprion (gesamt)</v>
      </c>
      <c r="I611" s="587"/>
    </row>
    <row r="612" spans="1:9" hidden="1" outlineLevel="1">
      <c r="A612" s="1642">
        <v>2024</v>
      </c>
      <c r="B612" s="73" t="s">
        <v>977</v>
      </c>
      <c r="C612" s="80" t="s">
        <v>2408</v>
      </c>
      <c r="D612" s="48">
        <v>-1091</v>
      </c>
      <c r="E612" s="48">
        <v>-3.01</v>
      </c>
      <c r="F612" s="72">
        <v>-7.16</v>
      </c>
      <c r="G612" s="8" t="s">
        <v>978</v>
      </c>
      <c r="H612" s="591" t="str">
        <f t="shared" si="14"/>
        <v>Regelzone Amprion (gesamt)</v>
      </c>
      <c r="I612" s="587"/>
    </row>
    <row r="613" spans="1:9" hidden="1" outlineLevel="1">
      <c r="A613" s="1642">
        <v>2024</v>
      </c>
      <c r="B613" s="73" t="s">
        <v>979</v>
      </c>
      <c r="C613" s="80" t="s">
        <v>2408</v>
      </c>
      <c r="D613" s="48">
        <v>9117</v>
      </c>
      <c r="E613" s="48">
        <v>25.07</v>
      </c>
      <c r="F613" s="72">
        <v>59.81</v>
      </c>
      <c r="G613" s="8" t="s">
        <v>980</v>
      </c>
      <c r="H613" s="591" t="str">
        <f t="shared" si="14"/>
        <v>Regelzone Amprion (gesamt)</v>
      </c>
      <c r="I613" s="587"/>
    </row>
    <row r="614" spans="1:9" hidden="1" outlineLevel="1">
      <c r="A614" s="1642">
        <v>2024</v>
      </c>
      <c r="B614" s="73" t="s">
        <v>985</v>
      </c>
      <c r="C614" s="80" t="s">
        <v>2408</v>
      </c>
      <c r="D614" s="48">
        <v>6804577</v>
      </c>
      <c r="E614" s="48">
        <v>18712.580000000002</v>
      </c>
      <c r="F614" s="72">
        <v>44638.03</v>
      </c>
      <c r="G614" s="8" t="s">
        <v>986</v>
      </c>
      <c r="H614" s="591" t="str">
        <f t="shared" si="14"/>
        <v>Regelzone Amprion (gesamt)</v>
      </c>
      <c r="I614" s="587"/>
    </row>
    <row r="615" spans="1:9" hidden="1" outlineLevel="1">
      <c r="A615" s="1642">
        <v>2024</v>
      </c>
      <c r="B615" s="73" t="s">
        <v>987</v>
      </c>
      <c r="C615" s="80" t="s">
        <v>2408</v>
      </c>
      <c r="D615" s="48">
        <v>124319</v>
      </c>
      <c r="E615" s="48">
        <v>341.87</v>
      </c>
      <c r="F615" s="72">
        <v>815.53</v>
      </c>
      <c r="G615" s="8" t="s">
        <v>988</v>
      </c>
      <c r="H615" s="591" t="str">
        <f t="shared" si="14"/>
        <v>Regelzone Amprion (gesamt)</v>
      </c>
      <c r="I615" s="587"/>
    </row>
    <row r="616" spans="1:9" hidden="1" outlineLevel="1">
      <c r="A616" s="1642">
        <v>2024</v>
      </c>
      <c r="B616" s="73" t="s">
        <v>989</v>
      </c>
      <c r="C616" s="80" t="s">
        <v>2408</v>
      </c>
      <c r="D616" s="48">
        <v>6244357</v>
      </c>
      <c r="E616" s="48">
        <v>17171.98</v>
      </c>
      <c r="F616" s="72">
        <v>40962.980000000003</v>
      </c>
      <c r="G616" s="8" t="s">
        <v>990</v>
      </c>
      <c r="H616" s="591" t="str">
        <f t="shared" si="14"/>
        <v>Regelzone Amprion (gesamt)</v>
      </c>
      <c r="I616" s="587"/>
    </row>
    <row r="617" spans="1:9" hidden="1" outlineLevel="1">
      <c r="A617" s="1642">
        <v>2024</v>
      </c>
      <c r="B617" s="73" t="s">
        <v>991</v>
      </c>
      <c r="C617" s="80" t="s">
        <v>2408</v>
      </c>
      <c r="D617" s="48">
        <v>64112</v>
      </c>
      <c r="E617" s="48">
        <v>176.31</v>
      </c>
      <c r="F617" s="72">
        <v>420.57</v>
      </c>
      <c r="G617" s="8" t="s">
        <v>992</v>
      </c>
      <c r="H617" s="591" t="str">
        <f t="shared" si="14"/>
        <v>Regelzone Amprion (gesamt)</v>
      </c>
      <c r="I617" s="587"/>
    </row>
    <row r="618" spans="1:9" hidden="1" outlineLevel="1">
      <c r="A618" s="1642">
        <v>2024</v>
      </c>
      <c r="B618" s="73" t="s">
        <v>997</v>
      </c>
      <c r="C618" s="80" t="s">
        <v>2408</v>
      </c>
      <c r="D618" s="48">
        <v>-501501</v>
      </c>
      <c r="E618" s="48">
        <v>-1379.13</v>
      </c>
      <c r="F618" s="72">
        <v>-3289.85</v>
      </c>
      <c r="G618" s="8" t="s">
        <v>998</v>
      </c>
      <c r="H618" s="591" t="str">
        <f t="shared" si="14"/>
        <v>Regelzone Amprion (gesamt)</v>
      </c>
      <c r="I618" s="587"/>
    </row>
    <row r="619" spans="1:9" hidden="1" outlineLevel="1">
      <c r="A619" s="1642">
        <v>2024</v>
      </c>
      <c r="B619" s="73" t="s">
        <v>1005</v>
      </c>
      <c r="C619" s="80" t="s">
        <v>2408</v>
      </c>
      <c r="D619" s="48">
        <v>3136202</v>
      </c>
      <c r="E619" s="48">
        <v>8624.56</v>
      </c>
      <c r="F619" s="72">
        <v>20573.490000000002</v>
      </c>
      <c r="G619" s="8" t="s">
        <v>1006</v>
      </c>
      <c r="H619" s="591" t="str">
        <f t="shared" si="14"/>
        <v>Regelzone Amprion (gesamt)</v>
      </c>
      <c r="I619" s="587"/>
    </row>
    <row r="620" spans="1:9" hidden="1" outlineLevel="1">
      <c r="A620" s="1642">
        <v>2024</v>
      </c>
      <c r="B620" s="73" t="s">
        <v>1007</v>
      </c>
      <c r="C620" s="80" t="s">
        <v>2408</v>
      </c>
      <c r="D620" s="48">
        <v>209724</v>
      </c>
      <c r="E620" s="48">
        <v>576.74</v>
      </c>
      <c r="F620" s="72">
        <v>1375.79</v>
      </c>
      <c r="G620" s="8" t="s">
        <v>1008</v>
      </c>
      <c r="H620" s="591" t="str">
        <f t="shared" si="14"/>
        <v>Regelzone Amprion (gesamt)</v>
      </c>
      <c r="I620" s="587"/>
    </row>
    <row r="621" spans="1:9" hidden="1" outlineLevel="1">
      <c r="A621" s="1642">
        <v>2024</v>
      </c>
      <c r="B621" s="73" t="s">
        <v>1009</v>
      </c>
      <c r="C621" s="80" t="s">
        <v>2408</v>
      </c>
      <c r="D621" s="48">
        <v>-175468</v>
      </c>
      <c r="E621" s="48">
        <v>-482.54</v>
      </c>
      <c r="F621" s="72">
        <v>-1151.07</v>
      </c>
      <c r="G621" s="8" t="s">
        <v>1010</v>
      </c>
      <c r="H621" s="591" t="str">
        <f t="shared" si="14"/>
        <v>Regelzone Amprion (gesamt)</v>
      </c>
      <c r="I621" s="587"/>
    </row>
    <row r="622" spans="1:9" hidden="1" outlineLevel="1">
      <c r="A622" s="1642">
        <v>2024</v>
      </c>
      <c r="B622" s="73" t="s">
        <v>1011</v>
      </c>
      <c r="C622" s="80" t="s">
        <v>2408</v>
      </c>
      <c r="D622" s="48">
        <v>-1638077</v>
      </c>
      <c r="E622" s="48">
        <v>-4504.71</v>
      </c>
      <c r="F622" s="72">
        <v>-10745.79</v>
      </c>
      <c r="G622" s="8" t="s">
        <v>1012</v>
      </c>
      <c r="H622" s="591" t="str">
        <f t="shared" si="14"/>
        <v>Regelzone Amprion (gesamt)</v>
      </c>
      <c r="I622" s="587"/>
    </row>
    <row r="623" spans="1:9" hidden="1" outlineLevel="1">
      <c r="A623" s="1642">
        <v>2024</v>
      </c>
      <c r="B623" s="73" t="s">
        <v>1015</v>
      </c>
      <c r="C623" s="80" t="s">
        <v>2408</v>
      </c>
      <c r="D623" s="48">
        <v>144740</v>
      </c>
      <c r="E623" s="48">
        <v>398.04</v>
      </c>
      <c r="F623" s="72">
        <v>949.5</v>
      </c>
      <c r="G623" s="8" t="s">
        <v>1016</v>
      </c>
      <c r="H623" s="591" t="str">
        <f t="shared" si="14"/>
        <v>Regelzone Amprion (gesamt)</v>
      </c>
      <c r="I623" s="587"/>
    </row>
    <row r="624" spans="1:9" hidden="1" outlineLevel="1">
      <c r="A624" s="1642">
        <v>2024</v>
      </c>
      <c r="B624" s="73" t="s">
        <v>1017</v>
      </c>
      <c r="C624" s="80" t="s">
        <v>2408</v>
      </c>
      <c r="D624" s="48">
        <v>-24832153</v>
      </c>
      <c r="E624" s="48">
        <v>-68288.42</v>
      </c>
      <c r="F624" s="72">
        <v>-162898.93</v>
      </c>
      <c r="G624" s="8" t="s">
        <v>1018</v>
      </c>
      <c r="H624" s="591" t="str">
        <f t="shared" si="14"/>
        <v>Regelzone Amprion (gesamt)</v>
      </c>
      <c r="I624" s="587"/>
    </row>
    <row r="625" spans="1:9" hidden="1" outlineLevel="1">
      <c r="A625" s="1642">
        <v>2024</v>
      </c>
      <c r="B625" s="73" t="s">
        <v>1019</v>
      </c>
      <c r="C625" s="80" t="s">
        <v>2408</v>
      </c>
      <c r="D625" s="48">
        <v>-10401</v>
      </c>
      <c r="E625" s="48">
        <v>-28.6</v>
      </c>
      <c r="F625" s="72">
        <v>-68.23</v>
      </c>
      <c r="G625" s="8" t="s">
        <v>1020</v>
      </c>
      <c r="H625" s="591" t="str">
        <f t="shared" si="14"/>
        <v>Regelzone Amprion (gesamt)</v>
      </c>
      <c r="I625" s="587"/>
    </row>
    <row r="626" spans="1:9" hidden="1" outlineLevel="1">
      <c r="A626" s="1642">
        <v>2024</v>
      </c>
      <c r="B626" s="73" t="s">
        <v>1021</v>
      </c>
      <c r="C626" s="80" t="s">
        <v>2409</v>
      </c>
      <c r="D626" s="48">
        <v>-210614</v>
      </c>
      <c r="E626" s="48">
        <v>-57.92</v>
      </c>
      <c r="F626" s="72">
        <v>-138.16</v>
      </c>
      <c r="G626" s="8" t="s">
        <v>944</v>
      </c>
      <c r="H626" s="591" t="str">
        <f t="shared" si="14"/>
        <v>Regelzone Amprion (gesamt)</v>
      </c>
      <c r="I626" s="587"/>
    </row>
    <row r="627" spans="1:9" hidden="1" outlineLevel="1">
      <c r="A627" s="1642">
        <v>2024</v>
      </c>
      <c r="B627" s="73" t="s">
        <v>1021</v>
      </c>
      <c r="C627" s="80" t="s">
        <v>2408</v>
      </c>
      <c r="D627" s="48">
        <v>-737403</v>
      </c>
      <c r="E627" s="48">
        <v>-2027.86</v>
      </c>
      <c r="F627" s="72">
        <v>-4837.3599999999997</v>
      </c>
      <c r="G627" s="8" t="s">
        <v>944</v>
      </c>
      <c r="H627" s="591" t="str">
        <f t="shared" si="14"/>
        <v>Regelzone Amprion (gesamt)</v>
      </c>
      <c r="I627" s="587"/>
    </row>
    <row r="628" spans="1:9" hidden="1" outlineLevel="1">
      <c r="A628" s="1642">
        <v>2024</v>
      </c>
      <c r="B628" s="73" t="s">
        <v>1026</v>
      </c>
      <c r="C628" s="80" t="s">
        <v>2408</v>
      </c>
      <c r="D628" s="48">
        <v>-112014</v>
      </c>
      <c r="E628" s="48">
        <v>-308.04000000000002</v>
      </c>
      <c r="F628" s="72">
        <v>-734.81</v>
      </c>
      <c r="G628" s="8" t="s">
        <v>1027</v>
      </c>
      <c r="H628" s="591" t="str">
        <f t="shared" si="14"/>
        <v>Regelzone Amprion (gesamt)</v>
      </c>
      <c r="I628" s="587"/>
    </row>
    <row r="629" spans="1:9" hidden="1" outlineLevel="1">
      <c r="A629" s="1642">
        <v>2024</v>
      </c>
      <c r="B629" s="73" t="s">
        <v>1030</v>
      </c>
      <c r="C629" s="80" t="s">
        <v>2408</v>
      </c>
      <c r="D629" s="48">
        <v>58405</v>
      </c>
      <c r="E629" s="48">
        <v>160.61000000000001</v>
      </c>
      <c r="F629" s="72">
        <v>383.14</v>
      </c>
      <c r="G629" s="8" t="s">
        <v>1031</v>
      </c>
      <c r="H629" s="591" t="str">
        <f t="shared" si="14"/>
        <v>Regelzone Amprion (gesamt)</v>
      </c>
      <c r="I629" s="587"/>
    </row>
    <row r="630" spans="1:9" hidden="1" outlineLevel="1">
      <c r="A630" s="1642">
        <v>2024</v>
      </c>
      <c r="B630" s="73" t="s">
        <v>1032</v>
      </c>
      <c r="C630" s="80" t="s">
        <v>2408</v>
      </c>
      <c r="D630" s="48">
        <v>352639</v>
      </c>
      <c r="E630" s="48">
        <v>969.76</v>
      </c>
      <c r="F630" s="72">
        <v>2313.31</v>
      </c>
      <c r="G630" s="8" t="s">
        <v>1033</v>
      </c>
      <c r="H630" s="591" t="str">
        <f t="shared" si="14"/>
        <v>Regelzone Amprion (gesamt)</v>
      </c>
      <c r="I630" s="587"/>
    </row>
    <row r="631" spans="1:9" hidden="1" outlineLevel="1">
      <c r="A631" s="1642">
        <v>2024</v>
      </c>
      <c r="B631" s="73" t="s">
        <v>1034</v>
      </c>
      <c r="C631" s="80" t="s">
        <v>2408</v>
      </c>
      <c r="D631" s="48">
        <v>-57206</v>
      </c>
      <c r="E631" s="48">
        <v>-157.32</v>
      </c>
      <c r="F631" s="72">
        <v>-375.27</v>
      </c>
      <c r="G631" s="8" t="s">
        <v>1035</v>
      </c>
      <c r="H631" s="591" t="str">
        <f t="shared" si="14"/>
        <v>Regelzone Amprion (gesamt)</v>
      </c>
      <c r="I631" s="587"/>
    </row>
    <row r="632" spans="1:9" hidden="1" outlineLevel="1">
      <c r="A632" s="1642">
        <v>2024</v>
      </c>
      <c r="B632" s="73" t="s">
        <v>1036</v>
      </c>
      <c r="C632" s="80" t="s">
        <v>2408</v>
      </c>
      <c r="D632" s="48">
        <v>-2616804</v>
      </c>
      <c r="E632" s="48">
        <v>-7196.21</v>
      </c>
      <c r="F632" s="72">
        <v>-17166.240000000002</v>
      </c>
      <c r="G632" s="8" t="s">
        <v>1037</v>
      </c>
      <c r="H632" s="591" t="str">
        <f t="shared" si="14"/>
        <v>Regelzone Amprion (gesamt)</v>
      </c>
      <c r="I632" s="587"/>
    </row>
    <row r="633" spans="1:9" hidden="1" outlineLevel="1">
      <c r="A633" s="1642">
        <v>2024</v>
      </c>
      <c r="B633" s="73" t="s">
        <v>1040</v>
      </c>
      <c r="C633" s="80" t="s">
        <v>2408</v>
      </c>
      <c r="D633" s="48">
        <v>53241</v>
      </c>
      <c r="E633" s="48">
        <v>146.41999999999999</v>
      </c>
      <c r="F633" s="72">
        <v>349.26</v>
      </c>
      <c r="G633" s="8" t="s">
        <v>1041</v>
      </c>
      <c r="H633" s="591" t="str">
        <f t="shared" si="14"/>
        <v>Regelzone Amprion (gesamt)</v>
      </c>
      <c r="I633" s="587"/>
    </row>
    <row r="634" spans="1:9" hidden="1" outlineLevel="1">
      <c r="A634" s="1642">
        <v>2024</v>
      </c>
      <c r="B634" s="73" t="s">
        <v>1042</v>
      </c>
      <c r="C634" s="80" t="s">
        <v>2408</v>
      </c>
      <c r="D634" s="48">
        <v>58952</v>
      </c>
      <c r="E634" s="48">
        <v>162.12</v>
      </c>
      <c r="F634" s="72">
        <v>386.72</v>
      </c>
      <c r="G634" s="8" t="s">
        <v>1043</v>
      </c>
      <c r="H634" s="591" t="str">
        <f t="shared" si="14"/>
        <v>Regelzone Amprion (gesamt)</v>
      </c>
      <c r="I634" s="587"/>
    </row>
    <row r="635" spans="1:9" hidden="1" outlineLevel="1">
      <c r="A635" s="1642">
        <v>2024</v>
      </c>
      <c r="B635" s="73" t="s">
        <v>1044</v>
      </c>
      <c r="C635" s="80" t="s">
        <v>2408</v>
      </c>
      <c r="D635" s="48">
        <v>283009</v>
      </c>
      <c r="E635" s="48">
        <v>778.27</v>
      </c>
      <c r="F635" s="72">
        <v>1856.53</v>
      </c>
      <c r="G635" s="8" t="s">
        <v>1045</v>
      </c>
      <c r="H635" s="591" t="str">
        <f t="shared" si="14"/>
        <v>Regelzone Amprion (gesamt)</v>
      </c>
      <c r="I635" s="587"/>
    </row>
    <row r="636" spans="1:9" hidden="1" outlineLevel="1">
      <c r="A636" s="1642">
        <v>2024</v>
      </c>
      <c r="B636" s="73" t="s">
        <v>1048</v>
      </c>
      <c r="C636" s="80" t="s">
        <v>2408</v>
      </c>
      <c r="D636" s="48">
        <v>5392</v>
      </c>
      <c r="E636" s="48">
        <v>14.82</v>
      </c>
      <c r="F636" s="72">
        <v>35.369999999999997</v>
      </c>
      <c r="G636" s="8" t="s">
        <v>1049</v>
      </c>
      <c r="H636" s="591" t="str">
        <f t="shared" si="14"/>
        <v>Regelzone Amprion (gesamt)</v>
      </c>
      <c r="I636" s="587"/>
    </row>
    <row r="637" spans="1:9" hidden="1" outlineLevel="1">
      <c r="A637" s="1642">
        <v>2024</v>
      </c>
      <c r="B637" s="73" t="s">
        <v>1058</v>
      </c>
      <c r="C637" s="80" t="s">
        <v>2408</v>
      </c>
      <c r="D637" s="48">
        <v>-4127660</v>
      </c>
      <c r="E637" s="48">
        <v>-11351.07</v>
      </c>
      <c r="F637" s="72">
        <v>-27077.45</v>
      </c>
      <c r="G637" s="8" t="s">
        <v>1059</v>
      </c>
      <c r="H637" s="591" t="str">
        <f t="shared" si="14"/>
        <v>Regelzone Amprion (gesamt)</v>
      </c>
      <c r="I637" s="587"/>
    </row>
    <row r="638" spans="1:9" hidden="1" outlineLevel="1">
      <c r="A638" s="1642">
        <v>2024</v>
      </c>
      <c r="B638" s="73" t="s">
        <v>1060</v>
      </c>
      <c r="C638" s="80" t="s">
        <v>2408</v>
      </c>
      <c r="D638" s="48">
        <v>3221</v>
      </c>
      <c r="E638" s="48">
        <v>8.85</v>
      </c>
      <c r="F638" s="72">
        <v>21.13</v>
      </c>
      <c r="G638" s="8" t="s">
        <v>1061</v>
      </c>
      <c r="H638" s="591" t="str">
        <f t="shared" si="14"/>
        <v>Regelzone Amprion (gesamt)</v>
      </c>
      <c r="I638" s="587"/>
    </row>
    <row r="639" spans="1:9" hidden="1" outlineLevel="1">
      <c r="A639" s="1642">
        <v>2024</v>
      </c>
      <c r="B639" s="73" t="s">
        <v>1062</v>
      </c>
      <c r="C639" s="80" t="s">
        <v>2408</v>
      </c>
      <c r="D639" s="48">
        <v>4700529</v>
      </c>
      <c r="E639" s="48">
        <v>12926.46</v>
      </c>
      <c r="F639" s="72">
        <v>30835.47</v>
      </c>
      <c r="G639" s="8" t="s">
        <v>1063</v>
      </c>
      <c r="H639" s="591" t="str">
        <f t="shared" si="14"/>
        <v>Regelzone Amprion (gesamt)</v>
      </c>
      <c r="I639" s="587"/>
    </row>
    <row r="640" spans="1:9" hidden="1" outlineLevel="1">
      <c r="A640" s="1642">
        <v>2024</v>
      </c>
      <c r="B640" s="73" t="s">
        <v>1064</v>
      </c>
      <c r="C640" s="80" t="s">
        <v>2408</v>
      </c>
      <c r="D640" s="48">
        <v>-4365873</v>
      </c>
      <c r="E640" s="48">
        <v>-12006.15</v>
      </c>
      <c r="F640" s="72">
        <v>-28640.13</v>
      </c>
      <c r="G640" s="8" t="s">
        <v>1065</v>
      </c>
      <c r="H640" s="591" t="str">
        <f t="shared" si="14"/>
        <v>Regelzone Amprion (gesamt)</v>
      </c>
      <c r="I640" s="587"/>
    </row>
    <row r="641" spans="1:9" hidden="1" outlineLevel="1">
      <c r="A641" s="1642">
        <v>2024</v>
      </c>
      <c r="B641" s="73" t="s">
        <v>1066</v>
      </c>
      <c r="C641" s="80" t="s">
        <v>2408</v>
      </c>
      <c r="D641" s="48">
        <v>-15553</v>
      </c>
      <c r="E641" s="48">
        <v>-42.77</v>
      </c>
      <c r="F641" s="72">
        <v>-102.03</v>
      </c>
      <c r="G641" s="8" t="s">
        <v>1067</v>
      </c>
      <c r="H641" s="591" t="str">
        <f t="shared" si="14"/>
        <v>Regelzone Amprion (gesamt)</v>
      </c>
      <c r="I641" s="587"/>
    </row>
    <row r="642" spans="1:9" hidden="1" outlineLevel="1">
      <c r="A642" s="1642">
        <v>2024</v>
      </c>
      <c r="B642" s="73" t="s">
        <v>1068</v>
      </c>
      <c r="C642" s="80" t="s">
        <v>2408</v>
      </c>
      <c r="D642" s="48">
        <v>3601139</v>
      </c>
      <c r="E642" s="48">
        <v>9903.1299999999992</v>
      </c>
      <c r="F642" s="72">
        <v>23623.48</v>
      </c>
      <c r="G642" s="8" t="s">
        <v>1069</v>
      </c>
      <c r="H642" s="591" t="str">
        <f t="shared" si="14"/>
        <v>Regelzone Amprion (gesamt)</v>
      </c>
      <c r="I642" s="587"/>
    </row>
    <row r="643" spans="1:9" hidden="1" outlineLevel="1">
      <c r="A643" s="1642">
        <v>2024</v>
      </c>
      <c r="B643" s="73" t="s">
        <v>1072</v>
      </c>
      <c r="C643" s="80" t="s">
        <v>2408</v>
      </c>
      <c r="D643" s="48">
        <v>-9487458</v>
      </c>
      <c r="E643" s="48">
        <v>-26090.51</v>
      </c>
      <c r="F643" s="72">
        <v>-62237.72</v>
      </c>
      <c r="G643" s="8" t="s">
        <v>1073</v>
      </c>
      <c r="H643" s="591" t="str">
        <f t="shared" si="14"/>
        <v>Regelzone Amprion (gesamt)</v>
      </c>
      <c r="I643" s="587"/>
    </row>
    <row r="644" spans="1:9" hidden="1" outlineLevel="1">
      <c r="A644" s="1642">
        <v>2024</v>
      </c>
      <c r="B644" s="73" t="s">
        <v>1074</v>
      </c>
      <c r="C644" s="80" t="s">
        <v>2408</v>
      </c>
      <c r="D644" s="48">
        <v>561501</v>
      </c>
      <c r="E644" s="48">
        <v>1544.13</v>
      </c>
      <c r="F644" s="72">
        <v>3683.45</v>
      </c>
      <c r="G644" s="8" t="s">
        <v>1075</v>
      </c>
      <c r="H644" s="591" t="str">
        <f t="shared" si="14"/>
        <v>Regelzone Amprion (gesamt)</v>
      </c>
      <c r="I644" s="587"/>
    </row>
    <row r="645" spans="1:9" hidden="1" outlineLevel="1">
      <c r="A645" s="1642">
        <v>2024</v>
      </c>
      <c r="B645" s="73" t="s">
        <v>1076</v>
      </c>
      <c r="C645" s="80" t="s">
        <v>2408</v>
      </c>
      <c r="D645" s="48">
        <v>122809</v>
      </c>
      <c r="E645" s="48">
        <v>337.73</v>
      </c>
      <c r="F645" s="72">
        <v>805.63</v>
      </c>
      <c r="G645" s="8" t="s">
        <v>1077</v>
      </c>
      <c r="H645" s="591" t="str">
        <f t="shared" si="14"/>
        <v>Regelzone Amprion (gesamt)</v>
      </c>
      <c r="I645" s="587"/>
    </row>
    <row r="646" spans="1:9" hidden="1" outlineLevel="1">
      <c r="A646" s="1642">
        <v>2024</v>
      </c>
      <c r="B646" s="73" t="s">
        <v>1080</v>
      </c>
      <c r="C646" s="80" t="s">
        <v>2408</v>
      </c>
      <c r="D646" s="48">
        <v>129934</v>
      </c>
      <c r="E646" s="48">
        <v>357.32</v>
      </c>
      <c r="F646" s="72">
        <v>852.37</v>
      </c>
      <c r="G646" s="8" t="s">
        <v>1081</v>
      </c>
      <c r="H646" s="591" t="str">
        <f t="shared" si="14"/>
        <v>Regelzone Amprion (gesamt)</v>
      </c>
      <c r="I646" s="587"/>
    </row>
    <row r="647" spans="1:9" hidden="1" outlineLevel="1">
      <c r="A647" s="1642">
        <v>2024</v>
      </c>
      <c r="B647" s="73" t="s">
        <v>1082</v>
      </c>
      <c r="C647" s="80" t="s">
        <v>2408</v>
      </c>
      <c r="D647" s="48">
        <v>2650989</v>
      </c>
      <c r="E647" s="48">
        <v>7290.22</v>
      </c>
      <c r="F647" s="72">
        <v>17390.490000000002</v>
      </c>
      <c r="G647" s="8" t="s">
        <v>1083</v>
      </c>
      <c r="H647" s="591" t="str">
        <f t="shared" si="14"/>
        <v>Regelzone Amprion (gesamt)</v>
      </c>
      <c r="I647" s="587"/>
    </row>
    <row r="648" spans="1:9" hidden="1" outlineLevel="1">
      <c r="A648" s="1642">
        <v>2024</v>
      </c>
      <c r="B648" s="73" t="s">
        <v>1090</v>
      </c>
      <c r="C648" s="80" t="s">
        <v>2408</v>
      </c>
      <c r="D648" s="48">
        <v>42704</v>
      </c>
      <c r="E648" s="48">
        <v>117.43</v>
      </c>
      <c r="F648" s="72">
        <v>280.14</v>
      </c>
      <c r="G648" s="8" t="s">
        <v>1091</v>
      </c>
      <c r="H648" s="591" t="str">
        <f t="shared" si="14"/>
        <v>Regelzone Amprion (gesamt)</v>
      </c>
      <c r="I648" s="587"/>
    </row>
    <row r="649" spans="1:9" hidden="1" outlineLevel="1">
      <c r="A649" s="1642">
        <v>2024</v>
      </c>
      <c r="B649" s="73" t="s">
        <v>1092</v>
      </c>
      <c r="C649" s="80" t="s">
        <v>2408</v>
      </c>
      <c r="D649" s="48">
        <v>-4785316</v>
      </c>
      <c r="E649" s="48">
        <v>-13159.62</v>
      </c>
      <c r="F649" s="72">
        <v>-31391.67</v>
      </c>
      <c r="G649" s="8" t="s">
        <v>1093</v>
      </c>
      <c r="H649" s="591" t="str">
        <f t="shared" si="14"/>
        <v>Regelzone Amprion (gesamt)</v>
      </c>
      <c r="I649" s="587"/>
    </row>
    <row r="650" spans="1:9" hidden="1" outlineLevel="1">
      <c r="A650" s="1642">
        <v>2024</v>
      </c>
      <c r="B650" s="73" t="s">
        <v>1094</v>
      </c>
      <c r="C650" s="80" t="s">
        <v>2408</v>
      </c>
      <c r="D650" s="48">
        <v>-563864</v>
      </c>
      <c r="E650" s="48">
        <v>-1550.62</v>
      </c>
      <c r="F650" s="72">
        <v>-3698.94</v>
      </c>
      <c r="G650" s="8" t="s">
        <v>1095</v>
      </c>
      <c r="H650" s="591" t="str">
        <f t="shared" si="14"/>
        <v>Regelzone Amprion (gesamt)</v>
      </c>
      <c r="I650" s="587"/>
    </row>
    <row r="651" spans="1:9" hidden="1" outlineLevel="1">
      <c r="A651" s="1642">
        <v>2024</v>
      </c>
      <c r="B651" s="73" t="s">
        <v>1096</v>
      </c>
      <c r="C651" s="80" t="s">
        <v>2408</v>
      </c>
      <c r="D651" s="48">
        <v>1535318</v>
      </c>
      <c r="E651" s="48">
        <v>4222.13</v>
      </c>
      <c r="F651" s="72">
        <v>10071.68</v>
      </c>
      <c r="G651" s="8" t="s">
        <v>1097</v>
      </c>
      <c r="H651" s="591" t="str">
        <f t="shared" si="14"/>
        <v>Regelzone Amprion (gesamt)</v>
      </c>
      <c r="I651" s="587"/>
    </row>
    <row r="652" spans="1:9" hidden="1" outlineLevel="1">
      <c r="A652" s="1642">
        <v>2024</v>
      </c>
      <c r="B652" s="73" t="s">
        <v>1098</v>
      </c>
      <c r="C652" s="80" t="s">
        <v>2408</v>
      </c>
      <c r="D652" s="48">
        <v>108880</v>
      </c>
      <c r="E652" s="48">
        <v>299.42</v>
      </c>
      <c r="F652" s="72">
        <v>714.26</v>
      </c>
      <c r="G652" s="8" t="s">
        <v>1099</v>
      </c>
      <c r="H652" s="591" t="str">
        <f t="shared" si="14"/>
        <v>Regelzone Amprion (gesamt)</v>
      </c>
      <c r="I652" s="587"/>
    </row>
    <row r="653" spans="1:9" hidden="1" outlineLevel="1">
      <c r="A653" s="1642">
        <v>2024</v>
      </c>
      <c r="B653" s="73" t="s">
        <v>1100</v>
      </c>
      <c r="C653" s="80" t="s">
        <v>2408</v>
      </c>
      <c r="D653" s="48">
        <v>26875917</v>
      </c>
      <c r="E653" s="48">
        <v>73908.77</v>
      </c>
      <c r="F653" s="72">
        <v>176306.02</v>
      </c>
      <c r="G653" s="8" t="s">
        <v>1101</v>
      </c>
      <c r="H653" s="591" t="str">
        <f t="shared" si="14"/>
        <v>Regelzone Amprion (gesamt)</v>
      </c>
      <c r="I653" s="587"/>
    </row>
    <row r="654" spans="1:9" hidden="1" outlineLevel="1">
      <c r="A654" s="1642">
        <v>2024</v>
      </c>
      <c r="B654" s="73" t="s">
        <v>1102</v>
      </c>
      <c r="C654" s="80" t="s">
        <v>2408</v>
      </c>
      <c r="D654" s="48">
        <v>366898</v>
      </c>
      <c r="E654" s="48">
        <v>1008.97</v>
      </c>
      <c r="F654" s="72">
        <v>2406.85</v>
      </c>
      <c r="G654" s="8" t="s">
        <v>1103</v>
      </c>
      <c r="H654" s="591" t="str">
        <f t="shared" si="14"/>
        <v>Regelzone Amprion (gesamt)</v>
      </c>
      <c r="I654" s="587"/>
    </row>
    <row r="655" spans="1:9" hidden="1" outlineLevel="1">
      <c r="A655" s="1642">
        <v>2024</v>
      </c>
      <c r="B655" s="73" t="s">
        <v>1104</v>
      </c>
      <c r="C655" s="80" t="s">
        <v>2408</v>
      </c>
      <c r="D655" s="48">
        <v>1069939</v>
      </c>
      <c r="E655" s="48">
        <v>2942.33</v>
      </c>
      <c r="F655" s="72">
        <v>7018.8</v>
      </c>
      <c r="G655" s="8" t="s">
        <v>1105</v>
      </c>
      <c r="H655" s="591" t="str">
        <f t="shared" si="14"/>
        <v>Regelzone Amprion (gesamt)</v>
      </c>
      <c r="I655" s="587"/>
    </row>
    <row r="656" spans="1:9" hidden="1" outlineLevel="1">
      <c r="A656" s="1642">
        <v>2024</v>
      </c>
      <c r="B656" s="73" t="s">
        <v>1110</v>
      </c>
      <c r="C656" s="80" t="s">
        <v>2408</v>
      </c>
      <c r="D656" s="48">
        <v>-65911</v>
      </c>
      <c r="E656" s="48">
        <v>-181.26</v>
      </c>
      <c r="F656" s="72">
        <v>-432.37</v>
      </c>
      <c r="G656" s="8" t="s">
        <v>1111</v>
      </c>
      <c r="H656" s="591" t="str">
        <f t="shared" si="14"/>
        <v>Regelzone Amprion (gesamt)</v>
      </c>
      <c r="I656" s="587"/>
    </row>
    <row r="657" spans="1:9" hidden="1" outlineLevel="1">
      <c r="A657" s="1642">
        <v>2024</v>
      </c>
      <c r="B657" s="73" t="s">
        <v>1114</v>
      </c>
      <c r="C657" s="80" t="s">
        <v>2408</v>
      </c>
      <c r="D657" s="48">
        <v>-146073</v>
      </c>
      <c r="E657" s="48">
        <v>-401.7</v>
      </c>
      <c r="F657" s="72">
        <v>-958.24</v>
      </c>
      <c r="G657" s="8" t="s">
        <v>1115</v>
      </c>
      <c r="H657" s="591" t="str">
        <f t="shared" si="14"/>
        <v>Regelzone Amprion (gesamt)</v>
      </c>
      <c r="I657" s="587"/>
    </row>
    <row r="658" spans="1:9" hidden="1" outlineLevel="1">
      <c r="A658" s="1642">
        <v>2024</v>
      </c>
      <c r="B658" s="73" t="s">
        <v>1116</v>
      </c>
      <c r="C658" s="80" t="s">
        <v>2409</v>
      </c>
      <c r="D658" s="48">
        <v>1603017</v>
      </c>
      <c r="E658" s="48">
        <v>440.83</v>
      </c>
      <c r="F658" s="72">
        <v>1051.58</v>
      </c>
      <c r="G658" s="8" t="s">
        <v>1117</v>
      </c>
      <c r="H658" s="591" t="str">
        <f t="shared" si="14"/>
        <v>Regelzone Amprion (gesamt)</v>
      </c>
      <c r="I658" s="587"/>
    </row>
    <row r="659" spans="1:9" hidden="1" outlineLevel="1">
      <c r="A659" s="1642">
        <v>2024</v>
      </c>
      <c r="B659" s="73" t="s">
        <v>1116</v>
      </c>
      <c r="C659" s="80" t="s">
        <v>2408</v>
      </c>
      <c r="D659" s="48">
        <v>-1603017</v>
      </c>
      <c r="E659" s="48">
        <v>-4408.3</v>
      </c>
      <c r="F659" s="72">
        <v>-10515.79</v>
      </c>
      <c r="G659" s="8" t="s">
        <v>1117</v>
      </c>
      <c r="H659" s="591" t="str">
        <f t="shared" si="14"/>
        <v>Regelzone Amprion (gesamt)</v>
      </c>
      <c r="I659" s="587"/>
    </row>
    <row r="660" spans="1:9" hidden="1" outlineLevel="1">
      <c r="A660" s="1642">
        <v>2024</v>
      </c>
      <c r="B660" s="73" t="s">
        <v>1122</v>
      </c>
      <c r="C660" s="80" t="s">
        <v>2408</v>
      </c>
      <c r="D660" s="48">
        <v>4798414</v>
      </c>
      <c r="E660" s="48">
        <v>13195.64</v>
      </c>
      <c r="F660" s="72">
        <v>31477.599999999999</v>
      </c>
      <c r="G660" s="8" t="s">
        <v>1123</v>
      </c>
      <c r="H660" s="591" t="str">
        <f>+H625</f>
        <v>Regelzone Amprion (gesamt)</v>
      </c>
      <c r="I660" s="587"/>
    </row>
    <row r="661" spans="1:9" hidden="1" outlineLevel="1">
      <c r="A661" s="1642">
        <v>2024</v>
      </c>
      <c r="B661" s="73" t="s">
        <v>1122</v>
      </c>
      <c r="C661" s="80" t="s">
        <v>2408</v>
      </c>
      <c r="D661" s="48">
        <v>855208</v>
      </c>
      <c r="E661" s="48">
        <v>2351.83</v>
      </c>
      <c r="F661" s="72">
        <v>5610.17</v>
      </c>
      <c r="G661" s="8" t="s">
        <v>1123</v>
      </c>
      <c r="H661" s="591" t="str">
        <f t="shared" si="14"/>
        <v>Regelzone Amprion (gesamt)</v>
      </c>
      <c r="I661" s="587"/>
    </row>
    <row r="662" spans="1:9" hidden="1" outlineLevel="1">
      <c r="A662" s="1642">
        <v>2024</v>
      </c>
      <c r="B662" s="73" t="s">
        <v>1126</v>
      </c>
      <c r="C662" s="80" t="s">
        <v>2408</v>
      </c>
      <c r="D662" s="48">
        <v>244381</v>
      </c>
      <c r="E662" s="48">
        <v>672.05</v>
      </c>
      <c r="F662" s="72">
        <v>1603.14</v>
      </c>
      <c r="G662" s="8" t="s">
        <v>1127</v>
      </c>
      <c r="H662" s="591" t="str">
        <f t="shared" si="14"/>
        <v>Regelzone Amprion (gesamt)</v>
      </c>
      <c r="I662" s="587"/>
    </row>
    <row r="663" spans="1:9" hidden="1" outlineLevel="1">
      <c r="A663" s="1642">
        <v>2024</v>
      </c>
      <c r="B663" s="73" t="s">
        <v>1134</v>
      </c>
      <c r="C663" s="80" t="s">
        <v>2408</v>
      </c>
      <c r="D663" s="48">
        <v>2144975</v>
      </c>
      <c r="E663" s="48">
        <v>5898.68</v>
      </c>
      <c r="F663" s="72">
        <v>14071.03</v>
      </c>
      <c r="G663" s="8" t="s">
        <v>1135</v>
      </c>
      <c r="H663" s="591" t="str">
        <f t="shared" si="14"/>
        <v>Regelzone Amprion (gesamt)</v>
      </c>
      <c r="I663" s="587"/>
    </row>
    <row r="664" spans="1:9" hidden="1" outlineLevel="1">
      <c r="A664" s="1642">
        <v>2024</v>
      </c>
      <c r="B664" s="73" t="s">
        <v>1138</v>
      </c>
      <c r="C664" s="80" t="s">
        <v>2408</v>
      </c>
      <c r="D664" s="48">
        <v>-1627229</v>
      </c>
      <c r="E664" s="48">
        <v>-4474.88</v>
      </c>
      <c r="F664" s="72">
        <v>-10674.62</v>
      </c>
      <c r="G664" s="8" t="s">
        <v>1139</v>
      </c>
      <c r="H664" s="591" t="str">
        <f t="shared" si="14"/>
        <v>Regelzone Amprion (gesamt)</v>
      </c>
      <c r="I664" s="587"/>
    </row>
    <row r="665" spans="1:9" hidden="1" outlineLevel="1">
      <c r="A665" s="1642">
        <v>2024</v>
      </c>
      <c r="B665" s="73" t="s">
        <v>1140</v>
      </c>
      <c r="C665" s="80" t="s">
        <v>2408</v>
      </c>
      <c r="D665" s="48">
        <v>-11645375</v>
      </c>
      <c r="E665" s="48">
        <v>-32024.78</v>
      </c>
      <c r="F665" s="72">
        <v>-76393.66</v>
      </c>
      <c r="G665" s="8" t="s">
        <v>1141</v>
      </c>
      <c r="H665" s="591" t="str">
        <f t="shared" si="14"/>
        <v>Regelzone Amprion (gesamt)</v>
      </c>
      <c r="I665" s="587"/>
    </row>
    <row r="666" spans="1:9" hidden="1" outlineLevel="1">
      <c r="A666" s="1642">
        <v>2024</v>
      </c>
      <c r="B666" s="73" t="s">
        <v>1144</v>
      </c>
      <c r="C666" s="80" t="s">
        <v>2408</v>
      </c>
      <c r="D666" s="48">
        <v>31277</v>
      </c>
      <c r="E666" s="48">
        <v>86.02</v>
      </c>
      <c r="F666" s="72">
        <v>205.18</v>
      </c>
      <c r="G666" s="8" t="s">
        <v>1145</v>
      </c>
      <c r="H666" s="591" t="str">
        <f t="shared" si="14"/>
        <v>Regelzone Amprion (gesamt)</v>
      </c>
      <c r="I666" s="587"/>
    </row>
    <row r="667" spans="1:9" hidden="1" outlineLevel="1">
      <c r="A667" s="1642">
        <v>2024</v>
      </c>
      <c r="B667" s="73" t="s">
        <v>1146</v>
      </c>
      <c r="C667" s="80" t="s">
        <v>2408</v>
      </c>
      <c r="D667" s="48">
        <v>-464898</v>
      </c>
      <c r="E667" s="48">
        <v>-1278.47</v>
      </c>
      <c r="F667" s="72">
        <v>-3049.73</v>
      </c>
      <c r="G667" s="8" t="s">
        <v>1147</v>
      </c>
      <c r="H667" s="591" t="str">
        <f t="shared" si="14"/>
        <v>Regelzone Amprion (gesamt)</v>
      </c>
      <c r="I667" s="587"/>
    </row>
    <row r="668" spans="1:9" hidden="1" outlineLevel="1">
      <c r="A668" s="1642">
        <v>2024</v>
      </c>
      <c r="B668" s="73" t="s">
        <v>1148</v>
      </c>
      <c r="C668" s="80" t="s">
        <v>2408</v>
      </c>
      <c r="D668" s="48">
        <v>9177253</v>
      </c>
      <c r="E668" s="48">
        <v>25237.439999999999</v>
      </c>
      <c r="F668" s="72">
        <v>60202.77</v>
      </c>
      <c r="G668" s="8" t="s">
        <v>1149</v>
      </c>
      <c r="H668" s="591" t="str">
        <f t="shared" si="14"/>
        <v>Regelzone Amprion (gesamt)</v>
      </c>
      <c r="I668" s="587"/>
    </row>
    <row r="669" spans="1:9" hidden="1" outlineLevel="1">
      <c r="A669" s="1642">
        <v>2024</v>
      </c>
      <c r="B669" s="73" t="s">
        <v>1150</v>
      </c>
      <c r="C669" s="80" t="s">
        <v>2408</v>
      </c>
      <c r="D669" s="48">
        <v>-4078827</v>
      </c>
      <c r="E669" s="48">
        <v>-11216.77</v>
      </c>
      <c r="F669" s="72">
        <v>-26757.11</v>
      </c>
      <c r="G669" s="8" t="s">
        <v>1151</v>
      </c>
      <c r="H669" s="591" t="str">
        <f t="shared" si="14"/>
        <v>Regelzone Amprion (gesamt)</v>
      </c>
      <c r="I669" s="587"/>
    </row>
    <row r="670" spans="1:9" hidden="1" outlineLevel="1">
      <c r="A670" s="1642">
        <v>2024</v>
      </c>
      <c r="B670" s="73" t="s">
        <v>1152</v>
      </c>
      <c r="C670" s="80" t="s">
        <v>2408</v>
      </c>
      <c r="D670" s="48">
        <v>-5078132</v>
      </c>
      <c r="E670" s="48">
        <v>-13964.87</v>
      </c>
      <c r="F670" s="72">
        <v>-33312.54</v>
      </c>
      <c r="G670" s="8" t="s">
        <v>1153</v>
      </c>
      <c r="H670" s="591" t="str">
        <f t="shared" si="14"/>
        <v>Regelzone Amprion (gesamt)</v>
      </c>
      <c r="I670" s="587"/>
    </row>
    <row r="671" spans="1:9" hidden="1" outlineLevel="1">
      <c r="A671" s="1642">
        <v>2024</v>
      </c>
      <c r="B671" s="73" t="s">
        <v>1154</v>
      </c>
      <c r="C671" s="80" t="s">
        <v>2408</v>
      </c>
      <c r="D671" s="48">
        <v>6983</v>
      </c>
      <c r="E671" s="48">
        <v>19.21</v>
      </c>
      <c r="F671" s="72">
        <v>45.81</v>
      </c>
      <c r="G671" s="8" t="s">
        <v>1155</v>
      </c>
      <c r="H671" s="591" t="str">
        <f t="shared" si="14"/>
        <v>Regelzone Amprion (gesamt)</v>
      </c>
      <c r="I671" s="587"/>
    </row>
    <row r="672" spans="1:9" hidden="1" outlineLevel="1">
      <c r="A672" s="1642">
        <v>2024</v>
      </c>
      <c r="B672" s="73" t="s">
        <v>1156</v>
      </c>
      <c r="C672" s="80" t="s">
        <v>2408</v>
      </c>
      <c r="D672" s="48">
        <v>-907267</v>
      </c>
      <c r="E672" s="48">
        <v>-2494.9899999999998</v>
      </c>
      <c r="F672" s="72">
        <v>-5951.68</v>
      </c>
      <c r="G672" s="8" t="s">
        <v>1157</v>
      </c>
      <c r="H672" s="591" t="str">
        <f t="shared" si="14"/>
        <v>Regelzone Amprion (gesamt)</v>
      </c>
      <c r="I672" s="587"/>
    </row>
    <row r="673" spans="1:15" hidden="1" outlineLevel="1">
      <c r="A673" s="1642">
        <v>2024</v>
      </c>
      <c r="B673" s="73" t="s">
        <v>1158</v>
      </c>
      <c r="C673" s="80" t="s">
        <v>2408</v>
      </c>
      <c r="D673" s="48">
        <v>2134627</v>
      </c>
      <c r="E673" s="48">
        <v>5870.22</v>
      </c>
      <c r="F673" s="72">
        <v>14003.15</v>
      </c>
      <c r="G673" s="8" t="s">
        <v>1159</v>
      </c>
      <c r="H673" s="591" t="str">
        <f t="shared" si="14"/>
        <v>Regelzone Amprion (gesamt)</v>
      </c>
      <c r="I673" s="587"/>
      <c r="K673" s="38"/>
      <c r="L673" s="38"/>
      <c r="M673" s="38"/>
      <c r="N673" s="38"/>
      <c r="O673" s="38"/>
    </row>
    <row r="674" spans="1:15" hidden="1" outlineLevel="1">
      <c r="A674" s="1642">
        <v>2024</v>
      </c>
      <c r="B674" s="73" t="s">
        <v>1160</v>
      </c>
      <c r="C674" s="80" t="s">
        <v>2408</v>
      </c>
      <c r="D674" s="48">
        <v>-270051</v>
      </c>
      <c r="E674" s="48">
        <v>-742.64</v>
      </c>
      <c r="F674" s="72">
        <v>-1771.53</v>
      </c>
      <c r="G674" s="8" t="s">
        <v>1161</v>
      </c>
      <c r="H674" s="591" t="str">
        <f t="shared" si="14"/>
        <v>Regelzone Amprion (gesamt)</v>
      </c>
      <c r="I674" s="588"/>
      <c r="K674" s="39"/>
      <c r="L674" s="40"/>
      <c r="M674" s="38"/>
      <c r="N674" s="39"/>
      <c r="O674" s="40"/>
    </row>
    <row r="675" spans="1:15" hidden="1" outlineLevel="1">
      <c r="A675" s="1642">
        <v>2024</v>
      </c>
      <c r="B675" s="73" t="s">
        <v>1162</v>
      </c>
      <c r="C675" s="80" t="s">
        <v>2408</v>
      </c>
      <c r="D675" s="48">
        <v>-23252</v>
      </c>
      <c r="E675" s="48">
        <v>-63.95</v>
      </c>
      <c r="F675" s="72">
        <v>-152.53</v>
      </c>
      <c r="G675" s="8" t="s">
        <v>1163</v>
      </c>
      <c r="H675" s="591" t="str">
        <f t="shared" si="14"/>
        <v>Regelzone Amprion (gesamt)</v>
      </c>
      <c r="I675" s="588"/>
      <c r="K675" s="39"/>
      <c r="L675" s="40"/>
      <c r="M675" s="38"/>
      <c r="N675" s="39"/>
      <c r="O675" s="40"/>
    </row>
    <row r="676" spans="1:15" ht="25.5" hidden="1" outlineLevel="1">
      <c r="A676" s="1642">
        <v>2024</v>
      </c>
      <c r="B676" s="73" t="s">
        <v>1166</v>
      </c>
      <c r="C676" s="80" t="s">
        <v>2408</v>
      </c>
      <c r="D676" s="48">
        <v>16093</v>
      </c>
      <c r="E676" s="48">
        <v>44.26</v>
      </c>
      <c r="F676" s="78">
        <v>105.57</v>
      </c>
      <c r="G676" s="232" t="s">
        <v>1167</v>
      </c>
      <c r="H676" s="591" t="str">
        <f t="shared" si="14"/>
        <v>Regelzone Amprion (gesamt)</v>
      </c>
      <c r="I676" s="588"/>
      <c r="K676" s="39"/>
      <c r="L676" s="40"/>
      <c r="M676" s="38"/>
      <c r="N676" s="39"/>
      <c r="O676" s="40"/>
    </row>
    <row r="677" spans="1:15" hidden="1" outlineLevel="1">
      <c r="A677" s="1642">
        <v>2024</v>
      </c>
      <c r="B677" s="73" t="s">
        <v>1170</v>
      </c>
      <c r="C677" s="80" t="s">
        <v>2408</v>
      </c>
      <c r="D677" s="48">
        <v>-3423438</v>
      </c>
      <c r="E677" s="48">
        <v>-9414.4599999999991</v>
      </c>
      <c r="F677" s="72">
        <v>-22457.759999999998</v>
      </c>
      <c r="G677" s="232" t="s">
        <v>1171</v>
      </c>
      <c r="H677" s="591" t="str">
        <f t="shared" si="14"/>
        <v>Regelzone Amprion (gesamt)</v>
      </c>
      <c r="I677" s="588"/>
      <c r="K677" s="39"/>
      <c r="L677" s="40"/>
      <c r="M677" s="38"/>
      <c r="N677" s="39"/>
      <c r="O677" s="40"/>
    </row>
    <row r="678" spans="1:15" hidden="1" outlineLevel="1">
      <c r="A678" s="1642">
        <v>2024</v>
      </c>
      <c r="B678" s="73" t="s">
        <v>1172</v>
      </c>
      <c r="C678" s="80" t="s">
        <v>2408</v>
      </c>
      <c r="D678" s="48">
        <v>286427</v>
      </c>
      <c r="E678" s="48">
        <v>787.68</v>
      </c>
      <c r="F678" s="72">
        <v>1878.96</v>
      </c>
      <c r="G678" s="8" t="s">
        <v>1173</v>
      </c>
      <c r="H678" s="591" t="str">
        <f t="shared" si="14"/>
        <v>Regelzone Amprion (gesamt)</v>
      </c>
      <c r="I678" s="588"/>
      <c r="K678" s="39"/>
      <c r="L678" s="40"/>
      <c r="M678" s="38"/>
      <c r="N678" s="39"/>
      <c r="O678" s="40"/>
    </row>
    <row r="679" spans="1:15" hidden="1" outlineLevel="1">
      <c r="A679" s="1642">
        <v>2024</v>
      </c>
      <c r="B679" s="73" t="s">
        <v>1174</v>
      </c>
      <c r="C679" s="80" t="s">
        <v>2409</v>
      </c>
      <c r="D679" s="48">
        <v>47498</v>
      </c>
      <c r="E679" s="48">
        <v>13.07</v>
      </c>
      <c r="F679" s="72">
        <v>31.16</v>
      </c>
      <c r="G679" s="8" t="s">
        <v>1175</v>
      </c>
      <c r="H679" s="591" t="str">
        <f t="shared" si="14"/>
        <v>Regelzone Amprion (gesamt)</v>
      </c>
      <c r="I679" s="588"/>
      <c r="K679" s="39"/>
      <c r="L679" s="40"/>
      <c r="M679" s="38"/>
      <c r="N679" s="39"/>
      <c r="O679" s="40"/>
    </row>
    <row r="680" spans="1:15" hidden="1" outlineLevel="1">
      <c r="A680" s="1642">
        <v>2024</v>
      </c>
      <c r="B680" s="73" t="s">
        <v>1174</v>
      </c>
      <c r="C680" s="80" t="s">
        <v>2408</v>
      </c>
      <c r="D680" s="48">
        <v>-2218418</v>
      </c>
      <c r="E680" s="48">
        <v>-6100.65</v>
      </c>
      <c r="F680" s="72">
        <v>-14552.82</v>
      </c>
      <c r="G680" s="8" t="s">
        <v>1175</v>
      </c>
      <c r="H680" s="591" t="str">
        <f t="shared" si="14"/>
        <v>Regelzone Amprion (gesamt)</v>
      </c>
      <c r="I680" s="588"/>
      <c r="K680" s="39"/>
      <c r="L680" s="40"/>
      <c r="M680" s="38"/>
      <c r="N680" s="39"/>
      <c r="O680" s="40"/>
    </row>
    <row r="681" spans="1:15" hidden="1" outlineLevel="1">
      <c r="A681" s="1642">
        <v>2024</v>
      </c>
      <c r="B681" s="73" t="s">
        <v>1176</v>
      </c>
      <c r="C681" s="80" t="s">
        <v>2408</v>
      </c>
      <c r="D681" s="48">
        <v>2098052</v>
      </c>
      <c r="E681" s="48">
        <v>5769.65</v>
      </c>
      <c r="F681" s="72">
        <v>13763.22</v>
      </c>
      <c r="G681" s="8" t="s">
        <v>1177</v>
      </c>
      <c r="H681" s="591" t="str">
        <f t="shared" si="14"/>
        <v>Regelzone Amprion (gesamt)</v>
      </c>
      <c r="I681" s="588"/>
      <c r="K681" s="39"/>
      <c r="L681" s="40"/>
      <c r="M681" s="38"/>
      <c r="N681" s="39"/>
      <c r="O681" s="40"/>
    </row>
    <row r="682" spans="1:15" hidden="1" outlineLevel="1">
      <c r="A682" s="1642">
        <v>2024</v>
      </c>
      <c r="B682" s="73" t="s">
        <v>1182</v>
      </c>
      <c r="C682" s="80" t="s">
        <v>2408</v>
      </c>
      <c r="D682" s="48">
        <v>198171</v>
      </c>
      <c r="E682" s="48">
        <v>544.97</v>
      </c>
      <c r="F682" s="48">
        <v>1300</v>
      </c>
      <c r="G682" s="8" t="s">
        <v>1183</v>
      </c>
      <c r="H682" s="591" t="str">
        <f t="shared" si="14"/>
        <v>Regelzone Amprion (gesamt)</v>
      </c>
      <c r="I682" s="588"/>
      <c r="K682" s="39"/>
      <c r="L682" s="40"/>
      <c r="M682" s="38"/>
      <c r="N682" s="39"/>
      <c r="O682" s="40"/>
    </row>
    <row r="683" spans="1:15" hidden="1" outlineLevel="1">
      <c r="A683" s="1642">
        <v>2024</v>
      </c>
      <c r="B683" s="73" t="s">
        <v>1186</v>
      </c>
      <c r="C683" s="80" t="s">
        <v>2418</v>
      </c>
      <c r="D683" s="48">
        <v>-1601414</v>
      </c>
      <c r="E683" s="48">
        <v>-660.58</v>
      </c>
      <c r="F683" s="72">
        <v>-1575.79</v>
      </c>
      <c r="G683" s="8" t="s">
        <v>1187</v>
      </c>
      <c r="H683" s="591" t="str">
        <f t="shared" ref="H683:H693" si="15">+H682</f>
        <v>Regelzone Amprion (gesamt)</v>
      </c>
      <c r="I683" s="588"/>
      <c r="K683" s="39"/>
      <c r="L683" s="40"/>
      <c r="M683" s="38"/>
      <c r="N683" s="39"/>
      <c r="O683" s="40"/>
    </row>
    <row r="684" spans="1:15" hidden="1" outlineLevel="1">
      <c r="A684" s="1642">
        <v>2024</v>
      </c>
      <c r="B684" s="73" t="s">
        <v>1186</v>
      </c>
      <c r="C684" s="80" t="s">
        <v>2408</v>
      </c>
      <c r="D684" s="48">
        <v>1601414</v>
      </c>
      <c r="E684" s="48">
        <v>4403.8900000000003</v>
      </c>
      <c r="F684" s="72">
        <v>10505.28</v>
      </c>
      <c r="G684" s="8" t="s">
        <v>1187</v>
      </c>
      <c r="H684" s="591" t="str">
        <f t="shared" si="15"/>
        <v>Regelzone Amprion (gesamt)</v>
      </c>
      <c r="I684" s="588"/>
      <c r="K684" s="39"/>
      <c r="L684" s="40"/>
      <c r="M684" s="38"/>
      <c r="N684" s="39"/>
      <c r="O684" s="40"/>
    </row>
    <row r="685" spans="1:15" hidden="1" outlineLevel="1">
      <c r="A685" s="1642">
        <v>2024</v>
      </c>
      <c r="B685" s="73" t="s">
        <v>1188</v>
      </c>
      <c r="C685" s="80" t="s">
        <v>2408</v>
      </c>
      <c r="D685" s="48">
        <v>-74020</v>
      </c>
      <c r="E685" s="48">
        <v>-203.55</v>
      </c>
      <c r="F685" s="72">
        <v>-485.57</v>
      </c>
      <c r="G685" s="233" t="s">
        <v>1189</v>
      </c>
      <c r="H685" s="591" t="str">
        <f t="shared" si="15"/>
        <v>Regelzone Amprion (gesamt)</v>
      </c>
      <c r="I685" s="588"/>
      <c r="K685" s="42"/>
      <c r="L685" s="43"/>
      <c r="M685" s="41"/>
      <c r="N685" s="39"/>
      <c r="O685" s="40"/>
    </row>
    <row r="686" spans="1:15" hidden="1" outlineLevel="1">
      <c r="A686" s="1642">
        <v>2024</v>
      </c>
      <c r="B686" s="73" t="s">
        <v>1190</v>
      </c>
      <c r="C686" s="80" t="s">
        <v>2408</v>
      </c>
      <c r="D686" s="48">
        <v>529489</v>
      </c>
      <c r="E686" s="48">
        <v>1456.1</v>
      </c>
      <c r="F686" s="72">
        <v>3473.44</v>
      </c>
      <c r="G686" s="233" t="s">
        <v>1191</v>
      </c>
      <c r="H686" s="591" t="str">
        <f t="shared" si="15"/>
        <v>Regelzone Amprion (gesamt)</v>
      </c>
      <c r="I686" s="588"/>
      <c r="K686" s="39"/>
      <c r="L686" s="40"/>
      <c r="M686" s="38"/>
      <c r="N686" s="39"/>
      <c r="O686" s="40"/>
    </row>
    <row r="687" spans="1:15" hidden="1" outlineLevel="1">
      <c r="A687" s="1642">
        <v>2024</v>
      </c>
      <c r="B687" s="73" t="s">
        <v>1192</v>
      </c>
      <c r="C687" s="80" t="s">
        <v>2408</v>
      </c>
      <c r="D687" s="48">
        <v>-272488</v>
      </c>
      <c r="E687" s="48">
        <v>-749.34</v>
      </c>
      <c r="F687" s="72">
        <v>-1787.52</v>
      </c>
      <c r="G687" s="233" t="s">
        <v>1193</v>
      </c>
      <c r="H687" s="591" t="str">
        <f t="shared" si="15"/>
        <v>Regelzone Amprion (gesamt)</v>
      </c>
      <c r="I687" s="588"/>
      <c r="K687" s="39"/>
      <c r="L687" s="40"/>
      <c r="M687" s="38"/>
      <c r="N687" s="39"/>
      <c r="O687" s="40"/>
    </row>
    <row r="688" spans="1:15" hidden="1" outlineLevel="1">
      <c r="A688" s="1642">
        <v>2024</v>
      </c>
      <c r="B688" s="73" t="s">
        <v>1194</v>
      </c>
      <c r="C688" s="80" t="s">
        <v>2408</v>
      </c>
      <c r="D688" s="48">
        <v>230819</v>
      </c>
      <c r="E688" s="48">
        <v>634.75</v>
      </c>
      <c r="F688" s="72">
        <v>1514.17</v>
      </c>
      <c r="G688" s="233" t="s">
        <v>1195</v>
      </c>
      <c r="H688" s="591" t="str">
        <f t="shared" si="15"/>
        <v>Regelzone Amprion (gesamt)</v>
      </c>
      <c r="I688" s="588"/>
      <c r="K688" s="39"/>
      <c r="L688" s="40"/>
      <c r="M688" s="38"/>
      <c r="N688" s="39"/>
      <c r="O688" s="40"/>
    </row>
    <row r="689" spans="1:15" hidden="1" outlineLevel="1">
      <c r="A689" s="1642">
        <v>2024</v>
      </c>
      <c r="B689" s="73" t="s">
        <v>1198</v>
      </c>
      <c r="C689" s="80" t="s">
        <v>2408</v>
      </c>
      <c r="D689" s="48">
        <v>2107753</v>
      </c>
      <c r="E689" s="48">
        <v>5796.32</v>
      </c>
      <c r="F689" s="72">
        <v>13826.86</v>
      </c>
      <c r="G689" s="233" t="s">
        <v>1199</v>
      </c>
      <c r="H689" s="591" t="str">
        <f t="shared" si="15"/>
        <v>Regelzone Amprion (gesamt)</v>
      </c>
      <c r="I689" s="588"/>
      <c r="K689" s="39"/>
      <c r="L689" s="40"/>
      <c r="M689" s="38"/>
      <c r="N689" s="39"/>
      <c r="O689" s="40"/>
    </row>
    <row r="690" spans="1:15" hidden="1" outlineLevel="1">
      <c r="A690" s="1642">
        <v>2024</v>
      </c>
      <c r="B690" s="73" t="s">
        <v>1200</v>
      </c>
      <c r="C690" s="80" t="s">
        <v>2408</v>
      </c>
      <c r="D690" s="48">
        <v>-5874554</v>
      </c>
      <c r="E690" s="48">
        <v>-16155.03</v>
      </c>
      <c r="F690" s="72">
        <v>-38537.08</v>
      </c>
      <c r="G690" s="233" t="s">
        <v>1201</v>
      </c>
      <c r="H690" s="591" t="str">
        <f t="shared" si="15"/>
        <v>Regelzone Amprion (gesamt)</v>
      </c>
      <c r="I690" s="588"/>
      <c r="K690" s="39"/>
      <c r="L690" s="40"/>
      <c r="M690" s="38"/>
      <c r="N690" s="39"/>
      <c r="O690" s="40"/>
    </row>
    <row r="691" spans="1:15" hidden="1" outlineLevel="1">
      <c r="A691" s="1642">
        <v>2024</v>
      </c>
      <c r="B691" s="73" t="s">
        <v>1206</v>
      </c>
      <c r="C691" s="80" t="s">
        <v>2408</v>
      </c>
      <c r="D691" s="48">
        <v>-97623</v>
      </c>
      <c r="E691" s="48">
        <v>-268.45999999999998</v>
      </c>
      <c r="F691" s="72">
        <v>-640.41</v>
      </c>
      <c r="G691" s="233" t="s">
        <v>1207</v>
      </c>
      <c r="H691" s="591" t="str">
        <f t="shared" si="15"/>
        <v>Regelzone Amprion (gesamt)</v>
      </c>
      <c r="I691" s="588"/>
      <c r="K691" s="39"/>
      <c r="L691" s="40"/>
      <c r="M691" s="38"/>
      <c r="N691" s="39"/>
      <c r="O691" s="40"/>
    </row>
    <row r="692" spans="1:15" hidden="1" outlineLevel="1">
      <c r="A692" s="1642">
        <v>2024</v>
      </c>
      <c r="B692" s="73" t="s">
        <v>768</v>
      </c>
      <c r="C692" s="80" t="s">
        <v>2408</v>
      </c>
      <c r="D692" s="48">
        <v>29634</v>
      </c>
      <c r="E692" s="48">
        <v>81.489999999999995</v>
      </c>
      <c r="F692" s="72">
        <v>194.4</v>
      </c>
      <c r="G692" s="233" t="s">
        <v>769</v>
      </c>
      <c r="H692" s="591" t="str">
        <f t="shared" si="15"/>
        <v>Regelzone Amprion (gesamt)</v>
      </c>
      <c r="I692" s="588"/>
      <c r="K692" s="42"/>
      <c r="L692" s="42"/>
      <c r="M692" s="38"/>
      <c r="N692" s="39"/>
      <c r="O692" s="40"/>
    </row>
    <row r="693" spans="1:15" ht="13.5" hidden="1" outlineLevel="1" thickBot="1">
      <c r="A693" s="1643">
        <v>2024</v>
      </c>
      <c r="B693" s="73" t="s">
        <v>1216</v>
      </c>
      <c r="C693" s="80" t="s">
        <v>2408</v>
      </c>
      <c r="D693" s="48">
        <v>98183</v>
      </c>
      <c r="E693" s="48">
        <v>270</v>
      </c>
      <c r="F693" s="72">
        <v>644.08000000000004</v>
      </c>
      <c r="G693" s="233" t="s">
        <v>1217</v>
      </c>
      <c r="H693" s="591" t="str">
        <f t="shared" si="15"/>
        <v>Regelzone Amprion (gesamt)</v>
      </c>
      <c r="I693" s="588"/>
      <c r="K693" s="39"/>
      <c r="L693" s="40"/>
      <c r="M693" s="38"/>
      <c r="N693" s="39"/>
      <c r="O693" s="40"/>
    </row>
    <row r="694" spans="1:15" ht="18.75" customHeight="1" collapsed="1" thickBot="1">
      <c r="A694" s="144" t="s">
        <v>2420</v>
      </c>
      <c r="B694" s="145"/>
      <c r="C694" s="827"/>
      <c r="D694" s="826">
        <f>SUM(D234:D693)-D237-D239-D241-D244-D246-D248-D250-D252-D536-D558</f>
        <v>45538625</v>
      </c>
      <c r="E694" s="828">
        <f>SUM(E234:E693)</f>
        <v>-55694.760000000286</v>
      </c>
      <c r="F694" s="806">
        <f>SUM(F234:F693)</f>
        <v>59792.230000000367</v>
      </c>
      <c r="H694" s="591"/>
      <c r="I694" s="587"/>
    </row>
    <row r="695" spans="1:15">
      <c r="A695" s="911"/>
      <c r="B695" s="912"/>
      <c r="C695" s="2"/>
      <c r="D695" s="71"/>
      <c r="E695" s="71"/>
      <c r="F695" s="71"/>
      <c r="H695" s="591"/>
      <c r="I695" s="587"/>
    </row>
    <row r="696" spans="1:15">
      <c r="A696" s="16" t="s">
        <v>2421</v>
      </c>
      <c r="C696" s="1"/>
      <c r="D696" s="175"/>
      <c r="E696" s="175"/>
      <c r="H696" s="591"/>
      <c r="I696" s="587"/>
    </row>
    <row r="697" spans="1:15" ht="15" thickBot="1">
      <c r="A697" s="82"/>
      <c r="B697" s="63"/>
      <c r="C697" s="1"/>
      <c r="D697" s="175"/>
      <c r="E697" s="175"/>
      <c r="H697" s="591"/>
      <c r="I697" s="587"/>
    </row>
    <row r="698" spans="1:15" ht="91.5" customHeight="1">
      <c r="A698" s="505" t="s">
        <v>2071</v>
      </c>
      <c r="B698" s="910" t="s">
        <v>2403</v>
      </c>
      <c r="C698" s="506" t="s">
        <v>2404</v>
      </c>
      <c r="D698" s="616" t="s">
        <v>2405</v>
      </c>
      <c r="E698" s="500" t="s">
        <v>2406</v>
      </c>
      <c r="F698" s="501" t="s">
        <v>2407</v>
      </c>
      <c r="H698" s="591"/>
      <c r="I698" s="587"/>
    </row>
    <row r="699" spans="1:15" ht="13.5" thickBot="1">
      <c r="A699" s="502"/>
      <c r="B699" s="503"/>
      <c r="C699" s="507"/>
      <c r="D699" s="526" t="s">
        <v>454</v>
      </c>
      <c r="E699" s="528" t="s">
        <v>2054</v>
      </c>
      <c r="F699" s="530" t="s">
        <v>2054</v>
      </c>
      <c r="H699" s="591"/>
      <c r="I699" s="587"/>
    </row>
    <row r="700" spans="1:15" ht="13.5" hidden="1" outlineLevel="1" thickBot="1">
      <c r="A700" s="1525">
        <v>2019</v>
      </c>
      <c r="B700" s="1526" t="s">
        <v>1516</v>
      </c>
      <c r="C700" s="1527" t="s">
        <v>2408</v>
      </c>
      <c r="D700" s="1528">
        <v>404771</v>
      </c>
      <c r="E700" s="1528">
        <v>1133.3599999999999</v>
      </c>
      <c r="F700" s="1529">
        <v>1683.85</v>
      </c>
      <c r="G700" t="s">
        <v>1517</v>
      </c>
      <c r="H700" s="592" t="s">
        <v>1220</v>
      </c>
      <c r="I700" s="587"/>
    </row>
    <row r="701" spans="1:15" ht="13.5" hidden="1" outlineLevel="1" thickBot="1">
      <c r="A701" s="1525">
        <v>2020</v>
      </c>
      <c r="B701" s="1526" t="s">
        <v>879</v>
      </c>
      <c r="C701" s="1527" t="s">
        <v>2408</v>
      </c>
      <c r="D701" s="1528">
        <v>-5357308</v>
      </c>
      <c r="E701" s="1528">
        <v>-12107.52</v>
      </c>
      <c r="F701" s="1529">
        <v>-22286.400000000001</v>
      </c>
      <c r="G701" t="s">
        <v>880</v>
      </c>
      <c r="H701" s="592" t="s">
        <v>1220</v>
      </c>
      <c r="I701" s="587"/>
    </row>
    <row r="702" spans="1:15" hidden="1" outlineLevel="1">
      <c r="A702" s="1521">
        <v>2021</v>
      </c>
      <c r="B702" s="1522" t="s">
        <v>1516</v>
      </c>
      <c r="C702" s="1523" t="s">
        <v>2408</v>
      </c>
      <c r="D702" s="1524">
        <v>884621</v>
      </c>
      <c r="E702" s="1524">
        <v>2246.94</v>
      </c>
      <c r="F702" s="1531">
        <v>3494.25</v>
      </c>
      <c r="G702" t="s">
        <v>1517</v>
      </c>
      <c r="H702" s="592" t="s">
        <v>1220</v>
      </c>
      <c r="I702" s="587"/>
    </row>
    <row r="703" spans="1:15" hidden="1" outlineLevel="1">
      <c r="A703" s="1532">
        <v>2021</v>
      </c>
      <c r="B703" s="719" t="s">
        <v>879</v>
      </c>
      <c r="C703" s="1530" t="s">
        <v>2408</v>
      </c>
      <c r="D703" s="894">
        <v>-6514856</v>
      </c>
      <c r="E703" s="721">
        <v>-16547.73</v>
      </c>
      <c r="F703" s="1533">
        <v>-25733.68</v>
      </c>
      <c r="G703" t="s">
        <v>880</v>
      </c>
      <c r="H703" s="592" t="s">
        <v>1220</v>
      </c>
      <c r="I703" s="587"/>
    </row>
    <row r="704" spans="1:15" ht="13.5" hidden="1" outlineLevel="1" thickBot="1">
      <c r="A704" s="1534">
        <v>2021</v>
      </c>
      <c r="B704" s="1535" t="s">
        <v>1030</v>
      </c>
      <c r="C704" s="1536" t="s">
        <v>2408</v>
      </c>
      <c r="D704" s="1537">
        <v>651687</v>
      </c>
      <c r="E704" s="1538">
        <v>1655.28</v>
      </c>
      <c r="F704" s="1539">
        <v>2574.16</v>
      </c>
      <c r="G704" t="s">
        <v>1031</v>
      </c>
      <c r="H704" s="592" t="s">
        <v>1220</v>
      </c>
      <c r="I704" s="587"/>
    </row>
    <row r="705" spans="1:9" hidden="1" outlineLevel="1">
      <c r="A705" s="1521">
        <v>2022</v>
      </c>
      <c r="B705" s="1540" t="s">
        <v>1812</v>
      </c>
      <c r="C705" s="1541" t="s">
        <v>2408</v>
      </c>
      <c r="D705" s="1542">
        <v>7520</v>
      </c>
      <c r="E705" s="1543">
        <v>28.43</v>
      </c>
      <c r="F705" s="1544">
        <v>31.51</v>
      </c>
      <c r="G705" t="s">
        <v>1813</v>
      </c>
      <c r="H705" s="592" t="s">
        <v>1220</v>
      </c>
      <c r="I705" s="587"/>
    </row>
    <row r="706" spans="1:9" hidden="1" outlineLevel="1">
      <c r="A706" s="722">
        <v>2022</v>
      </c>
      <c r="B706" s="719" t="s">
        <v>1246</v>
      </c>
      <c r="C706" s="717" t="s">
        <v>2408</v>
      </c>
      <c r="D706" s="891">
        <v>-422</v>
      </c>
      <c r="E706" s="718">
        <v>-1.6</v>
      </c>
      <c r="F706" s="720">
        <v>-1.77</v>
      </c>
      <c r="G706" t="s">
        <v>1247</v>
      </c>
      <c r="H706" s="592" t="s">
        <v>1220</v>
      </c>
      <c r="I706" s="587"/>
    </row>
    <row r="707" spans="1:9" hidden="1" outlineLevel="1">
      <c r="A707" s="722">
        <v>2022</v>
      </c>
      <c r="B707" s="719" t="s">
        <v>1582</v>
      </c>
      <c r="C707" s="717" t="s">
        <v>2408</v>
      </c>
      <c r="D707" s="891">
        <v>10989</v>
      </c>
      <c r="E707" s="718">
        <v>41.54</v>
      </c>
      <c r="F707" s="720">
        <v>46.04</v>
      </c>
      <c r="G707" t="s">
        <v>1583</v>
      </c>
      <c r="H707" s="592" t="s">
        <v>1220</v>
      </c>
      <c r="I707" s="587"/>
    </row>
    <row r="708" spans="1:9" hidden="1" outlineLevel="1">
      <c r="A708" s="722">
        <v>2022</v>
      </c>
      <c r="B708" s="719" t="s">
        <v>1458</v>
      </c>
      <c r="C708" s="717" t="s">
        <v>2408</v>
      </c>
      <c r="D708" s="891">
        <v>255</v>
      </c>
      <c r="E708" s="718">
        <v>0.96</v>
      </c>
      <c r="F708" s="720">
        <v>1.07</v>
      </c>
      <c r="G708" t="s">
        <v>1459</v>
      </c>
      <c r="H708" s="592" t="s">
        <v>1220</v>
      </c>
      <c r="I708" s="587"/>
    </row>
    <row r="709" spans="1:9" hidden="1" outlineLevel="1">
      <c r="A709" s="722">
        <v>2022</v>
      </c>
      <c r="B709" s="719" t="s">
        <v>1484</v>
      </c>
      <c r="C709" s="717" t="s">
        <v>2408</v>
      </c>
      <c r="D709" s="891">
        <v>-8357</v>
      </c>
      <c r="E709" s="718">
        <v>-31.59</v>
      </c>
      <c r="F709" s="720">
        <v>-35.020000000000003</v>
      </c>
      <c r="G709" t="s">
        <v>1485</v>
      </c>
      <c r="H709" s="592" t="s">
        <v>1220</v>
      </c>
      <c r="I709" s="587"/>
    </row>
    <row r="710" spans="1:9" hidden="1" outlineLevel="1">
      <c r="A710" s="722">
        <v>2022</v>
      </c>
      <c r="B710" s="719" t="s">
        <v>1283</v>
      </c>
      <c r="C710" s="717" t="s">
        <v>2408</v>
      </c>
      <c r="D710" s="891">
        <v>100074.9</v>
      </c>
      <c r="E710" s="718">
        <v>378.28</v>
      </c>
      <c r="F710" s="720">
        <v>419.31</v>
      </c>
      <c r="G710" t="s">
        <v>1284</v>
      </c>
      <c r="H710" s="592" t="s">
        <v>1220</v>
      </c>
      <c r="I710" s="587"/>
    </row>
    <row r="711" spans="1:9" hidden="1" outlineLevel="1">
      <c r="A711" s="722">
        <v>2022</v>
      </c>
      <c r="B711" s="719" t="s">
        <v>1227</v>
      </c>
      <c r="C711" s="717" t="s">
        <v>2408</v>
      </c>
      <c r="D711" s="891">
        <v>57713</v>
      </c>
      <c r="E711" s="718">
        <v>218.16</v>
      </c>
      <c r="F711" s="720">
        <v>241.82</v>
      </c>
      <c r="G711" t="s">
        <v>1228</v>
      </c>
      <c r="H711" s="592" t="s">
        <v>1220</v>
      </c>
      <c r="I711" s="587"/>
    </row>
    <row r="712" spans="1:9" hidden="1" outlineLevel="1">
      <c r="A712" s="722">
        <v>2022</v>
      </c>
      <c r="B712" s="719" t="s">
        <v>1556</v>
      </c>
      <c r="C712" s="717" t="s">
        <v>2408</v>
      </c>
      <c r="D712" s="891">
        <v>1835</v>
      </c>
      <c r="E712" s="718">
        <v>6.94</v>
      </c>
      <c r="F712" s="720">
        <v>7.69</v>
      </c>
      <c r="G712" t="s">
        <v>1557</v>
      </c>
      <c r="H712" s="592" t="s">
        <v>1220</v>
      </c>
      <c r="I712" s="587"/>
    </row>
    <row r="713" spans="1:9" hidden="1" outlineLevel="1">
      <c r="A713" s="722">
        <v>2022</v>
      </c>
      <c r="B713" s="719" t="s">
        <v>1626</v>
      </c>
      <c r="C713" s="717" t="s">
        <v>2408</v>
      </c>
      <c r="D713" s="891">
        <v>636</v>
      </c>
      <c r="E713" s="718">
        <v>2.4</v>
      </c>
      <c r="F713" s="720">
        <v>2.66</v>
      </c>
      <c r="G713" t="s">
        <v>1627</v>
      </c>
      <c r="H713" s="592" t="s">
        <v>1220</v>
      </c>
      <c r="I713" s="587"/>
    </row>
    <row r="714" spans="1:9" hidden="1" outlineLevel="1">
      <c r="A714" s="722">
        <v>2022</v>
      </c>
      <c r="B714" s="719" t="s">
        <v>2195</v>
      </c>
      <c r="C714" s="717" t="s">
        <v>2408</v>
      </c>
      <c r="D714" s="891">
        <v>1368</v>
      </c>
      <c r="E714" s="718">
        <v>5.17</v>
      </c>
      <c r="F714" s="720">
        <v>5.73</v>
      </c>
      <c r="G714" t="s">
        <v>2196</v>
      </c>
      <c r="H714" s="592" t="s">
        <v>1220</v>
      </c>
      <c r="I714" s="587"/>
    </row>
    <row r="715" spans="1:9" hidden="1" outlineLevel="1">
      <c r="A715" s="722">
        <v>2022</v>
      </c>
      <c r="B715" s="719" t="s">
        <v>1236</v>
      </c>
      <c r="C715" s="717" t="s">
        <v>2408</v>
      </c>
      <c r="D715" s="891">
        <v>8752</v>
      </c>
      <c r="E715" s="718">
        <v>33.08</v>
      </c>
      <c r="F715" s="720">
        <v>36.67</v>
      </c>
      <c r="G715" t="s">
        <v>1237</v>
      </c>
      <c r="H715" s="592" t="s">
        <v>1220</v>
      </c>
      <c r="I715" s="587"/>
    </row>
    <row r="716" spans="1:9" hidden="1" outlineLevel="1">
      <c r="A716" s="722">
        <v>2022</v>
      </c>
      <c r="B716" s="719" t="s">
        <v>1240</v>
      </c>
      <c r="C716" s="717" t="s">
        <v>2408</v>
      </c>
      <c r="D716" s="891">
        <v>-2975160.4619999998</v>
      </c>
      <c r="E716" s="718">
        <v>-11246.11</v>
      </c>
      <c r="F716" s="720">
        <v>-12465.92</v>
      </c>
      <c r="G716" t="s">
        <v>1241</v>
      </c>
      <c r="H716" s="592" t="s">
        <v>1220</v>
      </c>
      <c r="I716" s="587"/>
    </row>
    <row r="717" spans="1:9" hidden="1" outlineLevel="1">
      <c r="A717" s="722">
        <v>2022</v>
      </c>
      <c r="B717" s="719" t="s">
        <v>1706</v>
      </c>
      <c r="C717" s="717" t="s">
        <v>2408</v>
      </c>
      <c r="D717" s="891">
        <v>-4805</v>
      </c>
      <c r="E717" s="718">
        <v>-18.16</v>
      </c>
      <c r="F717" s="720">
        <v>-20.13</v>
      </c>
      <c r="G717" t="s">
        <v>1707</v>
      </c>
      <c r="H717" s="592" t="s">
        <v>1220</v>
      </c>
      <c r="I717" s="587"/>
    </row>
    <row r="718" spans="1:9" hidden="1" outlineLevel="1">
      <c r="A718" s="722">
        <v>2022</v>
      </c>
      <c r="B718" s="719" t="s">
        <v>1221</v>
      </c>
      <c r="C718" s="717" t="s">
        <v>2408</v>
      </c>
      <c r="D718" s="891">
        <v>950640.67</v>
      </c>
      <c r="E718" s="718">
        <v>3593.42</v>
      </c>
      <c r="F718" s="720">
        <v>3983.18</v>
      </c>
      <c r="G718" t="s">
        <v>1222</v>
      </c>
      <c r="H718" s="592" t="s">
        <v>1220</v>
      </c>
      <c r="I718" s="587"/>
    </row>
    <row r="719" spans="1:9" hidden="1" outlineLevel="1">
      <c r="A719" s="722">
        <v>2022</v>
      </c>
      <c r="B719" s="719" t="s">
        <v>580</v>
      </c>
      <c r="C719" s="717" t="s">
        <v>2408</v>
      </c>
      <c r="D719" s="891">
        <v>-3144</v>
      </c>
      <c r="E719" s="718">
        <v>-11.88</v>
      </c>
      <c r="F719" s="720">
        <v>-13.17</v>
      </c>
      <c r="G719" t="s">
        <v>581</v>
      </c>
      <c r="H719" s="592" t="s">
        <v>1220</v>
      </c>
      <c r="I719" s="587"/>
    </row>
    <row r="720" spans="1:9" hidden="1" outlineLevel="1">
      <c r="A720" s="722">
        <v>2022</v>
      </c>
      <c r="B720" s="719" t="s">
        <v>1592</v>
      </c>
      <c r="C720" s="717" t="s">
        <v>2408</v>
      </c>
      <c r="D720" s="891">
        <v>2892</v>
      </c>
      <c r="E720" s="718">
        <v>10.93</v>
      </c>
      <c r="F720" s="720">
        <v>12.12</v>
      </c>
      <c r="G720" t="s">
        <v>1593</v>
      </c>
      <c r="H720" s="592" t="s">
        <v>1220</v>
      </c>
      <c r="I720" s="587"/>
    </row>
    <row r="721" spans="1:9" hidden="1" outlineLevel="1">
      <c r="A721" s="722">
        <v>2022</v>
      </c>
      <c r="B721" s="719" t="s">
        <v>1326</v>
      </c>
      <c r="C721" s="717" t="s">
        <v>2408</v>
      </c>
      <c r="D721" s="891">
        <v>-9484</v>
      </c>
      <c r="E721" s="718">
        <v>-35.85</v>
      </c>
      <c r="F721" s="720">
        <v>-39.74</v>
      </c>
      <c r="G721" t="s">
        <v>1327</v>
      </c>
      <c r="H721" s="592" t="s">
        <v>1220</v>
      </c>
      <c r="I721" s="587"/>
    </row>
    <row r="722" spans="1:9" hidden="1" outlineLevel="1">
      <c r="A722" s="722">
        <v>2022</v>
      </c>
      <c r="B722" s="719" t="s">
        <v>1628</v>
      </c>
      <c r="C722" s="717" t="s">
        <v>2408</v>
      </c>
      <c r="D722" s="891">
        <v>-7808</v>
      </c>
      <c r="E722" s="718">
        <v>-29.51</v>
      </c>
      <c r="F722" s="720">
        <v>-32.72</v>
      </c>
      <c r="G722" t="s">
        <v>1629</v>
      </c>
      <c r="H722" s="592" t="s">
        <v>1220</v>
      </c>
      <c r="I722" s="587"/>
    </row>
    <row r="723" spans="1:9" hidden="1" outlineLevel="1">
      <c r="A723" s="722">
        <v>2022</v>
      </c>
      <c r="B723" s="719" t="s">
        <v>1248</v>
      </c>
      <c r="C723" s="717" t="s">
        <v>2408</v>
      </c>
      <c r="D723" s="891">
        <v>841849.5</v>
      </c>
      <c r="E723" s="718">
        <v>3182.19</v>
      </c>
      <c r="F723" s="720">
        <v>3527.35</v>
      </c>
      <c r="G723" t="s">
        <v>1249</v>
      </c>
      <c r="H723" s="592" t="s">
        <v>1220</v>
      </c>
      <c r="I723" s="587"/>
    </row>
    <row r="724" spans="1:9" hidden="1" outlineLevel="1">
      <c r="A724" s="722">
        <v>2022</v>
      </c>
      <c r="B724" s="719" t="s">
        <v>2289</v>
      </c>
      <c r="C724" s="717" t="s">
        <v>2408</v>
      </c>
      <c r="D724" s="891">
        <v>40173</v>
      </c>
      <c r="E724" s="718">
        <v>151.85</v>
      </c>
      <c r="F724" s="720">
        <v>168.32</v>
      </c>
      <c r="G724" t="s">
        <v>2290</v>
      </c>
      <c r="H724" s="592" t="s">
        <v>1220</v>
      </c>
      <c r="I724" s="587"/>
    </row>
    <row r="725" spans="1:9" hidden="1" outlineLevel="1">
      <c r="A725" s="722">
        <v>2022</v>
      </c>
      <c r="B725" s="719" t="s">
        <v>1374</v>
      </c>
      <c r="C725" s="717" t="s">
        <v>2408</v>
      </c>
      <c r="D725" s="891">
        <v>1224</v>
      </c>
      <c r="E725" s="718">
        <v>4.63</v>
      </c>
      <c r="F725" s="720">
        <v>5.13</v>
      </c>
      <c r="G725" t="s">
        <v>1375</v>
      </c>
      <c r="H725" s="592" t="s">
        <v>1220</v>
      </c>
      <c r="I725" s="587"/>
    </row>
    <row r="726" spans="1:9" hidden="1" outlineLevel="1">
      <c r="A726" s="722">
        <v>2022</v>
      </c>
      <c r="B726" s="719" t="s">
        <v>1257</v>
      </c>
      <c r="C726" s="717" t="s">
        <v>2408</v>
      </c>
      <c r="D726" s="891">
        <v>-9637</v>
      </c>
      <c r="E726" s="718">
        <v>-36.43</v>
      </c>
      <c r="F726" s="720">
        <v>-40.380000000000003</v>
      </c>
      <c r="G726" t="s">
        <v>1258</v>
      </c>
      <c r="H726" s="592" t="s">
        <v>1220</v>
      </c>
      <c r="I726" s="587"/>
    </row>
    <row r="727" spans="1:9" hidden="1" outlineLevel="1">
      <c r="A727" s="722">
        <v>2022</v>
      </c>
      <c r="B727" s="719" t="s">
        <v>1356</v>
      </c>
      <c r="C727" s="717" t="s">
        <v>2408</v>
      </c>
      <c r="D727" s="891">
        <v>-630</v>
      </c>
      <c r="E727" s="718">
        <v>-2.38</v>
      </c>
      <c r="F727" s="720">
        <v>-2.64</v>
      </c>
      <c r="G727" t="s">
        <v>1357</v>
      </c>
      <c r="H727" s="592" t="s">
        <v>1220</v>
      </c>
      <c r="I727" s="587"/>
    </row>
    <row r="728" spans="1:9" hidden="1" outlineLevel="1">
      <c r="A728" s="722">
        <v>2022</v>
      </c>
      <c r="B728" s="719" t="s">
        <v>1299</v>
      </c>
      <c r="C728" s="717" t="s">
        <v>2408</v>
      </c>
      <c r="D728" s="891">
        <v>659</v>
      </c>
      <c r="E728" s="718">
        <v>2.4900000000000002</v>
      </c>
      <c r="F728" s="720">
        <v>2.76</v>
      </c>
      <c r="G728" t="s">
        <v>1300</v>
      </c>
      <c r="H728" s="592" t="s">
        <v>1220</v>
      </c>
      <c r="I728" s="587"/>
    </row>
    <row r="729" spans="1:9" hidden="1" outlineLevel="1">
      <c r="A729" s="722">
        <v>2022</v>
      </c>
      <c r="B729" s="719" t="s">
        <v>1690</v>
      </c>
      <c r="C729" s="717" t="s">
        <v>2408</v>
      </c>
      <c r="D729" s="891">
        <v>298646</v>
      </c>
      <c r="E729" s="718">
        <v>1128.8800000000001</v>
      </c>
      <c r="F729" s="720">
        <v>1251.33</v>
      </c>
      <c r="G729" t="s">
        <v>1691</v>
      </c>
      <c r="H729" s="592" t="s">
        <v>1220</v>
      </c>
      <c r="I729" s="587"/>
    </row>
    <row r="730" spans="1:9" hidden="1" outlineLevel="1">
      <c r="A730" s="722">
        <v>2022</v>
      </c>
      <c r="B730" s="719" t="s">
        <v>1612</v>
      </c>
      <c r="C730" s="717" t="s">
        <v>2408</v>
      </c>
      <c r="D730" s="891">
        <v>19751</v>
      </c>
      <c r="E730" s="718">
        <v>74.66</v>
      </c>
      <c r="F730" s="720">
        <v>82.76</v>
      </c>
      <c r="G730" t="s">
        <v>1613</v>
      </c>
      <c r="H730" s="592" t="s">
        <v>1220</v>
      </c>
      <c r="I730" s="587"/>
    </row>
    <row r="731" spans="1:9" hidden="1" outlineLevel="1">
      <c r="A731" s="722">
        <v>2022</v>
      </c>
      <c r="B731" s="719" t="s">
        <v>1774</v>
      </c>
      <c r="C731" s="717" t="s">
        <v>2408</v>
      </c>
      <c r="D731" s="891">
        <v>157706</v>
      </c>
      <c r="E731" s="718">
        <v>596.13</v>
      </c>
      <c r="F731" s="720">
        <v>660.79</v>
      </c>
      <c r="G731" t="s">
        <v>1775</v>
      </c>
      <c r="H731" s="592" t="s">
        <v>1220</v>
      </c>
      <c r="I731" s="587"/>
    </row>
    <row r="732" spans="1:9" hidden="1" outlineLevel="1">
      <c r="A732" s="722">
        <v>2022</v>
      </c>
      <c r="B732" s="719" t="s">
        <v>1402</v>
      </c>
      <c r="C732" s="717" t="s">
        <v>2408</v>
      </c>
      <c r="D732" s="891">
        <v>-2699084.85</v>
      </c>
      <c r="E732" s="718">
        <v>-10202.540000000001</v>
      </c>
      <c r="F732" s="720">
        <v>-11309.17</v>
      </c>
      <c r="G732" t="s">
        <v>1403</v>
      </c>
      <c r="H732" s="592" t="s">
        <v>1220</v>
      </c>
      <c r="I732" s="587"/>
    </row>
    <row r="733" spans="1:9" hidden="1" outlineLevel="1">
      <c r="A733" s="722">
        <v>2022</v>
      </c>
      <c r="B733" s="719" t="s">
        <v>1820</v>
      </c>
      <c r="C733" s="717" t="s">
        <v>2408</v>
      </c>
      <c r="D733" s="891">
        <v>37184.300000000003</v>
      </c>
      <c r="E733" s="718">
        <v>140.56</v>
      </c>
      <c r="F733" s="720">
        <v>155.80000000000001</v>
      </c>
      <c r="G733" t="s">
        <v>1821</v>
      </c>
      <c r="H733" s="592" t="s">
        <v>1220</v>
      </c>
      <c r="I733" s="587"/>
    </row>
    <row r="734" spans="1:9" hidden="1" outlineLevel="1">
      <c r="A734" s="722">
        <v>2022</v>
      </c>
      <c r="B734" s="719" t="s">
        <v>1588</v>
      </c>
      <c r="C734" s="717" t="s">
        <v>2408</v>
      </c>
      <c r="D734" s="891">
        <v>11218</v>
      </c>
      <c r="E734" s="718">
        <v>42.4</v>
      </c>
      <c r="F734" s="720">
        <v>47</v>
      </c>
      <c r="G734" t="s">
        <v>1589</v>
      </c>
      <c r="H734" s="592" t="s">
        <v>1220</v>
      </c>
      <c r="I734" s="587"/>
    </row>
    <row r="735" spans="1:9" hidden="1" outlineLevel="1">
      <c r="A735" s="722">
        <v>2022</v>
      </c>
      <c r="B735" s="719" t="s">
        <v>1568</v>
      </c>
      <c r="C735" s="717" t="s">
        <v>2408</v>
      </c>
      <c r="D735" s="891">
        <v>9785</v>
      </c>
      <c r="E735" s="718">
        <v>36.99</v>
      </c>
      <c r="F735" s="720">
        <v>41</v>
      </c>
      <c r="G735" t="s">
        <v>1569</v>
      </c>
      <c r="H735" s="592" t="s">
        <v>1220</v>
      </c>
      <c r="I735" s="587"/>
    </row>
    <row r="736" spans="1:9" hidden="1" outlineLevel="1">
      <c r="A736" s="722">
        <v>2022</v>
      </c>
      <c r="B736" s="719" t="s">
        <v>1506</v>
      </c>
      <c r="C736" s="717" t="s">
        <v>2408</v>
      </c>
      <c r="D736" s="891">
        <v>-266</v>
      </c>
      <c r="E736" s="718">
        <v>-1.01</v>
      </c>
      <c r="F736" s="720">
        <v>-1.1100000000000001</v>
      </c>
      <c r="G736" t="s">
        <v>1507</v>
      </c>
      <c r="H736" s="592" t="s">
        <v>1220</v>
      </c>
      <c r="I736" s="587"/>
    </row>
    <row r="737" spans="1:9" hidden="1" outlineLevel="1">
      <c r="A737" s="722">
        <v>2022</v>
      </c>
      <c r="B737" s="719" t="s">
        <v>1330</v>
      </c>
      <c r="C737" s="717" t="s">
        <v>2408</v>
      </c>
      <c r="D737" s="891">
        <v>19046</v>
      </c>
      <c r="E737" s="718">
        <v>71.989999999999995</v>
      </c>
      <c r="F737" s="720">
        <v>79.8</v>
      </c>
      <c r="G737" t="s">
        <v>1331</v>
      </c>
      <c r="H737" s="592" t="s">
        <v>1220</v>
      </c>
      <c r="I737" s="587"/>
    </row>
    <row r="738" spans="1:9" hidden="1" outlineLevel="1">
      <c r="A738" s="722">
        <v>2022</v>
      </c>
      <c r="B738" s="719" t="s">
        <v>1572</v>
      </c>
      <c r="C738" s="717" t="s">
        <v>2408</v>
      </c>
      <c r="D738" s="891">
        <v>72590</v>
      </c>
      <c r="E738" s="718">
        <v>274.39</v>
      </c>
      <c r="F738" s="720">
        <v>304.14999999999998</v>
      </c>
      <c r="G738" t="s">
        <v>1573</v>
      </c>
      <c r="H738" s="592" t="s">
        <v>1220</v>
      </c>
      <c r="I738" s="587"/>
    </row>
    <row r="739" spans="1:9" hidden="1" outlineLevel="1">
      <c r="A739" s="722">
        <v>2022</v>
      </c>
      <c r="B739" s="719" t="s">
        <v>1616</v>
      </c>
      <c r="C739" s="717" t="s">
        <v>2408</v>
      </c>
      <c r="D739" s="891">
        <v>4986</v>
      </c>
      <c r="E739" s="718">
        <v>18.850000000000001</v>
      </c>
      <c r="F739" s="720">
        <v>20.89</v>
      </c>
      <c r="G739" t="s">
        <v>1617</v>
      </c>
      <c r="H739" s="592" t="s">
        <v>1220</v>
      </c>
      <c r="I739" s="587"/>
    </row>
    <row r="740" spans="1:9" hidden="1" outlineLevel="1">
      <c r="A740" s="722">
        <v>2022</v>
      </c>
      <c r="B740" s="719" t="s">
        <v>1554</v>
      </c>
      <c r="C740" s="717" t="s">
        <v>2408</v>
      </c>
      <c r="D740" s="891">
        <v>5464</v>
      </c>
      <c r="E740" s="718">
        <v>20.65</v>
      </c>
      <c r="F740" s="720">
        <v>22.89</v>
      </c>
      <c r="G740" t="s">
        <v>1555</v>
      </c>
      <c r="H740" s="592" t="s">
        <v>1220</v>
      </c>
      <c r="I740" s="587"/>
    </row>
    <row r="741" spans="1:9" hidden="1" outlineLevel="1">
      <c r="A741" s="722">
        <v>2022</v>
      </c>
      <c r="B741" s="719" t="s">
        <v>1756</v>
      </c>
      <c r="C741" s="717" t="s">
        <v>2408</v>
      </c>
      <c r="D741" s="891">
        <v>173923697.93399999</v>
      </c>
      <c r="E741" s="718">
        <v>657431.57999999996</v>
      </c>
      <c r="F741" s="720">
        <v>728740.29</v>
      </c>
      <c r="G741" t="s">
        <v>1757</v>
      </c>
      <c r="H741" s="592" t="s">
        <v>1220</v>
      </c>
      <c r="I741" s="587"/>
    </row>
    <row r="742" spans="1:9" hidden="1" outlineLevel="1">
      <c r="A742" s="722">
        <v>2022</v>
      </c>
      <c r="B742" s="719" t="s">
        <v>1528</v>
      </c>
      <c r="C742" s="717" t="s">
        <v>2408</v>
      </c>
      <c r="D742" s="891">
        <v>-11839</v>
      </c>
      <c r="E742" s="718">
        <v>-44.75</v>
      </c>
      <c r="F742" s="720">
        <v>-49.61</v>
      </c>
      <c r="G742" t="s">
        <v>1529</v>
      </c>
      <c r="H742" s="592" t="s">
        <v>1220</v>
      </c>
      <c r="I742" s="587"/>
    </row>
    <row r="743" spans="1:9" hidden="1" outlineLevel="1">
      <c r="A743" s="722">
        <v>2022</v>
      </c>
      <c r="B743" s="719" t="s">
        <v>1648</v>
      </c>
      <c r="C743" s="717" t="s">
        <v>2408</v>
      </c>
      <c r="D743" s="891">
        <v>15863</v>
      </c>
      <c r="E743" s="718">
        <v>59.96</v>
      </c>
      <c r="F743" s="720">
        <v>66.47</v>
      </c>
      <c r="G743" t="s">
        <v>1649</v>
      </c>
      <c r="H743" s="592" t="s">
        <v>1220</v>
      </c>
      <c r="I743" s="587"/>
    </row>
    <row r="744" spans="1:9" hidden="1" outlineLevel="1">
      <c r="A744" s="722">
        <v>2022</v>
      </c>
      <c r="B744" s="719" t="s">
        <v>1614</v>
      </c>
      <c r="C744" s="717" t="s">
        <v>2408</v>
      </c>
      <c r="D744" s="891">
        <v>-12444</v>
      </c>
      <c r="E744" s="718">
        <v>-47.04</v>
      </c>
      <c r="F744" s="720">
        <v>-52.14</v>
      </c>
      <c r="G744" t="s">
        <v>1615</v>
      </c>
      <c r="H744" s="592" t="s">
        <v>1220</v>
      </c>
      <c r="I744" s="587"/>
    </row>
    <row r="745" spans="1:9" hidden="1" outlineLevel="1">
      <c r="A745" s="722">
        <v>2022</v>
      </c>
      <c r="B745" s="719" t="s">
        <v>1314</v>
      </c>
      <c r="C745" s="717" t="s">
        <v>2408</v>
      </c>
      <c r="D745" s="891">
        <v>-142</v>
      </c>
      <c r="E745" s="718">
        <v>-0.54</v>
      </c>
      <c r="F745" s="720">
        <v>-0.59</v>
      </c>
      <c r="G745" t="s">
        <v>1315</v>
      </c>
      <c r="H745" s="592" t="s">
        <v>1220</v>
      </c>
      <c r="I745" s="587"/>
    </row>
    <row r="746" spans="1:9" hidden="1" outlineLevel="1">
      <c r="A746" s="722">
        <v>2022</v>
      </c>
      <c r="B746" s="719" t="s">
        <v>1291</v>
      </c>
      <c r="C746" s="717" t="s">
        <v>2408</v>
      </c>
      <c r="D746" s="891">
        <v>-26</v>
      </c>
      <c r="E746" s="718">
        <v>-0.1</v>
      </c>
      <c r="F746" s="720">
        <v>-0.11</v>
      </c>
      <c r="G746" t="s">
        <v>1292</v>
      </c>
      <c r="H746" s="592" t="s">
        <v>1220</v>
      </c>
      <c r="I746" s="587"/>
    </row>
    <row r="747" spans="1:9" hidden="1" outlineLevel="1">
      <c r="A747" s="722">
        <v>2022</v>
      </c>
      <c r="B747" s="719" t="s">
        <v>1726</v>
      </c>
      <c r="C747" s="717" t="s">
        <v>2408</v>
      </c>
      <c r="D747" s="891">
        <v>-6405</v>
      </c>
      <c r="E747" s="718">
        <v>-24.21</v>
      </c>
      <c r="F747" s="720">
        <v>-26.84</v>
      </c>
      <c r="G747" t="s">
        <v>1727</v>
      </c>
      <c r="H747" s="592" t="s">
        <v>1220</v>
      </c>
      <c r="I747" s="587"/>
    </row>
    <row r="748" spans="1:9" hidden="1" outlineLevel="1">
      <c r="A748" s="722">
        <v>2022</v>
      </c>
      <c r="B748" s="719" t="s">
        <v>1316</v>
      </c>
      <c r="C748" s="717" t="s">
        <v>2408</v>
      </c>
      <c r="D748" s="891">
        <v>-50021.440000000002</v>
      </c>
      <c r="E748" s="718">
        <v>-189.08</v>
      </c>
      <c r="F748" s="720">
        <v>-209.59</v>
      </c>
      <c r="G748" t="s">
        <v>1317</v>
      </c>
      <c r="H748" s="592" t="s">
        <v>1220</v>
      </c>
      <c r="I748" s="587"/>
    </row>
    <row r="749" spans="1:9" hidden="1" outlineLevel="1">
      <c r="A749" s="722">
        <v>2022</v>
      </c>
      <c r="B749" s="719" t="s">
        <v>1476</v>
      </c>
      <c r="C749" s="717" t="s">
        <v>2408</v>
      </c>
      <c r="D749" s="891">
        <v>34267</v>
      </c>
      <c r="E749" s="718">
        <v>129.53</v>
      </c>
      <c r="F749" s="720">
        <v>143.58000000000001</v>
      </c>
      <c r="G749" t="s">
        <v>1477</v>
      </c>
      <c r="H749" s="592" t="s">
        <v>1220</v>
      </c>
      <c r="I749" s="587"/>
    </row>
    <row r="750" spans="1:9" hidden="1" outlineLevel="1">
      <c r="A750" s="722">
        <v>2022</v>
      </c>
      <c r="B750" s="719" t="s">
        <v>1638</v>
      </c>
      <c r="C750" s="717" t="s">
        <v>2408</v>
      </c>
      <c r="D750" s="891">
        <v>-5354</v>
      </c>
      <c r="E750" s="718">
        <v>-20.239999999999998</v>
      </c>
      <c r="F750" s="720">
        <v>-22.43</v>
      </c>
      <c r="G750" t="s">
        <v>1639</v>
      </c>
      <c r="H750" s="592" t="s">
        <v>1220</v>
      </c>
      <c r="I750" s="587"/>
    </row>
    <row r="751" spans="1:9" hidden="1" outlineLevel="1">
      <c r="A751" s="722">
        <v>2022</v>
      </c>
      <c r="B751" s="719" t="s">
        <v>1780</v>
      </c>
      <c r="C751" s="717" t="s">
        <v>2408</v>
      </c>
      <c r="D751" s="891">
        <v>14182</v>
      </c>
      <c r="E751" s="718">
        <v>53.61</v>
      </c>
      <c r="F751" s="720">
        <v>59.42</v>
      </c>
      <c r="G751" t="s">
        <v>1781</v>
      </c>
      <c r="H751" s="592" t="s">
        <v>1220</v>
      </c>
      <c r="I751" s="587"/>
    </row>
    <row r="752" spans="1:9" hidden="1" outlineLevel="1">
      <c r="A752" s="722">
        <v>2022</v>
      </c>
      <c r="B752" s="719" t="s">
        <v>1634</v>
      </c>
      <c r="C752" s="717" t="s">
        <v>2408</v>
      </c>
      <c r="D752" s="891">
        <v>-1296497.575</v>
      </c>
      <c r="E752" s="718">
        <v>-4900.76</v>
      </c>
      <c r="F752" s="720">
        <v>-5432.32</v>
      </c>
      <c r="G752" t="s">
        <v>1635</v>
      </c>
      <c r="H752" s="592" t="s">
        <v>1220</v>
      </c>
      <c r="I752" s="587"/>
    </row>
    <row r="753" spans="1:9" hidden="1" outlineLevel="1">
      <c r="A753" s="722">
        <v>2022</v>
      </c>
      <c r="B753" s="719" t="s">
        <v>1261</v>
      </c>
      <c r="C753" s="717" t="s">
        <v>2408</v>
      </c>
      <c r="D753" s="891">
        <v>-2701</v>
      </c>
      <c r="E753" s="718">
        <v>-10.210000000000001</v>
      </c>
      <c r="F753" s="720">
        <v>-11.32</v>
      </c>
      <c r="G753" t="s">
        <v>1262</v>
      </c>
      <c r="H753" s="592" t="s">
        <v>1220</v>
      </c>
      <c r="I753" s="587"/>
    </row>
    <row r="754" spans="1:9" hidden="1" outlineLevel="1">
      <c r="A754" s="722">
        <v>2022</v>
      </c>
      <c r="B754" s="719" t="s">
        <v>1576</v>
      </c>
      <c r="C754" s="717" t="s">
        <v>2408</v>
      </c>
      <c r="D754" s="891">
        <v>52950</v>
      </c>
      <c r="E754" s="718">
        <v>200.15</v>
      </c>
      <c r="F754" s="720">
        <v>221.86</v>
      </c>
      <c r="G754" t="s">
        <v>1577</v>
      </c>
      <c r="H754" s="592" t="s">
        <v>1220</v>
      </c>
      <c r="I754" s="587"/>
    </row>
    <row r="755" spans="1:9" hidden="1" outlineLevel="1">
      <c r="A755" s="722">
        <v>2022</v>
      </c>
      <c r="B755" s="719" t="s">
        <v>1602</v>
      </c>
      <c r="C755" s="717" t="s">
        <v>2408</v>
      </c>
      <c r="D755" s="891">
        <v>1600</v>
      </c>
      <c r="E755" s="718">
        <v>6.05</v>
      </c>
      <c r="F755" s="720">
        <v>6.7</v>
      </c>
      <c r="G755" t="s">
        <v>1603</v>
      </c>
      <c r="H755" s="592" t="s">
        <v>1220</v>
      </c>
      <c r="I755" s="587"/>
    </row>
    <row r="756" spans="1:9" hidden="1" outlineLevel="1">
      <c r="A756" s="722">
        <v>2022</v>
      </c>
      <c r="B756" s="719" t="s">
        <v>1354</v>
      </c>
      <c r="C756" s="717" t="s">
        <v>2408</v>
      </c>
      <c r="D756" s="891">
        <v>-10572</v>
      </c>
      <c r="E756" s="718">
        <v>-39.96</v>
      </c>
      <c r="F756" s="720">
        <v>-44.3</v>
      </c>
      <c r="G756" t="s">
        <v>1355</v>
      </c>
      <c r="H756" s="592" t="s">
        <v>1220</v>
      </c>
      <c r="I756" s="587"/>
    </row>
    <row r="757" spans="1:9" hidden="1" outlineLevel="1">
      <c r="A757" s="722">
        <v>2022</v>
      </c>
      <c r="B757" s="719" t="s">
        <v>1664</v>
      </c>
      <c r="C757" s="717" t="s">
        <v>2408</v>
      </c>
      <c r="D757" s="891">
        <v>-20062</v>
      </c>
      <c r="E757" s="718">
        <v>-75.83</v>
      </c>
      <c r="F757" s="720">
        <v>-84.06</v>
      </c>
      <c r="G757" t="s">
        <v>1665</v>
      </c>
      <c r="H757" s="592" t="s">
        <v>1220</v>
      </c>
      <c r="I757" s="587"/>
    </row>
    <row r="758" spans="1:9" hidden="1" outlineLevel="1">
      <c r="A758" s="722">
        <v>2022</v>
      </c>
      <c r="B758" s="719" t="s">
        <v>1650</v>
      </c>
      <c r="C758" s="717" t="s">
        <v>2408</v>
      </c>
      <c r="D758" s="891">
        <v>-640279.31000000006</v>
      </c>
      <c r="E758" s="718">
        <v>-2420.2600000000002</v>
      </c>
      <c r="F758" s="720">
        <v>-2682.77</v>
      </c>
      <c r="G758" t="s">
        <v>1651</v>
      </c>
      <c r="H758" s="592" t="s">
        <v>1220</v>
      </c>
      <c r="I758" s="587"/>
    </row>
    <row r="759" spans="1:9" hidden="1" outlineLevel="1">
      <c r="A759" s="722">
        <v>2022</v>
      </c>
      <c r="B759" s="719" t="s">
        <v>1794</v>
      </c>
      <c r="C759" s="717" t="s">
        <v>2408</v>
      </c>
      <c r="D759" s="891">
        <v>87197</v>
      </c>
      <c r="E759" s="718">
        <v>329.6</v>
      </c>
      <c r="F759" s="720">
        <v>365.36</v>
      </c>
      <c r="G759" t="s">
        <v>1795</v>
      </c>
      <c r="H759" s="592" t="s">
        <v>1220</v>
      </c>
      <c r="I759" s="587"/>
    </row>
    <row r="760" spans="1:9" hidden="1" outlineLevel="1">
      <c r="A760" s="722">
        <v>2022</v>
      </c>
      <c r="B760" s="719" t="s">
        <v>1798</v>
      </c>
      <c r="C760" s="717" t="s">
        <v>2408</v>
      </c>
      <c r="D760" s="891">
        <v>1042</v>
      </c>
      <c r="E760" s="718">
        <v>3.94</v>
      </c>
      <c r="F760" s="720">
        <v>4.37</v>
      </c>
      <c r="G760" t="s">
        <v>1799</v>
      </c>
      <c r="H760" s="592" t="s">
        <v>1220</v>
      </c>
      <c r="I760" s="587"/>
    </row>
    <row r="761" spans="1:9" hidden="1" outlineLevel="1">
      <c r="A761" s="722">
        <v>2022</v>
      </c>
      <c r="B761" s="719" t="s">
        <v>1318</v>
      </c>
      <c r="C761" s="717" t="s">
        <v>2408</v>
      </c>
      <c r="D761" s="891">
        <v>903</v>
      </c>
      <c r="E761" s="718">
        <v>3.41</v>
      </c>
      <c r="F761" s="720">
        <v>3.78</v>
      </c>
      <c r="G761" t="s">
        <v>1319</v>
      </c>
      <c r="H761" s="592" t="s">
        <v>1220</v>
      </c>
      <c r="I761" s="587"/>
    </row>
    <row r="762" spans="1:9" hidden="1" outlineLevel="1">
      <c r="A762" s="722">
        <v>2022</v>
      </c>
      <c r="B762" s="719" t="s">
        <v>1766</v>
      </c>
      <c r="C762" s="717" t="s">
        <v>2408</v>
      </c>
      <c r="D762" s="891">
        <v>141539</v>
      </c>
      <c r="E762" s="718">
        <v>535.02</v>
      </c>
      <c r="F762" s="720">
        <v>593.04999999999995</v>
      </c>
      <c r="G762" t="s">
        <v>1767</v>
      </c>
      <c r="H762" s="592" t="s">
        <v>1220</v>
      </c>
      <c r="I762" s="587"/>
    </row>
    <row r="763" spans="1:9" hidden="1" outlineLevel="1">
      <c r="A763" s="722">
        <v>2022</v>
      </c>
      <c r="B763" s="719" t="s">
        <v>1448</v>
      </c>
      <c r="C763" s="717" t="s">
        <v>2408</v>
      </c>
      <c r="D763" s="891">
        <v>352202</v>
      </c>
      <c r="E763" s="718">
        <v>1331.32</v>
      </c>
      <c r="F763" s="720">
        <v>1475.73</v>
      </c>
      <c r="G763" t="s">
        <v>1449</v>
      </c>
      <c r="H763" s="592" t="s">
        <v>1220</v>
      </c>
      <c r="I763" s="587"/>
    </row>
    <row r="764" spans="1:9" hidden="1" outlineLevel="1">
      <c r="A764" s="722">
        <v>2022</v>
      </c>
      <c r="B764" s="719" t="s">
        <v>1724</v>
      </c>
      <c r="C764" s="717" t="s">
        <v>2408</v>
      </c>
      <c r="D764" s="891">
        <v>-12884</v>
      </c>
      <c r="E764" s="718">
        <v>-48.7</v>
      </c>
      <c r="F764" s="720">
        <v>-53.98</v>
      </c>
      <c r="G764" t="s">
        <v>1725</v>
      </c>
      <c r="H764" s="592" t="s">
        <v>1220</v>
      </c>
      <c r="I764" s="587"/>
    </row>
    <row r="765" spans="1:9" hidden="1" outlineLevel="1">
      <c r="A765" s="722">
        <v>2022</v>
      </c>
      <c r="B765" s="719" t="s">
        <v>1752</v>
      </c>
      <c r="C765" s="717" t="s">
        <v>2408</v>
      </c>
      <c r="D765" s="891">
        <v>-23032</v>
      </c>
      <c r="E765" s="718">
        <v>-87.06</v>
      </c>
      <c r="F765" s="720">
        <v>-96.5</v>
      </c>
      <c r="G765" t="s">
        <v>1753</v>
      </c>
      <c r="H765" s="592" t="s">
        <v>1220</v>
      </c>
      <c r="I765" s="587"/>
    </row>
    <row r="766" spans="1:9" hidden="1" outlineLevel="1">
      <c r="A766" s="722">
        <v>2022</v>
      </c>
      <c r="B766" s="719" t="s">
        <v>1671</v>
      </c>
      <c r="C766" s="717" t="s">
        <v>2408</v>
      </c>
      <c r="D766" s="891">
        <v>99715</v>
      </c>
      <c r="E766" s="718">
        <v>376.92</v>
      </c>
      <c r="F766" s="720">
        <v>417.81</v>
      </c>
      <c r="G766" t="s">
        <v>1672</v>
      </c>
      <c r="H766" s="592" t="s">
        <v>1220</v>
      </c>
      <c r="I766" s="587"/>
    </row>
    <row r="767" spans="1:9" hidden="1" outlineLevel="1">
      <c r="A767" s="722">
        <v>2022</v>
      </c>
      <c r="B767" s="719" t="s">
        <v>1524</v>
      </c>
      <c r="C767" s="717" t="s">
        <v>2408</v>
      </c>
      <c r="D767" s="891">
        <v>-3884</v>
      </c>
      <c r="E767" s="718">
        <v>-14.68</v>
      </c>
      <c r="F767" s="720">
        <v>-16.27</v>
      </c>
      <c r="G767" t="s">
        <v>1525</v>
      </c>
      <c r="H767" s="592" t="s">
        <v>1220</v>
      </c>
      <c r="I767" s="587"/>
    </row>
    <row r="768" spans="1:9" hidden="1" outlineLevel="1">
      <c r="A768" s="722">
        <v>2022</v>
      </c>
      <c r="B768" s="719" t="s">
        <v>1238</v>
      </c>
      <c r="C768" s="717" t="s">
        <v>2408</v>
      </c>
      <c r="D768" s="891">
        <v>-19034</v>
      </c>
      <c r="E768" s="718">
        <v>-71.95</v>
      </c>
      <c r="F768" s="720">
        <v>-79.75</v>
      </c>
      <c r="G768" t="s">
        <v>1239</v>
      </c>
      <c r="H768" s="592" t="s">
        <v>1220</v>
      </c>
      <c r="I768" s="587"/>
    </row>
    <row r="769" spans="1:9" hidden="1" outlineLevel="1">
      <c r="A769" s="722">
        <v>2022</v>
      </c>
      <c r="B769" s="719" t="s">
        <v>1704</v>
      </c>
      <c r="C769" s="717" t="s">
        <v>2408</v>
      </c>
      <c r="D769" s="891">
        <v>-20303</v>
      </c>
      <c r="E769" s="718">
        <v>-76.75</v>
      </c>
      <c r="F769" s="720">
        <v>-85.07</v>
      </c>
      <c r="G769" t="s">
        <v>1705</v>
      </c>
      <c r="H769" s="592" t="s">
        <v>1220</v>
      </c>
      <c r="I769" s="587"/>
    </row>
    <row r="770" spans="1:9" hidden="1" outlineLevel="1">
      <c r="A770" s="722">
        <v>2022</v>
      </c>
      <c r="B770" s="719" t="s">
        <v>1312</v>
      </c>
      <c r="C770" s="717" t="s">
        <v>2408</v>
      </c>
      <c r="D770" s="891">
        <v>-1125535</v>
      </c>
      <c r="E770" s="718">
        <v>-4254.5200000000004</v>
      </c>
      <c r="F770" s="720">
        <v>-4715.99</v>
      </c>
      <c r="G770" t="s">
        <v>1313</v>
      </c>
      <c r="H770" s="592" t="s">
        <v>1220</v>
      </c>
      <c r="I770" s="587"/>
    </row>
    <row r="771" spans="1:9" hidden="1" outlineLevel="1">
      <c r="A771" s="722">
        <v>2022</v>
      </c>
      <c r="B771" s="719" t="s">
        <v>1468</v>
      </c>
      <c r="C771" s="717" t="s">
        <v>2408</v>
      </c>
      <c r="D771" s="891">
        <v>36686</v>
      </c>
      <c r="E771" s="718">
        <v>138.66999999999999</v>
      </c>
      <c r="F771" s="720">
        <v>153.71</v>
      </c>
      <c r="G771" t="s">
        <v>1469</v>
      </c>
      <c r="H771" s="592" t="s">
        <v>1220</v>
      </c>
      <c r="I771" s="587"/>
    </row>
    <row r="772" spans="1:9" hidden="1" outlineLevel="1">
      <c r="A772" s="722">
        <v>2022</v>
      </c>
      <c r="B772" s="719" t="s">
        <v>1309</v>
      </c>
      <c r="C772" s="717" t="s">
        <v>2408</v>
      </c>
      <c r="D772" s="891">
        <v>285</v>
      </c>
      <c r="E772" s="718">
        <v>1.08</v>
      </c>
      <c r="F772" s="720">
        <v>1.19</v>
      </c>
      <c r="G772" t="s">
        <v>1310</v>
      </c>
      <c r="H772" s="592" t="s">
        <v>1220</v>
      </c>
      <c r="I772" s="587"/>
    </row>
    <row r="773" spans="1:9" hidden="1" outlineLevel="1">
      <c r="A773" s="722">
        <v>2022</v>
      </c>
      <c r="B773" s="719" t="s">
        <v>1762</v>
      </c>
      <c r="C773" s="717" t="s">
        <v>2408</v>
      </c>
      <c r="D773" s="891">
        <v>-618</v>
      </c>
      <c r="E773" s="718">
        <v>-2.34</v>
      </c>
      <c r="F773" s="720">
        <v>-2.59</v>
      </c>
      <c r="G773" t="s">
        <v>1763</v>
      </c>
      <c r="H773" s="592" t="s">
        <v>1220</v>
      </c>
      <c r="I773" s="587"/>
    </row>
    <row r="774" spans="1:9" hidden="1" outlineLevel="1">
      <c r="A774" s="722">
        <v>2022</v>
      </c>
      <c r="B774" s="719" t="s">
        <v>1388</v>
      </c>
      <c r="C774" s="717" t="s">
        <v>2408</v>
      </c>
      <c r="D774" s="891">
        <v>-42000</v>
      </c>
      <c r="E774" s="718">
        <v>-158.76</v>
      </c>
      <c r="F774" s="720">
        <v>-175.98</v>
      </c>
      <c r="G774" t="s">
        <v>1389</v>
      </c>
      <c r="H774" s="592" t="s">
        <v>1220</v>
      </c>
      <c r="I774" s="587"/>
    </row>
    <row r="775" spans="1:9" hidden="1" outlineLevel="1">
      <c r="A775" s="722">
        <v>2022</v>
      </c>
      <c r="B775" s="719" t="s">
        <v>1277</v>
      </c>
      <c r="C775" s="717" t="s">
        <v>2408</v>
      </c>
      <c r="D775" s="891">
        <v>-2095</v>
      </c>
      <c r="E775" s="718">
        <v>-7.92</v>
      </c>
      <c r="F775" s="720">
        <v>-8.7799999999999994</v>
      </c>
      <c r="G775" t="s">
        <v>1278</v>
      </c>
      <c r="H775" s="592" t="s">
        <v>1220</v>
      </c>
      <c r="I775" s="587"/>
    </row>
    <row r="776" spans="1:9" hidden="1" outlineLevel="1">
      <c r="A776" s="722">
        <v>2022</v>
      </c>
      <c r="B776" s="719" t="s">
        <v>1578</v>
      </c>
      <c r="C776" s="717" t="s">
        <v>2408</v>
      </c>
      <c r="D776" s="891">
        <v>276656</v>
      </c>
      <c r="E776" s="718">
        <v>1045.76</v>
      </c>
      <c r="F776" s="720">
        <v>1159.19</v>
      </c>
      <c r="G776" t="s">
        <v>1579</v>
      </c>
      <c r="H776" s="592" t="s">
        <v>1220</v>
      </c>
      <c r="I776" s="587"/>
    </row>
    <row r="777" spans="1:9" hidden="1" outlineLevel="1">
      <c r="A777" s="722">
        <v>2022</v>
      </c>
      <c r="B777" s="719" t="s">
        <v>1636</v>
      </c>
      <c r="C777" s="717" t="s">
        <v>2408</v>
      </c>
      <c r="D777" s="891">
        <v>10933</v>
      </c>
      <c r="E777" s="718">
        <v>41.33</v>
      </c>
      <c r="F777" s="720">
        <v>45.81</v>
      </c>
      <c r="G777" t="s">
        <v>1637</v>
      </c>
      <c r="H777" s="592" t="s">
        <v>1220</v>
      </c>
      <c r="I777" s="587"/>
    </row>
    <row r="778" spans="1:9" hidden="1" outlineLevel="1">
      <c r="A778" s="722">
        <v>2022</v>
      </c>
      <c r="B778" s="719" t="s">
        <v>1646</v>
      </c>
      <c r="C778" s="717" t="s">
        <v>2408</v>
      </c>
      <c r="D778" s="891">
        <v>-28726</v>
      </c>
      <c r="E778" s="718">
        <v>-108.58</v>
      </c>
      <c r="F778" s="720">
        <v>-120.36</v>
      </c>
      <c r="G778" t="s">
        <v>1647</v>
      </c>
      <c r="H778" s="592" t="s">
        <v>1220</v>
      </c>
      <c r="I778" s="587"/>
    </row>
    <row r="779" spans="1:9" hidden="1" outlineLevel="1">
      <c r="A779" s="722">
        <v>2022</v>
      </c>
      <c r="B779" s="719" t="s">
        <v>869</v>
      </c>
      <c r="C779" s="717" t="s">
        <v>2408</v>
      </c>
      <c r="D779" s="891">
        <v>-10285</v>
      </c>
      <c r="E779" s="718">
        <v>-38.880000000000003</v>
      </c>
      <c r="F779" s="720">
        <v>-43.09</v>
      </c>
      <c r="G779" t="s">
        <v>870</v>
      </c>
      <c r="H779" s="592" t="s">
        <v>1220</v>
      </c>
      <c r="I779" s="587"/>
    </row>
    <row r="780" spans="1:9" hidden="1" outlineLevel="1">
      <c r="A780" s="722">
        <v>2022</v>
      </c>
      <c r="B780" s="719" t="s">
        <v>1744</v>
      </c>
      <c r="C780" s="717" t="s">
        <v>2408</v>
      </c>
      <c r="D780" s="891">
        <v>566598</v>
      </c>
      <c r="E780" s="718">
        <v>2141.7399999999998</v>
      </c>
      <c r="F780" s="720">
        <v>2374.0500000000002</v>
      </c>
      <c r="G780" t="s">
        <v>1745</v>
      </c>
      <c r="H780" s="592" t="s">
        <v>1220</v>
      </c>
      <c r="I780" s="587"/>
    </row>
    <row r="781" spans="1:9" hidden="1" outlineLevel="1">
      <c r="A781" s="722">
        <v>2022</v>
      </c>
      <c r="B781" s="719" t="s">
        <v>1114</v>
      </c>
      <c r="C781" s="717" t="s">
        <v>2408</v>
      </c>
      <c r="D781" s="891">
        <v>-566</v>
      </c>
      <c r="E781" s="718">
        <v>-2.14</v>
      </c>
      <c r="F781" s="720">
        <v>-2.37</v>
      </c>
      <c r="G781" t="s">
        <v>1689</v>
      </c>
      <c r="H781" s="592" t="s">
        <v>1220</v>
      </c>
      <c r="I781" s="587"/>
    </row>
    <row r="782" spans="1:9" hidden="1" outlineLevel="1">
      <c r="A782" s="722">
        <v>2022</v>
      </c>
      <c r="B782" s="719" t="s">
        <v>1414</v>
      </c>
      <c r="C782" s="717" t="s">
        <v>2408</v>
      </c>
      <c r="D782" s="891">
        <v>-336</v>
      </c>
      <c r="E782" s="718">
        <v>-1.27</v>
      </c>
      <c r="F782" s="720">
        <v>-1.41</v>
      </c>
      <c r="G782" t="s">
        <v>1415</v>
      </c>
      <c r="H782" s="592" t="s">
        <v>1220</v>
      </c>
      <c r="I782" s="587"/>
    </row>
    <row r="783" spans="1:9" hidden="1" outlineLevel="1">
      <c r="A783" s="722">
        <v>2022</v>
      </c>
      <c r="B783" s="719" t="s">
        <v>2226</v>
      </c>
      <c r="C783" s="717" t="s">
        <v>2408</v>
      </c>
      <c r="D783" s="891">
        <v>-1890</v>
      </c>
      <c r="E783" s="718">
        <v>-7.14</v>
      </c>
      <c r="F783" s="720">
        <v>-7.92</v>
      </c>
      <c r="G783" t="s">
        <v>2227</v>
      </c>
      <c r="H783" s="592" t="s">
        <v>1220</v>
      </c>
      <c r="I783" s="587"/>
    </row>
    <row r="784" spans="1:9" hidden="1" outlineLevel="1">
      <c r="A784" s="722">
        <v>2022</v>
      </c>
      <c r="B784" s="719" t="s">
        <v>1384</v>
      </c>
      <c r="C784" s="717" t="s">
        <v>2408</v>
      </c>
      <c r="D784" s="891">
        <v>-490.5</v>
      </c>
      <c r="E784" s="718">
        <v>-1.85</v>
      </c>
      <c r="F784" s="720">
        <v>-2.06</v>
      </c>
      <c r="G784" t="s">
        <v>1385</v>
      </c>
      <c r="H784" s="592" t="s">
        <v>1220</v>
      </c>
      <c r="I784" s="587"/>
    </row>
    <row r="785" spans="1:9" hidden="1" outlineLevel="1">
      <c r="A785" s="722">
        <v>2022</v>
      </c>
      <c r="B785" s="719" t="s">
        <v>1804</v>
      </c>
      <c r="C785" s="717" t="s">
        <v>2408</v>
      </c>
      <c r="D785" s="891">
        <v>38871</v>
      </c>
      <c r="E785" s="718">
        <v>146.93</v>
      </c>
      <c r="F785" s="720">
        <v>162.87</v>
      </c>
      <c r="G785" t="s">
        <v>1805</v>
      </c>
      <c r="H785" s="592" t="s">
        <v>1220</v>
      </c>
      <c r="I785" s="587"/>
    </row>
    <row r="786" spans="1:9" hidden="1" outlineLevel="1">
      <c r="A786" s="722">
        <v>2022</v>
      </c>
      <c r="B786" s="719" t="s">
        <v>1287</v>
      </c>
      <c r="C786" s="717" t="s">
        <v>2408</v>
      </c>
      <c r="D786" s="891">
        <v>6181</v>
      </c>
      <c r="E786" s="718">
        <v>23.36</v>
      </c>
      <c r="F786" s="720">
        <v>25.9</v>
      </c>
      <c r="G786" t="s">
        <v>1288</v>
      </c>
      <c r="H786" s="592" t="s">
        <v>1220</v>
      </c>
      <c r="I786" s="587"/>
    </row>
    <row r="787" spans="1:9" hidden="1" outlineLevel="1">
      <c r="A787" s="722">
        <v>2022</v>
      </c>
      <c r="B787" s="719" t="s">
        <v>1510</v>
      </c>
      <c r="C787" s="717" t="s">
        <v>2408</v>
      </c>
      <c r="D787" s="718">
        <v>130573</v>
      </c>
      <c r="E787" s="718">
        <v>493.57</v>
      </c>
      <c r="F787" s="720">
        <v>547.1</v>
      </c>
      <c r="G787" t="s">
        <v>1511</v>
      </c>
      <c r="H787" s="592" t="s">
        <v>1220</v>
      </c>
      <c r="I787" s="587"/>
    </row>
    <row r="788" spans="1:9" hidden="1" outlineLevel="1">
      <c r="A788" s="722">
        <v>2022</v>
      </c>
      <c r="B788" s="719" t="s">
        <v>1362</v>
      </c>
      <c r="C788" s="717" t="s">
        <v>2408</v>
      </c>
      <c r="D788" s="718">
        <v>-2325</v>
      </c>
      <c r="E788" s="718">
        <v>-8.7899999999999991</v>
      </c>
      <c r="F788" s="720">
        <v>-9.74</v>
      </c>
      <c r="G788" t="s">
        <v>1363</v>
      </c>
      <c r="H788" s="592" t="s">
        <v>1220</v>
      </c>
      <c r="I788" s="587"/>
    </row>
    <row r="789" spans="1:9" hidden="1" outlineLevel="1">
      <c r="A789" s="1532">
        <v>2022</v>
      </c>
      <c r="B789" s="719" t="s">
        <v>456</v>
      </c>
      <c r="C789" s="1530" t="s">
        <v>2408</v>
      </c>
      <c r="D789" s="721">
        <v>293491</v>
      </c>
      <c r="E789" s="721">
        <v>1109.4000000000001</v>
      </c>
      <c r="F789" s="1533">
        <v>1229.73</v>
      </c>
      <c r="G789" t="s">
        <v>457</v>
      </c>
      <c r="H789" s="592" t="s">
        <v>1220</v>
      </c>
      <c r="I789" s="587"/>
    </row>
    <row r="790" spans="1:9" hidden="1" outlineLevel="1">
      <c r="A790" s="1532">
        <v>2022</v>
      </c>
      <c r="B790" s="719" t="s">
        <v>1796</v>
      </c>
      <c r="C790" s="1530" t="s">
        <v>2408</v>
      </c>
      <c r="D790" s="894">
        <v>-66593</v>
      </c>
      <c r="E790" s="721">
        <v>-251.72</v>
      </c>
      <c r="F790" s="1533">
        <v>-279.02</v>
      </c>
      <c r="G790" t="s">
        <v>1797</v>
      </c>
      <c r="H790" s="592" t="s">
        <v>1220</v>
      </c>
      <c r="I790" s="587"/>
    </row>
    <row r="791" spans="1:9" hidden="1" outlineLevel="1">
      <c r="A791" s="1532">
        <v>2022</v>
      </c>
      <c r="B791" s="719" t="s">
        <v>1416</v>
      </c>
      <c r="C791" s="1530" t="s">
        <v>2408</v>
      </c>
      <c r="D791" s="894">
        <v>681392</v>
      </c>
      <c r="E791" s="721">
        <v>2575.66</v>
      </c>
      <c r="F791" s="1533">
        <v>2855.03</v>
      </c>
      <c r="G791" t="s">
        <v>1417</v>
      </c>
      <c r="H791" s="592" t="s">
        <v>1220</v>
      </c>
      <c r="I791" s="587"/>
    </row>
    <row r="792" spans="1:9" hidden="1" outlineLevel="1">
      <c r="A792" s="1532">
        <v>2022</v>
      </c>
      <c r="B792" s="719" t="s">
        <v>2250</v>
      </c>
      <c r="C792" s="1530" t="s">
        <v>2408</v>
      </c>
      <c r="D792" s="894">
        <v>91050</v>
      </c>
      <c r="E792" s="721">
        <v>344.17</v>
      </c>
      <c r="F792" s="1533">
        <v>381.5</v>
      </c>
      <c r="G792" t="s">
        <v>2251</v>
      </c>
      <c r="H792" s="592" t="s">
        <v>1220</v>
      </c>
      <c r="I792" s="587"/>
    </row>
    <row r="793" spans="1:9" hidden="1" outlineLevel="1">
      <c r="A793" s="1532">
        <v>2022</v>
      </c>
      <c r="B793" s="719" t="s">
        <v>1654</v>
      </c>
      <c r="C793" s="1530" t="s">
        <v>2408</v>
      </c>
      <c r="D793" s="894">
        <v>-31504652</v>
      </c>
      <c r="E793" s="721">
        <v>-119087.58</v>
      </c>
      <c r="F793" s="1533">
        <v>-132004.49</v>
      </c>
      <c r="G793" t="s">
        <v>1655</v>
      </c>
      <c r="H793" s="592" t="s">
        <v>1220</v>
      </c>
      <c r="I793" s="587"/>
    </row>
    <row r="794" spans="1:9" hidden="1" outlineLevel="1">
      <c r="A794" s="722">
        <v>2022</v>
      </c>
      <c r="B794" s="719" t="s">
        <v>1516</v>
      </c>
      <c r="C794" s="717" t="s">
        <v>2408</v>
      </c>
      <c r="D794" s="891">
        <v>-342213</v>
      </c>
      <c r="E794" s="718">
        <v>-1293.57</v>
      </c>
      <c r="F794" s="720">
        <v>-1433.87</v>
      </c>
      <c r="G794" t="s">
        <v>1517</v>
      </c>
      <c r="H794" s="592" t="s">
        <v>1220</v>
      </c>
      <c r="I794" s="587"/>
    </row>
    <row r="795" spans="1:9" hidden="1" outlineLevel="1">
      <c r="A795" s="722">
        <v>2022</v>
      </c>
      <c r="B795" s="719" t="s">
        <v>879</v>
      </c>
      <c r="C795" s="717" t="s">
        <v>2408</v>
      </c>
      <c r="D795" s="891">
        <v>-6315038</v>
      </c>
      <c r="E795" s="718">
        <v>-23870.84</v>
      </c>
      <c r="F795" s="720">
        <v>-26460.01</v>
      </c>
      <c r="G795" t="s">
        <v>880</v>
      </c>
      <c r="H795" s="592" t="s">
        <v>1220</v>
      </c>
      <c r="I795" s="587"/>
    </row>
    <row r="796" spans="1:9" hidden="1" outlineLevel="1">
      <c r="A796" s="722">
        <v>2022</v>
      </c>
      <c r="B796" s="719" t="s">
        <v>1683</v>
      </c>
      <c r="C796" s="717" t="s">
        <v>2408</v>
      </c>
      <c r="D796" s="891">
        <v>-36867261</v>
      </c>
      <c r="E796" s="718">
        <v>-139358.25</v>
      </c>
      <c r="F796" s="720">
        <v>-154473.82</v>
      </c>
      <c r="G796" t="s">
        <v>1684</v>
      </c>
      <c r="H796" s="592" t="s">
        <v>1220</v>
      </c>
      <c r="I796" s="587"/>
    </row>
    <row r="797" spans="1:9" hidden="1" outlineLevel="1">
      <c r="A797" s="722">
        <v>2022</v>
      </c>
      <c r="B797" s="719" t="s">
        <v>758</v>
      </c>
      <c r="C797" s="717" t="s">
        <v>2408</v>
      </c>
      <c r="D797" s="891">
        <v>-12101572.51</v>
      </c>
      <c r="E797" s="718">
        <v>-45743.94</v>
      </c>
      <c r="F797" s="720">
        <v>-50705.59</v>
      </c>
      <c r="G797" t="s">
        <v>759</v>
      </c>
      <c r="H797" s="592" t="s">
        <v>1220</v>
      </c>
      <c r="I797" s="587"/>
    </row>
    <row r="798" spans="1:9" hidden="1" outlineLevel="1">
      <c r="A798" s="722">
        <v>2022</v>
      </c>
      <c r="B798" s="719" t="s">
        <v>1090</v>
      </c>
      <c r="C798" s="717" t="s">
        <v>2408</v>
      </c>
      <c r="D798" s="891">
        <v>-3542657</v>
      </c>
      <c r="E798" s="718">
        <v>-13391.24</v>
      </c>
      <c r="F798" s="720">
        <v>-14843.73</v>
      </c>
      <c r="G798" t="s">
        <v>1091</v>
      </c>
      <c r="H798" s="592" t="s">
        <v>1220</v>
      </c>
      <c r="I798" s="587"/>
    </row>
    <row r="799" spans="1:9" hidden="1" outlineLevel="1">
      <c r="A799" s="722">
        <v>2022</v>
      </c>
      <c r="B799" s="719" t="s">
        <v>1784</v>
      </c>
      <c r="C799" s="717" t="s">
        <v>2408</v>
      </c>
      <c r="D799" s="891">
        <v>-9446.64</v>
      </c>
      <c r="E799" s="718">
        <v>-35.71</v>
      </c>
      <c r="F799" s="720">
        <v>-39.58</v>
      </c>
      <c r="G799" t="s">
        <v>1785</v>
      </c>
      <c r="H799" s="592" t="s">
        <v>1220</v>
      </c>
      <c r="I799" s="587"/>
    </row>
    <row r="800" spans="1:9" hidden="1" outlineLevel="1">
      <c r="A800" s="722">
        <v>2022</v>
      </c>
      <c r="B800" s="719" t="s">
        <v>799</v>
      </c>
      <c r="C800" s="717" t="s">
        <v>2408</v>
      </c>
      <c r="D800" s="891">
        <v>-9000</v>
      </c>
      <c r="E800" s="718">
        <v>-34.020000000000003</v>
      </c>
      <c r="F800" s="720">
        <v>-37.71</v>
      </c>
      <c r="G800" t="s">
        <v>2262</v>
      </c>
      <c r="H800" s="592" t="s">
        <v>1220</v>
      </c>
      <c r="I800" s="587"/>
    </row>
    <row r="801" spans="1:9" hidden="1" outlineLevel="1">
      <c r="A801" s="722">
        <v>2022</v>
      </c>
      <c r="B801" s="719" t="s">
        <v>1520</v>
      </c>
      <c r="C801" s="717" t="s">
        <v>2408</v>
      </c>
      <c r="D801" s="891">
        <v>32050</v>
      </c>
      <c r="E801" s="718">
        <v>121.15</v>
      </c>
      <c r="F801" s="720">
        <v>134.29</v>
      </c>
      <c r="G801" t="s">
        <v>1521</v>
      </c>
      <c r="H801" s="592" t="s">
        <v>1220</v>
      </c>
      <c r="I801" s="587"/>
    </row>
    <row r="802" spans="1:9" hidden="1" outlineLevel="1">
      <c r="A802" s="722">
        <v>2022</v>
      </c>
      <c r="B802" s="719" t="s">
        <v>943</v>
      </c>
      <c r="C802" s="717" t="s">
        <v>2408</v>
      </c>
      <c r="D802" s="891">
        <v>-591105</v>
      </c>
      <c r="E802" s="718">
        <v>-2234.38</v>
      </c>
      <c r="F802" s="720">
        <v>-2476.73</v>
      </c>
      <c r="G802" t="s">
        <v>944</v>
      </c>
      <c r="H802" s="592" t="s">
        <v>1220</v>
      </c>
      <c r="I802" s="587"/>
    </row>
    <row r="803" spans="1:9" hidden="1" outlineLevel="1">
      <c r="A803" s="722">
        <v>2022</v>
      </c>
      <c r="B803" s="719" t="s">
        <v>1770</v>
      </c>
      <c r="C803" s="717" t="s">
        <v>2408</v>
      </c>
      <c r="D803" s="891">
        <v>118320</v>
      </c>
      <c r="E803" s="718">
        <v>447.25</v>
      </c>
      <c r="F803" s="720">
        <v>495.76</v>
      </c>
      <c r="G803" t="s">
        <v>1771</v>
      </c>
      <c r="H803" s="592" t="s">
        <v>1220</v>
      </c>
      <c r="I803" s="587"/>
    </row>
    <row r="804" spans="1:9" hidden="1" outlineLevel="1">
      <c r="A804" s="722">
        <v>2022</v>
      </c>
      <c r="B804" s="719" t="s">
        <v>1030</v>
      </c>
      <c r="C804" s="717" t="s">
        <v>2408</v>
      </c>
      <c r="D804" s="891">
        <v>-2067510.254</v>
      </c>
      <c r="E804" s="718">
        <v>-7815.19</v>
      </c>
      <c r="F804" s="720">
        <v>-8662.8700000000008</v>
      </c>
      <c r="G804" t="s">
        <v>1031</v>
      </c>
      <c r="H804" s="592" t="s">
        <v>1220</v>
      </c>
      <c r="I804" s="587"/>
    </row>
    <row r="805" spans="1:9" hidden="1" outlineLevel="1">
      <c r="A805" s="722">
        <v>2022</v>
      </c>
      <c r="B805" s="719" t="s">
        <v>839</v>
      </c>
      <c r="C805" s="717" t="s">
        <v>2408</v>
      </c>
      <c r="D805" s="891">
        <v>10174</v>
      </c>
      <c r="E805" s="718">
        <v>38.46</v>
      </c>
      <c r="F805" s="720">
        <v>42.63</v>
      </c>
      <c r="G805" t="s">
        <v>1311</v>
      </c>
      <c r="H805" s="592" t="s">
        <v>1220</v>
      </c>
      <c r="I805" s="587"/>
    </row>
    <row r="806" spans="1:9" hidden="1" outlineLevel="1">
      <c r="A806" s="722">
        <v>2022</v>
      </c>
      <c r="B806" s="719" t="s">
        <v>1273</v>
      </c>
      <c r="C806" s="717" t="s">
        <v>2408</v>
      </c>
      <c r="D806" s="891">
        <v>-5048</v>
      </c>
      <c r="E806" s="718">
        <v>-19.079999999999998</v>
      </c>
      <c r="F806" s="720">
        <v>-21.15</v>
      </c>
      <c r="G806" t="s">
        <v>1274</v>
      </c>
      <c r="H806" s="592" t="s">
        <v>1220</v>
      </c>
      <c r="I806" s="587"/>
    </row>
    <row r="807" spans="1:9" hidden="1" outlineLevel="1">
      <c r="A807" s="722">
        <v>2022</v>
      </c>
      <c r="B807" s="719" t="s">
        <v>1488</v>
      </c>
      <c r="C807" s="717" t="s">
        <v>2408</v>
      </c>
      <c r="D807" s="891">
        <v>39267</v>
      </c>
      <c r="E807" s="718">
        <v>148.43</v>
      </c>
      <c r="F807" s="720">
        <v>164.53</v>
      </c>
      <c r="G807" t="s">
        <v>1489</v>
      </c>
      <c r="H807" s="592" t="s">
        <v>1220</v>
      </c>
      <c r="I807" s="587"/>
    </row>
    <row r="808" spans="1:9" hidden="1" outlineLevel="1">
      <c r="A808" s="722">
        <v>2022</v>
      </c>
      <c r="B808" s="719" t="s">
        <v>1782</v>
      </c>
      <c r="C808" s="717" t="s">
        <v>2408</v>
      </c>
      <c r="D808" s="891">
        <v>-44926</v>
      </c>
      <c r="E808" s="718">
        <v>-169.82</v>
      </c>
      <c r="F808" s="720">
        <v>-188.24</v>
      </c>
      <c r="G808" t="s">
        <v>1783</v>
      </c>
      <c r="H808" s="592" t="s">
        <v>1220</v>
      </c>
      <c r="I808" s="587"/>
    </row>
    <row r="809" spans="1:9" hidden="1" outlineLevel="1">
      <c r="A809" s="722">
        <v>2022</v>
      </c>
      <c r="B809" s="719" t="s">
        <v>1472</v>
      </c>
      <c r="C809" s="717" t="s">
        <v>2408</v>
      </c>
      <c r="D809" s="891">
        <v>274</v>
      </c>
      <c r="E809" s="718">
        <v>1.04</v>
      </c>
      <c r="F809" s="720">
        <v>1.1499999999999999</v>
      </c>
      <c r="G809" t="s">
        <v>1473</v>
      </c>
      <c r="H809" s="592" t="s">
        <v>1220</v>
      </c>
      <c r="I809" s="587"/>
    </row>
    <row r="810" spans="1:9" hidden="1" outlineLevel="1">
      <c r="A810" s="722">
        <v>2022</v>
      </c>
      <c r="B810" s="719" t="s">
        <v>1508</v>
      </c>
      <c r="C810" s="717" t="s">
        <v>2408</v>
      </c>
      <c r="D810" s="891">
        <v>6643</v>
      </c>
      <c r="E810" s="718">
        <v>25.11</v>
      </c>
      <c r="F810" s="720">
        <v>27.83</v>
      </c>
      <c r="G810" t="s">
        <v>1509</v>
      </c>
      <c r="H810" s="592" t="s">
        <v>1220</v>
      </c>
      <c r="I810" s="587"/>
    </row>
    <row r="811" spans="1:9" hidden="1" outlineLevel="1">
      <c r="A811" s="722">
        <v>2022</v>
      </c>
      <c r="B811" s="719" t="s">
        <v>1810</v>
      </c>
      <c r="C811" s="717" t="s">
        <v>2408</v>
      </c>
      <c r="D811" s="891">
        <v>-9544</v>
      </c>
      <c r="E811" s="718">
        <v>-36.08</v>
      </c>
      <c r="F811" s="720">
        <v>-39.99</v>
      </c>
      <c r="G811" t="s">
        <v>1811</v>
      </c>
      <c r="H811" s="592" t="s">
        <v>1220</v>
      </c>
      <c r="I811" s="587"/>
    </row>
    <row r="812" spans="1:9" hidden="1" outlineLevel="1">
      <c r="A812" s="722">
        <v>2022</v>
      </c>
      <c r="B812" s="719" t="s">
        <v>2275</v>
      </c>
      <c r="C812" s="717" t="s">
        <v>2408</v>
      </c>
      <c r="D812" s="891">
        <v>176531.97</v>
      </c>
      <c r="E812" s="718">
        <v>667.29</v>
      </c>
      <c r="F812" s="720">
        <v>739.67</v>
      </c>
      <c r="G812" t="s">
        <v>2276</v>
      </c>
      <c r="H812" s="592" t="s">
        <v>1220</v>
      </c>
      <c r="I812" s="587"/>
    </row>
    <row r="813" spans="1:9" hidden="1" outlineLevel="1">
      <c r="A813" s="722">
        <v>2022</v>
      </c>
      <c r="B813" s="719" t="s">
        <v>726</v>
      </c>
      <c r="C813" s="717" t="s">
        <v>2408</v>
      </c>
      <c r="D813" s="891">
        <v>-543812</v>
      </c>
      <c r="E813" s="718">
        <v>-2055.61</v>
      </c>
      <c r="F813" s="720">
        <v>-2278.5700000000002</v>
      </c>
      <c r="G813" t="s">
        <v>727</v>
      </c>
      <c r="H813" s="592" t="s">
        <v>1220</v>
      </c>
      <c r="I813" s="587"/>
    </row>
    <row r="814" spans="1:9" hidden="1" outlineLevel="1">
      <c r="A814" s="722">
        <v>2022</v>
      </c>
      <c r="B814" s="719" t="s">
        <v>1370</v>
      </c>
      <c r="C814" s="717" t="s">
        <v>2408</v>
      </c>
      <c r="D814" s="891">
        <v>-1449</v>
      </c>
      <c r="E814" s="718">
        <v>-5.48</v>
      </c>
      <c r="F814" s="720">
        <v>-6.07</v>
      </c>
      <c r="G814" t="s">
        <v>1371</v>
      </c>
      <c r="H814" s="592" t="s">
        <v>1220</v>
      </c>
      <c r="I814" s="587"/>
    </row>
    <row r="815" spans="1:9" hidden="1" outlineLevel="1">
      <c r="A815" s="722">
        <v>2022</v>
      </c>
      <c r="B815" s="719" t="s">
        <v>1522</v>
      </c>
      <c r="C815" s="717" t="s">
        <v>2408</v>
      </c>
      <c r="D815" s="891">
        <v>-119170</v>
      </c>
      <c r="E815" s="718">
        <v>-450.46</v>
      </c>
      <c r="F815" s="720">
        <v>-499.32</v>
      </c>
      <c r="G815" t="s">
        <v>1523</v>
      </c>
      <c r="H815" s="592" t="s">
        <v>1220</v>
      </c>
      <c r="I815" s="587"/>
    </row>
    <row r="816" spans="1:9" hidden="1" outlineLevel="1">
      <c r="A816" s="722">
        <v>2022</v>
      </c>
      <c r="B816" s="719" t="s">
        <v>1223</v>
      </c>
      <c r="C816" s="717" t="s">
        <v>2408</v>
      </c>
      <c r="D816" s="891">
        <v>-75683</v>
      </c>
      <c r="E816" s="718">
        <v>-286.08</v>
      </c>
      <c r="F816" s="720">
        <v>-317.11</v>
      </c>
      <c r="G816" t="s">
        <v>1224</v>
      </c>
      <c r="H816" s="592" t="s">
        <v>1220</v>
      </c>
      <c r="I816" s="587"/>
    </row>
    <row r="817" spans="1:9" hidden="1" outlineLevel="1">
      <c r="A817" s="722">
        <v>2022</v>
      </c>
      <c r="B817" s="719" t="s">
        <v>1432</v>
      </c>
      <c r="C817" s="717" t="s">
        <v>2408</v>
      </c>
      <c r="D817" s="891">
        <v>34738.6</v>
      </c>
      <c r="E817" s="718">
        <v>131.31</v>
      </c>
      <c r="F817" s="720">
        <v>145.55000000000001</v>
      </c>
      <c r="G817" t="s">
        <v>1433</v>
      </c>
      <c r="H817" s="592" t="s">
        <v>1220</v>
      </c>
      <c r="I817" s="587"/>
    </row>
    <row r="818" spans="1:9" hidden="1" outlineLevel="1">
      <c r="A818" s="722">
        <v>2022</v>
      </c>
      <c r="B818" s="719" t="s">
        <v>1364</v>
      </c>
      <c r="C818" s="717" t="s">
        <v>2408</v>
      </c>
      <c r="D818" s="891">
        <v>57880.09</v>
      </c>
      <c r="E818" s="718">
        <v>218.79</v>
      </c>
      <c r="F818" s="720">
        <v>242.52</v>
      </c>
      <c r="G818" t="s">
        <v>1365</v>
      </c>
      <c r="H818" s="592" t="s">
        <v>1220</v>
      </c>
      <c r="I818" s="587"/>
    </row>
    <row r="819" spans="1:9" hidden="1" outlineLevel="1">
      <c r="A819" s="722">
        <v>2022</v>
      </c>
      <c r="B819" s="719" t="s">
        <v>1285</v>
      </c>
      <c r="C819" s="717" t="s">
        <v>2408</v>
      </c>
      <c r="D819" s="891">
        <v>43621</v>
      </c>
      <c r="E819" s="718">
        <v>164.89</v>
      </c>
      <c r="F819" s="720">
        <v>182.77</v>
      </c>
      <c r="G819" t="s">
        <v>1286</v>
      </c>
      <c r="H819" s="592" t="s">
        <v>1220</v>
      </c>
      <c r="I819" s="587"/>
    </row>
    <row r="820" spans="1:9" hidden="1" outlineLevel="1">
      <c r="A820" s="722">
        <v>2022</v>
      </c>
      <c r="B820" s="719" t="s">
        <v>943</v>
      </c>
      <c r="C820" s="717" t="s">
        <v>2409</v>
      </c>
      <c r="D820" s="891">
        <v>-68841</v>
      </c>
      <c r="E820" s="718">
        <v>-27.54</v>
      </c>
      <c r="F820" s="720">
        <v>-27.54</v>
      </c>
      <c r="G820" t="s">
        <v>944</v>
      </c>
      <c r="H820" s="592" t="s">
        <v>1220</v>
      </c>
      <c r="I820" s="587"/>
    </row>
    <row r="821" spans="1:9" hidden="1" outlineLevel="1">
      <c r="A821" s="722">
        <v>2022</v>
      </c>
      <c r="B821" s="719" t="s">
        <v>943</v>
      </c>
      <c r="C821" s="717" t="s">
        <v>2410</v>
      </c>
      <c r="D821" s="891">
        <v>-197341</v>
      </c>
      <c r="E821" s="718">
        <v>-59.2</v>
      </c>
      <c r="F821" s="720">
        <v>-59.2</v>
      </c>
      <c r="G821" t="s">
        <v>944</v>
      </c>
      <c r="H821" s="592" t="s">
        <v>1220</v>
      </c>
      <c r="I821" s="587"/>
    </row>
    <row r="822" spans="1:9" ht="13.5" hidden="1" outlineLevel="1" thickBot="1">
      <c r="A822" s="1534">
        <v>2022</v>
      </c>
      <c r="B822" s="1535" t="s">
        <v>1312</v>
      </c>
      <c r="C822" s="1536" t="s">
        <v>2410</v>
      </c>
      <c r="D822" s="1537">
        <v>-15202</v>
      </c>
      <c r="E822" s="1538">
        <v>-4.5599999999999996</v>
      </c>
      <c r="F822" s="1539">
        <v>-4.5599999999999996</v>
      </c>
      <c r="G822" t="s">
        <v>1313</v>
      </c>
      <c r="H822" s="592" t="s">
        <v>1220</v>
      </c>
      <c r="I822" s="587"/>
    </row>
    <row r="823" spans="1:9" hidden="1" outlineLevel="1">
      <c r="A823" s="1521">
        <v>2023</v>
      </c>
      <c r="B823" s="1540" t="s">
        <v>1812</v>
      </c>
      <c r="C823" s="1541" t="s">
        <v>2408</v>
      </c>
      <c r="D823" s="1542">
        <v>21360</v>
      </c>
      <c r="E823" s="1543">
        <v>76.260000000000005</v>
      </c>
      <c r="F823" s="1544">
        <v>126.24</v>
      </c>
      <c r="G823" t="s">
        <v>1813</v>
      </c>
      <c r="H823" s="592" t="s">
        <v>1220</v>
      </c>
      <c r="I823" s="587"/>
    </row>
    <row r="824" spans="1:9" hidden="1" outlineLevel="1">
      <c r="A824" s="722">
        <v>2023</v>
      </c>
      <c r="B824" s="719" t="s">
        <v>1246</v>
      </c>
      <c r="C824" s="717" t="s">
        <v>2408</v>
      </c>
      <c r="D824" s="891">
        <v>-42862</v>
      </c>
      <c r="E824" s="718">
        <v>-153.02000000000001</v>
      </c>
      <c r="F824" s="720">
        <v>-253.31</v>
      </c>
      <c r="G824" t="s">
        <v>1247</v>
      </c>
      <c r="H824" s="592" t="s">
        <v>1220</v>
      </c>
      <c r="I824" s="587"/>
    </row>
    <row r="825" spans="1:9" hidden="1" outlineLevel="1">
      <c r="A825" s="722">
        <v>2023</v>
      </c>
      <c r="B825" s="719" t="s">
        <v>1582</v>
      </c>
      <c r="C825" s="717" t="s">
        <v>2408</v>
      </c>
      <c r="D825" s="891">
        <v>7134</v>
      </c>
      <c r="E825" s="718">
        <v>25.47</v>
      </c>
      <c r="F825" s="720">
        <v>42.16</v>
      </c>
      <c r="G825" t="s">
        <v>1583</v>
      </c>
      <c r="H825" s="592" t="s">
        <v>1220</v>
      </c>
      <c r="I825" s="587"/>
    </row>
    <row r="826" spans="1:9" hidden="1" outlineLevel="1">
      <c r="A826" s="722">
        <v>2023</v>
      </c>
      <c r="B826" s="719" t="s">
        <v>1458</v>
      </c>
      <c r="C826" s="717" t="s">
        <v>2408</v>
      </c>
      <c r="D826" s="891">
        <v>-3141</v>
      </c>
      <c r="E826" s="718">
        <v>-11.21</v>
      </c>
      <c r="F826" s="720">
        <v>-18.559999999999999</v>
      </c>
      <c r="G826" t="s">
        <v>1459</v>
      </c>
      <c r="H826" s="592" t="s">
        <v>1220</v>
      </c>
      <c r="I826" s="587"/>
    </row>
    <row r="827" spans="1:9" hidden="1" outlineLevel="1">
      <c r="A827" s="722">
        <v>2023</v>
      </c>
      <c r="B827" s="719" t="s">
        <v>1484</v>
      </c>
      <c r="C827" s="717" t="s">
        <v>2408</v>
      </c>
      <c r="D827" s="891">
        <v>-35147</v>
      </c>
      <c r="E827" s="718">
        <v>-125.47</v>
      </c>
      <c r="F827" s="720">
        <v>-207.72</v>
      </c>
      <c r="G827" t="s">
        <v>1485</v>
      </c>
      <c r="H827" s="592" t="s">
        <v>1220</v>
      </c>
      <c r="I827" s="587"/>
    </row>
    <row r="828" spans="1:9" hidden="1" outlineLevel="1">
      <c r="A828" s="722">
        <v>2023</v>
      </c>
      <c r="B828" s="719" t="s">
        <v>1283</v>
      </c>
      <c r="C828" s="717" t="s">
        <v>2408</v>
      </c>
      <c r="D828" s="891">
        <v>283752.59999999998</v>
      </c>
      <c r="E828" s="718">
        <v>1013</v>
      </c>
      <c r="F828" s="720">
        <v>1676.98</v>
      </c>
      <c r="G828" t="s">
        <v>1284</v>
      </c>
      <c r="H828" s="592" t="s">
        <v>1220</v>
      </c>
      <c r="I828" s="587"/>
    </row>
    <row r="829" spans="1:9" hidden="1" outlineLevel="1">
      <c r="A829" s="722">
        <v>2023</v>
      </c>
      <c r="B829" s="719" t="s">
        <v>1227</v>
      </c>
      <c r="C829" s="717" t="s">
        <v>2408</v>
      </c>
      <c r="D829" s="891">
        <v>-7787</v>
      </c>
      <c r="E829" s="718">
        <v>-27.8</v>
      </c>
      <c r="F829" s="720">
        <v>-46.02</v>
      </c>
      <c r="G829" t="s">
        <v>1228</v>
      </c>
      <c r="H829" s="592" t="s">
        <v>1220</v>
      </c>
      <c r="I829" s="587"/>
    </row>
    <row r="830" spans="1:9" hidden="1" outlineLevel="1">
      <c r="A830" s="722">
        <v>2023</v>
      </c>
      <c r="B830" s="719" t="s">
        <v>1556</v>
      </c>
      <c r="C830" s="717" t="s">
        <v>2408</v>
      </c>
      <c r="D830" s="891">
        <v>-7814</v>
      </c>
      <c r="E830" s="718">
        <v>-27.9</v>
      </c>
      <c r="F830" s="720">
        <v>-46.18</v>
      </c>
      <c r="G830" t="s">
        <v>1557</v>
      </c>
      <c r="H830" s="592" t="s">
        <v>1220</v>
      </c>
      <c r="I830" s="587"/>
    </row>
    <row r="831" spans="1:9" hidden="1" outlineLevel="1">
      <c r="A831" s="722">
        <v>2023</v>
      </c>
      <c r="B831" s="719" t="s">
        <v>1626</v>
      </c>
      <c r="C831" s="717" t="s">
        <v>2408</v>
      </c>
      <c r="D831" s="891">
        <v>11399</v>
      </c>
      <c r="E831" s="718">
        <v>40.69</v>
      </c>
      <c r="F831" s="720">
        <v>67.37</v>
      </c>
      <c r="G831" t="s">
        <v>1627</v>
      </c>
      <c r="H831" s="592" t="s">
        <v>1220</v>
      </c>
      <c r="I831" s="587"/>
    </row>
    <row r="832" spans="1:9" hidden="1" outlineLevel="1">
      <c r="A832" s="722">
        <v>2023</v>
      </c>
      <c r="B832" s="719" t="s">
        <v>2195</v>
      </c>
      <c r="C832" s="717" t="s">
        <v>2408</v>
      </c>
      <c r="D832" s="891">
        <v>5284</v>
      </c>
      <c r="E832" s="718">
        <v>18.86</v>
      </c>
      <c r="F832" s="720">
        <v>31.23</v>
      </c>
      <c r="G832" t="s">
        <v>2196</v>
      </c>
      <c r="H832" s="592" t="s">
        <v>1220</v>
      </c>
      <c r="I832" s="587"/>
    </row>
    <row r="833" spans="1:9" hidden="1" outlineLevel="1">
      <c r="A833" s="722">
        <v>2023</v>
      </c>
      <c r="B833" s="719" t="s">
        <v>1236</v>
      </c>
      <c r="C833" s="717" t="s">
        <v>2408</v>
      </c>
      <c r="D833" s="891">
        <v>12298</v>
      </c>
      <c r="E833" s="718">
        <v>43.9</v>
      </c>
      <c r="F833" s="720">
        <v>72.680000000000007</v>
      </c>
      <c r="G833" t="s">
        <v>1237</v>
      </c>
      <c r="H833" s="592" t="s">
        <v>1220</v>
      </c>
      <c r="I833" s="587"/>
    </row>
    <row r="834" spans="1:9" hidden="1" outlineLevel="1">
      <c r="A834" s="722">
        <v>2023</v>
      </c>
      <c r="B834" s="719" t="s">
        <v>1240</v>
      </c>
      <c r="C834" s="717" t="s">
        <v>2408</v>
      </c>
      <c r="D834" s="891">
        <v>-2219516</v>
      </c>
      <c r="E834" s="718">
        <v>-7923.67</v>
      </c>
      <c r="F834" s="720">
        <v>-13117.34</v>
      </c>
      <c r="G834" t="s">
        <v>1241</v>
      </c>
      <c r="H834" s="592" t="s">
        <v>1220</v>
      </c>
      <c r="I834" s="587"/>
    </row>
    <row r="835" spans="1:9" hidden="1" outlineLevel="1">
      <c r="A835" s="722">
        <v>2023</v>
      </c>
      <c r="B835" s="719" t="s">
        <v>1404</v>
      </c>
      <c r="C835" s="717" t="s">
        <v>2408</v>
      </c>
      <c r="D835" s="891">
        <v>2827</v>
      </c>
      <c r="E835" s="718">
        <v>10.09</v>
      </c>
      <c r="F835" s="720">
        <v>16.71</v>
      </c>
      <c r="G835" t="s">
        <v>1405</v>
      </c>
      <c r="H835" s="592" t="s">
        <v>1220</v>
      </c>
      <c r="I835" s="587"/>
    </row>
    <row r="836" spans="1:9" hidden="1" outlineLevel="1">
      <c r="A836" s="722">
        <v>2023</v>
      </c>
      <c r="B836" s="719" t="s">
        <v>1706</v>
      </c>
      <c r="C836" s="717" t="s">
        <v>2408</v>
      </c>
      <c r="D836" s="891">
        <v>-92785</v>
      </c>
      <c r="E836" s="718">
        <v>-331.24</v>
      </c>
      <c r="F836" s="720">
        <v>-548.36</v>
      </c>
      <c r="G836" t="s">
        <v>1707</v>
      </c>
      <c r="H836" s="592" t="s">
        <v>1220</v>
      </c>
      <c r="I836" s="587"/>
    </row>
    <row r="837" spans="1:9" hidden="1" outlineLevel="1">
      <c r="A837" s="722">
        <v>2023</v>
      </c>
      <c r="B837" s="719" t="s">
        <v>1656</v>
      </c>
      <c r="C837" s="717" t="s">
        <v>2408</v>
      </c>
      <c r="D837" s="891">
        <v>2836243</v>
      </c>
      <c r="E837" s="718">
        <v>10125.39</v>
      </c>
      <c r="F837" s="720">
        <v>16762.2</v>
      </c>
      <c r="G837" t="s">
        <v>1657</v>
      </c>
      <c r="H837" s="592" t="s">
        <v>1220</v>
      </c>
      <c r="I837" s="587"/>
    </row>
    <row r="838" spans="1:9" hidden="1" outlineLevel="1">
      <c r="A838" s="722">
        <v>2023</v>
      </c>
      <c r="B838" s="719" t="s">
        <v>1221</v>
      </c>
      <c r="C838" s="717" t="s">
        <v>2408</v>
      </c>
      <c r="D838" s="891">
        <v>-6591184.8430000003</v>
      </c>
      <c r="E838" s="718">
        <v>-23530.53</v>
      </c>
      <c r="F838" s="720">
        <v>-38953.9</v>
      </c>
      <c r="G838" t="s">
        <v>1222</v>
      </c>
      <c r="H838" s="592" t="s">
        <v>1220</v>
      </c>
      <c r="I838" s="587"/>
    </row>
    <row r="839" spans="1:9" hidden="1" outlineLevel="1">
      <c r="A839" s="722">
        <v>2023</v>
      </c>
      <c r="B839" s="719" t="s">
        <v>580</v>
      </c>
      <c r="C839" s="717" t="s">
        <v>2408</v>
      </c>
      <c r="D839" s="891">
        <v>-45108</v>
      </c>
      <c r="E839" s="718">
        <v>-161.04</v>
      </c>
      <c r="F839" s="720">
        <v>-266.58999999999997</v>
      </c>
      <c r="G839" t="s">
        <v>581</v>
      </c>
      <c r="H839" s="592" t="s">
        <v>1220</v>
      </c>
      <c r="I839" s="587"/>
    </row>
    <row r="840" spans="1:9" hidden="1" outlineLevel="1">
      <c r="A840" s="722">
        <v>2023</v>
      </c>
      <c r="B840" s="719" t="s">
        <v>1592</v>
      </c>
      <c r="C840" s="717" t="s">
        <v>2408</v>
      </c>
      <c r="D840" s="891">
        <v>-10286</v>
      </c>
      <c r="E840" s="718">
        <v>-36.72</v>
      </c>
      <c r="F840" s="720">
        <v>-60.79</v>
      </c>
      <c r="G840" t="s">
        <v>1593</v>
      </c>
      <c r="H840" s="592" t="s">
        <v>1220</v>
      </c>
      <c r="I840" s="587"/>
    </row>
    <row r="841" spans="1:9" hidden="1" outlineLevel="1">
      <c r="A841" s="722">
        <v>2023</v>
      </c>
      <c r="B841" s="719" t="s">
        <v>1618</v>
      </c>
      <c r="C841" s="717" t="s">
        <v>2408</v>
      </c>
      <c r="D841" s="891">
        <v>-129351</v>
      </c>
      <c r="E841" s="718">
        <v>-461.78</v>
      </c>
      <c r="F841" s="720">
        <v>-764.46</v>
      </c>
      <c r="G841" t="s">
        <v>1619</v>
      </c>
      <c r="H841" s="592" t="s">
        <v>1220</v>
      </c>
      <c r="I841" s="587"/>
    </row>
    <row r="842" spans="1:9" hidden="1" outlineLevel="1">
      <c r="A842" s="722">
        <v>2023</v>
      </c>
      <c r="B842" s="719" t="s">
        <v>1326</v>
      </c>
      <c r="C842" s="717" t="s">
        <v>2408</v>
      </c>
      <c r="D842" s="891">
        <v>-14345</v>
      </c>
      <c r="E842" s="718">
        <v>-51.21</v>
      </c>
      <c r="F842" s="720">
        <v>-84.78</v>
      </c>
      <c r="G842" t="s">
        <v>1327</v>
      </c>
      <c r="H842" s="592" t="s">
        <v>1220</v>
      </c>
      <c r="I842" s="587"/>
    </row>
    <row r="843" spans="1:9" hidden="1" outlineLevel="1">
      <c r="A843" s="722">
        <v>2023</v>
      </c>
      <c r="B843" s="719" t="s">
        <v>1628</v>
      </c>
      <c r="C843" s="717" t="s">
        <v>2408</v>
      </c>
      <c r="D843" s="891">
        <v>-17217</v>
      </c>
      <c r="E843" s="718">
        <v>-61.46</v>
      </c>
      <c r="F843" s="720">
        <v>-101.75</v>
      </c>
      <c r="G843" t="s">
        <v>1629</v>
      </c>
      <c r="H843" s="592" t="s">
        <v>1220</v>
      </c>
      <c r="I843" s="587"/>
    </row>
    <row r="844" spans="1:9" hidden="1" outlineLevel="1">
      <c r="A844" s="722">
        <v>2023</v>
      </c>
      <c r="B844" s="719" t="s">
        <v>1590</v>
      </c>
      <c r="C844" s="717" t="s">
        <v>2408</v>
      </c>
      <c r="D844" s="891">
        <v>-1439</v>
      </c>
      <c r="E844" s="718">
        <v>-5.14</v>
      </c>
      <c r="F844" s="720">
        <v>-8.5</v>
      </c>
      <c r="G844" t="s">
        <v>1591</v>
      </c>
      <c r="H844" s="592" t="s">
        <v>1220</v>
      </c>
      <c r="I844" s="587"/>
    </row>
    <row r="845" spans="1:9" hidden="1" outlineLevel="1">
      <c r="A845" s="722">
        <v>2023</v>
      </c>
      <c r="B845" s="719" t="s">
        <v>1248</v>
      </c>
      <c r="C845" s="717" t="s">
        <v>2408</v>
      </c>
      <c r="D845" s="891">
        <v>1314757.8999999999</v>
      </c>
      <c r="E845" s="718">
        <v>4693.6899999999996</v>
      </c>
      <c r="F845" s="720">
        <v>7770.22</v>
      </c>
      <c r="G845" t="s">
        <v>1249</v>
      </c>
      <c r="H845" s="592" t="s">
        <v>1220</v>
      </c>
      <c r="I845" s="587"/>
    </row>
    <row r="846" spans="1:9" hidden="1" outlineLevel="1">
      <c r="A846" s="722">
        <v>2023</v>
      </c>
      <c r="B846" s="719" t="s">
        <v>2289</v>
      </c>
      <c r="C846" s="717" t="s">
        <v>2408</v>
      </c>
      <c r="D846" s="891">
        <v>-228895</v>
      </c>
      <c r="E846" s="718">
        <v>-817.16</v>
      </c>
      <c r="F846" s="720">
        <v>-1352.77</v>
      </c>
      <c r="G846" t="s">
        <v>2290</v>
      </c>
      <c r="H846" s="592" t="s">
        <v>1220</v>
      </c>
      <c r="I846" s="587"/>
    </row>
    <row r="847" spans="1:9" hidden="1" outlineLevel="1">
      <c r="A847" s="722">
        <v>2023</v>
      </c>
      <c r="B847" s="719" t="s">
        <v>1536</v>
      </c>
      <c r="C847" s="717" t="s">
        <v>2408</v>
      </c>
      <c r="D847" s="891">
        <v>-4234</v>
      </c>
      <c r="E847" s="718">
        <v>-15.12</v>
      </c>
      <c r="F847" s="720">
        <v>-25.02</v>
      </c>
      <c r="G847" t="s">
        <v>1537</v>
      </c>
      <c r="H847" s="592" t="s">
        <v>1220</v>
      </c>
      <c r="I847" s="587"/>
    </row>
    <row r="848" spans="1:9" hidden="1" outlineLevel="1">
      <c r="A848" s="722">
        <v>2023</v>
      </c>
      <c r="B848" s="719" t="s">
        <v>1374</v>
      </c>
      <c r="C848" s="717" t="s">
        <v>2408</v>
      </c>
      <c r="D848" s="891">
        <v>15896</v>
      </c>
      <c r="E848" s="718">
        <v>56.75</v>
      </c>
      <c r="F848" s="720">
        <v>93.95</v>
      </c>
      <c r="G848" t="s">
        <v>1375</v>
      </c>
      <c r="H848" s="592" t="s">
        <v>1220</v>
      </c>
      <c r="I848" s="587"/>
    </row>
    <row r="849" spans="1:9" hidden="1" outlineLevel="1">
      <c r="A849" s="722">
        <v>2023</v>
      </c>
      <c r="B849" s="719" t="s">
        <v>1257</v>
      </c>
      <c r="C849" s="717" t="s">
        <v>2408</v>
      </c>
      <c r="D849" s="891">
        <v>15761</v>
      </c>
      <c r="E849" s="718">
        <v>56.27</v>
      </c>
      <c r="F849" s="720">
        <v>93.15</v>
      </c>
      <c r="G849" t="s">
        <v>1258</v>
      </c>
      <c r="H849" s="592" t="s">
        <v>1220</v>
      </c>
      <c r="I849" s="587"/>
    </row>
    <row r="850" spans="1:9" hidden="1" outlineLevel="1">
      <c r="A850" s="722">
        <v>2023</v>
      </c>
      <c r="B850" s="719" t="s">
        <v>1356</v>
      </c>
      <c r="C850" s="717" t="s">
        <v>2408</v>
      </c>
      <c r="D850" s="891">
        <v>39280</v>
      </c>
      <c r="E850" s="718">
        <v>140.22999999999999</v>
      </c>
      <c r="F850" s="720">
        <v>232.14</v>
      </c>
      <c r="G850" t="s">
        <v>1357</v>
      </c>
      <c r="H850" s="592" t="s">
        <v>1220</v>
      </c>
      <c r="I850" s="587"/>
    </row>
    <row r="851" spans="1:9" hidden="1" outlineLevel="1">
      <c r="A851" s="722">
        <v>2023</v>
      </c>
      <c r="B851" s="719" t="s">
        <v>1299</v>
      </c>
      <c r="C851" s="717" t="s">
        <v>2408</v>
      </c>
      <c r="D851" s="891">
        <v>-247</v>
      </c>
      <c r="E851" s="718">
        <v>-0.88</v>
      </c>
      <c r="F851" s="720">
        <v>-1.46</v>
      </c>
      <c r="G851" t="s">
        <v>1300</v>
      </c>
      <c r="H851" s="592" t="s">
        <v>1220</v>
      </c>
      <c r="I851" s="587"/>
    </row>
    <row r="852" spans="1:9" hidden="1" outlineLevel="1">
      <c r="A852" s="722">
        <v>2023</v>
      </c>
      <c r="B852" s="719" t="s">
        <v>1754</v>
      </c>
      <c r="C852" s="717" t="s">
        <v>2408</v>
      </c>
      <c r="D852" s="891">
        <v>-3536</v>
      </c>
      <c r="E852" s="718">
        <v>-12.62</v>
      </c>
      <c r="F852" s="720">
        <v>-20.9</v>
      </c>
      <c r="G852" t="s">
        <v>1755</v>
      </c>
      <c r="H852" s="592" t="s">
        <v>1220</v>
      </c>
      <c r="I852" s="587"/>
    </row>
    <row r="853" spans="1:9" hidden="1" outlineLevel="1">
      <c r="A853" s="722">
        <v>2023</v>
      </c>
      <c r="B853" s="719" t="s">
        <v>1690</v>
      </c>
      <c r="C853" s="717" t="s">
        <v>2408</v>
      </c>
      <c r="D853" s="891">
        <v>233998</v>
      </c>
      <c r="E853" s="718">
        <v>835.37</v>
      </c>
      <c r="F853" s="720">
        <v>1382.93</v>
      </c>
      <c r="G853" t="s">
        <v>1691</v>
      </c>
      <c r="H853" s="592" t="s">
        <v>1220</v>
      </c>
      <c r="I853" s="587"/>
    </row>
    <row r="854" spans="1:9" hidden="1" outlineLevel="1">
      <c r="A854" s="722">
        <v>2023</v>
      </c>
      <c r="B854" s="719" t="s">
        <v>1662</v>
      </c>
      <c r="C854" s="717" t="s">
        <v>2408</v>
      </c>
      <c r="D854" s="891">
        <v>-25930</v>
      </c>
      <c r="E854" s="718">
        <v>-92.57</v>
      </c>
      <c r="F854" s="720">
        <v>-153.25</v>
      </c>
      <c r="G854" t="s">
        <v>1663</v>
      </c>
      <c r="H854" s="592" t="s">
        <v>1220</v>
      </c>
      <c r="I854" s="587"/>
    </row>
    <row r="855" spans="1:9" hidden="1" outlineLevel="1">
      <c r="A855" s="722">
        <v>2023</v>
      </c>
      <c r="B855" s="719" t="s">
        <v>1612</v>
      </c>
      <c r="C855" s="717" t="s">
        <v>2408</v>
      </c>
      <c r="D855" s="891">
        <v>77875</v>
      </c>
      <c r="E855" s="718">
        <v>278.01</v>
      </c>
      <c r="F855" s="720">
        <v>460.24</v>
      </c>
      <c r="G855" t="s">
        <v>1613</v>
      </c>
      <c r="H855" s="592" t="s">
        <v>1220</v>
      </c>
      <c r="I855" s="587"/>
    </row>
    <row r="856" spans="1:9" hidden="1" outlineLevel="1">
      <c r="A856" s="722">
        <v>2023</v>
      </c>
      <c r="B856" s="719" t="s">
        <v>1774</v>
      </c>
      <c r="C856" s="717" t="s">
        <v>2408</v>
      </c>
      <c r="D856" s="891">
        <v>-778517</v>
      </c>
      <c r="E856" s="718">
        <v>-2779.31</v>
      </c>
      <c r="F856" s="720">
        <v>-4601.04</v>
      </c>
      <c r="G856" t="s">
        <v>1775</v>
      </c>
      <c r="H856" s="592" t="s">
        <v>1220</v>
      </c>
      <c r="I856" s="587"/>
    </row>
    <row r="857" spans="1:9" hidden="1" outlineLevel="1">
      <c r="A857" s="722">
        <v>2023</v>
      </c>
      <c r="B857" s="719" t="s">
        <v>1402</v>
      </c>
      <c r="C857" s="717" t="s">
        <v>2408</v>
      </c>
      <c r="D857" s="891">
        <v>1265005</v>
      </c>
      <c r="E857" s="718">
        <v>4516.07</v>
      </c>
      <c r="F857" s="720">
        <v>7476.18</v>
      </c>
      <c r="G857" t="s">
        <v>1403</v>
      </c>
      <c r="H857" s="592" t="s">
        <v>1220</v>
      </c>
      <c r="I857" s="587"/>
    </row>
    <row r="858" spans="1:9" hidden="1" outlineLevel="1">
      <c r="A858" s="722">
        <v>2023</v>
      </c>
      <c r="B858" s="719" t="s">
        <v>1486</v>
      </c>
      <c r="C858" s="717" t="s">
        <v>2408</v>
      </c>
      <c r="D858" s="891">
        <v>-1600</v>
      </c>
      <c r="E858" s="718">
        <v>-5.71</v>
      </c>
      <c r="F858" s="720">
        <v>-9.4600000000000009</v>
      </c>
      <c r="G858" t="s">
        <v>1487</v>
      </c>
      <c r="H858" s="592" t="s">
        <v>1220</v>
      </c>
      <c r="I858" s="587"/>
    </row>
    <row r="859" spans="1:9" hidden="1" outlineLevel="1">
      <c r="A859" s="722">
        <v>2023</v>
      </c>
      <c r="B859" s="719" t="s">
        <v>1820</v>
      </c>
      <c r="C859" s="717" t="s">
        <v>2408</v>
      </c>
      <c r="D859" s="891">
        <v>121039.78</v>
      </c>
      <c r="E859" s="718">
        <v>432.11</v>
      </c>
      <c r="F859" s="720">
        <v>715.35</v>
      </c>
      <c r="G859" t="s">
        <v>1821</v>
      </c>
      <c r="H859" s="592" t="s">
        <v>1220</v>
      </c>
      <c r="I859" s="587"/>
    </row>
    <row r="860" spans="1:9" hidden="1" outlineLevel="1">
      <c r="A860" s="722">
        <v>2023</v>
      </c>
      <c r="B860" s="719" t="s">
        <v>1588</v>
      </c>
      <c r="C860" s="717" t="s">
        <v>2408</v>
      </c>
      <c r="D860" s="891">
        <v>-45622</v>
      </c>
      <c r="E860" s="718">
        <v>-162.87</v>
      </c>
      <c r="F860" s="720">
        <v>-269.63</v>
      </c>
      <c r="G860" t="s">
        <v>1589</v>
      </c>
      <c r="H860" s="592" t="s">
        <v>1220</v>
      </c>
      <c r="I860" s="587"/>
    </row>
    <row r="861" spans="1:9" hidden="1" outlineLevel="1">
      <c r="A861" s="722">
        <v>2023</v>
      </c>
      <c r="B861" s="719" t="s">
        <v>1568</v>
      </c>
      <c r="C861" s="717" t="s">
        <v>2408</v>
      </c>
      <c r="D861" s="891">
        <v>22992</v>
      </c>
      <c r="E861" s="718">
        <v>82.08</v>
      </c>
      <c r="F861" s="720">
        <v>135.88</v>
      </c>
      <c r="G861" t="s">
        <v>1569</v>
      </c>
      <c r="H861" s="592" t="s">
        <v>1220</v>
      </c>
      <c r="I861" s="587"/>
    </row>
    <row r="862" spans="1:9" hidden="1" outlineLevel="1">
      <c r="A862" s="722">
        <v>2023</v>
      </c>
      <c r="B862" s="719" t="s">
        <v>1506</v>
      </c>
      <c r="C862" s="717" t="s">
        <v>2408</v>
      </c>
      <c r="D862" s="891">
        <v>29293</v>
      </c>
      <c r="E862" s="718">
        <v>104.58</v>
      </c>
      <c r="F862" s="720">
        <v>173.12</v>
      </c>
      <c r="G862" t="s">
        <v>1507</v>
      </c>
      <c r="H862" s="592" t="s">
        <v>1220</v>
      </c>
      <c r="I862" s="587"/>
    </row>
    <row r="863" spans="1:9" hidden="1" outlineLevel="1">
      <c r="A863" s="722">
        <v>2023</v>
      </c>
      <c r="B863" s="719" t="s">
        <v>1330</v>
      </c>
      <c r="C863" s="717" t="s">
        <v>2408</v>
      </c>
      <c r="D863" s="891">
        <v>-165124</v>
      </c>
      <c r="E863" s="718">
        <v>-589.49</v>
      </c>
      <c r="F863" s="720">
        <v>-975.88</v>
      </c>
      <c r="G863" t="s">
        <v>1331</v>
      </c>
      <c r="H863" s="592" t="s">
        <v>1220</v>
      </c>
      <c r="I863" s="587"/>
    </row>
    <row r="864" spans="1:9" hidden="1" outlineLevel="1">
      <c r="A864" s="722">
        <v>2023</v>
      </c>
      <c r="B864" s="719" t="s">
        <v>1572</v>
      </c>
      <c r="C864" s="717" t="s">
        <v>2408</v>
      </c>
      <c r="D864" s="891">
        <v>234028</v>
      </c>
      <c r="E864" s="718">
        <v>835.48</v>
      </c>
      <c r="F864" s="720">
        <v>1383.11</v>
      </c>
      <c r="G864" t="s">
        <v>1573</v>
      </c>
      <c r="H864" s="592" t="s">
        <v>1220</v>
      </c>
      <c r="I864" s="587"/>
    </row>
    <row r="865" spans="1:9" hidden="1" outlineLevel="1">
      <c r="A865" s="722">
        <v>2023</v>
      </c>
      <c r="B865" s="719" t="s">
        <v>1616</v>
      </c>
      <c r="C865" s="717" t="s">
        <v>2408</v>
      </c>
      <c r="D865" s="891">
        <v>3023389</v>
      </c>
      <c r="E865" s="718">
        <v>10793.5</v>
      </c>
      <c r="F865" s="720">
        <v>17868.23</v>
      </c>
      <c r="G865" t="s">
        <v>1617</v>
      </c>
      <c r="H865" s="592" t="s">
        <v>1220</v>
      </c>
      <c r="I865" s="587"/>
    </row>
    <row r="866" spans="1:9" hidden="1" outlineLevel="1">
      <c r="A866" s="722">
        <v>2023</v>
      </c>
      <c r="B866" s="719" t="s">
        <v>1554</v>
      </c>
      <c r="C866" s="717" t="s">
        <v>2408</v>
      </c>
      <c r="D866" s="891">
        <v>9965</v>
      </c>
      <c r="E866" s="718">
        <v>35.58</v>
      </c>
      <c r="F866" s="720">
        <v>58.89</v>
      </c>
      <c r="G866" t="s">
        <v>1555</v>
      </c>
      <c r="H866" s="592" t="s">
        <v>1220</v>
      </c>
      <c r="I866" s="587"/>
    </row>
    <row r="867" spans="1:9" hidden="1" outlineLevel="1">
      <c r="A867" s="722">
        <v>2023</v>
      </c>
      <c r="B867" s="719" t="s">
        <v>1336</v>
      </c>
      <c r="C867" s="717" t="s">
        <v>2408</v>
      </c>
      <c r="D867" s="891">
        <v>2142</v>
      </c>
      <c r="E867" s="718">
        <v>7.65</v>
      </c>
      <c r="F867" s="720">
        <v>12.66</v>
      </c>
      <c r="G867" t="s">
        <v>1337</v>
      </c>
      <c r="H867" s="592" t="s">
        <v>1220</v>
      </c>
      <c r="I867" s="587"/>
    </row>
    <row r="868" spans="1:9" hidden="1" outlineLevel="1">
      <c r="A868" s="722">
        <v>2023</v>
      </c>
      <c r="B868" s="719" t="s">
        <v>1528</v>
      </c>
      <c r="C868" s="717" t="s">
        <v>2408</v>
      </c>
      <c r="D868" s="891">
        <v>209670</v>
      </c>
      <c r="E868" s="718">
        <v>748.52</v>
      </c>
      <c r="F868" s="720">
        <v>1239.1500000000001</v>
      </c>
      <c r="G868" t="s">
        <v>1529</v>
      </c>
      <c r="H868" s="592" t="s">
        <v>1220</v>
      </c>
      <c r="I868" s="587"/>
    </row>
    <row r="869" spans="1:9" hidden="1" outlineLevel="1">
      <c r="A869" s="722">
        <v>2023</v>
      </c>
      <c r="B869" s="719" t="s">
        <v>1648</v>
      </c>
      <c r="C869" s="717" t="s">
        <v>2408</v>
      </c>
      <c r="D869" s="891">
        <v>-12643</v>
      </c>
      <c r="E869" s="718">
        <v>-45.14</v>
      </c>
      <c r="F869" s="720">
        <v>-74.72</v>
      </c>
      <c r="G869" t="s">
        <v>1649</v>
      </c>
      <c r="H869" s="592" t="s">
        <v>1220</v>
      </c>
      <c r="I869" s="587"/>
    </row>
    <row r="870" spans="1:9" hidden="1" outlineLevel="1">
      <c r="A870" s="722">
        <v>2023</v>
      </c>
      <c r="B870" s="719" t="s">
        <v>1614</v>
      </c>
      <c r="C870" s="717" t="s">
        <v>2408</v>
      </c>
      <c r="D870" s="891">
        <v>-234394</v>
      </c>
      <c r="E870" s="718">
        <v>-836.79</v>
      </c>
      <c r="F870" s="720">
        <v>-1385.27</v>
      </c>
      <c r="G870" t="s">
        <v>1615</v>
      </c>
      <c r="H870" s="592" t="s">
        <v>1220</v>
      </c>
      <c r="I870" s="587"/>
    </row>
    <row r="871" spans="1:9" hidden="1" outlineLevel="1">
      <c r="A871" s="722">
        <v>2023</v>
      </c>
      <c r="B871" s="719" t="s">
        <v>1314</v>
      </c>
      <c r="C871" s="717" t="s">
        <v>2408</v>
      </c>
      <c r="D871" s="891">
        <v>-12323</v>
      </c>
      <c r="E871" s="718">
        <v>-43.99</v>
      </c>
      <c r="F871" s="720">
        <v>-72.83</v>
      </c>
      <c r="G871" t="s">
        <v>1315</v>
      </c>
      <c r="H871" s="592" t="s">
        <v>1220</v>
      </c>
      <c r="I871" s="587"/>
    </row>
    <row r="872" spans="1:9" hidden="1" outlineLevel="1">
      <c r="A872" s="722">
        <v>2023</v>
      </c>
      <c r="B872" s="719" t="s">
        <v>1291</v>
      </c>
      <c r="C872" s="717" t="s">
        <v>2408</v>
      </c>
      <c r="D872" s="891">
        <v>614</v>
      </c>
      <c r="E872" s="718">
        <v>2.19</v>
      </c>
      <c r="F872" s="720">
        <v>3.63</v>
      </c>
      <c r="G872" t="s">
        <v>1292</v>
      </c>
      <c r="H872" s="592" t="s">
        <v>1220</v>
      </c>
      <c r="I872" s="587"/>
    </row>
    <row r="873" spans="1:9" hidden="1" outlineLevel="1">
      <c r="A873" s="722">
        <v>2023</v>
      </c>
      <c r="B873" s="719" t="s">
        <v>1716</v>
      </c>
      <c r="C873" s="717" t="s">
        <v>2408</v>
      </c>
      <c r="D873" s="891">
        <v>-3098</v>
      </c>
      <c r="E873" s="718">
        <v>-11.06</v>
      </c>
      <c r="F873" s="720">
        <v>-18.309999999999999</v>
      </c>
      <c r="G873" t="s">
        <v>1717</v>
      </c>
      <c r="H873" s="592" t="s">
        <v>1220</v>
      </c>
      <c r="I873" s="587"/>
    </row>
    <row r="874" spans="1:9" hidden="1" outlineLevel="1">
      <c r="A874" s="722">
        <v>2023</v>
      </c>
      <c r="B874" s="719" t="s">
        <v>1324</v>
      </c>
      <c r="C874" s="717" t="s">
        <v>2408</v>
      </c>
      <c r="D874" s="891">
        <v>-7795</v>
      </c>
      <c r="E874" s="718">
        <v>-27.83</v>
      </c>
      <c r="F874" s="720">
        <v>-46.07</v>
      </c>
      <c r="G874" t="s">
        <v>1325</v>
      </c>
      <c r="H874" s="592" t="s">
        <v>1220</v>
      </c>
      <c r="I874" s="587"/>
    </row>
    <row r="875" spans="1:9" hidden="1" outlineLevel="1">
      <c r="A875" s="722">
        <v>2023</v>
      </c>
      <c r="B875" s="719" t="s">
        <v>1726</v>
      </c>
      <c r="C875" s="717" t="s">
        <v>2408</v>
      </c>
      <c r="D875" s="891">
        <v>103391</v>
      </c>
      <c r="E875" s="718">
        <v>369.11</v>
      </c>
      <c r="F875" s="720">
        <v>611.04</v>
      </c>
      <c r="G875" t="s">
        <v>1727</v>
      </c>
      <c r="H875" s="592" t="s">
        <v>1220</v>
      </c>
      <c r="I875" s="587"/>
    </row>
    <row r="876" spans="1:9" hidden="1" outlineLevel="1">
      <c r="A876" s="722">
        <v>2023</v>
      </c>
      <c r="B876" s="719" t="s">
        <v>1316</v>
      </c>
      <c r="C876" s="717" t="s">
        <v>2408</v>
      </c>
      <c r="D876" s="891">
        <v>613711.68999999994</v>
      </c>
      <c r="E876" s="718">
        <v>2190.9499999999998</v>
      </c>
      <c r="F876" s="720">
        <v>3627.04</v>
      </c>
      <c r="G876" t="s">
        <v>1317</v>
      </c>
      <c r="H876" s="592" t="s">
        <v>1220</v>
      </c>
      <c r="I876" s="587"/>
    </row>
    <row r="877" spans="1:9" hidden="1" outlineLevel="1">
      <c r="A877" s="722">
        <v>2023</v>
      </c>
      <c r="B877" s="719" t="s">
        <v>1476</v>
      </c>
      <c r="C877" s="717" t="s">
        <v>2408</v>
      </c>
      <c r="D877" s="891">
        <v>-102456</v>
      </c>
      <c r="E877" s="718">
        <v>-365.77</v>
      </c>
      <c r="F877" s="720">
        <v>-605.51</v>
      </c>
      <c r="G877" t="s">
        <v>1477</v>
      </c>
      <c r="H877" s="592" t="s">
        <v>1220</v>
      </c>
      <c r="I877" s="587"/>
    </row>
    <row r="878" spans="1:9" hidden="1" outlineLevel="1">
      <c r="A878" s="722">
        <v>2023</v>
      </c>
      <c r="B878" s="719" t="s">
        <v>1638</v>
      </c>
      <c r="C878" s="717" t="s">
        <v>2408</v>
      </c>
      <c r="D878" s="891">
        <v>859</v>
      </c>
      <c r="E878" s="718">
        <v>3.07</v>
      </c>
      <c r="F878" s="720">
        <v>5.08</v>
      </c>
      <c r="G878" t="s">
        <v>1639</v>
      </c>
      <c r="H878" s="592" t="s">
        <v>1220</v>
      </c>
      <c r="I878" s="587"/>
    </row>
    <row r="879" spans="1:9" hidden="1" outlineLevel="1">
      <c r="A879" s="722">
        <v>2023</v>
      </c>
      <c r="B879" s="719" t="s">
        <v>1624</v>
      </c>
      <c r="C879" s="717" t="s">
        <v>2408</v>
      </c>
      <c r="D879" s="891">
        <v>-14969</v>
      </c>
      <c r="E879" s="718">
        <v>-53.44</v>
      </c>
      <c r="F879" s="720">
        <v>-88.47</v>
      </c>
      <c r="G879" t="s">
        <v>1625</v>
      </c>
      <c r="H879" s="592" t="s">
        <v>1220</v>
      </c>
      <c r="I879" s="587"/>
    </row>
    <row r="880" spans="1:9" hidden="1" outlineLevel="1">
      <c r="A880" s="722">
        <v>2023</v>
      </c>
      <c r="B880" s="719" t="s">
        <v>1780</v>
      </c>
      <c r="C880" s="717" t="s">
        <v>2408</v>
      </c>
      <c r="D880" s="891">
        <v>61517</v>
      </c>
      <c r="E880" s="718">
        <v>219.62</v>
      </c>
      <c r="F880" s="720">
        <v>363.57</v>
      </c>
      <c r="G880" t="s">
        <v>1781</v>
      </c>
      <c r="H880" s="592" t="s">
        <v>1220</v>
      </c>
      <c r="I880" s="587"/>
    </row>
    <row r="881" spans="1:9" hidden="1" outlineLevel="1">
      <c r="A881" s="722">
        <v>2023</v>
      </c>
      <c r="B881" s="719" t="s">
        <v>1634</v>
      </c>
      <c r="C881" s="717" t="s">
        <v>2408</v>
      </c>
      <c r="D881" s="891">
        <v>-2313326.017</v>
      </c>
      <c r="E881" s="718">
        <v>-8258.57</v>
      </c>
      <c r="F881" s="720">
        <v>-13671.76</v>
      </c>
      <c r="G881" t="s">
        <v>1635</v>
      </c>
      <c r="H881" s="592" t="s">
        <v>1220</v>
      </c>
      <c r="I881" s="587"/>
    </row>
    <row r="882" spans="1:9" hidden="1" outlineLevel="1">
      <c r="A882" s="722">
        <v>2023</v>
      </c>
      <c r="B882" s="719" t="s">
        <v>1261</v>
      </c>
      <c r="C882" s="717" t="s">
        <v>2408</v>
      </c>
      <c r="D882" s="891">
        <v>-126206</v>
      </c>
      <c r="E882" s="718">
        <v>-450.56</v>
      </c>
      <c r="F882" s="720">
        <v>-745.88</v>
      </c>
      <c r="G882" t="s">
        <v>1262</v>
      </c>
      <c r="H882" s="592" t="s">
        <v>1220</v>
      </c>
      <c r="I882" s="587"/>
    </row>
    <row r="883" spans="1:9" hidden="1" outlineLevel="1">
      <c r="A883" s="722">
        <v>2023</v>
      </c>
      <c r="B883" s="719" t="s">
        <v>1576</v>
      </c>
      <c r="C883" s="717" t="s">
        <v>2408</v>
      </c>
      <c r="D883" s="891">
        <v>49134</v>
      </c>
      <c r="E883" s="718">
        <v>175.41</v>
      </c>
      <c r="F883" s="720">
        <v>290.38</v>
      </c>
      <c r="G883" t="s">
        <v>1577</v>
      </c>
      <c r="H883" s="592" t="s">
        <v>1220</v>
      </c>
      <c r="I883" s="587"/>
    </row>
    <row r="884" spans="1:9" hidden="1" outlineLevel="1">
      <c r="A884" s="722">
        <v>2023</v>
      </c>
      <c r="B884" s="719" t="s">
        <v>1602</v>
      </c>
      <c r="C884" s="717" t="s">
        <v>2408</v>
      </c>
      <c r="D884" s="891">
        <v>46787</v>
      </c>
      <c r="E884" s="718">
        <v>167.03</v>
      </c>
      <c r="F884" s="720">
        <v>276.51</v>
      </c>
      <c r="G884" t="s">
        <v>1603</v>
      </c>
      <c r="H884" s="592" t="s">
        <v>1220</v>
      </c>
      <c r="I884" s="587"/>
    </row>
    <row r="885" spans="1:9" hidden="1" outlineLevel="1">
      <c r="A885" s="722">
        <v>2023</v>
      </c>
      <c r="B885" s="719" t="s">
        <v>1354</v>
      </c>
      <c r="C885" s="717" t="s">
        <v>2408</v>
      </c>
      <c r="D885" s="891">
        <v>-17412</v>
      </c>
      <c r="E885" s="718">
        <v>-62.16</v>
      </c>
      <c r="F885" s="720">
        <v>-102.9</v>
      </c>
      <c r="G885" t="s">
        <v>1355</v>
      </c>
      <c r="H885" s="592" t="s">
        <v>1220</v>
      </c>
      <c r="I885" s="587"/>
    </row>
    <row r="886" spans="1:9" hidden="1" outlineLevel="1">
      <c r="A886" s="722">
        <v>2023</v>
      </c>
      <c r="B886" s="719" t="s">
        <v>1664</v>
      </c>
      <c r="C886" s="717" t="s">
        <v>2408</v>
      </c>
      <c r="D886" s="891">
        <v>26611</v>
      </c>
      <c r="E886" s="718">
        <v>95</v>
      </c>
      <c r="F886" s="720">
        <v>157.27000000000001</v>
      </c>
      <c r="G886" t="s">
        <v>1665</v>
      </c>
      <c r="H886" s="592" t="s">
        <v>1220</v>
      </c>
      <c r="I886" s="587"/>
    </row>
    <row r="887" spans="1:9" hidden="1" outlineLevel="1">
      <c r="A887" s="722">
        <v>2023</v>
      </c>
      <c r="B887" s="719" t="s">
        <v>1650</v>
      </c>
      <c r="C887" s="717" t="s">
        <v>2408</v>
      </c>
      <c r="D887" s="891">
        <v>-583025.22199999995</v>
      </c>
      <c r="E887" s="718">
        <v>-2081.4</v>
      </c>
      <c r="F887" s="720">
        <v>-3445.68</v>
      </c>
      <c r="G887" t="s">
        <v>1651</v>
      </c>
      <c r="H887" s="592" t="s">
        <v>1220</v>
      </c>
      <c r="I887" s="587"/>
    </row>
    <row r="888" spans="1:9" hidden="1" outlineLevel="1">
      <c r="A888" s="722">
        <v>2023</v>
      </c>
      <c r="B888" s="719" t="s">
        <v>2287</v>
      </c>
      <c r="C888" s="717" t="s">
        <v>2408</v>
      </c>
      <c r="D888" s="891">
        <v>-54087</v>
      </c>
      <c r="E888" s="718">
        <v>-193.09</v>
      </c>
      <c r="F888" s="720">
        <v>-319.64999999999998</v>
      </c>
      <c r="G888" t="s">
        <v>2288</v>
      </c>
      <c r="H888" s="592" t="s">
        <v>1220</v>
      </c>
      <c r="I888" s="587"/>
    </row>
    <row r="889" spans="1:9" hidden="1" outlineLevel="1">
      <c r="A889" s="722">
        <v>2023</v>
      </c>
      <c r="B889" s="719" t="s">
        <v>1794</v>
      </c>
      <c r="C889" s="717" t="s">
        <v>2408</v>
      </c>
      <c r="D889" s="891">
        <v>347619</v>
      </c>
      <c r="E889" s="718">
        <v>1241</v>
      </c>
      <c r="F889" s="720">
        <v>2054.4299999999998</v>
      </c>
      <c r="G889" t="s">
        <v>1795</v>
      </c>
      <c r="H889" s="592" t="s">
        <v>1220</v>
      </c>
      <c r="I889" s="587"/>
    </row>
    <row r="890" spans="1:9" hidden="1" outlineLevel="1">
      <c r="A890" s="722">
        <v>2023</v>
      </c>
      <c r="B890" s="719" t="s">
        <v>1798</v>
      </c>
      <c r="C890" s="717" t="s">
        <v>2408</v>
      </c>
      <c r="D890" s="891">
        <v>-39818</v>
      </c>
      <c r="E890" s="718">
        <v>-142.15</v>
      </c>
      <c r="F890" s="720">
        <v>-235.32</v>
      </c>
      <c r="G890" t="s">
        <v>1799</v>
      </c>
      <c r="H890" s="592" t="s">
        <v>1220</v>
      </c>
      <c r="I890" s="587"/>
    </row>
    <row r="891" spans="1:9" hidden="1" outlineLevel="1">
      <c r="A891" s="722">
        <v>2023</v>
      </c>
      <c r="B891" s="719" t="s">
        <v>1318</v>
      </c>
      <c r="C891" s="717" t="s">
        <v>2408</v>
      </c>
      <c r="D891" s="891">
        <v>-490</v>
      </c>
      <c r="E891" s="718">
        <v>-1.75</v>
      </c>
      <c r="F891" s="720">
        <v>-2.9</v>
      </c>
      <c r="G891" t="s">
        <v>1319</v>
      </c>
      <c r="H891" s="592" t="s">
        <v>1220</v>
      </c>
      <c r="I891" s="587"/>
    </row>
    <row r="892" spans="1:9" hidden="1" outlineLevel="1">
      <c r="A892" s="722">
        <v>2023</v>
      </c>
      <c r="B892" s="719" t="s">
        <v>1766</v>
      </c>
      <c r="C892" s="717" t="s">
        <v>2408</v>
      </c>
      <c r="D892" s="891">
        <v>191827</v>
      </c>
      <c r="E892" s="718">
        <v>684.82</v>
      </c>
      <c r="F892" s="720">
        <v>1133.7</v>
      </c>
      <c r="G892" t="s">
        <v>1767</v>
      </c>
      <c r="H892" s="592" t="s">
        <v>1220</v>
      </c>
      <c r="I892" s="587"/>
    </row>
    <row r="893" spans="1:9" hidden="1" outlineLevel="1">
      <c r="A893" s="722">
        <v>2023</v>
      </c>
      <c r="B893" s="719" t="s">
        <v>1448</v>
      </c>
      <c r="C893" s="717" t="s">
        <v>2408</v>
      </c>
      <c r="D893" s="891">
        <v>465317</v>
      </c>
      <c r="E893" s="718">
        <v>1661.18</v>
      </c>
      <c r="F893" s="720">
        <v>2750.02</v>
      </c>
      <c r="G893" t="s">
        <v>1449</v>
      </c>
      <c r="H893" s="592" t="s">
        <v>1220</v>
      </c>
      <c r="I893" s="587"/>
    </row>
    <row r="894" spans="1:9" hidden="1" outlineLevel="1">
      <c r="A894" s="722">
        <v>2023</v>
      </c>
      <c r="B894" s="719" t="s">
        <v>1724</v>
      </c>
      <c r="C894" s="717" t="s">
        <v>2408</v>
      </c>
      <c r="D894" s="891">
        <v>59246</v>
      </c>
      <c r="E894" s="718">
        <v>211.51</v>
      </c>
      <c r="F894" s="720">
        <v>350.14</v>
      </c>
      <c r="G894" t="s">
        <v>1725</v>
      </c>
      <c r="H894" s="592" t="s">
        <v>1220</v>
      </c>
      <c r="I894" s="587"/>
    </row>
    <row r="895" spans="1:9" hidden="1" outlineLevel="1">
      <c r="A895" s="722">
        <v>2023</v>
      </c>
      <c r="B895" s="719" t="s">
        <v>1552</v>
      </c>
      <c r="C895" s="717" t="s">
        <v>2408</v>
      </c>
      <c r="D895" s="891">
        <v>-10777</v>
      </c>
      <c r="E895" s="718">
        <v>-38.47</v>
      </c>
      <c r="F895" s="720">
        <v>-63.69</v>
      </c>
      <c r="G895" t="s">
        <v>1553</v>
      </c>
      <c r="H895" s="592" t="s">
        <v>1220</v>
      </c>
      <c r="I895" s="587"/>
    </row>
    <row r="896" spans="1:9" hidden="1" outlineLevel="1">
      <c r="A896" s="722">
        <v>2023</v>
      </c>
      <c r="B896" s="719" t="s">
        <v>1242</v>
      </c>
      <c r="C896" s="717" t="s">
        <v>2408</v>
      </c>
      <c r="D896" s="891">
        <v>-4972</v>
      </c>
      <c r="E896" s="718">
        <v>-17.75</v>
      </c>
      <c r="F896" s="720">
        <v>-29.38</v>
      </c>
      <c r="G896" t="s">
        <v>1243</v>
      </c>
      <c r="H896" s="592" t="s">
        <v>1220</v>
      </c>
      <c r="I896" s="587"/>
    </row>
    <row r="897" spans="1:9" hidden="1" outlineLevel="1">
      <c r="A897" s="722">
        <v>2023</v>
      </c>
      <c r="B897" s="719" t="s">
        <v>1752</v>
      </c>
      <c r="C897" s="717" t="s">
        <v>2408</v>
      </c>
      <c r="D897" s="891">
        <v>-56876</v>
      </c>
      <c r="E897" s="718">
        <v>-203.05</v>
      </c>
      <c r="F897" s="720">
        <v>-336.14</v>
      </c>
      <c r="G897" t="s">
        <v>1753</v>
      </c>
      <c r="H897" s="592" t="s">
        <v>1220</v>
      </c>
      <c r="I897" s="587"/>
    </row>
    <row r="898" spans="1:9" hidden="1" outlineLevel="1">
      <c r="A898" s="722">
        <v>2023</v>
      </c>
      <c r="B898" s="719" t="s">
        <v>1671</v>
      </c>
      <c r="C898" s="717" t="s">
        <v>2408</v>
      </c>
      <c r="D898" s="891">
        <v>143909</v>
      </c>
      <c r="E898" s="718">
        <v>513.76</v>
      </c>
      <c r="F898" s="720">
        <v>850.5</v>
      </c>
      <c r="G898" t="s">
        <v>1672</v>
      </c>
      <c r="H898" s="592" t="s">
        <v>1220</v>
      </c>
      <c r="I898" s="587"/>
    </row>
    <row r="899" spans="1:9" hidden="1" outlineLevel="1">
      <c r="A899" s="722">
        <v>2023</v>
      </c>
      <c r="B899" s="719" t="s">
        <v>1524</v>
      </c>
      <c r="C899" s="717" t="s">
        <v>2408</v>
      </c>
      <c r="D899" s="891">
        <v>-54767</v>
      </c>
      <c r="E899" s="718">
        <v>-195.52</v>
      </c>
      <c r="F899" s="720">
        <v>-323.67</v>
      </c>
      <c r="G899" t="s">
        <v>1525</v>
      </c>
      <c r="H899" s="592" t="s">
        <v>1220</v>
      </c>
      <c r="I899" s="587"/>
    </row>
    <row r="900" spans="1:9" hidden="1" outlineLevel="1">
      <c r="A900" s="722">
        <v>2023</v>
      </c>
      <c r="B900" s="719" t="s">
        <v>1238</v>
      </c>
      <c r="C900" s="717" t="s">
        <v>2408</v>
      </c>
      <c r="D900" s="891">
        <v>-174213</v>
      </c>
      <c r="E900" s="718">
        <v>-621.94000000000005</v>
      </c>
      <c r="F900" s="720">
        <v>-1029.5999999999999</v>
      </c>
      <c r="G900" t="s">
        <v>1239</v>
      </c>
      <c r="H900" s="592" t="s">
        <v>1220</v>
      </c>
      <c r="I900" s="587"/>
    </row>
    <row r="901" spans="1:9" hidden="1" outlineLevel="1">
      <c r="A901" s="722">
        <v>2023</v>
      </c>
      <c r="B901" s="719" t="s">
        <v>1704</v>
      </c>
      <c r="C901" s="717" t="s">
        <v>2408</v>
      </c>
      <c r="D901" s="891">
        <v>-95238</v>
      </c>
      <c r="E901" s="718">
        <v>-340</v>
      </c>
      <c r="F901" s="720">
        <v>-562.86</v>
      </c>
      <c r="G901" t="s">
        <v>1705</v>
      </c>
      <c r="H901" s="592" t="s">
        <v>1220</v>
      </c>
      <c r="I901" s="587"/>
    </row>
    <row r="902" spans="1:9" hidden="1" outlineLevel="1">
      <c r="A902" s="722">
        <v>2023</v>
      </c>
      <c r="B902" s="719" t="s">
        <v>1312</v>
      </c>
      <c r="C902" s="717" t="s">
        <v>2408</v>
      </c>
      <c r="D902" s="891">
        <v>-427858</v>
      </c>
      <c r="E902" s="718">
        <v>-1527.45</v>
      </c>
      <c r="F902" s="720">
        <v>-2528.64</v>
      </c>
      <c r="G902" t="s">
        <v>1313</v>
      </c>
      <c r="H902" s="592" t="s">
        <v>1220</v>
      </c>
      <c r="I902" s="587"/>
    </row>
    <row r="903" spans="1:9" hidden="1" outlineLevel="1">
      <c r="A903" s="722">
        <v>2023</v>
      </c>
      <c r="B903" s="719" t="s">
        <v>1468</v>
      </c>
      <c r="C903" s="717" t="s">
        <v>2408</v>
      </c>
      <c r="D903" s="891">
        <v>37987</v>
      </c>
      <c r="E903" s="718">
        <v>135.61000000000001</v>
      </c>
      <c r="F903" s="720">
        <v>224.5</v>
      </c>
      <c r="G903" t="s">
        <v>1469</v>
      </c>
      <c r="H903" s="592" t="s">
        <v>1220</v>
      </c>
      <c r="I903" s="587"/>
    </row>
    <row r="904" spans="1:9" hidden="1" outlineLevel="1">
      <c r="A904" s="722">
        <v>2023</v>
      </c>
      <c r="B904" s="719" t="s">
        <v>1309</v>
      </c>
      <c r="C904" s="717" t="s">
        <v>2408</v>
      </c>
      <c r="D904" s="891">
        <v>-91645</v>
      </c>
      <c r="E904" s="718">
        <v>-327.17264999999998</v>
      </c>
      <c r="F904" s="720">
        <v>-541.62195000000008</v>
      </c>
      <c r="G904" t="s">
        <v>1310</v>
      </c>
      <c r="H904" s="592" t="s">
        <v>1220</v>
      </c>
      <c r="I904" s="587"/>
    </row>
    <row r="905" spans="1:9" hidden="1" outlineLevel="1">
      <c r="A905" s="722">
        <v>2023</v>
      </c>
      <c r="B905" s="719" t="s">
        <v>1762</v>
      </c>
      <c r="C905" s="717" t="s">
        <v>2408</v>
      </c>
      <c r="D905" s="891">
        <v>-8956</v>
      </c>
      <c r="E905" s="718">
        <v>-31.972919999999998</v>
      </c>
      <c r="F905" s="720">
        <v>-52.929960000000001</v>
      </c>
      <c r="G905" t="s">
        <v>1763</v>
      </c>
      <c r="H905" s="592" t="s">
        <v>1220</v>
      </c>
      <c r="I905" s="587"/>
    </row>
    <row r="906" spans="1:9" hidden="1" outlineLevel="1">
      <c r="A906" s="722">
        <v>2023</v>
      </c>
      <c r="B906" s="719" t="s">
        <v>1263</v>
      </c>
      <c r="C906" s="717" t="s">
        <v>2408</v>
      </c>
      <c r="D906" s="891">
        <v>29889</v>
      </c>
      <c r="E906" s="718">
        <v>106.70372999999999</v>
      </c>
      <c r="F906" s="720">
        <v>176.64399</v>
      </c>
      <c r="G906" t="s">
        <v>1264</v>
      </c>
      <c r="H906" s="592" t="s">
        <v>1220</v>
      </c>
      <c r="I906" s="587"/>
    </row>
    <row r="907" spans="1:9" hidden="1" outlineLevel="1">
      <c r="A907" s="722">
        <v>2023</v>
      </c>
      <c r="B907" s="719" t="s">
        <v>1388</v>
      </c>
      <c r="C907" s="717" t="s">
        <v>2408</v>
      </c>
      <c r="D907" s="891">
        <v>-22200</v>
      </c>
      <c r="E907" s="718">
        <v>-79.253999999999991</v>
      </c>
      <c r="F907" s="720">
        <v>-131.202</v>
      </c>
      <c r="G907" t="s">
        <v>1389</v>
      </c>
      <c r="H907" s="592" t="s">
        <v>1220</v>
      </c>
      <c r="I907" s="587"/>
    </row>
    <row r="908" spans="1:9" hidden="1" outlineLevel="1">
      <c r="A908" s="722">
        <v>2023</v>
      </c>
      <c r="B908" s="719" t="s">
        <v>1277</v>
      </c>
      <c r="C908" s="717" t="s">
        <v>2408</v>
      </c>
      <c r="D908" s="891">
        <v>-46876</v>
      </c>
      <c r="E908" s="718">
        <v>-167.34732</v>
      </c>
      <c r="F908" s="720">
        <v>-277.03716000000003</v>
      </c>
      <c r="G908" t="s">
        <v>1278</v>
      </c>
      <c r="H908" s="592" t="s">
        <v>1220</v>
      </c>
      <c r="I908" s="587"/>
    </row>
    <row r="909" spans="1:9" hidden="1" outlineLevel="1">
      <c r="A909" s="722">
        <v>2023</v>
      </c>
      <c r="B909" s="719" t="s">
        <v>1514</v>
      </c>
      <c r="C909" s="717" t="s">
        <v>2408</v>
      </c>
      <c r="D909" s="718">
        <v>19718</v>
      </c>
      <c r="E909" s="721">
        <v>70.393259999999998</v>
      </c>
      <c r="F909" s="720">
        <v>116.53338000000001</v>
      </c>
      <c r="G909" t="s">
        <v>1515</v>
      </c>
      <c r="H909" s="592" t="s">
        <v>1220</v>
      </c>
      <c r="I909" s="587"/>
    </row>
    <row r="910" spans="1:9" hidden="1" outlineLevel="1">
      <c r="A910" s="722">
        <v>2023</v>
      </c>
      <c r="B910" s="719" t="s">
        <v>1578</v>
      </c>
      <c r="C910" s="717" t="s">
        <v>2408</v>
      </c>
      <c r="D910" s="718">
        <v>373413</v>
      </c>
      <c r="E910" s="721">
        <v>1333.0844099999999</v>
      </c>
      <c r="F910" s="720">
        <v>2206.8708300000003</v>
      </c>
      <c r="G910" t="s">
        <v>1579</v>
      </c>
      <c r="H910" s="592" t="s">
        <v>1220</v>
      </c>
      <c r="I910" s="587"/>
    </row>
    <row r="911" spans="1:9" hidden="1" outlineLevel="1">
      <c r="A911" s="1532">
        <v>2023</v>
      </c>
      <c r="B911" s="719" t="s">
        <v>1636</v>
      </c>
      <c r="C911" s="1530" t="s">
        <v>2408</v>
      </c>
      <c r="D911" s="721">
        <v>79596</v>
      </c>
      <c r="E911" s="721">
        <v>284.15771999999998</v>
      </c>
      <c r="F911" s="1533">
        <v>470.41236000000004</v>
      </c>
      <c r="G911" t="s">
        <v>1637</v>
      </c>
      <c r="H911" s="592" t="s">
        <v>1220</v>
      </c>
      <c r="I911" s="587"/>
    </row>
    <row r="912" spans="1:9" hidden="1" outlineLevel="1">
      <c r="A912" s="1545">
        <v>2023</v>
      </c>
      <c r="B912" s="893" t="s">
        <v>1646</v>
      </c>
      <c r="C912" s="895" t="s">
        <v>2408</v>
      </c>
      <c r="D912" s="894">
        <v>-598453</v>
      </c>
      <c r="E912" s="894">
        <v>-2136.47721</v>
      </c>
      <c r="F912" s="1546">
        <v>-3536.8572300000001</v>
      </c>
      <c r="G912" s="8" t="s">
        <v>1647</v>
      </c>
      <c r="H912" s="592" t="s">
        <v>1220</v>
      </c>
      <c r="I912" s="587"/>
    </row>
    <row r="913" spans="1:9" hidden="1" outlineLevel="1">
      <c r="A913" s="1545">
        <v>2023</v>
      </c>
      <c r="B913" s="893" t="s">
        <v>869</v>
      </c>
      <c r="C913" s="895" t="s">
        <v>2408</v>
      </c>
      <c r="D913" s="894">
        <v>-14512</v>
      </c>
      <c r="E913" s="894">
        <v>-51.807839999999999</v>
      </c>
      <c r="F913" s="1546">
        <v>-85.765920000000008</v>
      </c>
      <c r="G913" s="8" t="s">
        <v>870</v>
      </c>
      <c r="H913" s="592" t="s">
        <v>1220</v>
      </c>
      <c r="I913" s="587"/>
    </row>
    <row r="914" spans="1:9" hidden="1" outlineLevel="1">
      <c r="A914" s="889">
        <v>2023</v>
      </c>
      <c r="B914" s="893" t="s">
        <v>1744</v>
      </c>
      <c r="C914" s="890" t="s">
        <v>2408</v>
      </c>
      <c r="D914" s="891">
        <v>83065</v>
      </c>
      <c r="E914" s="891">
        <v>296.54204999999996</v>
      </c>
      <c r="F914" s="892">
        <v>490.91415000000001</v>
      </c>
      <c r="G914" s="8" t="s">
        <v>1745</v>
      </c>
      <c r="H914" s="592" t="s">
        <v>1220</v>
      </c>
      <c r="I914" s="587"/>
    </row>
    <row r="915" spans="1:9" hidden="1" outlineLevel="1">
      <c r="A915" s="889">
        <v>2023</v>
      </c>
      <c r="B915" s="893" t="s">
        <v>1114</v>
      </c>
      <c r="C915" s="890" t="s">
        <v>2408</v>
      </c>
      <c r="D915" s="891">
        <v>-2321</v>
      </c>
      <c r="E915" s="891">
        <v>-8.2859699999999989</v>
      </c>
      <c r="F915" s="892">
        <v>-13.71711</v>
      </c>
      <c r="G915" s="8" t="s">
        <v>1689</v>
      </c>
      <c r="H915" s="592" t="s">
        <v>1220</v>
      </c>
      <c r="I915" s="587"/>
    </row>
    <row r="916" spans="1:9" hidden="1" outlineLevel="1">
      <c r="A916" s="889">
        <v>2023</v>
      </c>
      <c r="B916" s="893" t="s">
        <v>1414</v>
      </c>
      <c r="C916" s="890" t="s">
        <v>2408</v>
      </c>
      <c r="D916" s="891">
        <v>-105156</v>
      </c>
      <c r="E916" s="891">
        <v>-375.40691999999996</v>
      </c>
      <c r="F916" s="892">
        <v>-621.47196000000008</v>
      </c>
      <c r="G916" s="8" t="s">
        <v>1415</v>
      </c>
      <c r="H916" s="592" t="s">
        <v>1220</v>
      </c>
      <c r="I916" s="587"/>
    </row>
    <row r="917" spans="1:9" hidden="1" outlineLevel="1">
      <c r="A917" s="889">
        <v>2023</v>
      </c>
      <c r="B917" s="893" t="s">
        <v>2226</v>
      </c>
      <c r="C917" s="890" t="s">
        <v>2408</v>
      </c>
      <c r="D917" s="891">
        <v>20276</v>
      </c>
      <c r="E917" s="891">
        <v>72.385319999999993</v>
      </c>
      <c r="F917" s="892">
        <v>119.83116000000001</v>
      </c>
      <c r="G917" s="8" t="s">
        <v>2227</v>
      </c>
      <c r="H917" s="592" t="s">
        <v>1220</v>
      </c>
      <c r="I917" s="587"/>
    </row>
    <row r="918" spans="1:9" hidden="1" outlineLevel="1">
      <c r="A918" s="889">
        <v>2023</v>
      </c>
      <c r="B918" s="893" t="s">
        <v>1824</v>
      </c>
      <c r="C918" s="890" t="s">
        <v>2408</v>
      </c>
      <c r="D918" s="891">
        <v>-23204</v>
      </c>
      <c r="E918" s="891">
        <v>-82.838279999999997</v>
      </c>
      <c r="F918" s="892">
        <v>-137.13564</v>
      </c>
      <c r="G918" s="8" t="s">
        <v>1825</v>
      </c>
      <c r="H918" s="592" t="s">
        <v>1220</v>
      </c>
      <c r="I918" s="587"/>
    </row>
    <row r="919" spans="1:9" hidden="1" outlineLevel="1">
      <c r="A919" s="889">
        <v>2023</v>
      </c>
      <c r="B919" s="893" t="s">
        <v>1384</v>
      </c>
      <c r="C919" s="890" t="s">
        <v>2408</v>
      </c>
      <c r="D919" s="891">
        <v>-15096.5</v>
      </c>
      <c r="E919" s="891">
        <v>-53.894504999999995</v>
      </c>
      <c r="F919" s="892">
        <v>-89.220314999999999</v>
      </c>
      <c r="G919" s="8" t="s">
        <v>1385</v>
      </c>
      <c r="H919" s="592" t="s">
        <v>1220</v>
      </c>
      <c r="I919" s="587"/>
    </row>
    <row r="920" spans="1:9" hidden="1" outlineLevel="1">
      <c r="A920" s="889">
        <v>2023</v>
      </c>
      <c r="B920" s="893" t="s">
        <v>1804</v>
      </c>
      <c r="C920" s="890" t="s">
        <v>2408</v>
      </c>
      <c r="D920" s="891">
        <v>71930</v>
      </c>
      <c r="E920" s="891">
        <v>256.7901</v>
      </c>
      <c r="F920" s="892">
        <v>425.10630000000003</v>
      </c>
      <c r="G920" s="8" t="s">
        <v>1805</v>
      </c>
      <c r="H920" s="592" t="s">
        <v>1220</v>
      </c>
      <c r="I920" s="587"/>
    </row>
    <row r="921" spans="1:9" hidden="1" outlineLevel="1">
      <c r="A921" s="889">
        <v>2023</v>
      </c>
      <c r="B921" s="893" t="s">
        <v>1287</v>
      </c>
      <c r="C921" s="890" t="s">
        <v>2408</v>
      </c>
      <c r="D921" s="891">
        <v>4903</v>
      </c>
      <c r="E921" s="891">
        <v>17.503709999999998</v>
      </c>
      <c r="F921" s="892">
        <v>28.97673</v>
      </c>
      <c r="G921" s="8" t="s">
        <v>1288</v>
      </c>
      <c r="H921" s="592" t="s">
        <v>1220</v>
      </c>
      <c r="I921" s="587"/>
    </row>
    <row r="922" spans="1:9" hidden="1" outlineLevel="1">
      <c r="A922" s="889">
        <v>2023</v>
      </c>
      <c r="B922" s="893" t="s">
        <v>1510</v>
      </c>
      <c r="C922" s="890" t="s">
        <v>2408</v>
      </c>
      <c r="D922" s="891">
        <v>55669</v>
      </c>
      <c r="E922" s="891">
        <v>198.73832999999999</v>
      </c>
      <c r="F922" s="892">
        <v>329.00379000000004</v>
      </c>
      <c r="G922" s="8" t="s">
        <v>1511</v>
      </c>
      <c r="H922" s="592" t="s">
        <v>1220</v>
      </c>
      <c r="I922" s="587"/>
    </row>
    <row r="923" spans="1:9" hidden="1" outlineLevel="1">
      <c r="A923" s="889">
        <v>2023</v>
      </c>
      <c r="B923" s="893" t="s">
        <v>1362</v>
      </c>
      <c r="C923" s="890" t="s">
        <v>2408</v>
      </c>
      <c r="D923" s="891">
        <v>-6724</v>
      </c>
      <c r="E923" s="891">
        <v>-24.00468</v>
      </c>
      <c r="F923" s="892">
        <v>-39.738840000000003</v>
      </c>
      <c r="G923" s="8" t="s">
        <v>1363</v>
      </c>
      <c r="H923" s="592" t="s">
        <v>1220</v>
      </c>
      <c r="I923" s="587"/>
    </row>
    <row r="924" spans="1:9" hidden="1" outlineLevel="1">
      <c r="A924" s="889">
        <v>2023</v>
      </c>
      <c r="B924" s="893" t="s">
        <v>456</v>
      </c>
      <c r="C924" s="890" t="s">
        <v>2408</v>
      </c>
      <c r="D924" s="891">
        <v>152209.60000000001</v>
      </c>
      <c r="E924" s="891">
        <v>543.38827200000003</v>
      </c>
      <c r="F924" s="892">
        <v>899.55873600000007</v>
      </c>
      <c r="G924" s="8" t="s">
        <v>457</v>
      </c>
      <c r="H924" s="592" t="s">
        <v>1220</v>
      </c>
      <c r="I924" s="587"/>
    </row>
    <row r="925" spans="1:9" hidden="1" outlineLevel="1">
      <c r="A925" s="889">
        <v>2023</v>
      </c>
      <c r="B925" s="893" t="s">
        <v>1478</v>
      </c>
      <c r="C925" s="890" t="s">
        <v>2408</v>
      </c>
      <c r="D925" s="891">
        <v>892</v>
      </c>
      <c r="E925" s="891">
        <v>3.1844399999999999</v>
      </c>
      <c r="F925" s="892">
        <v>5.2717200000000002</v>
      </c>
      <c r="G925" s="8" t="s">
        <v>1479</v>
      </c>
      <c r="H925" s="592" t="s">
        <v>1220</v>
      </c>
      <c r="I925" s="587"/>
    </row>
    <row r="926" spans="1:9" hidden="1" outlineLevel="1">
      <c r="A926" s="889">
        <v>2023</v>
      </c>
      <c r="B926" s="893" t="s">
        <v>1796</v>
      </c>
      <c r="C926" s="890" t="s">
        <v>2408</v>
      </c>
      <c r="D926" s="891">
        <v>63852</v>
      </c>
      <c r="E926" s="891">
        <v>227.95164</v>
      </c>
      <c r="F926" s="892">
        <v>377.36532</v>
      </c>
      <c r="G926" s="8" t="s">
        <v>1797</v>
      </c>
      <c r="H926" s="592" t="s">
        <v>1220</v>
      </c>
      <c r="I926" s="587"/>
    </row>
    <row r="927" spans="1:9" hidden="1" outlineLevel="1">
      <c r="A927" s="889">
        <v>2023</v>
      </c>
      <c r="B927" s="893" t="s">
        <v>2244</v>
      </c>
      <c r="C927" s="890" t="s">
        <v>2408</v>
      </c>
      <c r="D927" s="891">
        <v>315610</v>
      </c>
      <c r="E927" s="891">
        <v>1126.7276999999999</v>
      </c>
      <c r="F927" s="892">
        <v>1865.2551000000001</v>
      </c>
      <c r="G927" s="8" t="s">
        <v>2245</v>
      </c>
      <c r="H927" s="592" t="s">
        <v>1220</v>
      </c>
      <c r="I927" s="587"/>
    </row>
    <row r="928" spans="1:9" hidden="1" outlineLevel="1">
      <c r="A928" s="889">
        <v>2023</v>
      </c>
      <c r="B928" s="893" t="s">
        <v>1416</v>
      </c>
      <c r="C928" s="890" t="s">
        <v>2408</v>
      </c>
      <c r="D928" s="891">
        <v>618104</v>
      </c>
      <c r="E928" s="891">
        <v>2206.6312800000001</v>
      </c>
      <c r="F928" s="892">
        <v>3652.9946400000003</v>
      </c>
      <c r="G928" s="8" t="s">
        <v>1417</v>
      </c>
      <c r="H928" s="592" t="s">
        <v>1220</v>
      </c>
      <c r="I928" s="587"/>
    </row>
    <row r="929" spans="1:9" hidden="1" outlineLevel="1">
      <c r="A929" s="889">
        <v>2023</v>
      </c>
      <c r="B929" s="893" t="s">
        <v>2250</v>
      </c>
      <c r="C929" s="890" t="s">
        <v>2408</v>
      </c>
      <c r="D929" s="891">
        <v>90800</v>
      </c>
      <c r="E929" s="891">
        <v>324.15600000000001</v>
      </c>
      <c r="F929" s="892">
        <v>536.62800000000004</v>
      </c>
      <c r="G929" s="8" t="s">
        <v>2251</v>
      </c>
      <c r="H929" s="592" t="s">
        <v>1220</v>
      </c>
      <c r="I929" s="587"/>
    </row>
    <row r="930" spans="1:9" hidden="1" outlineLevel="1">
      <c r="A930" s="889">
        <v>2023</v>
      </c>
      <c r="B930" s="893" t="s">
        <v>1654</v>
      </c>
      <c r="C930" s="890" t="s">
        <v>2408</v>
      </c>
      <c r="D930" s="891">
        <v>-36589103.740000002</v>
      </c>
      <c r="E930" s="891">
        <v>-130623.10035180001</v>
      </c>
      <c r="F930" s="892">
        <v>-216241.60310340003</v>
      </c>
      <c r="G930" s="8" t="s">
        <v>1655</v>
      </c>
      <c r="H930" s="592" t="s">
        <v>1220</v>
      </c>
      <c r="I930" s="587"/>
    </row>
    <row r="931" spans="1:9" hidden="1" outlineLevel="1">
      <c r="A931" s="889">
        <v>2023</v>
      </c>
      <c r="B931" s="893" t="s">
        <v>1516</v>
      </c>
      <c r="C931" s="890" t="s">
        <v>2408</v>
      </c>
      <c r="D931" s="891">
        <v>-24493504</v>
      </c>
      <c r="E931" s="891">
        <v>-87441.809280000001</v>
      </c>
      <c r="F931" s="892">
        <v>-144756.60864000002</v>
      </c>
      <c r="G931" s="8" t="s">
        <v>1517</v>
      </c>
      <c r="H931" s="592" t="s">
        <v>1220</v>
      </c>
      <c r="I931" s="587"/>
    </row>
    <row r="932" spans="1:9" hidden="1" outlineLevel="1">
      <c r="A932" s="889">
        <v>2023</v>
      </c>
      <c r="B932" s="893" t="s">
        <v>1430</v>
      </c>
      <c r="C932" s="890" t="s">
        <v>2408</v>
      </c>
      <c r="D932" s="891">
        <v>7231260</v>
      </c>
      <c r="E932" s="891">
        <v>25815.5982</v>
      </c>
      <c r="F932" s="892">
        <v>42736.746600000006</v>
      </c>
      <c r="G932" s="8" t="s">
        <v>1431</v>
      </c>
      <c r="H932" s="592" t="s">
        <v>1220</v>
      </c>
      <c r="I932" s="587"/>
    </row>
    <row r="933" spans="1:9" hidden="1" outlineLevel="1">
      <c r="A933" s="889">
        <v>2023</v>
      </c>
      <c r="B933" s="893" t="s">
        <v>1808</v>
      </c>
      <c r="C933" s="890" t="s">
        <v>2408</v>
      </c>
      <c r="D933" s="891">
        <v>-12835255.628</v>
      </c>
      <c r="E933" s="891">
        <v>-45821.862591960002</v>
      </c>
      <c r="F933" s="892">
        <v>-75856.360761480013</v>
      </c>
      <c r="G933" s="8" t="s">
        <v>1809</v>
      </c>
      <c r="H933" s="592" t="s">
        <v>1220</v>
      </c>
      <c r="I933" s="587"/>
    </row>
    <row r="934" spans="1:9" hidden="1" outlineLevel="1">
      <c r="A934" s="889">
        <v>2023</v>
      </c>
      <c r="B934" s="893" t="s">
        <v>879</v>
      </c>
      <c r="C934" s="890" t="s">
        <v>2408</v>
      </c>
      <c r="D934" s="891">
        <v>-5486722</v>
      </c>
      <c r="E934" s="891">
        <v>-19587.597539999999</v>
      </c>
      <c r="F934" s="892">
        <v>-32426.527020000001</v>
      </c>
      <c r="G934" s="8" t="s">
        <v>880</v>
      </c>
      <c r="H934" s="592" t="s">
        <v>1220</v>
      </c>
      <c r="I934" s="587"/>
    </row>
    <row r="935" spans="1:9" hidden="1" outlineLevel="1">
      <c r="A935" s="889">
        <v>2023</v>
      </c>
      <c r="B935" s="893" t="s">
        <v>1683</v>
      </c>
      <c r="C935" s="890" t="s">
        <v>2408</v>
      </c>
      <c r="D935" s="891">
        <v>-58038887</v>
      </c>
      <c r="E935" s="891">
        <v>-207198.82658999998</v>
      </c>
      <c r="F935" s="892">
        <v>-343009.82217</v>
      </c>
      <c r="G935" s="8" t="s">
        <v>1684</v>
      </c>
      <c r="H935" s="592" t="s">
        <v>1220</v>
      </c>
      <c r="I935" s="587"/>
    </row>
    <row r="936" spans="1:9" hidden="1" outlineLevel="1">
      <c r="A936" s="889">
        <v>2023</v>
      </c>
      <c r="B936" s="893" t="s">
        <v>758</v>
      </c>
      <c r="C936" s="890" t="s">
        <v>2408</v>
      </c>
      <c r="D936" s="891">
        <v>-7540092.7439999999</v>
      </c>
      <c r="E936" s="891">
        <v>-26918.13109608</v>
      </c>
      <c r="F936" s="892">
        <v>-44561.948117040003</v>
      </c>
      <c r="G936" s="8" t="s">
        <v>759</v>
      </c>
      <c r="H936" s="592" t="s">
        <v>1220</v>
      </c>
      <c r="I936" s="587"/>
    </row>
    <row r="937" spans="1:9" hidden="1" outlineLevel="1">
      <c r="A937" s="889">
        <v>2023</v>
      </c>
      <c r="B937" s="893" t="s">
        <v>1090</v>
      </c>
      <c r="C937" s="890" t="s">
        <v>2408</v>
      </c>
      <c r="D937" s="891">
        <v>-670687</v>
      </c>
      <c r="E937" s="891">
        <v>-2394.35259</v>
      </c>
      <c r="F937" s="892">
        <v>-3963.76017</v>
      </c>
      <c r="G937" s="8" t="s">
        <v>1091</v>
      </c>
      <c r="H937" s="592" t="s">
        <v>1220</v>
      </c>
      <c r="I937" s="587"/>
    </row>
    <row r="938" spans="1:9" hidden="1" outlineLevel="1">
      <c r="A938" s="889">
        <v>2023</v>
      </c>
      <c r="B938" s="893" t="s">
        <v>1784</v>
      </c>
      <c r="C938" s="890" t="s">
        <v>2408</v>
      </c>
      <c r="D938" s="891">
        <v>-276820.3</v>
      </c>
      <c r="E938" s="891">
        <v>-988.24847099999988</v>
      </c>
      <c r="F938" s="892">
        <v>-1636.007973</v>
      </c>
      <c r="G938" s="8" t="s">
        <v>1785</v>
      </c>
      <c r="H938" s="592" t="s">
        <v>1220</v>
      </c>
      <c r="I938" s="587"/>
    </row>
    <row r="939" spans="1:9" hidden="1" outlineLevel="1">
      <c r="A939" s="889">
        <v>2023</v>
      </c>
      <c r="B939" s="893" t="s">
        <v>799</v>
      </c>
      <c r="C939" s="890" t="s">
        <v>2408</v>
      </c>
      <c r="D939" s="891">
        <v>3942</v>
      </c>
      <c r="E939" s="891">
        <v>14.072939999999999</v>
      </c>
      <c r="F939" s="892">
        <v>23.297220000000003</v>
      </c>
      <c r="G939" s="8" t="s">
        <v>2262</v>
      </c>
      <c r="H939" s="592" t="s">
        <v>1220</v>
      </c>
      <c r="I939" s="587"/>
    </row>
    <row r="940" spans="1:9" hidden="1" outlineLevel="1">
      <c r="A940" s="889">
        <v>2023</v>
      </c>
      <c r="B940" s="893" t="s">
        <v>1520</v>
      </c>
      <c r="C940" s="890" t="s">
        <v>2408</v>
      </c>
      <c r="D940" s="891">
        <v>120424</v>
      </c>
      <c r="E940" s="891">
        <v>429.91368</v>
      </c>
      <c r="F940" s="892">
        <v>711.70584000000008</v>
      </c>
      <c r="G940" s="8" t="s">
        <v>1521</v>
      </c>
      <c r="H940" s="592" t="s">
        <v>1220</v>
      </c>
      <c r="I940" s="587"/>
    </row>
    <row r="941" spans="1:9" hidden="1" outlineLevel="1">
      <c r="A941" s="889">
        <v>2023</v>
      </c>
      <c r="B941" s="893" t="s">
        <v>943</v>
      </c>
      <c r="C941" s="890" t="s">
        <v>2408</v>
      </c>
      <c r="D941" s="891">
        <v>-435994</v>
      </c>
      <c r="E941" s="891">
        <v>-1556.4985799999999</v>
      </c>
      <c r="F941" s="892">
        <v>-2576.7245400000002</v>
      </c>
      <c r="G941" s="8" t="s">
        <v>944</v>
      </c>
      <c r="H941" s="592" t="s">
        <v>1220</v>
      </c>
      <c r="I941" s="587"/>
    </row>
    <row r="942" spans="1:9" hidden="1" outlineLevel="1">
      <c r="A942" s="889">
        <v>2023</v>
      </c>
      <c r="B942" s="893" t="s">
        <v>1770</v>
      </c>
      <c r="C942" s="890" t="s">
        <v>2408</v>
      </c>
      <c r="D942" s="891">
        <v>207346</v>
      </c>
      <c r="E942" s="891">
        <v>740.22521999999992</v>
      </c>
      <c r="F942" s="892">
        <v>1225.4148600000001</v>
      </c>
      <c r="G942" s="8" t="s">
        <v>1771</v>
      </c>
      <c r="H942" s="592" t="s">
        <v>1220</v>
      </c>
      <c r="I942" s="587"/>
    </row>
    <row r="943" spans="1:9" hidden="1" outlineLevel="1">
      <c r="A943" s="889">
        <v>2023</v>
      </c>
      <c r="B943" s="893" t="s">
        <v>1030</v>
      </c>
      <c r="C943" s="890" t="s">
        <v>2408</v>
      </c>
      <c r="D943" s="891">
        <v>-335267</v>
      </c>
      <c r="E943" s="891">
        <v>-1196.90319</v>
      </c>
      <c r="F943" s="892">
        <v>-1981.4279700000002</v>
      </c>
      <c r="G943" s="8" t="s">
        <v>1031</v>
      </c>
      <c r="H943" s="592" t="s">
        <v>1220</v>
      </c>
      <c r="I943" s="587"/>
    </row>
    <row r="944" spans="1:9" hidden="1" outlineLevel="1">
      <c r="A944" s="889">
        <v>2023</v>
      </c>
      <c r="B944" s="893" t="s">
        <v>839</v>
      </c>
      <c r="C944" s="890" t="s">
        <v>2408</v>
      </c>
      <c r="D944" s="891">
        <v>-166408</v>
      </c>
      <c r="E944" s="891">
        <v>-594.07655999999997</v>
      </c>
      <c r="F944" s="892">
        <v>-983.47128000000009</v>
      </c>
      <c r="G944" s="8" t="s">
        <v>1311</v>
      </c>
      <c r="H944" s="592" t="s">
        <v>1220</v>
      </c>
      <c r="I944" s="587"/>
    </row>
    <row r="945" spans="1:9" hidden="1" outlineLevel="1">
      <c r="A945" s="889">
        <v>2023</v>
      </c>
      <c r="B945" s="893" t="s">
        <v>1273</v>
      </c>
      <c r="C945" s="890" t="s">
        <v>2408</v>
      </c>
      <c r="D945" s="891">
        <v>574971</v>
      </c>
      <c r="E945" s="891">
        <v>2052.6464699999997</v>
      </c>
      <c r="F945" s="892">
        <v>3398.07861</v>
      </c>
      <c r="G945" s="8" t="s">
        <v>1274</v>
      </c>
      <c r="H945" s="592" t="s">
        <v>1220</v>
      </c>
      <c r="I945" s="587"/>
    </row>
    <row r="946" spans="1:9" hidden="1" outlineLevel="1">
      <c r="A946" s="889">
        <v>2023</v>
      </c>
      <c r="B946" s="893" t="s">
        <v>1488</v>
      </c>
      <c r="C946" s="890" t="s">
        <v>2408</v>
      </c>
      <c r="D946" s="891">
        <v>-26892</v>
      </c>
      <c r="E946" s="891">
        <v>-96.004439999999988</v>
      </c>
      <c r="F946" s="892">
        <v>-158.93172000000001</v>
      </c>
      <c r="G946" s="8" t="s">
        <v>1489</v>
      </c>
      <c r="H946" s="592" t="s">
        <v>1220</v>
      </c>
      <c r="I946" s="587"/>
    </row>
    <row r="947" spans="1:9" hidden="1" outlineLevel="1">
      <c r="A947" s="889">
        <v>2023</v>
      </c>
      <c r="B947" s="893" t="s">
        <v>1782</v>
      </c>
      <c r="C947" s="890" t="s">
        <v>2408</v>
      </c>
      <c r="D947" s="891">
        <v>129798</v>
      </c>
      <c r="E947" s="891">
        <v>463.37885999999997</v>
      </c>
      <c r="F947" s="892">
        <v>767.10617999999999</v>
      </c>
      <c r="G947" s="8" t="s">
        <v>1783</v>
      </c>
      <c r="H947" s="592" t="s">
        <v>1220</v>
      </c>
      <c r="I947" s="587"/>
    </row>
    <row r="948" spans="1:9" hidden="1" outlineLevel="1">
      <c r="A948" s="889">
        <v>2023</v>
      </c>
      <c r="B948" s="893" t="s">
        <v>1472</v>
      </c>
      <c r="C948" s="890" t="s">
        <v>2408</v>
      </c>
      <c r="D948" s="891">
        <v>43785</v>
      </c>
      <c r="E948" s="891">
        <v>156.31244999999998</v>
      </c>
      <c r="F948" s="892">
        <v>258.76935000000003</v>
      </c>
      <c r="G948" s="8" t="s">
        <v>1473</v>
      </c>
      <c r="H948" s="592" t="s">
        <v>1220</v>
      </c>
      <c r="I948" s="587"/>
    </row>
    <row r="949" spans="1:9" hidden="1" outlineLevel="1">
      <c r="A949" s="889">
        <v>2023</v>
      </c>
      <c r="B949" s="893" t="s">
        <v>1508</v>
      </c>
      <c r="C949" s="890" t="s">
        <v>2408</v>
      </c>
      <c r="D949" s="891">
        <v>-34294</v>
      </c>
      <c r="E949" s="891">
        <v>-122.42957999999999</v>
      </c>
      <c r="F949" s="892">
        <v>-202.67754000000002</v>
      </c>
      <c r="G949" s="8" t="s">
        <v>1509</v>
      </c>
      <c r="H949" s="592" t="s">
        <v>1220</v>
      </c>
      <c r="I949" s="587"/>
    </row>
    <row r="950" spans="1:9" hidden="1" outlineLevel="1">
      <c r="A950" s="889">
        <v>2023</v>
      </c>
      <c r="B950" s="893" t="s">
        <v>1305</v>
      </c>
      <c r="C950" s="890" t="s">
        <v>2408</v>
      </c>
      <c r="D950" s="891">
        <v>-1016810.069</v>
      </c>
      <c r="E950" s="891">
        <v>-3630.0119463299998</v>
      </c>
      <c r="F950" s="892">
        <v>-6009.3475077900002</v>
      </c>
      <c r="G950" s="8" t="s">
        <v>1306</v>
      </c>
      <c r="H950" s="592" t="s">
        <v>1220</v>
      </c>
      <c r="I950" s="587"/>
    </row>
    <row r="951" spans="1:9" hidden="1" outlineLevel="1">
      <c r="A951" s="889">
        <v>2023</v>
      </c>
      <c r="B951" s="893" t="s">
        <v>1810</v>
      </c>
      <c r="C951" s="890" t="s">
        <v>2408</v>
      </c>
      <c r="D951" s="891">
        <v>62735</v>
      </c>
      <c r="E951" s="891">
        <v>223.96394999999998</v>
      </c>
      <c r="F951" s="892">
        <v>370.76385000000005</v>
      </c>
      <c r="G951" s="8" t="s">
        <v>1811</v>
      </c>
      <c r="H951" s="592" t="s">
        <v>1220</v>
      </c>
      <c r="I951" s="587"/>
    </row>
    <row r="952" spans="1:9" hidden="1" outlineLevel="1">
      <c r="A952" s="889">
        <v>2023</v>
      </c>
      <c r="B952" s="893" t="s">
        <v>2275</v>
      </c>
      <c r="C952" s="890" t="s">
        <v>2408</v>
      </c>
      <c r="D952" s="891">
        <v>62579.629000000001</v>
      </c>
      <c r="E952" s="891">
        <v>223.40927553</v>
      </c>
      <c r="F952" s="892">
        <v>369.84560739</v>
      </c>
      <c r="G952" s="8" t="s">
        <v>2276</v>
      </c>
      <c r="H952" s="592" t="s">
        <v>1220</v>
      </c>
      <c r="I952" s="587"/>
    </row>
    <row r="953" spans="1:9" hidden="1" outlineLevel="1">
      <c r="A953" s="889">
        <v>2023</v>
      </c>
      <c r="B953" s="893" t="s">
        <v>1370</v>
      </c>
      <c r="C953" s="890" t="s">
        <v>2408</v>
      </c>
      <c r="D953" s="891">
        <v>1305.3599999999999</v>
      </c>
      <c r="E953" s="891">
        <v>4.6601351999999991</v>
      </c>
      <c r="F953" s="892">
        <v>7.7146775999999999</v>
      </c>
      <c r="G953" s="8" t="s">
        <v>1371</v>
      </c>
      <c r="H953" s="592" t="s">
        <v>1220</v>
      </c>
      <c r="I953" s="587"/>
    </row>
    <row r="954" spans="1:9" hidden="1" outlineLevel="1">
      <c r="A954" s="889">
        <v>2023</v>
      </c>
      <c r="B954" s="893" t="s">
        <v>1522</v>
      </c>
      <c r="C954" s="890" t="s">
        <v>2408</v>
      </c>
      <c r="D954" s="891">
        <v>-325260</v>
      </c>
      <c r="E954" s="891">
        <v>-1161.1781999999998</v>
      </c>
      <c r="F954" s="892">
        <v>-1922.2866000000001</v>
      </c>
      <c r="G954" s="8" t="s">
        <v>1523</v>
      </c>
      <c r="H954" s="592" t="s">
        <v>1220</v>
      </c>
      <c r="I954" s="587"/>
    </row>
    <row r="955" spans="1:9" hidden="1" outlineLevel="1">
      <c r="A955" s="889">
        <v>2023</v>
      </c>
      <c r="B955" s="893" t="s">
        <v>1223</v>
      </c>
      <c r="C955" s="890" t="s">
        <v>2408</v>
      </c>
      <c r="D955" s="891">
        <v>762026.37</v>
      </c>
      <c r="E955" s="891">
        <v>2720.4341408999999</v>
      </c>
      <c r="F955" s="892">
        <v>4503.5758467000005</v>
      </c>
      <c r="G955" s="8" t="s">
        <v>1224</v>
      </c>
      <c r="H955" s="592" t="s">
        <v>1220</v>
      </c>
      <c r="I955" s="587"/>
    </row>
    <row r="956" spans="1:9" hidden="1" outlineLevel="1">
      <c r="A956" s="889">
        <v>2023</v>
      </c>
      <c r="B956" s="893" t="s">
        <v>1432</v>
      </c>
      <c r="C956" s="890" t="s">
        <v>2408</v>
      </c>
      <c r="D956" s="891">
        <v>527671.28</v>
      </c>
      <c r="E956" s="891">
        <v>1883.7864695999999</v>
      </c>
      <c r="F956" s="892">
        <v>3118.5372648000002</v>
      </c>
      <c r="G956" s="8" t="s">
        <v>1433</v>
      </c>
      <c r="H956" s="592" t="s">
        <v>1220</v>
      </c>
      <c r="I956" s="587"/>
    </row>
    <row r="957" spans="1:9" hidden="1" outlineLevel="1">
      <c r="A957" s="889">
        <v>2023</v>
      </c>
      <c r="B957" s="893" t="s">
        <v>1364</v>
      </c>
      <c r="C957" s="890" t="s">
        <v>2408</v>
      </c>
      <c r="D957" s="891">
        <v>77565.67</v>
      </c>
      <c r="E957" s="891">
        <v>276.90944189999999</v>
      </c>
      <c r="F957" s="892">
        <v>458.41310970000001</v>
      </c>
      <c r="G957" s="8" t="s">
        <v>1365</v>
      </c>
      <c r="H957" s="592" t="s">
        <v>1220</v>
      </c>
      <c r="I957" s="587"/>
    </row>
    <row r="958" spans="1:9" hidden="1" outlineLevel="1">
      <c r="A958" s="889">
        <v>2023</v>
      </c>
      <c r="B958" s="893" t="s">
        <v>1285</v>
      </c>
      <c r="C958" s="890" t="s">
        <v>2408</v>
      </c>
      <c r="D958" s="891">
        <v>48753</v>
      </c>
      <c r="E958" s="891">
        <v>174.04820999999998</v>
      </c>
      <c r="F958" s="892">
        <v>288.13023000000004</v>
      </c>
      <c r="G958" s="8" t="s">
        <v>1286</v>
      </c>
      <c r="H958" s="592" t="s">
        <v>1220</v>
      </c>
      <c r="I958" s="587"/>
    </row>
    <row r="959" spans="1:9" hidden="1" outlineLevel="1">
      <c r="A959" s="889">
        <v>2023</v>
      </c>
      <c r="B959" s="893" t="s">
        <v>768</v>
      </c>
      <c r="C959" s="890" t="s">
        <v>2408</v>
      </c>
      <c r="D959" s="891">
        <v>-112462</v>
      </c>
      <c r="E959" s="891">
        <v>-401.48933999999997</v>
      </c>
      <c r="F959" s="892">
        <v>-664.65042000000005</v>
      </c>
      <c r="G959" s="8" t="s">
        <v>769</v>
      </c>
      <c r="H959" s="592" t="s">
        <v>1220</v>
      </c>
      <c r="I959" s="587"/>
    </row>
    <row r="960" spans="1:9" hidden="1" outlineLevel="1">
      <c r="A960" s="889">
        <v>2023</v>
      </c>
      <c r="B960" s="893" t="s">
        <v>1683</v>
      </c>
      <c r="C960" s="890" t="s">
        <v>2409</v>
      </c>
      <c r="D960" s="891">
        <v>-1434802</v>
      </c>
      <c r="E960" s="891">
        <v>-573.91999999999996</v>
      </c>
      <c r="F960" s="892">
        <v>-573.91999999999996</v>
      </c>
      <c r="G960" s="8" t="s">
        <v>1684</v>
      </c>
      <c r="H960" s="592" t="s">
        <v>1220</v>
      </c>
      <c r="I960" s="587"/>
    </row>
    <row r="961" spans="1:9" hidden="1" outlineLevel="1">
      <c r="A961" s="889">
        <v>2023</v>
      </c>
      <c r="B961" s="893" t="s">
        <v>943</v>
      </c>
      <c r="C961" s="890" t="s">
        <v>2409</v>
      </c>
      <c r="D961" s="891">
        <v>1545932</v>
      </c>
      <c r="E961" s="891">
        <v>618.37</v>
      </c>
      <c r="F961" s="892">
        <v>618.37</v>
      </c>
      <c r="G961" s="8" t="s">
        <v>944</v>
      </c>
      <c r="H961" s="592" t="s">
        <v>1220</v>
      </c>
      <c r="I961" s="587"/>
    </row>
    <row r="962" spans="1:9" hidden="1" outlineLevel="1">
      <c r="A962" s="889">
        <v>2023</v>
      </c>
      <c r="B962" s="893" t="s">
        <v>943</v>
      </c>
      <c r="C962" s="890" t="s">
        <v>2410</v>
      </c>
      <c r="D962" s="891">
        <v>-544800</v>
      </c>
      <c r="E962" s="891">
        <v>-163.44</v>
      </c>
      <c r="F962" s="892">
        <v>-163.44</v>
      </c>
      <c r="G962" s="8" t="s">
        <v>944</v>
      </c>
      <c r="H962" s="592" t="s">
        <v>1220</v>
      </c>
      <c r="I962" s="587"/>
    </row>
    <row r="963" spans="1:9" ht="13.5" hidden="1" outlineLevel="1" thickBot="1">
      <c r="A963" s="1547">
        <v>2023</v>
      </c>
      <c r="B963" s="1548" t="s">
        <v>1312</v>
      </c>
      <c r="C963" s="1549" t="s">
        <v>2410</v>
      </c>
      <c r="D963" s="1537">
        <v>-42682</v>
      </c>
      <c r="E963" s="1537">
        <v>-12.8</v>
      </c>
      <c r="F963" s="1550">
        <v>-12.8</v>
      </c>
      <c r="G963" s="8" t="s">
        <v>1313</v>
      </c>
      <c r="H963" s="592" t="s">
        <v>1220</v>
      </c>
      <c r="I963" s="587"/>
    </row>
    <row r="964" spans="1:9" hidden="1" outlineLevel="1">
      <c r="A964" s="1554">
        <v>2024</v>
      </c>
      <c r="B964" s="1555" t="s">
        <v>1812</v>
      </c>
      <c r="C964" s="1556" t="s">
        <v>2408</v>
      </c>
      <c r="D964" s="1542">
        <v>63774</v>
      </c>
      <c r="E964" s="1542">
        <v>175.38</v>
      </c>
      <c r="F964" s="1557">
        <v>418.36</v>
      </c>
      <c r="G964" s="8" t="s">
        <v>1813</v>
      </c>
      <c r="H964" s="592" t="s">
        <v>1220</v>
      </c>
      <c r="I964" s="587"/>
    </row>
    <row r="965" spans="1:9" hidden="1" outlineLevel="1">
      <c r="A965" s="889">
        <v>2024</v>
      </c>
      <c r="B965" s="893" t="s">
        <v>1246</v>
      </c>
      <c r="C965" s="890" t="s">
        <v>2408</v>
      </c>
      <c r="D965" s="891">
        <v>-58030</v>
      </c>
      <c r="E965" s="891">
        <v>-159.58000000000001</v>
      </c>
      <c r="F965" s="892">
        <v>-380.68</v>
      </c>
      <c r="G965" s="8" t="s">
        <v>1247</v>
      </c>
      <c r="H965" s="592" t="s">
        <v>1220</v>
      </c>
      <c r="I965" s="587"/>
    </row>
    <row r="966" spans="1:9" hidden="1" outlineLevel="1">
      <c r="A966" s="889">
        <v>2024</v>
      </c>
      <c r="B966" s="893" t="s">
        <v>1582</v>
      </c>
      <c r="C966" s="890" t="s">
        <v>2408</v>
      </c>
      <c r="D966" s="891">
        <v>749405</v>
      </c>
      <c r="E966" s="891">
        <v>2060.86</v>
      </c>
      <c r="F966" s="892">
        <v>4916.1000000000004</v>
      </c>
      <c r="G966" s="8" t="s">
        <v>1583</v>
      </c>
      <c r="H966" s="592" t="s">
        <v>1220</v>
      </c>
      <c r="I966" s="587"/>
    </row>
    <row r="967" spans="1:9" hidden="1" outlineLevel="1">
      <c r="A967" s="889">
        <v>2024</v>
      </c>
      <c r="B967" s="893" t="s">
        <v>1458</v>
      </c>
      <c r="C967" s="890" t="s">
        <v>2408</v>
      </c>
      <c r="D967" s="891">
        <v>-2111</v>
      </c>
      <c r="E967" s="891">
        <v>-5.81</v>
      </c>
      <c r="F967" s="892">
        <v>-13.85</v>
      </c>
      <c r="G967" s="8" t="s">
        <v>1459</v>
      </c>
      <c r="H967" s="592" t="s">
        <v>1220</v>
      </c>
      <c r="I967" s="587"/>
    </row>
    <row r="968" spans="1:9" hidden="1" outlineLevel="1">
      <c r="A968" s="889">
        <v>2024</v>
      </c>
      <c r="B968" s="893" t="s">
        <v>1484</v>
      </c>
      <c r="C968" s="890" t="s">
        <v>2408</v>
      </c>
      <c r="D968" s="891">
        <v>177959</v>
      </c>
      <c r="E968" s="891">
        <v>489.39</v>
      </c>
      <c r="F968" s="892">
        <v>1167.4100000000001</v>
      </c>
      <c r="G968" s="8" t="s">
        <v>1485</v>
      </c>
      <c r="H968" s="592" t="s">
        <v>1220</v>
      </c>
      <c r="I968" s="587"/>
    </row>
    <row r="969" spans="1:9" hidden="1" outlineLevel="1">
      <c r="A969" s="889">
        <v>2024</v>
      </c>
      <c r="B969" s="893" t="s">
        <v>1283</v>
      </c>
      <c r="C969" s="890" t="s">
        <v>2408</v>
      </c>
      <c r="D969" s="891">
        <v>51406.7</v>
      </c>
      <c r="E969" s="891">
        <v>141.37</v>
      </c>
      <c r="F969" s="892">
        <v>337.23</v>
      </c>
      <c r="G969" s="8" t="s">
        <v>1284</v>
      </c>
      <c r="H969" s="592" t="s">
        <v>1220</v>
      </c>
      <c r="I969" s="587"/>
    </row>
    <row r="970" spans="1:9" hidden="1" outlineLevel="1">
      <c r="A970" s="889">
        <v>2024</v>
      </c>
      <c r="B970" s="893" t="s">
        <v>1227</v>
      </c>
      <c r="C970" s="890" t="s">
        <v>2408</v>
      </c>
      <c r="D970" s="891">
        <v>-61722</v>
      </c>
      <c r="E970" s="891">
        <v>-169.74</v>
      </c>
      <c r="F970" s="892">
        <v>-404.9</v>
      </c>
      <c r="G970" s="8" t="s">
        <v>1228</v>
      </c>
      <c r="H970" s="592" t="s">
        <v>1220</v>
      </c>
      <c r="I970" s="587"/>
    </row>
    <row r="971" spans="1:9" hidden="1" outlineLevel="1">
      <c r="A971" s="889">
        <v>2024</v>
      </c>
      <c r="B971" s="893" t="s">
        <v>1556</v>
      </c>
      <c r="C971" s="890" t="s">
        <v>2408</v>
      </c>
      <c r="D971" s="891">
        <v>230248</v>
      </c>
      <c r="E971" s="891">
        <v>633.17999999999995</v>
      </c>
      <c r="F971" s="892">
        <v>1510.43</v>
      </c>
      <c r="G971" s="8" t="s">
        <v>1557</v>
      </c>
      <c r="H971" s="592" t="s">
        <v>1220</v>
      </c>
      <c r="I971" s="587"/>
    </row>
    <row r="972" spans="1:9" hidden="1" outlineLevel="1">
      <c r="A972" s="889">
        <v>2024</v>
      </c>
      <c r="B972" s="893" t="s">
        <v>1626</v>
      </c>
      <c r="C972" s="890" t="s">
        <v>2408</v>
      </c>
      <c r="D972" s="891">
        <v>-4326</v>
      </c>
      <c r="E972" s="891">
        <v>-11.9</v>
      </c>
      <c r="F972" s="892">
        <v>-28.38</v>
      </c>
      <c r="G972" s="8" t="s">
        <v>1627</v>
      </c>
      <c r="H972" s="592" t="s">
        <v>1220</v>
      </c>
      <c r="I972" s="587"/>
    </row>
    <row r="973" spans="1:9" hidden="1" outlineLevel="1">
      <c r="A973" s="889">
        <v>2024</v>
      </c>
      <c r="B973" s="893" t="s">
        <v>1758</v>
      </c>
      <c r="C973" s="890" t="s">
        <v>2408</v>
      </c>
      <c r="D973" s="891">
        <v>8002297</v>
      </c>
      <c r="E973" s="891">
        <v>22006.32</v>
      </c>
      <c r="F973" s="892">
        <v>52495.07</v>
      </c>
      <c r="G973" s="8" t="s">
        <v>1759</v>
      </c>
      <c r="H973" s="592" t="s">
        <v>1220</v>
      </c>
      <c r="I973" s="587"/>
    </row>
    <row r="974" spans="1:9" hidden="1" outlineLevel="1">
      <c r="A974" s="889">
        <v>2024</v>
      </c>
      <c r="B974" s="893" t="s">
        <v>2195</v>
      </c>
      <c r="C974" s="890" t="s">
        <v>2408</v>
      </c>
      <c r="D974" s="891">
        <v>-94828</v>
      </c>
      <c r="E974" s="891">
        <v>-260.77999999999997</v>
      </c>
      <c r="F974" s="892">
        <v>-622.07000000000005</v>
      </c>
      <c r="G974" s="8" t="s">
        <v>2196</v>
      </c>
      <c r="H974" s="592" t="s">
        <v>1220</v>
      </c>
      <c r="I974" s="587"/>
    </row>
    <row r="975" spans="1:9" hidden="1" outlineLevel="1">
      <c r="A975" s="889">
        <v>2024</v>
      </c>
      <c r="B975" s="893" t="s">
        <v>1236</v>
      </c>
      <c r="C975" s="890" t="s">
        <v>2408</v>
      </c>
      <c r="D975" s="891">
        <v>701123</v>
      </c>
      <c r="E975" s="891">
        <v>1928.09</v>
      </c>
      <c r="F975" s="892">
        <v>4599.37</v>
      </c>
      <c r="G975" s="8" t="s">
        <v>1237</v>
      </c>
      <c r="H975" s="592" t="s">
        <v>1220</v>
      </c>
      <c r="I975" s="587"/>
    </row>
    <row r="976" spans="1:9" hidden="1" outlineLevel="1">
      <c r="A976" s="889">
        <v>2024</v>
      </c>
      <c r="B976" s="893" t="s">
        <v>1240</v>
      </c>
      <c r="C976" s="890" t="s">
        <v>2408</v>
      </c>
      <c r="D976" s="891">
        <v>-2917906</v>
      </c>
      <c r="E976" s="891">
        <v>-8024.24</v>
      </c>
      <c r="F976" s="892">
        <v>-19141.46</v>
      </c>
      <c r="G976" s="8" t="s">
        <v>1241</v>
      </c>
      <c r="H976" s="592" t="s">
        <v>1220</v>
      </c>
      <c r="I976" s="587"/>
    </row>
    <row r="977" spans="1:9" hidden="1" outlineLevel="1">
      <c r="A977" s="889">
        <v>2024</v>
      </c>
      <c r="B977" s="893" t="s">
        <v>1404</v>
      </c>
      <c r="C977" s="890" t="s">
        <v>2408</v>
      </c>
      <c r="D977" s="891">
        <v>277515</v>
      </c>
      <c r="E977" s="891">
        <v>763.17</v>
      </c>
      <c r="F977" s="892">
        <v>1820.5</v>
      </c>
      <c r="G977" s="8" t="s">
        <v>1405</v>
      </c>
      <c r="H977" s="592" t="s">
        <v>1220</v>
      </c>
      <c r="I977" s="587"/>
    </row>
    <row r="978" spans="1:9" hidden="1" outlineLevel="1">
      <c r="A978" s="889">
        <v>2024</v>
      </c>
      <c r="B978" s="893" t="s">
        <v>1706</v>
      </c>
      <c r="C978" s="890" t="s">
        <v>2408</v>
      </c>
      <c r="D978" s="891">
        <v>-1561808</v>
      </c>
      <c r="E978" s="891">
        <v>-4294.97</v>
      </c>
      <c r="F978" s="892">
        <v>-10245.459999999999</v>
      </c>
      <c r="G978" s="8" t="s">
        <v>1707</v>
      </c>
      <c r="H978" s="592" t="s">
        <v>1220</v>
      </c>
      <c r="I978" s="587"/>
    </row>
    <row r="979" spans="1:9" hidden="1" outlineLevel="1">
      <c r="A979" s="889">
        <v>2024</v>
      </c>
      <c r="B979" s="893" t="s">
        <v>1454</v>
      </c>
      <c r="C979" s="890" t="s">
        <v>2408</v>
      </c>
      <c r="D979" s="891">
        <v>68152.44</v>
      </c>
      <c r="E979" s="891">
        <v>187.42</v>
      </c>
      <c r="F979" s="892">
        <v>447.08</v>
      </c>
      <c r="G979" s="8" t="s">
        <v>1455</v>
      </c>
      <c r="H979" s="592" t="s">
        <v>1220</v>
      </c>
      <c r="I979" s="587"/>
    </row>
    <row r="980" spans="1:9" hidden="1" outlineLevel="1">
      <c r="A980" s="889">
        <v>2024</v>
      </c>
      <c r="B980" s="893" t="s">
        <v>1412</v>
      </c>
      <c r="C980" s="890" t="s">
        <v>2408</v>
      </c>
      <c r="D980" s="891">
        <v>0</v>
      </c>
      <c r="E980" s="891">
        <v>0</v>
      </c>
      <c r="F980" s="892">
        <v>0</v>
      </c>
      <c r="G980" s="8" t="s">
        <v>1413</v>
      </c>
      <c r="H980" s="592" t="s">
        <v>1220</v>
      </c>
      <c r="I980" s="587"/>
    </row>
    <row r="981" spans="1:9" hidden="1" outlineLevel="1">
      <c r="A981" s="889">
        <v>2024</v>
      </c>
      <c r="B981" s="893" t="s">
        <v>1548</v>
      </c>
      <c r="C981" s="890" t="s">
        <v>2408</v>
      </c>
      <c r="D981" s="891">
        <v>-127211</v>
      </c>
      <c r="E981" s="891">
        <v>-349.83</v>
      </c>
      <c r="F981" s="892">
        <v>-834.5</v>
      </c>
      <c r="G981" s="8" t="s">
        <v>1549</v>
      </c>
      <c r="H981" s="592" t="s">
        <v>1220</v>
      </c>
      <c r="I981" s="587"/>
    </row>
    <row r="982" spans="1:9" hidden="1" outlineLevel="1">
      <c r="A982" s="889">
        <v>2024</v>
      </c>
      <c r="B982" s="893" t="s">
        <v>1656</v>
      </c>
      <c r="C982" s="890" t="s">
        <v>2408</v>
      </c>
      <c r="D982" s="891">
        <v>2479194</v>
      </c>
      <c r="E982" s="891">
        <v>6817.78</v>
      </c>
      <c r="F982" s="892">
        <v>16263.51</v>
      </c>
      <c r="G982" s="8" t="s">
        <v>1657</v>
      </c>
      <c r="H982" s="592" t="s">
        <v>1220</v>
      </c>
      <c r="I982" s="587"/>
    </row>
    <row r="983" spans="1:9" hidden="1" outlineLevel="1">
      <c r="A983" s="889">
        <v>2024</v>
      </c>
      <c r="B983" s="893" t="s">
        <v>1221</v>
      </c>
      <c r="C983" s="890" t="s">
        <v>2408</v>
      </c>
      <c r="D983" s="891">
        <v>-4247327.5829999996</v>
      </c>
      <c r="E983" s="891">
        <v>-11680.15</v>
      </c>
      <c r="F983" s="892">
        <v>-27862.47</v>
      </c>
      <c r="G983" s="8" t="s">
        <v>1222</v>
      </c>
      <c r="H983" s="592" t="s">
        <v>1220</v>
      </c>
      <c r="I983" s="587"/>
    </row>
    <row r="984" spans="1:9" hidden="1" outlineLevel="1">
      <c r="A984" s="889">
        <v>2024</v>
      </c>
      <c r="B984" s="893" t="s">
        <v>1366</v>
      </c>
      <c r="C984" s="890" t="s">
        <v>2408</v>
      </c>
      <c r="D984" s="891">
        <v>8348</v>
      </c>
      <c r="E984" s="891">
        <v>22.96</v>
      </c>
      <c r="F984" s="892">
        <v>54.76</v>
      </c>
      <c r="G984" s="8" t="s">
        <v>1367</v>
      </c>
      <c r="H984" s="592" t="s">
        <v>1220</v>
      </c>
      <c r="I984" s="587"/>
    </row>
    <row r="985" spans="1:9" hidden="1" outlineLevel="1">
      <c r="A985" s="889">
        <v>2024</v>
      </c>
      <c r="B985" s="893" t="s">
        <v>580</v>
      </c>
      <c r="C985" s="890" t="s">
        <v>2408</v>
      </c>
      <c r="D985" s="891">
        <v>-155897</v>
      </c>
      <c r="E985" s="891">
        <v>-428.72</v>
      </c>
      <c r="F985" s="892">
        <v>-1022.68</v>
      </c>
      <c r="G985" s="8" t="s">
        <v>581</v>
      </c>
      <c r="H985" s="592" t="s">
        <v>1220</v>
      </c>
      <c r="I985" s="587"/>
    </row>
    <row r="986" spans="1:9" hidden="1" outlineLevel="1">
      <c r="A986" s="889">
        <v>2024</v>
      </c>
      <c r="B986" s="893" t="s">
        <v>1592</v>
      </c>
      <c r="C986" s="890" t="s">
        <v>2408</v>
      </c>
      <c r="D986" s="891">
        <v>382736</v>
      </c>
      <c r="E986" s="891">
        <v>1052.52</v>
      </c>
      <c r="F986" s="892">
        <v>2510.75</v>
      </c>
      <c r="G986" s="8" t="s">
        <v>1593</v>
      </c>
      <c r="H986" s="592" t="s">
        <v>1220</v>
      </c>
      <c r="I986" s="587"/>
    </row>
    <row r="987" spans="1:9" hidden="1" outlineLevel="1">
      <c r="A987" s="889">
        <v>2024</v>
      </c>
      <c r="B987" s="893" t="s">
        <v>1322</v>
      </c>
      <c r="C987" s="890" t="s">
        <v>2408</v>
      </c>
      <c r="D987" s="891">
        <v>5675</v>
      </c>
      <c r="E987" s="891">
        <v>15.61</v>
      </c>
      <c r="F987" s="892">
        <v>37.229999999999997</v>
      </c>
      <c r="G987" s="8" t="s">
        <v>1323</v>
      </c>
      <c r="H987" s="592" t="s">
        <v>1220</v>
      </c>
      <c r="I987" s="587"/>
    </row>
    <row r="988" spans="1:9" hidden="1" outlineLevel="1">
      <c r="A988" s="889">
        <v>2024</v>
      </c>
      <c r="B988" s="893" t="s">
        <v>1618</v>
      </c>
      <c r="C988" s="890" t="s">
        <v>2408</v>
      </c>
      <c r="D988" s="891">
        <v>-244861</v>
      </c>
      <c r="E988" s="891">
        <v>-673.37</v>
      </c>
      <c r="F988" s="892">
        <v>-1606.29</v>
      </c>
      <c r="G988" s="8" t="s">
        <v>1619</v>
      </c>
      <c r="H988" s="592" t="s">
        <v>1220</v>
      </c>
      <c r="I988" s="587"/>
    </row>
    <row r="989" spans="1:9" hidden="1" outlineLevel="1">
      <c r="A989" s="889">
        <v>2024</v>
      </c>
      <c r="B989" s="893" t="s">
        <v>1326</v>
      </c>
      <c r="C989" s="890" t="s">
        <v>2408</v>
      </c>
      <c r="D989" s="891">
        <v>-270329</v>
      </c>
      <c r="E989" s="891">
        <v>-743.4</v>
      </c>
      <c r="F989" s="892">
        <v>-1773.36</v>
      </c>
      <c r="G989" s="8" t="s">
        <v>1327</v>
      </c>
      <c r="H989" s="592" t="s">
        <v>1220</v>
      </c>
      <c r="I989" s="587"/>
    </row>
    <row r="990" spans="1:9" hidden="1" outlineLevel="1">
      <c r="A990" s="889">
        <v>2024</v>
      </c>
      <c r="B990" s="893" t="s">
        <v>1628</v>
      </c>
      <c r="C990" s="890" t="s">
        <v>2408</v>
      </c>
      <c r="D990" s="891">
        <v>1526821</v>
      </c>
      <c r="E990" s="891">
        <v>4198.76</v>
      </c>
      <c r="F990" s="892">
        <v>10015.950000000001</v>
      </c>
      <c r="G990" s="8" t="s">
        <v>1629</v>
      </c>
      <c r="H990" s="592" t="s">
        <v>1220</v>
      </c>
      <c r="I990" s="587"/>
    </row>
    <row r="991" spans="1:9" hidden="1" outlineLevel="1">
      <c r="A991" s="889">
        <v>2024</v>
      </c>
      <c r="B991" s="893" t="s">
        <v>1293</v>
      </c>
      <c r="C991" s="890" t="s">
        <v>2408</v>
      </c>
      <c r="D991" s="891">
        <v>0</v>
      </c>
      <c r="E991" s="891">
        <v>0</v>
      </c>
      <c r="F991" s="892">
        <v>0</v>
      </c>
      <c r="G991" s="8" t="s">
        <v>1294</v>
      </c>
      <c r="H991" s="592" t="s">
        <v>1220</v>
      </c>
      <c r="I991" s="587"/>
    </row>
    <row r="992" spans="1:9" hidden="1" outlineLevel="1">
      <c r="A992" s="889">
        <v>2024</v>
      </c>
      <c r="B992" s="893" t="s">
        <v>1590</v>
      </c>
      <c r="C992" s="890" t="s">
        <v>2408</v>
      </c>
      <c r="D992" s="891">
        <v>-23461</v>
      </c>
      <c r="E992" s="891">
        <v>-64.52</v>
      </c>
      <c r="F992" s="892">
        <v>-153.9</v>
      </c>
      <c r="G992" s="8" t="s">
        <v>1591</v>
      </c>
      <c r="H992" s="592" t="s">
        <v>1220</v>
      </c>
      <c r="I992" s="587"/>
    </row>
    <row r="993" spans="1:9" hidden="1" outlineLevel="1">
      <c r="A993" s="889">
        <v>2024</v>
      </c>
      <c r="B993" s="893" t="s">
        <v>1232</v>
      </c>
      <c r="C993" s="890" t="s">
        <v>2408</v>
      </c>
      <c r="D993" s="891">
        <v>0</v>
      </c>
      <c r="E993" s="891">
        <v>0</v>
      </c>
      <c r="F993" s="892">
        <v>0</v>
      </c>
      <c r="G993" s="8" t="s">
        <v>1233</v>
      </c>
      <c r="H993" s="592" t="s">
        <v>1220</v>
      </c>
      <c r="I993" s="587"/>
    </row>
    <row r="994" spans="1:9" hidden="1" outlineLevel="1">
      <c r="A994" s="889">
        <v>2024</v>
      </c>
      <c r="B994" s="893" t="s">
        <v>1444</v>
      </c>
      <c r="C994" s="890" t="s">
        <v>2408</v>
      </c>
      <c r="D994" s="891">
        <v>-4388123</v>
      </c>
      <c r="E994" s="891">
        <v>-12067.34</v>
      </c>
      <c r="F994" s="892">
        <v>-28786.09</v>
      </c>
      <c r="G994" s="8" t="s">
        <v>1445</v>
      </c>
      <c r="H994" s="592" t="s">
        <v>1220</v>
      </c>
      <c r="I994" s="587"/>
    </row>
    <row r="995" spans="1:9" hidden="1" outlineLevel="1">
      <c r="A995" s="889">
        <v>2024</v>
      </c>
      <c r="B995" s="893" t="s">
        <v>1248</v>
      </c>
      <c r="C995" s="890" t="s">
        <v>2408</v>
      </c>
      <c r="D995" s="891">
        <v>-854740.78</v>
      </c>
      <c r="E995" s="891">
        <v>-2350.54</v>
      </c>
      <c r="F995" s="892">
        <v>-5607.1</v>
      </c>
      <c r="G995" s="8" t="s">
        <v>1249</v>
      </c>
      <c r="H995" s="592" t="s">
        <v>1220</v>
      </c>
      <c r="I995" s="587"/>
    </row>
    <row r="996" spans="1:9" hidden="1" outlineLevel="1">
      <c r="A996" s="889">
        <v>2024</v>
      </c>
      <c r="B996" s="893" t="s">
        <v>2289</v>
      </c>
      <c r="C996" s="890" t="s">
        <v>2408</v>
      </c>
      <c r="D996" s="891">
        <v>-2457311</v>
      </c>
      <c r="E996" s="891">
        <v>-6757.61</v>
      </c>
      <c r="F996" s="892">
        <v>-16119.96</v>
      </c>
      <c r="G996" s="8" t="s">
        <v>2290</v>
      </c>
      <c r="H996" s="592" t="s">
        <v>1220</v>
      </c>
      <c r="I996" s="587"/>
    </row>
    <row r="997" spans="1:9" hidden="1" outlineLevel="1">
      <c r="A997" s="889">
        <v>2024</v>
      </c>
      <c r="B997" s="893" t="s">
        <v>1536</v>
      </c>
      <c r="C997" s="890" t="s">
        <v>2408</v>
      </c>
      <c r="D997" s="891">
        <v>147663</v>
      </c>
      <c r="E997" s="891">
        <v>406.07</v>
      </c>
      <c r="F997" s="892">
        <v>968.67</v>
      </c>
      <c r="G997" s="8" t="s">
        <v>1537</v>
      </c>
      <c r="H997" s="592" t="s">
        <v>1220</v>
      </c>
      <c r="I997" s="587"/>
    </row>
    <row r="998" spans="1:9" hidden="1" outlineLevel="1">
      <c r="A998" s="889">
        <v>2024</v>
      </c>
      <c r="B998" s="893" t="s">
        <v>1374</v>
      </c>
      <c r="C998" s="890" t="s">
        <v>2408</v>
      </c>
      <c r="D998" s="891">
        <v>1329702</v>
      </c>
      <c r="E998" s="891">
        <v>3656.68</v>
      </c>
      <c r="F998" s="892">
        <v>8722.85</v>
      </c>
      <c r="G998" s="8" t="s">
        <v>1375</v>
      </c>
      <c r="H998" s="592" t="s">
        <v>1220</v>
      </c>
      <c r="I998" s="587"/>
    </row>
    <row r="999" spans="1:9" hidden="1" outlineLevel="1">
      <c r="A999" s="889">
        <v>2024</v>
      </c>
      <c r="B999" s="893" t="s">
        <v>1257</v>
      </c>
      <c r="C999" s="890" t="s">
        <v>2408</v>
      </c>
      <c r="D999" s="891">
        <v>368586</v>
      </c>
      <c r="E999" s="891">
        <v>1013.61</v>
      </c>
      <c r="F999" s="892">
        <v>2417.92</v>
      </c>
      <c r="G999" s="8" t="s">
        <v>1258</v>
      </c>
      <c r="H999" s="592" t="s">
        <v>1220</v>
      </c>
      <c r="I999" s="587"/>
    </row>
    <row r="1000" spans="1:9" hidden="1" outlineLevel="1">
      <c r="A1000" s="889">
        <v>2024</v>
      </c>
      <c r="B1000" s="893" t="s">
        <v>1714</v>
      </c>
      <c r="C1000" s="890" t="s">
        <v>2408</v>
      </c>
      <c r="D1000" s="891">
        <v>0</v>
      </c>
      <c r="E1000" s="891">
        <v>0</v>
      </c>
      <c r="F1000" s="892">
        <v>0</v>
      </c>
      <c r="G1000" s="8" t="s">
        <v>1715</v>
      </c>
      <c r="H1000" s="592" t="s">
        <v>1220</v>
      </c>
      <c r="I1000" s="587"/>
    </row>
    <row r="1001" spans="1:9" hidden="1" outlineLevel="1">
      <c r="A1001" s="889">
        <v>2024</v>
      </c>
      <c r="B1001" s="893" t="s">
        <v>1356</v>
      </c>
      <c r="C1001" s="890" t="s">
        <v>2408</v>
      </c>
      <c r="D1001" s="891">
        <v>62197</v>
      </c>
      <c r="E1001" s="891">
        <v>171.04</v>
      </c>
      <c r="F1001" s="892">
        <v>408.01</v>
      </c>
      <c r="G1001" s="8" t="s">
        <v>1357</v>
      </c>
      <c r="H1001" s="592" t="s">
        <v>1220</v>
      </c>
      <c r="I1001" s="587"/>
    </row>
    <row r="1002" spans="1:9" hidden="1" outlineLevel="1">
      <c r="A1002" s="889">
        <v>2024</v>
      </c>
      <c r="B1002" s="893" t="s">
        <v>1712</v>
      </c>
      <c r="C1002" s="890" t="s">
        <v>2408</v>
      </c>
      <c r="D1002" s="891">
        <v>0</v>
      </c>
      <c r="E1002" s="891">
        <v>0</v>
      </c>
      <c r="F1002" s="892">
        <v>0</v>
      </c>
      <c r="G1002" s="8" t="s">
        <v>1713</v>
      </c>
      <c r="H1002" s="592" t="s">
        <v>1220</v>
      </c>
      <c r="I1002" s="587"/>
    </row>
    <row r="1003" spans="1:9" hidden="1" outlineLevel="1">
      <c r="A1003" s="889">
        <v>2024</v>
      </c>
      <c r="B1003" s="893" t="s">
        <v>1299</v>
      </c>
      <c r="C1003" s="890" t="s">
        <v>2408</v>
      </c>
      <c r="D1003" s="891">
        <v>-69078</v>
      </c>
      <c r="E1003" s="891">
        <v>-189.96</v>
      </c>
      <c r="F1003" s="892">
        <v>-453.15</v>
      </c>
      <c r="G1003" s="8" t="s">
        <v>1300</v>
      </c>
      <c r="H1003" s="592" t="s">
        <v>1220</v>
      </c>
      <c r="I1003" s="587"/>
    </row>
    <row r="1004" spans="1:9" hidden="1" outlineLevel="1">
      <c r="A1004" s="889">
        <v>2024</v>
      </c>
      <c r="B1004" s="893" t="s">
        <v>1690</v>
      </c>
      <c r="C1004" s="890" t="s">
        <v>2408</v>
      </c>
      <c r="D1004" s="891">
        <v>-636834</v>
      </c>
      <c r="E1004" s="891">
        <v>-1751.29</v>
      </c>
      <c r="F1004" s="892">
        <v>-4177.63</v>
      </c>
      <c r="G1004" s="8" t="s">
        <v>1691</v>
      </c>
      <c r="H1004" s="592" t="s">
        <v>1220</v>
      </c>
      <c r="I1004" s="587"/>
    </row>
    <row r="1005" spans="1:9" hidden="1" outlineLevel="1">
      <c r="A1005" s="889">
        <v>2024</v>
      </c>
      <c r="B1005" s="893" t="s">
        <v>1392</v>
      </c>
      <c r="C1005" s="890" t="s">
        <v>2408</v>
      </c>
      <c r="D1005" s="891">
        <v>-23912</v>
      </c>
      <c r="E1005" s="891">
        <v>-65.760000000000005</v>
      </c>
      <c r="F1005" s="892">
        <v>-156.86000000000001</v>
      </c>
      <c r="G1005" s="8" t="s">
        <v>1393</v>
      </c>
      <c r="H1005" s="592" t="s">
        <v>1220</v>
      </c>
      <c r="I1005" s="587"/>
    </row>
    <row r="1006" spans="1:9" hidden="1" outlineLevel="1">
      <c r="A1006" s="889">
        <v>2024</v>
      </c>
      <c r="B1006" s="893" t="s">
        <v>1662</v>
      </c>
      <c r="C1006" s="890" t="s">
        <v>2408</v>
      </c>
      <c r="D1006" s="891">
        <v>-28391</v>
      </c>
      <c r="E1006" s="891">
        <v>-78.08</v>
      </c>
      <c r="F1006" s="892">
        <v>-186.24</v>
      </c>
      <c r="G1006" s="8" t="s">
        <v>1663</v>
      </c>
      <c r="H1006" s="592" t="s">
        <v>1220</v>
      </c>
      <c r="I1006" s="587"/>
    </row>
    <row r="1007" spans="1:9" hidden="1" outlineLevel="1">
      <c r="A1007" s="889">
        <v>2024</v>
      </c>
      <c r="B1007" s="893" t="s">
        <v>1660</v>
      </c>
      <c r="C1007" s="890" t="s">
        <v>2408</v>
      </c>
      <c r="D1007" s="891">
        <v>-9838</v>
      </c>
      <c r="E1007" s="891">
        <v>-27.05</v>
      </c>
      <c r="F1007" s="892">
        <v>-64.540000000000006</v>
      </c>
      <c r="G1007" s="8" t="s">
        <v>1661</v>
      </c>
      <c r="H1007" s="592" t="s">
        <v>1220</v>
      </c>
      <c r="I1007" s="587"/>
    </row>
    <row r="1008" spans="1:9" hidden="1" outlineLevel="1">
      <c r="A1008" s="889">
        <v>2024</v>
      </c>
      <c r="B1008" s="893" t="s">
        <v>1612</v>
      </c>
      <c r="C1008" s="890" t="s">
        <v>2408</v>
      </c>
      <c r="D1008" s="891">
        <v>68090</v>
      </c>
      <c r="E1008" s="891">
        <v>187.25</v>
      </c>
      <c r="F1008" s="892">
        <v>446.67</v>
      </c>
      <c r="G1008" s="8" t="s">
        <v>1613</v>
      </c>
      <c r="H1008" s="592" t="s">
        <v>1220</v>
      </c>
      <c r="I1008" s="587"/>
    </row>
    <row r="1009" spans="1:9" hidden="1" outlineLevel="1">
      <c r="A1009" s="889">
        <v>2024</v>
      </c>
      <c r="B1009" s="893" t="s">
        <v>1774</v>
      </c>
      <c r="C1009" s="890" t="s">
        <v>2408</v>
      </c>
      <c r="D1009" s="891">
        <v>431384</v>
      </c>
      <c r="E1009" s="891">
        <v>1186.31</v>
      </c>
      <c r="F1009" s="892">
        <v>2829.88</v>
      </c>
      <c r="G1009" s="8" t="s">
        <v>1775</v>
      </c>
      <c r="H1009" s="592" t="s">
        <v>1220</v>
      </c>
      <c r="I1009" s="587"/>
    </row>
    <row r="1010" spans="1:9" hidden="1" outlineLevel="1">
      <c r="A1010" s="889">
        <v>2024</v>
      </c>
      <c r="B1010" s="893" t="s">
        <v>1402</v>
      </c>
      <c r="C1010" s="890" t="s">
        <v>2408</v>
      </c>
      <c r="D1010" s="891">
        <v>-5413640.5619999999</v>
      </c>
      <c r="E1010" s="891">
        <v>-14887.51</v>
      </c>
      <c r="F1010" s="892">
        <v>-35513.480000000003</v>
      </c>
      <c r="G1010" s="8" t="s">
        <v>1403</v>
      </c>
      <c r="H1010" s="592" t="s">
        <v>1220</v>
      </c>
      <c r="I1010" s="587"/>
    </row>
    <row r="1011" spans="1:9" hidden="1" outlineLevel="1">
      <c r="A1011" s="889">
        <v>2024</v>
      </c>
      <c r="B1011" s="893" t="s">
        <v>1253</v>
      </c>
      <c r="C1011" s="890" t="s">
        <v>2408</v>
      </c>
      <c r="D1011" s="891">
        <v>-175358</v>
      </c>
      <c r="E1011" s="891">
        <v>-482.23</v>
      </c>
      <c r="F1011" s="892">
        <v>-1150.3499999999999</v>
      </c>
      <c r="G1011" s="8" t="s">
        <v>1254</v>
      </c>
      <c r="H1011" s="592" t="s">
        <v>1220</v>
      </c>
      <c r="I1011" s="587"/>
    </row>
    <row r="1012" spans="1:9" hidden="1" outlineLevel="1">
      <c r="A1012" s="889">
        <v>2024</v>
      </c>
      <c r="B1012" s="893" t="s">
        <v>1486</v>
      </c>
      <c r="C1012" s="890" t="s">
        <v>2408</v>
      </c>
      <c r="D1012" s="891">
        <v>201024</v>
      </c>
      <c r="E1012" s="891">
        <v>552.82000000000005</v>
      </c>
      <c r="F1012" s="892">
        <v>1318.72</v>
      </c>
      <c r="G1012" s="8" t="s">
        <v>1487</v>
      </c>
      <c r="H1012" s="592" t="s">
        <v>1220</v>
      </c>
      <c r="I1012" s="587"/>
    </row>
    <row r="1013" spans="1:9" hidden="1" outlineLevel="1">
      <c r="A1013" s="889">
        <v>2024</v>
      </c>
      <c r="B1013" s="893" t="s">
        <v>1532</v>
      </c>
      <c r="C1013" s="890" t="s">
        <v>2408</v>
      </c>
      <c r="D1013" s="891">
        <v>1392570</v>
      </c>
      <c r="E1013" s="891">
        <v>3829.57</v>
      </c>
      <c r="F1013" s="892">
        <v>9135.26</v>
      </c>
      <c r="G1013" s="8" t="s">
        <v>1533</v>
      </c>
      <c r="H1013" s="592" t="s">
        <v>1220</v>
      </c>
      <c r="I1013" s="587"/>
    </row>
    <row r="1014" spans="1:9" hidden="1" outlineLevel="1">
      <c r="A1014" s="889">
        <v>2024</v>
      </c>
      <c r="B1014" s="893" t="s">
        <v>1820</v>
      </c>
      <c r="C1014" s="890" t="s">
        <v>2408</v>
      </c>
      <c r="D1014" s="891">
        <v>-357508.47</v>
      </c>
      <c r="E1014" s="891">
        <v>-983.15</v>
      </c>
      <c r="F1014" s="892">
        <v>-2345.2600000000002</v>
      </c>
      <c r="G1014" s="8" t="s">
        <v>1821</v>
      </c>
      <c r="H1014" s="592" t="s">
        <v>1220</v>
      </c>
      <c r="I1014" s="587"/>
    </row>
    <row r="1015" spans="1:9" hidden="1" outlineLevel="1">
      <c r="A1015" s="889">
        <v>2024</v>
      </c>
      <c r="B1015" s="893" t="s">
        <v>1580</v>
      </c>
      <c r="C1015" s="890" t="s">
        <v>2408</v>
      </c>
      <c r="D1015" s="891">
        <v>1676937</v>
      </c>
      <c r="E1015" s="891">
        <v>4611.58</v>
      </c>
      <c r="F1015" s="892">
        <v>11000.71</v>
      </c>
      <c r="G1015" s="8" t="s">
        <v>1581</v>
      </c>
      <c r="H1015" s="592" t="s">
        <v>1220</v>
      </c>
      <c r="I1015" s="587"/>
    </row>
    <row r="1016" spans="1:9" hidden="1" outlineLevel="1">
      <c r="A1016" s="889">
        <v>2024</v>
      </c>
      <c r="B1016" s="893" t="s">
        <v>1588</v>
      </c>
      <c r="C1016" s="890" t="s">
        <v>2408</v>
      </c>
      <c r="D1016" s="891">
        <v>-265845</v>
      </c>
      <c r="E1016" s="891">
        <v>-731.07</v>
      </c>
      <c r="F1016" s="892">
        <v>-1743.94</v>
      </c>
      <c r="G1016" s="8" t="s">
        <v>1589</v>
      </c>
      <c r="H1016" s="592" t="s">
        <v>1220</v>
      </c>
      <c r="I1016" s="587"/>
    </row>
    <row r="1017" spans="1:9" hidden="1" outlineLevel="1">
      <c r="A1017" s="889">
        <v>2024</v>
      </c>
      <c r="B1017" s="893" t="s">
        <v>1568</v>
      </c>
      <c r="C1017" s="890" t="s">
        <v>2408</v>
      </c>
      <c r="D1017" s="891">
        <v>193887</v>
      </c>
      <c r="E1017" s="891">
        <v>533.19000000000005</v>
      </c>
      <c r="F1017" s="892">
        <v>1271.9000000000001</v>
      </c>
      <c r="G1017" s="8" t="s">
        <v>1569</v>
      </c>
      <c r="H1017" s="592" t="s">
        <v>1220</v>
      </c>
      <c r="I1017" s="587"/>
    </row>
    <row r="1018" spans="1:9" hidden="1" outlineLevel="1">
      <c r="A1018" s="889">
        <v>2024</v>
      </c>
      <c r="B1018" s="893" t="s">
        <v>1506</v>
      </c>
      <c r="C1018" s="890" t="s">
        <v>2408</v>
      </c>
      <c r="D1018" s="891">
        <v>-163250</v>
      </c>
      <c r="E1018" s="891">
        <v>-448.94</v>
      </c>
      <c r="F1018" s="892">
        <v>-1070.92</v>
      </c>
      <c r="G1018" s="8" t="s">
        <v>1507</v>
      </c>
      <c r="H1018" s="592" t="s">
        <v>1220</v>
      </c>
      <c r="I1018" s="587"/>
    </row>
    <row r="1019" spans="1:9" hidden="1" outlineLevel="1">
      <c r="A1019" s="889">
        <v>2024</v>
      </c>
      <c r="B1019" s="893" t="s">
        <v>1330</v>
      </c>
      <c r="C1019" s="890" t="s">
        <v>2408</v>
      </c>
      <c r="D1019" s="891">
        <v>1756145</v>
      </c>
      <c r="E1019" s="891">
        <v>4829.3999999999996</v>
      </c>
      <c r="F1019" s="892">
        <v>11520.31</v>
      </c>
      <c r="G1019" s="8" t="s">
        <v>1331</v>
      </c>
      <c r="H1019" s="592" t="s">
        <v>1220</v>
      </c>
      <c r="I1019" s="587"/>
    </row>
    <row r="1020" spans="1:9" hidden="1" outlineLevel="1">
      <c r="A1020" s="889">
        <v>2024</v>
      </c>
      <c r="B1020" s="893" t="s">
        <v>1390</v>
      </c>
      <c r="C1020" s="890" t="s">
        <v>2408</v>
      </c>
      <c r="D1020" s="891">
        <v>969484</v>
      </c>
      <c r="E1020" s="891">
        <v>2666.08</v>
      </c>
      <c r="F1020" s="892">
        <v>6359.82</v>
      </c>
      <c r="G1020" s="8" t="s">
        <v>1391</v>
      </c>
      <c r="H1020" s="592" t="s">
        <v>1220</v>
      </c>
      <c r="I1020" s="587"/>
    </row>
    <row r="1021" spans="1:9" hidden="1" outlineLevel="1">
      <c r="A1021" s="889">
        <v>2024</v>
      </c>
      <c r="B1021" s="893" t="s">
        <v>1229</v>
      </c>
      <c r="C1021" s="890" t="s">
        <v>2408</v>
      </c>
      <c r="D1021" s="891">
        <v>-136470</v>
      </c>
      <c r="E1021" s="891">
        <v>-375.29</v>
      </c>
      <c r="F1021" s="892">
        <v>-895.24</v>
      </c>
      <c r="G1021" s="8" t="s">
        <v>1230</v>
      </c>
      <c r="H1021" s="592" t="s">
        <v>1220</v>
      </c>
      <c r="I1021" s="587"/>
    </row>
    <row r="1022" spans="1:9" hidden="1" outlineLevel="1">
      <c r="A1022" s="889">
        <v>2024</v>
      </c>
      <c r="B1022" s="893" t="s">
        <v>1572</v>
      </c>
      <c r="C1022" s="890" t="s">
        <v>2408</v>
      </c>
      <c r="D1022" s="891">
        <v>221526</v>
      </c>
      <c r="E1022" s="891">
        <v>609.20000000000005</v>
      </c>
      <c r="F1022" s="892">
        <v>1453.21</v>
      </c>
      <c r="G1022" s="8" t="s">
        <v>1573</v>
      </c>
      <c r="H1022" s="592" t="s">
        <v>1220</v>
      </c>
      <c r="I1022" s="587"/>
    </row>
    <row r="1023" spans="1:9" hidden="1" outlineLevel="1">
      <c r="A1023" s="889">
        <v>2024</v>
      </c>
      <c r="B1023" s="893" t="s">
        <v>1698</v>
      </c>
      <c r="C1023" s="890" t="s">
        <v>2408</v>
      </c>
      <c r="D1023" s="891">
        <v>449049</v>
      </c>
      <c r="E1023" s="891">
        <v>1234.8800000000001</v>
      </c>
      <c r="F1023" s="892">
        <v>2945.76</v>
      </c>
      <c r="G1023" s="8" t="s">
        <v>1699</v>
      </c>
      <c r="H1023" s="592" t="s">
        <v>1220</v>
      </c>
      <c r="I1023" s="587"/>
    </row>
    <row r="1024" spans="1:9" hidden="1" outlineLevel="1">
      <c r="A1024" s="889">
        <v>2024</v>
      </c>
      <c r="B1024" s="893" t="s">
        <v>1616</v>
      </c>
      <c r="C1024" s="890" t="s">
        <v>2408</v>
      </c>
      <c r="D1024" s="891">
        <v>4552779</v>
      </c>
      <c r="E1024" s="891">
        <v>12520.14</v>
      </c>
      <c r="F1024" s="892">
        <v>29866.23</v>
      </c>
      <c r="G1024" s="8" t="s">
        <v>1617</v>
      </c>
      <c r="H1024" s="592" t="s">
        <v>1220</v>
      </c>
      <c r="I1024" s="587"/>
    </row>
    <row r="1025" spans="1:9" hidden="1" outlineLevel="1">
      <c r="A1025" s="889">
        <v>2024</v>
      </c>
      <c r="B1025" s="893" t="s">
        <v>1554</v>
      </c>
      <c r="C1025" s="890" t="s">
        <v>2408</v>
      </c>
      <c r="D1025" s="891">
        <v>136415</v>
      </c>
      <c r="E1025" s="891">
        <v>375.14</v>
      </c>
      <c r="F1025" s="892">
        <v>894.88</v>
      </c>
      <c r="G1025" s="8" t="s">
        <v>1555</v>
      </c>
      <c r="H1025" s="592" t="s">
        <v>1220</v>
      </c>
      <c r="I1025" s="587"/>
    </row>
    <row r="1026" spans="1:9" hidden="1" outlineLevel="1">
      <c r="A1026" s="889">
        <v>2024</v>
      </c>
      <c r="B1026" s="893" t="s">
        <v>1336</v>
      </c>
      <c r="C1026" s="890" t="s">
        <v>2408</v>
      </c>
      <c r="D1026" s="891">
        <v>-190553</v>
      </c>
      <c r="E1026" s="891">
        <v>-524.02</v>
      </c>
      <c r="F1026" s="892">
        <v>-1250.03</v>
      </c>
      <c r="G1026" s="8" t="s">
        <v>1337</v>
      </c>
      <c r="H1026" s="592" t="s">
        <v>1220</v>
      </c>
      <c r="I1026" s="587"/>
    </row>
    <row r="1027" spans="1:9" hidden="1" outlineLevel="1">
      <c r="A1027" s="889">
        <v>2024</v>
      </c>
      <c r="B1027" s="893" t="s">
        <v>1528</v>
      </c>
      <c r="C1027" s="890" t="s">
        <v>2408</v>
      </c>
      <c r="D1027" s="891">
        <v>364070</v>
      </c>
      <c r="E1027" s="891">
        <v>1001.19</v>
      </c>
      <c r="F1027" s="892">
        <v>2388.3000000000002</v>
      </c>
      <c r="G1027" s="8" t="s">
        <v>1529</v>
      </c>
      <c r="H1027" s="592" t="s">
        <v>1220</v>
      </c>
      <c r="I1027" s="587"/>
    </row>
    <row r="1028" spans="1:9" hidden="1" outlineLevel="1">
      <c r="A1028" s="889">
        <v>2024</v>
      </c>
      <c r="B1028" s="893" t="s">
        <v>1648</v>
      </c>
      <c r="C1028" s="890" t="s">
        <v>2408</v>
      </c>
      <c r="D1028" s="891">
        <v>-357110</v>
      </c>
      <c r="E1028" s="891">
        <v>-982.05</v>
      </c>
      <c r="F1028" s="892">
        <v>-2342.64</v>
      </c>
      <c r="G1028" s="8" t="s">
        <v>1649</v>
      </c>
      <c r="H1028" s="592" t="s">
        <v>1220</v>
      </c>
      <c r="I1028" s="587"/>
    </row>
    <row r="1029" spans="1:9" hidden="1" outlineLevel="1">
      <c r="A1029" s="889">
        <v>2024</v>
      </c>
      <c r="B1029" s="893" t="s">
        <v>1566</v>
      </c>
      <c r="C1029" s="890" t="s">
        <v>2408</v>
      </c>
      <c r="D1029" s="891">
        <v>-43357</v>
      </c>
      <c r="E1029" s="891">
        <v>-119.23</v>
      </c>
      <c r="F1029" s="892">
        <v>-284.42</v>
      </c>
      <c r="G1029" s="8" t="s">
        <v>1567</v>
      </c>
      <c r="H1029" s="592" t="s">
        <v>1220</v>
      </c>
      <c r="I1029" s="587"/>
    </row>
    <row r="1030" spans="1:9" hidden="1" outlineLevel="1">
      <c r="A1030" s="889">
        <v>2024</v>
      </c>
      <c r="B1030" s="893" t="s">
        <v>1666</v>
      </c>
      <c r="C1030" s="890" t="s">
        <v>2408</v>
      </c>
      <c r="D1030" s="891">
        <v>-1000000</v>
      </c>
      <c r="E1030" s="891">
        <v>-2750</v>
      </c>
      <c r="F1030" s="892">
        <v>-6560</v>
      </c>
      <c r="G1030" s="8" t="s">
        <v>1667</v>
      </c>
      <c r="H1030" s="592" t="s">
        <v>1220</v>
      </c>
      <c r="I1030" s="587"/>
    </row>
    <row r="1031" spans="1:9" hidden="1" outlineLevel="1">
      <c r="A1031" s="889">
        <v>2024</v>
      </c>
      <c r="B1031" s="893" t="s">
        <v>1720</v>
      </c>
      <c r="C1031" s="890" t="s">
        <v>2408</v>
      </c>
      <c r="D1031" s="891">
        <v>0</v>
      </c>
      <c r="E1031" s="891">
        <v>0</v>
      </c>
      <c r="F1031" s="892">
        <v>0</v>
      </c>
      <c r="G1031" s="8" t="s">
        <v>1721</v>
      </c>
      <c r="H1031" s="592" t="s">
        <v>1220</v>
      </c>
      <c r="I1031" s="587"/>
    </row>
    <row r="1032" spans="1:9" hidden="1" outlineLevel="1">
      <c r="A1032" s="889">
        <v>2024</v>
      </c>
      <c r="B1032" s="893" t="s">
        <v>1614</v>
      </c>
      <c r="C1032" s="890" t="s">
        <v>2408</v>
      </c>
      <c r="D1032" s="891">
        <v>3499127</v>
      </c>
      <c r="E1032" s="891">
        <v>9622.6</v>
      </c>
      <c r="F1032" s="892">
        <v>22954.27</v>
      </c>
      <c r="G1032" s="8" t="s">
        <v>1615</v>
      </c>
      <c r="H1032" s="592" t="s">
        <v>1220</v>
      </c>
      <c r="I1032" s="587"/>
    </row>
    <row r="1033" spans="1:9" hidden="1" outlineLevel="1">
      <c r="A1033" s="889">
        <v>2024</v>
      </c>
      <c r="B1033" s="893" t="s">
        <v>1314</v>
      </c>
      <c r="C1033" s="890" t="s">
        <v>2408</v>
      </c>
      <c r="D1033" s="891">
        <v>153383</v>
      </c>
      <c r="E1033" s="891">
        <v>421.8</v>
      </c>
      <c r="F1033" s="892">
        <v>1006.19</v>
      </c>
      <c r="G1033" s="8" t="s">
        <v>1315</v>
      </c>
      <c r="H1033" s="592" t="s">
        <v>1220</v>
      </c>
      <c r="I1033" s="587"/>
    </row>
    <row r="1034" spans="1:9" hidden="1" outlineLevel="1">
      <c r="A1034" s="889">
        <v>2024</v>
      </c>
      <c r="B1034" s="893" t="s">
        <v>1291</v>
      </c>
      <c r="C1034" s="890" t="s">
        <v>2408</v>
      </c>
      <c r="D1034" s="891">
        <v>-127102</v>
      </c>
      <c r="E1034" s="891">
        <v>-349.53</v>
      </c>
      <c r="F1034" s="892">
        <v>-833.79</v>
      </c>
      <c r="G1034" s="8" t="s">
        <v>1292</v>
      </c>
      <c r="H1034" s="592" t="s">
        <v>1220</v>
      </c>
      <c r="I1034" s="587"/>
    </row>
    <row r="1035" spans="1:9" hidden="1" outlineLevel="1">
      <c r="A1035" s="889">
        <v>2024</v>
      </c>
      <c r="B1035" s="893" t="s">
        <v>1716</v>
      </c>
      <c r="C1035" s="890" t="s">
        <v>2408</v>
      </c>
      <c r="D1035" s="891">
        <v>-104732</v>
      </c>
      <c r="E1035" s="891">
        <v>-288.01</v>
      </c>
      <c r="F1035" s="892">
        <v>-687.04</v>
      </c>
      <c r="G1035" s="8" t="s">
        <v>1717</v>
      </c>
      <c r="H1035" s="592" t="s">
        <v>1220</v>
      </c>
      <c r="I1035" s="587"/>
    </row>
    <row r="1036" spans="1:9" hidden="1" outlineLevel="1">
      <c r="A1036" s="889">
        <v>2024</v>
      </c>
      <c r="B1036" s="893" t="s">
        <v>1324</v>
      </c>
      <c r="C1036" s="890" t="s">
        <v>2408</v>
      </c>
      <c r="D1036" s="891">
        <v>-39582</v>
      </c>
      <c r="E1036" s="891">
        <v>-108.85</v>
      </c>
      <c r="F1036" s="892">
        <v>-259.66000000000003</v>
      </c>
      <c r="G1036" s="8" t="s">
        <v>1325</v>
      </c>
      <c r="H1036" s="592" t="s">
        <v>1220</v>
      </c>
      <c r="I1036" s="587"/>
    </row>
    <row r="1037" spans="1:9" hidden="1" outlineLevel="1">
      <c r="A1037" s="889">
        <v>2024</v>
      </c>
      <c r="B1037" s="893" t="s">
        <v>1696</v>
      </c>
      <c r="C1037" s="890" t="s">
        <v>2408</v>
      </c>
      <c r="D1037" s="891">
        <v>-3141</v>
      </c>
      <c r="E1037" s="891">
        <v>-8.64</v>
      </c>
      <c r="F1037" s="892">
        <v>-20.6</v>
      </c>
      <c r="G1037" s="8" t="s">
        <v>1697</v>
      </c>
      <c r="H1037" s="592" t="s">
        <v>1220</v>
      </c>
      <c r="I1037" s="587"/>
    </row>
    <row r="1038" spans="1:9" hidden="1" outlineLevel="1">
      <c r="A1038" s="889">
        <v>2024</v>
      </c>
      <c r="B1038" s="893" t="s">
        <v>1726</v>
      </c>
      <c r="C1038" s="890" t="s">
        <v>2408</v>
      </c>
      <c r="D1038" s="891">
        <v>29495</v>
      </c>
      <c r="E1038" s="891">
        <v>81.11</v>
      </c>
      <c r="F1038" s="892">
        <v>193.49</v>
      </c>
      <c r="G1038" s="8" t="s">
        <v>1727</v>
      </c>
      <c r="H1038" s="592" t="s">
        <v>1220</v>
      </c>
      <c r="I1038" s="587"/>
    </row>
    <row r="1039" spans="1:9" hidden="1" outlineLevel="1">
      <c r="A1039" s="889">
        <v>2024</v>
      </c>
      <c r="B1039" s="893" t="s">
        <v>1802</v>
      </c>
      <c r="C1039" s="890" t="s">
        <v>2408</v>
      </c>
      <c r="D1039" s="891">
        <v>-9745</v>
      </c>
      <c r="E1039" s="891">
        <v>-26.8</v>
      </c>
      <c r="F1039" s="892">
        <v>-63.93</v>
      </c>
      <c r="G1039" s="8" t="s">
        <v>1803</v>
      </c>
      <c r="H1039" s="592" t="s">
        <v>1220</v>
      </c>
      <c r="I1039" s="587"/>
    </row>
    <row r="1040" spans="1:9" hidden="1" outlineLevel="1">
      <c r="A1040" s="889">
        <v>2024</v>
      </c>
      <c r="B1040" s="893" t="s">
        <v>1316</v>
      </c>
      <c r="C1040" s="890" t="s">
        <v>2408</v>
      </c>
      <c r="D1040" s="891">
        <v>-2796012.9350000001</v>
      </c>
      <c r="E1040" s="891">
        <v>-7689.04</v>
      </c>
      <c r="F1040" s="892">
        <v>-18341.84</v>
      </c>
      <c r="G1040" s="8" t="s">
        <v>1317</v>
      </c>
      <c r="H1040" s="592" t="s">
        <v>1220</v>
      </c>
      <c r="I1040" s="587"/>
    </row>
    <row r="1041" spans="1:9" hidden="1" outlineLevel="1">
      <c r="A1041" s="889">
        <v>2024</v>
      </c>
      <c r="B1041" s="893" t="s">
        <v>1476</v>
      </c>
      <c r="C1041" s="890" t="s">
        <v>2408</v>
      </c>
      <c r="D1041" s="891">
        <v>-567575</v>
      </c>
      <c r="E1041" s="891">
        <v>-1560.83</v>
      </c>
      <c r="F1041" s="892">
        <v>-3723.29</v>
      </c>
      <c r="G1041" s="8" t="s">
        <v>1477</v>
      </c>
      <c r="H1041" s="592" t="s">
        <v>1220</v>
      </c>
      <c r="I1041" s="587"/>
    </row>
    <row r="1042" spans="1:9" hidden="1" outlineLevel="1">
      <c r="A1042" s="889">
        <v>2024</v>
      </c>
      <c r="B1042" s="893" t="s">
        <v>1638</v>
      </c>
      <c r="C1042" s="890" t="s">
        <v>2408</v>
      </c>
      <c r="D1042" s="891">
        <v>-45948</v>
      </c>
      <c r="E1042" s="891">
        <v>-126.36</v>
      </c>
      <c r="F1042" s="892">
        <v>-301.42</v>
      </c>
      <c r="G1042" s="8" t="s">
        <v>1639</v>
      </c>
      <c r="H1042" s="592" t="s">
        <v>1220</v>
      </c>
      <c r="I1042" s="587"/>
    </row>
    <row r="1043" spans="1:9" hidden="1" outlineLevel="1">
      <c r="A1043" s="889">
        <v>2024</v>
      </c>
      <c r="B1043" s="893" t="s">
        <v>1624</v>
      </c>
      <c r="C1043" s="890" t="s">
        <v>2408</v>
      </c>
      <c r="D1043" s="891">
        <v>135542</v>
      </c>
      <c r="E1043" s="891">
        <v>372.74</v>
      </c>
      <c r="F1043" s="892">
        <v>889.16</v>
      </c>
      <c r="G1043" s="8" t="s">
        <v>1625</v>
      </c>
      <c r="H1043" s="592" t="s">
        <v>1220</v>
      </c>
      <c r="I1043" s="587"/>
    </row>
    <row r="1044" spans="1:9" hidden="1" outlineLevel="1">
      <c r="A1044" s="889">
        <v>2024</v>
      </c>
      <c r="B1044" s="893" t="s">
        <v>1780</v>
      </c>
      <c r="C1044" s="890" t="s">
        <v>2408</v>
      </c>
      <c r="D1044" s="891">
        <v>-47562</v>
      </c>
      <c r="E1044" s="891">
        <v>-130.80000000000001</v>
      </c>
      <c r="F1044" s="892">
        <v>-312.01</v>
      </c>
      <c r="G1044" s="8" t="s">
        <v>1781</v>
      </c>
      <c r="H1044" s="592" t="s">
        <v>1220</v>
      </c>
      <c r="I1044" s="587"/>
    </row>
    <row r="1045" spans="1:9" hidden="1" outlineLevel="1">
      <c r="A1045" s="889">
        <v>2024</v>
      </c>
      <c r="B1045" s="893" t="s">
        <v>1634</v>
      </c>
      <c r="C1045" s="890" t="s">
        <v>2408</v>
      </c>
      <c r="D1045" s="891">
        <v>-2861725.31</v>
      </c>
      <c r="E1045" s="891">
        <v>-7869.74</v>
      </c>
      <c r="F1045" s="892">
        <v>-18772.919999999998</v>
      </c>
      <c r="G1045" s="8" t="s">
        <v>1635</v>
      </c>
      <c r="H1045" s="592" t="s">
        <v>1220</v>
      </c>
      <c r="I1045" s="587"/>
    </row>
    <row r="1046" spans="1:9" hidden="1" outlineLevel="1">
      <c r="A1046" s="889">
        <v>2024</v>
      </c>
      <c r="B1046" s="893" t="s">
        <v>1261</v>
      </c>
      <c r="C1046" s="890" t="s">
        <v>2408</v>
      </c>
      <c r="D1046" s="891">
        <v>-9820</v>
      </c>
      <c r="E1046" s="891">
        <v>-27.01</v>
      </c>
      <c r="F1046" s="892">
        <v>-64.42</v>
      </c>
      <c r="G1046" s="8" t="s">
        <v>1262</v>
      </c>
      <c r="H1046" s="592" t="s">
        <v>1220</v>
      </c>
      <c r="I1046" s="587"/>
    </row>
    <row r="1047" spans="1:9" hidden="1" outlineLevel="1">
      <c r="A1047" s="889">
        <v>2024</v>
      </c>
      <c r="B1047" s="893" t="s">
        <v>1502</v>
      </c>
      <c r="C1047" s="890" t="s">
        <v>2408</v>
      </c>
      <c r="D1047" s="891">
        <v>29438</v>
      </c>
      <c r="E1047" s="891">
        <v>80.95</v>
      </c>
      <c r="F1047" s="892">
        <v>193.11</v>
      </c>
      <c r="G1047" s="8" t="s">
        <v>1503</v>
      </c>
      <c r="H1047" s="592" t="s">
        <v>1220</v>
      </c>
      <c r="I1047" s="587"/>
    </row>
    <row r="1048" spans="1:9" hidden="1" outlineLevel="1">
      <c r="A1048" s="889">
        <v>2024</v>
      </c>
      <c r="B1048" s="893" t="s">
        <v>1576</v>
      </c>
      <c r="C1048" s="890" t="s">
        <v>2408</v>
      </c>
      <c r="D1048" s="891">
        <v>657934</v>
      </c>
      <c r="E1048" s="891">
        <v>1809.32</v>
      </c>
      <c r="F1048" s="892">
        <v>4316.05</v>
      </c>
      <c r="G1048" s="8" t="s">
        <v>1577</v>
      </c>
      <c r="H1048" s="592" t="s">
        <v>1220</v>
      </c>
      <c r="I1048" s="587"/>
    </row>
    <row r="1049" spans="1:9" hidden="1" outlineLevel="1">
      <c r="A1049" s="889">
        <v>2024</v>
      </c>
      <c r="B1049" s="893" t="s">
        <v>1602</v>
      </c>
      <c r="C1049" s="890" t="s">
        <v>2408</v>
      </c>
      <c r="D1049" s="891">
        <v>-60830</v>
      </c>
      <c r="E1049" s="891">
        <v>-167.28</v>
      </c>
      <c r="F1049" s="892">
        <v>-399.04</v>
      </c>
      <c r="G1049" s="8" t="s">
        <v>1603</v>
      </c>
      <c r="H1049" s="592" t="s">
        <v>1220</v>
      </c>
      <c r="I1049" s="587"/>
    </row>
    <row r="1050" spans="1:9" hidden="1" outlineLevel="1">
      <c r="A1050" s="889">
        <v>2024</v>
      </c>
      <c r="B1050" s="893" t="s">
        <v>1354</v>
      </c>
      <c r="C1050" s="890" t="s">
        <v>2408</v>
      </c>
      <c r="D1050" s="891">
        <v>-191941</v>
      </c>
      <c r="E1050" s="891">
        <v>-527.84</v>
      </c>
      <c r="F1050" s="892">
        <v>-1259.1300000000001</v>
      </c>
      <c r="G1050" s="8" t="s">
        <v>1355</v>
      </c>
      <c r="H1050" s="592" t="s">
        <v>1220</v>
      </c>
      <c r="I1050" s="587"/>
    </row>
    <row r="1051" spans="1:9" hidden="1" outlineLevel="1">
      <c r="A1051" s="889">
        <v>2024</v>
      </c>
      <c r="B1051" s="893" t="s">
        <v>1446</v>
      </c>
      <c r="C1051" s="890" t="s">
        <v>2408</v>
      </c>
      <c r="D1051" s="891">
        <v>0</v>
      </c>
      <c r="E1051" s="891">
        <v>0</v>
      </c>
      <c r="F1051" s="892">
        <v>0</v>
      </c>
      <c r="G1051" s="8" t="s">
        <v>1447</v>
      </c>
      <c r="H1051" s="592" t="s">
        <v>1220</v>
      </c>
      <c r="I1051" s="587"/>
    </row>
    <row r="1052" spans="1:9" hidden="1" outlineLevel="1">
      <c r="A1052" s="889">
        <v>2024</v>
      </c>
      <c r="B1052" s="893" t="s">
        <v>1664</v>
      </c>
      <c r="C1052" s="890" t="s">
        <v>2408</v>
      </c>
      <c r="D1052" s="891">
        <v>125417</v>
      </c>
      <c r="E1052" s="891">
        <v>344.9</v>
      </c>
      <c r="F1052" s="892">
        <v>822.74</v>
      </c>
      <c r="G1052" s="8" t="s">
        <v>1665</v>
      </c>
      <c r="H1052" s="592" t="s">
        <v>1220</v>
      </c>
      <c r="I1052" s="587"/>
    </row>
    <row r="1053" spans="1:9" hidden="1" outlineLevel="1">
      <c r="A1053" s="889">
        <v>2024</v>
      </c>
      <c r="B1053" s="893" t="s">
        <v>1650</v>
      </c>
      <c r="C1053" s="890" t="s">
        <v>2408</v>
      </c>
      <c r="D1053" s="891">
        <v>77762884</v>
      </c>
      <c r="E1053" s="891">
        <v>213847.93</v>
      </c>
      <c r="F1053" s="892">
        <v>510124.52</v>
      </c>
      <c r="G1053" s="8" t="s">
        <v>1651</v>
      </c>
      <c r="H1053" s="592" t="s">
        <v>1220</v>
      </c>
      <c r="I1053" s="587"/>
    </row>
    <row r="1054" spans="1:9" hidden="1" outlineLevel="1">
      <c r="A1054" s="889">
        <v>2024</v>
      </c>
      <c r="B1054" s="893" t="s">
        <v>2287</v>
      </c>
      <c r="C1054" s="890" t="s">
        <v>2408</v>
      </c>
      <c r="D1054" s="891">
        <v>-2882410</v>
      </c>
      <c r="E1054" s="891">
        <v>-7926.63</v>
      </c>
      <c r="F1054" s="892">
        <v>-18908.61</v>
      </c>
      <c r="G1054" s="8" t="s">
        <v>2288</v>
      </c>
      <c r="H1054" s="592" t="s">
        <v>1220</v>
      </c>
      <c r="I1054" s="587"/>
    </row>
    <row r="1055" spans="1:9" hidden="1" outlineLevel="1">
      <c r="A1055" s="889">
        <v>2024</v>
      </c>
      <c r="B1055" s="893" t="s">
        <v>1632</v>
      </c>
      <c r="C1055" s="890" t="s">
        <v>2408</v>
      </c>
      <c r="D1055" s="891">
        <v>-3234957</v>
      </c>
      <c r="E1055" s="891">
        <v>-8896.1299999999992</v>
      </c>
      <c r="F1055" s="892">
        <v>-21221.32</v>
      </c>
      <c r="G1055" s="8" t="s">
        <v>1633</v>
      </c>
      <c r="H1055" s="592" t="s">
        <v>1220</v>
      </c>
      <c r="I1055" s="587"/>
    </row>
    <row r="1056" spans="1:9" hidden="1" outlineLevel="1">
      <c r="A1056" s="889">
        <v>2024</v>
      </c>
      <c r="B1056" s="893" t="s">
        <v>1344</v>
      </c>
      <c r="C1056" s="890" t="s">
        <v>2408</v>
      </c>
      <c r="D1056" s="891">
        <v>0</v>
      </c>
      <c r="E1056" s="891">
        <v>0</v>
      </c>
      <c r="F1056" s="892">
        <v>0</v>
      </c>
      <c r="G1056" s="8" t="s">
        <v>1345</v>
      </c>
      <c r="H1056" s="592" t="s">
        <v>1220</v>
      </c>
      <c r="I1056" s="587"/>
    </row>
    <row r="1057" spans="1:9" hidden="1" outlineLevel="1">
      <c r="A1057" s="889">
        <v>2024</v>
      </c>
      <c r="B1057" s="893" t="s">
        <v>1794</v>
      </c>
      <c r="C1057" s="890" t="s">
        <v>2408</v>
      </c>
      <c r="D1057" s="891">
        <v>1370626</v>
      </c>
      <c r="E1057" s="891">
        <v>3769.22</v>
      </c>
      <c r="F1057" s="892">
        <v>8991.31</v>
      </c>
      <c r="G1057" s="8" t="s">
        <v>1795</v>
      </c>
      <c r="H1057" s="592" t="s">
        <v>1220</v>
      </c>
      <c r="I1057" s="587"/>
    </row>
    <row r="1058" spans="1:9" hidden="1" outlineLevel="1">
      <c r="A1058" s="889">
        <v>2024</v>
      </c>
      <c r="B1058" s="893" t="s">
        <v>1760</v>
      </c>
      <c r="C1058" s="890" t="s">
        <v>2408</v>
      </c>
      <c r="D1058" s="891">
        <v>-118433</v>
      </c>
      <c r="E1058" s="891">
        <v>-325.69</v>
      </c>
      <c r="F1058" s="892">
        <v>-776.92</v>
      </c>
      <c r="G1058" s="8" t="s">
        <v>1761</v>
      </c>
      <c r="H1058" s="592" t="s">
        <v>1220</v>
      </c>
      <c r="I1058" s="587"/>
    </row>
    <row r="1059" spans="1:9" hidden="1" outlineLevel="1">
      <c r="A1059" s="889">
        <v>2024</v>
      </c>
      <c r="B1059" s="893" t="s">
        <v>1798</v>
      </c>
      <c r="C1059" s="890" t="s">
        <v>2408</v>
      </c>
      <c r="D1059" s="891">
        <v>-38341</v>
      </c>
      <c r="E1059" s="891">
        <v>-105.44</v>
      </c>
      <c r="F1059" s="892">
        <v>-251.52</v>
      </c>
      <c r="G1059" s="8" t="s">
        <v>1799</v>
      </c>
      <c r="H1059" s="592" t="s">
        <v>1220</v>
      </c>
      <c r="I1059" s="587"/>
    </row>
    <row r="1060" spans="1:9" hidden="1" outlineLevel="1">
      <c r="A1060" s="889">
        <v>2024</v>
      </c>
      <c r="B1060" s="893" t="s">
        <v>1318</v>
      </c>
      <c r="C1060" s="890" t="s">
        <v>2408</v>
      </c>
      <c r="D1060" s="891">
        <v>-4316368</v>
      </c>
      <c r="E1060" s="891">
        <v>-11870.01</v>
      </c>
      <c r="F1060" s="892">
        <v>-28315.37</v>
      </c>
      <c r="G1060" s="8" t="s">
        <v>1319</v>
      </c>
      <c r="H1060" s="592" t="s">
        <v>1220</v>
      </c>
      <c r="I1060" s="587"/>
    </row>
    <row r="1061" spans="1:9" hidden="1" outlineLevel="1">
      <c r="A1061" s="889">
        <v>2024</v>
      </c>
      <c r="B1061" s="893" t="s">
        <v>1766</v>
      </c>
      <c r="C1061" s="890" t="s">
        <v>2408</v>
      </c>
      <c r="D1061" s="891">
        <v>291302</v>
      </c>
      <c r="E1061" s="891">
        <v>801.08</v>
      </c>
      <c r="F1061" s="892">
        <v>1910.94</v>
      </c>
      <c r="G1061" s="8" t="s">
        <v>1767</v>
      </c>
      <c r="H1061" s="592" t="s">
        <v>1220</v>
      </c>
      <c r="I1061" s="587"/>
    </row>
    <row r="1062" spans="1:9" hidden="1" outlineLevel="1">
      <c r="A1062" s="889">
        <v>2024</v>
      </c>
      <c r="B1062" s="893" t="s">
        <v>1448</v>
      </c>
      <c r="C1062" s="890" t="s">
        <v>2408</v>
      </c>
      <c r="D1062" s="891">
        <v>-7836836</v>
      </c>
      <c r="E1062" s="891">
        <v>-21551.3</v>
      </c>
      <c r="F1062" s="892">
        <v>-51409.64</v>
      </c>
      <c r="G1062" s="8" t="s">
        <v>1449</v>
      </c>
      <c r="H1062" s="592" t="s">
        <v>1220</v>
      </c>
      <c r="I1062" s="587"/>
    </row>
    <row r="1063" spans="1:9" hidden="1" outlineLevel="1">
      <c r="A1063" s="889">
        <v>2024</v>
      </c>
      <c r="B1063" s="893" t="s">
        <v>1724</v>
      </c>
      <c r="C1063" s="890" t="s">
        <v>2408</v>
      </c>
      <c r="D1063" s="891">
        <v>136177</v>
      </c>
      <c r="E1063" s="891">
        <v>374.49</v>
      </c>
      <c r="F1063" s="892">
        <v>893.32</v>
      </c>
      <c r="G1063" s="8" t="s">
        <v>1725</v>
      </c>
      <c r="H1063" s="592" t="s">
        <v>1220</v>
      </c>
      <c r="I1063" s="587"/>
    </row>
    <row r="1064" spans="1:9" hidden="1" outlineLevel="1">
      <c r="A1064" s="889">
        <v>2024</v>
      </c>
      <c r="B1064" s="893" t="s">
        <v>1358</v>
      </c>
      <c r="C1064" s="890" t="s">
        <v>2408</v>
      </c>
      <c r="D1064" s="891">
        <v>0</v>
      </c>
      <c r="E1064" s="891">
        <v>0</v>
      </c>
      <c r="F1064" s="892">
        <v>0</v>
      </c>
      <c r="G1064" s="8" t="s">
        <v>1359</v>
      </c>
      <c r="H1064" s="592" t="s">
        <v>1220</v>
      </c>
      <c r="I1064" s="587"/>
    </row>
    <row r="1065" spans="1:9" hidden="1" outlineLevel="1">
      <c r="A1065" s="889">
        <v>2024</v>
      </c>
      <c r="B1065" s="893" t="s">
        <v>1552</v>
      </c>
      <c r="C1065" s="890" t="s">
        <v>2408</v>
      </c>
      <c r="D1065" s="891">
        <v>-45317</v>
      </c>
      <c r="E1065" s="891">
        <v>-124.62</v>
      </c>
      <c r="F1065" s="892">
        <v>-297.27999999999997</v>
      </c>
      <c r="G1065" s="8" t="s">
        <v>1553</v>
      </c>
      <c r="H1065" s="592" t="s">
        <v>1220</v>
      </c>
      <c r="I1065" s="587"/>
    </row>
    <row r="1066" spans="1:9" hidden="1" outlineLevel="1">
      <c r="A1066" s="889">
        <v>2024</v>
      </c>
      <c r="B1066" s="893" t="s">
        <v>1242</v>
      </c>
      <c r="C1066" s="890" t="s">
        <v>2408</v>
      </c>
      <c r="D1066" s="891">
        <v>-1640</v>
      </c>
      <c r="E1066" s="891">
        <v>-4.51</v>
      </c>
      <c r="F1066" s="892">
        <v>-10.76</v>
      </c>
      <c r="G1066" s="8" t="s">
        <v>1243</v>
      </c>
      <c r="H1066" s="592" t="s">
        <v>1220</v>
      </c>
      <c r="I1066" s="587"/>
    </row>
    <row r="1067" spans="1:9" hidden="1" outlineLevel="1">
      <c r="A1067" s="889">
        <v>2024</v>
      </c>
      <c r="B1067" s="893" t="s">
        <v>1752</v>
      </c>
      <c r="C1067" s="890" t="s">
        <v>2408</v>
      </c>
      <c r="D1067" s="891">
        <v>-228423</v>
      </c>
      <c r="E1067" s="891">
        <v>-628.16</v>
      </c>
      <c r="F1067" s="892">
        <v>-1498.45</v>
      </c>
      <c r="G1067" s="8" t="s">
        <v>1753</v>
      </c>
      <c r="H1067" s="592" t="s">
        <v>1220</v>
      </c>
      <c r="I1067" s="587"/>
    </row>
    <row r="1068" spans="1:9" hidden="1" outlineLevel="1">
      <c r="A1068" s="889">
        <v>2024</v>
      </c>
      <c r="B1068" s="893" t="s">
        <v>1671</v>
      </c>
      <c r="C1068" s="890" t="s">
        <v>2408</v>
      </c>
      <c r="D1068" s="891">
        <v>499601.005</v>
      </c>
      <c r="E1068" s="891">
        <v>1373.9</v>
      </c>
      <c r="F1068" s="892">
        <v>3277.38</v>
      </c>
      <c r="G1068" s="8" t="s">
        <v>1672</v>
      </c>
      <c r="H1068" s="592" t="s">
        <v>1220</v>
      </c>
      <c r="I1068" s="587"/>
    </row>
    <row r="1069" spans="1:9" hidden="1" outlineLevel="1">
      <c r="A1069" s="889">
        <v>2024</v>
      </c>
      <c r="B1069" s="893" t="s">
        <v>1524</v>
      </c>
      <c r="C1069" s="890" t="s">
        <v>2408</v>
      </c>
      <c r="D1069" s="891">
        <v>-292303</v>
      </c>
      <c r="E1069" s="891">
        <v>-803.83</v>
      </c>
      <c r="F1069" s="892">
        <v>-1917.51</v>
      </c>
      <c r="G1069" s="8" t="s">
        <v>1525</v>
      </c>
      <c r="H1069" s="592" t="s">
        <v>1220</v>
      </c>
      <c r="I1069" s="587"/>
    </row>
    <row r="1070" spans="1:9" hidden="1" outlineLevel="1">
      <c r="A1070" s="889">
        <v>2024</v>
      </c>
      <c r="B1070" s="893" t="s">
        <v>1818</v>
      </c>
      <c r="C1070" s="890" t="s">
        <v>2408</v>
      </c>
      <c r="D1070" s="891">
        <v>-634992</v>
      </c>
      <c r="E1070" s="891">
        <v>-1746.23</v>
      </c>
      <c r="F1070" s="892">
        <v>-4165.55</v>
      </c>
      <c r="G1070" s="8" t="s">
        <v>1819</v>
      </c>
      <c r="H1070" s="592" t="s">
        <v>1220</v>
      </c>
      <c r="I1070" s="587"/>
    </row>
    <row r="1071" spans="1:9" hidden="1" outlineLevel="1">
      <c r="A1071" s="889">
        <v>2024</v>
      </c>
      <c r="B1071" s="893" t="s">
        <v>1238</v>
      </c>
      <c r="C1071" s="890" t="s">
        <v>2408</v>
      </c>
      <c r="D1071" s="891">
        <v>-1537741</v>
      </c>
      <c r="E1071" s="891">
        <v>-4228.79</v>
      </c>
      <c r="F1071" s="892">
        <v>-10087.58</v>
      </c>
      <c r="G1071" s="8" t="s">
        <v>1239</v>
      </c>
      <c r="H1071" s="592" t="s">
        <v>1220</v>
      </c>
      <c r="I1071" s="587"/>
    </row>
    <row r="1072" spans="1:9" hidden="1" outlineLevel="1">
      <c r="A1072" s="889">
        <v>2024</v>
      </c>
      <c r="B1072" s="893" t="s">
        <v>1704</v>
      </c>
      <c r="C1072" s="890" t="s">
        <v>2408</v>
      </c>
      <c r="D1072" s="891">
        <v>-119283</v>
      </c>
      <c r="E1072" s="891">
        <v>-328.03</v>
      </c>
      <c r="F1072" s="892">
        <v>-782.5</v>
      </c>
      <c r="G1072" s="8" t="s">
        <v>1705</v>
      </c>
      <c r="H1072" s="592" t="s">
        <v>1220</v>
      </c>
      <c r="I1072" s="587"/>
    </row>
    <row r="1073" spans="1:9" hidden="1" outlineLevel="1">
      <c r="A1073" s="889">
        <v>2024</v>
      </c>
      <c r="B1073" s="893" t="s">
        <v>1312</v>
      </c>
      <c r="C1073" s="890" t="s">
        <v>2408</v>
      </c>
      <c r="D1073" s="891">
        <v>317562824</v>
      </c>
      <c r="E1073" s="891">
        <v>873297.77</v>
      </c>
      <c r="F1073" s="892">
        <v>2083212.13</v>
      </c>
      <c r="G1073" s="8" t="s">
        <v>1313</v>
      </c>
      <c r="H1073" s="592" t="s">
        <v>1220</v>
      </c>
      <c r="I1073" s="587"/>
    </row>
    <row r="1074" spans="1:9" hidden="1" outlineLevel="1">
      <c r="A1074" s="889">
        <v>2024</v>
      </c>
      <c r="B1074" s="893" t="s">
        <v>1468</v>
      </c>
      <c r="C1074" s="890" t="s">
        <v>2408</v>
      </c>
      <c r="D1074" s="891">
        <v>-143454</v>
      </c>
      <c r="E1074" s="891">
        <v>-394.5</v>
      </c>
      <c r="F1074" s="892">
        <v>-941.06</v>
      </c>
      <c r="G1074" s="8" t="s">
        <v>1469</v>
      </c>
      <c r="H1074" s="592" t="s">
        <v>1220</v>
      </c>
      <c r="I1074" s="587"/>
    </row>
    <row r="1075" spans="1:9" hidden="1" outlineLevel="1">
      <c r="A1075" s="889">
        <v>2024</v>
      </c>
      <c r="B1075" s="893" t="s">
        <v>1309</v>
      </c>
      <c r="C1075" s="890" t="s">
        <v>2408</v>
      </c>
      <c r="D1075" s="891">
        <v>-284369</v>
      </c>
      <c r="E1075" s="891">
        <v>-782.01</v>
      </c>
      <c r="F1075" s="892">
        <v>-1865.46</v>
      </c>
      <c r="G1075" s="8" t="s">
        <v>1310</v>
      </c>
      <c r="H1075" s="592" t="s">
        <v>1220</v>
      </c>
      <c r="I1075" s="587"/>
    </row>
    <row r="1076" spans="1:9" hidden="1" outlineLevel="1">
      <c r="A1076" s="889">
        <v>2024</v>
      </c>
      <c r="B1076" s="893" t="s">
        <v>1762</v>
      </c>
      <c r="C1076" s="890" t="s">
        <v>2408</v>
      </c>
      <c r="D1076" s="891">
        <v>-108601</v>
      </c>
      <c r="E1076" s="891">
        <v>-298.64999999999998</v>
      </c>
      <c r="F1076" s="892">
        <v>-712.42</v>
      </c>
      <c r="G1076" s="8" t="s">
        <v>1763</v>
      </c>
      <c r="H1076" s="592" t="s">
        <v>1220</v>
      </c>
      <c r="I1076" s="587"/>
    </row>
    <row r="1077" spans="1:9" hidden="1" outlineLevel="1">
      <c r="A1077" s="889">
        <v>2024</v>
      </c>
      <c r="B1077" s="893" t="s">
        <v>1748</v>
      </c>
      <c r="C1077" s="890" t="s">
        <v>2408</v>
      </c>
      <c r="D1077" s="891">
        <v>15175</v>
      </c>
      <c r="E1077" s="891">
        <v>41.73</v>
      </c>
      <c r="F1077" s="892">
        <v>99.55</v>
      </c>
      <c r="G1077" s="8" t="s">
        <v>1749</v>
      </c>
      <c r="H1077" s="592" t="s">
        <v>1220</v>
      </c>
      <c r="I1077" s="587"/>
    </row>
    <row r="1078" spans="1:9" hidden="1" outlineLevel="1">
      <c r="A1078" s="889">
        <v>2024</v>
      </c>
      <c r="B1078" s="893" t="s">
        <v>1263</v>
      </c>
      <c r="C1078" s="890" t="s">
        <v>2408</v>
      </c>
      <c r="D1078" s="891">
        <v>268453</v>
      </c>
      <c r="E1078" s="891">
        <v>738.25</v>
      </c>
      <c r="F1078" s="892">
        <v>1761.05</v>
      </c>
      <c r="G1078" s="8" t="s">
        <v>1264</v>
      </c>
      <c r="H1078" s="592" t="s">
        <v>1220</v>
      </c>
      <c r="I1078" s="587"/>
    </row>
    <row r="1079" spans="1:9" hidden="1" outlineLevel="1">
      <c r="A1079" s="889">
        <v>2024</v>
      </c>
      <c r="B1079" s="893" t="s">
        <v>1388</v>
      </c>
      <c r="C1079" s="890" t="s">
        <v>2408</v>
      </c>
      <c r="D1079" s="891">
        <v>16275</v>
      </c>
      <c r="E1079" s="891">
        <v>44.76</v>
      </c>
      <c r="F1079" s="892">
        <v>106.76</v>
      </c>
      <c r="G1079" s="8" t="s">
        <v>1389</v>
      </c>
      <c r="H1079" s="592" t="s">
        <v>1220</v>
      </c>
      <c r="I1079" s="587"/>
    </row>
    <row r="1080" spans="1:9" hidden="1" outlineLevel="1">
      <c r="A1080" s="889">
        <v>2024</v>
      </c>
      <c r="B1080" s="893" t="s">
        <v>1277</v>
      </c>
      <c r="C1080" s="890" t="s">
        <v>2408</v>
      </c>
      <c r="D1080" s="891">
        <v>16468</v>
      </c>
      <c r="E1080" s="891">
        <v>45.29</v>
      </c>
      <c r="F1080" s="892">
        <v>108.03</v>
      </c>
      <c r="G1080" s="8" t="s">
        <v>1278</v>
      </c>
      <c r="H1080" s="592" t="s">
        <v>1220</v>
      </c>
      <c r="I1080" s="587"/>
    </row>
    <row r="1081" spans="1:9" hidden="1" outlineLevel="1">
      <c r="A1081" s="889">
        <v>2024</v>
      </c>
      <c r="B1081" s="893" t="s">
        <v>1514</v>
      </c>
      <c r="C1081" s="890" t="s">
        <v>2408</v>
      </c>
      <c r="D1081" s="891">
        <v>-167223</v>
      </c>
      <c r="E1081" s="891">
        <v>-459.86</v>
      </c>
      <c r="F1081" s="892">
        <v>-1096.98</v>
      </c>
      <c r="G1081" s="8" t="s">
        <v>1515</v>
      </c>
      <c r="H1081" s="592" t="s">
        <v>1220</v>
      </c>
      <c r="I1081" s="587"/>
    </row>
    <row r="1082" spans="1:9" hidden="1" outlineLevel="1">
      <c r="A1082" s="889">
        <v>2024</v>
      </c>
      <c r="B1082" s="893" t="s">
        <v>1578</v>
      </c>
      <c r="C1082" s="890" t="s">
        <v>2408</v>
      </c>
      <c r="D1082" s="891">
        <v>992031</v>
      </c>
      <c r="E1082" s="891">
        <v>2728.09</v>
      </c>
      <c r="F1082" s="892">
        <v>6507.72</v>
      </c>
      <c r="G1082" s="8" t="s">
        <v>1579</v>
      </c>
      <c r="H1082" s="592" t="s">
        <v>1220</v>
      </c>
      <c r="I1082" s="587"/>
    </row>
    <row r="1083" spans="1:9" hidden="1" outlineLevel="1">
      <c r="A1083" s="889">
        <v>2024</v>
      </c>
      <c r="B1083" s="893" t="s">
        <v>1776</v>
      </c>
      <c r="C1083" s="890" t="s">
        <v>2408</v>
      </c>
      <c r="D1083" s="891">
        <v>0</v>
      </c>
      <c r="E1083" s="891">
        <v>0</v>
      </c>
      <c r="F1083" s="892">
        <v>0</v>
      </c>
      <c r="G1083" s="8" t="s">
        <v>1777</v>
      </c>
      <c r="H1083" s="592" t="s">
        <v>1220</v>
      </c>
      <c r="I1083" s="587"/>
    </row>
    <row r="1084" spans="1:9" hidden="1" outlineLevel="1">
      <c r="A1084" s="889">
        <v>2024</v>
      </c>
      <c r="B1084" s="893" t="s">
        <v>1636</v>
      </c>
      <c r="C1084" s="890" t="s">
        <v>2408</v>
      </c>
      <c r="D1084" s="891">
        <v>40989</v>
      </c>
      <c r="E1084" s="891">
        <v>112.72</v>
      </c>
      <c r="F1084" s="892">
        <v>268.89</v>
      </c>
      <c r="G1084" s="8" t="s">
        <v>1637</v>
      </c>
      <c r="H1084" s="592" t="s">
        <v>1220</v>
      </c>
      <c r="I1084" s="587"/>
    </row>
    <row r="1085" spans="1:9" hidden="1" outlineLevel="1">
      <c r="A1085" s="889">
        <v>2024</v>
      </c>
      <c r="B1085" s="893" t="s">
        <v>1646</v>
      </c>
      <c r="C1085" s="890" t="s">
        <v>2408</v>
      </c>
      <c r="D1085" s="891">
        <v>-1233346</v>
      </c>
      <c r="E1085" s="891">
        <v>-3391.7</v>
      </c>
      <c r="F1085" s="892">
        <v>-8090.75</v>
      </c>
      <c r="G1085" s="8" t="s">
        <v>1647</v>
      </c>
      <c r="H1085" s="592" t="s">
        <v>1220</v>
      </c>
      <c r="I1085" s="587"/>
    </row>
    <row r="1086" spans="1:9" hidden="1" outlineLevel="1">
      <c r="A1086" s="889">
        <v>2024</v>
      </c>
      <c r="B1086" s="893" t="s">
        <v>1640</v>
      </c>
      <c r="C1086" s="890" t="s">
        <v>2408</v>
      </c>
      <c r="D1086" s="891">
        <v>0</v>
      </c>
      <c r="E1086" s="891">
        <v>0</v>
      </c>
      <c r="F1086" s="892">
        <v>0</v>
      </c>
      <c r="G1086" s="8" t="s">
        <v>1641</v>
      </c>
      <c r="H1086" s="592" t="s">
        <v>1220</v>
      </c>
      <c r="I1086" s="587"/>
    </row>
    <row r="1087" spans="1:9" hidden="1" outlineLevel="1">
      <c r="A1087" s="889">
        <v>2024</v>
      </c>
      <c r="B1087" s="893" t="s">
        <v>869</v>
      </c>
      <c r="C1087" s="890" t="s">
        <v>2408</v>
      </c>
      <c r="D1087" s="891">
        <v>-222215</v>
      </c>
      <c r="E1087" s="891">
        <v>-611.09</v>
      </c>
      <c r="F1087" s="892">
        <v>-1457.73</v>
      </c>
      <c r="G1087" s="8" t="s">
        <v>870</v>
      </c>
      <c r="H1087" s="592" t="s">
        <v>1220</v>
      </c>
      <c r="I1087" s="587"/>
    </row>
    <row r="1088" spans="1:9" hidden="1" outlineLevel="1">
      <c r="A1088" s="889">
        <v>2024</v>
      </c>
      <c r="B1088" s="893" t="s">
        <v>1744</v>
      </c>
      <c r="C1088" s="890" t="s">
        <v>2408</v>
      </c>
      <c r="D1088" s="891">
        <v>87712</v>
      </c>
      <c r="E1088" s="891">
        <v>241.21</v>
      </c>
      <c r="F1088" s="892">
        <v>575.39</v>
      </c>
      <c r="G1088" s="8" t="s">
        <v>1745</v>
      </c>
      <c r="H1088" s="592" t="s">
        <v>1220</v>
      </c>
      <c r="I1088" s="587"/>
    </row>
    <row r="1089" spans="1:9" hidden="1" outlineLevel="1">
      <c r="A1089" s="889">
        <v>2024</v>
      </c>
      <c r="B1089" s="893" t="s">
        <v>1114</v>
      </c>
      <c r="C1089" s="890" t="s">
        <v>2408</v>
      </c>
      <c r="D1089" s="891">
        <v>250227</v>
      </c>
      <c r="E1089" s="891">
        <v>688.12</v>
      </c>
      <c r="F1089" s="892">
        <v>1641.49</v>
      </c>
      <c r="G1089" s="8" t="s">
        <v>1689</v>
      </c>
      <c r="H1089" s="592" t="s">
        <v>1220</v>
      </c>
      <c r="I1089" s="587"/>
    </row>
    <row r="1090" spans="1:9" hidden="1" outlineLevel="1">
      <c r="A1090" s="889">
        <v>2024</v>
      </c>
      <c r="B1090" s="893" t="s">
        <v>1414</v>
      </c>
      <c r="C1090" s="890" t="s">
        <v>2408</v>
      </c>
      <c r="D1090" s="891">
        <v>-72506</v>
      </c>
      <c r="E1090" s="891">
        <v>-199.39</v>
      </c>
      <c r="F1090" s="892">
        <v>-475.64</v>
      </c>
      <c r="G1090" s="8" t="s">
        <v>1415</v>
      </c>
      <c r="H1090" s="592" t="s">
        <v>1220</v>
      </c>
      <c r="I1090" s="587"/>
    </row>
    <row r="1091" spans="1:9" hidden="1" outlineLevel="1">
      <c r="A1091" s="889">
        <v>2024</v>
      </c>
      <c r="B1091" s="893" t="s">
        <v>1700</v>
      </c>
      <c r="C1091" s="890" t="s">
        <v>2408</v>
      </c>
      <c r="D1091" s="891">
        <v>-8232</v>
      </c>
      <c r="E1091" s="891">
        <v>-22.64</v>
      </c>
      <c r="F1091" s="892">
        <v>-54</v>
      </c>
      <c r="G1091" s="8" t="s">
        <v>1701</v>
      </c>
      <c r="H1091" s="592" t="s">
        <v>1220</v>
      </c>
      <c r="I1091" s="587"/>
    </row>
    <row r="1092" spans="1:9" hidden="1" outlineLevel="1">
      <c r="A1092" s="889">
        <v>2024</v>
      </c>
      <c r="B1092" s="893" t="s">
        <v>2226</v>
      </c>
      <c r="C1092" s="890" t="s">
        <v>2408</v>
      </c>
      <c r="D1092" s="891">
        <v>5515</v>
      </c>
      <c r="E1092" s="891">
        <v>15.17</v>
      </c>
      <c r="F1092" s="892">
        <v>36.18</v>
      </c>
      <c r="G1092" s="8" t="s">
        <v>2227</v>
      </c>
      <c r="H1092" s="592" t="s">
        <v>1220</v>
      </c>
      <c r="I1092" s="587"/>
    </row>
    <row r="1093" spans="1:9" hidden="1" outlineLevel="1">
      <c r="A1093" s="889">
        <v>2024</v>
      </c>
      <c r="B1093" s="893" t="s">
        <v>1824</v>
      </c>
      <c r="C1093" s="890" t="s">
        <v>2408</v>
      </c>
      <c r="D1093" s="891">
        <v>-23763</v>
      </c>
      <c r="E1093" s="891">
        <v>-65.349999999999994</v>
      </c>
      <c r="F1093" s="892">
        <v>-155.88999999999999</v>
      </c>
      <c r="G1093" s="8" t="s">
        <v>1825</v>
      </c>
      <c r="H1093" s="592" t="s">
        <v>1220</v>
      </c>
      <c r="I1093" s="587"/>
    </row>
    <row r="1094" spans="1:9" hidden="1" outlineLevel="1">
      <c r="A1094" s="889">
        <v>2024</v>
      </c>
      <c r="B1094" s="893" t="s">
        <v>1732</v>
      </c>
      <c r="C1094" s="890" t="s">
        <v>2408</v>
      </c>
      <c r="D1094" s="891">
        <v>0</v>
      </c>
      <c r="E1094" s="891">
        <v>0</v>
      </c>
      <c r="F1094" s="892">
        <v>0</v>
      </c>
      <c r="G1094" s="8" t="s">
        <v>1733</v>
      </c>
      <c r="H1094" s="592" t="s">
        <v>1220</v>
      </c>
      <c r="I1094" s="587"/>
    </row>
    <row r="1095" spans="1:9" hidden="1" outlineLevel="1">
      <c r="A1095" s="889">
        <v>2024</v>
      </c>
      <c r="B1095" s="893" t="s">
        <v>1384</v>
      </c>
      <c r="C1095" s="890" t="s">
        <v>2408</v>
      </c>
      <c r="D1095" s="891">
        <v>-118559.9</v>
      </c>
      <c r="E1095" s="891">
        <v>-326.04000000000002</v>
      </c>
      <c r="F1095" s="892">
        <v>-777.75</v>
      </c>
      <c r="G1095" s="8" t="s">
        <v>1385</v>
      </c>
      <c r="H1095" s="592" t="s">
        <v>1220</v>
      </c>
      <c r="I1095" s="587"/>
    </row>
    <row r="1096" spans="1:9" hidden="1" outlineLevel="1">
      <c r="A1096" s="889">
        <v>2024</v>
      </c>
      <c r="B1096" s="893" t="s">
        <v>1804</v>
      </c>
      <c r="C1096" s="890" t="s">
        <v>2408</v>
      </c>
      <c r="D1096" s="891">
        <v>51369</v>
      </c>
      <c r="E1096" s="891">
        <v>141.26</v>
      </c>
      <c r="F1096" s="892">
        <v>336.98</v>
      </c>
      <c r="G1096" s="8" t="s">
        <v>1805</v>
      </c>
      <c r="H1096" s="592" t="s">
        <v>1220</v>
      </c>
      <c r="I1096" s="587"/>
    </row>
    <row r="1097" spans="1:9" hidden="1" outlineLevel="1">
      <c r="A1097" s="889">
        <v>2024</v>
      </c>
      <c r="B1097" s="893" t="s">
        <v>1287</v>
      </c>
      <c r="C1097" s="890" t="s">
        <v>2408</v>
      </c>
      <c r="D1097" s="891">
        <v>-171578</v>
      </c>
      <c r="E1097" s="891">
        <v>-471.84</v>
      </c>
      <c r="F1097" s="892">
        <v>-1125.55</v>
      </c>
      <c r="G1097" s="8" t="s">
        <v>1288</v>
      </c>
      <c r="H1097" s="592" t="s">
        <v>1220</v>
      </c>
      <c r="I1097" s="587"/>
    </row>
    <row r="1098" spans="1:9" hidden="1" outlineLevel="1">
      <c r="A1098" s="889">
        <v>2024</v>
      </c>
      <c r="B1098" s="893" t="s">
        <v>1510</v>
      </c>
      <c r="C1098" s="890" t="s">
        <v>2408</v>
      </c>
      <c r="D1098" s="891">
        <v>-79474</v>
      </c>
      <c r="E1098" s="891">
        <v>-218.55</v>
      </c>
      <c r="F1098" s="892">
        <v>-521.35</v>
      </c>
      <c r="G1098" s="8" t="s">
        <v>1511</v>
      </c>
      <c r="H1098" s="592" t="s">
        <v>1220</v>
      </c>
      <c r="I1098" s="587"/>
    </row>
    <row r="1099" spans="1:9" hidden="1" outlineLevel="1">
      <c r="A1099" s="889">
        <v>2024</v>
      </c>
      <c r="B1099" s="893" t="s">
        <v>1362</v>
      </c>
      <c r="C1099" s="890" t="s">
        <v>2408</v>
      </c>
      <c r="D1099" s="891">
        <v>828154</v>
      </c>
      <c r="E1099" s="891">
        <v>2277.42</v>
      </c>
      <c r="F1099" s="892">
        <v>5432.69</v>
      </c>
      <c r="G1099" s="8" t="s">
        <v>1363</v>
      </c>
      <c r="H1099" s="592" t="s">
        <v>1220</v>
      </c>
      <c r="I1099" s="587"/>
    </row>
    <row r="1100" spans="1:9" hidden="1" outlineLevel="1">
      <c r="A1100" s="889">
        <v>2024</v>
      </c>
      <c r="B1100" s="893" t="s">
        <v>456</v>
      </c>
      <c r="C1100" s="890" t="s">
        <v>2408</v>
      </c>
      <c r="D1100" s="891">
        <v>1322557.0900000001</v>
      </c>
      <c r="E1100" s="891">
        <v>3637.03</v>
      </c>
      <c r="F1100" s="892">
        <v>8675.9699999999993</v>
      </c>
      <c r="G1100" s="8" t="s">
        <v>457</v>
      </c>
      <c r="H1100" s="592" t="s">
        <v>1220</v>
      </c>
      <c r="I1100" s="587"/>
    </row>
    <row r="1101" spans="1:9" hidden="1" outlineLevel="1">
      <c r="A1101" s="889">
        <v>2024</v>
      </c>
      <c r="B1101" s="893" t="s">
        <v>1786</v>
      </c>
      <c r="C1101" s="890" t="s">
        <v>2408</v>
      </c>
      <c r="D1101" s="891">
        <v>2516</v>
      </c>
      <c r="E1101" s="891">
        <v>6.92</v>
      </c>
      <c r="F1101" s="892">
        <v>16.5</v>
      </c>
      <c r="G1101" s="8" t="s">
        <v>1787</v>
      </c>
      <c r="H1101" s="592" t="s">
        <v>1220</v>
      </c>
      <c r="I1101" s="587"/>
    </row>
    <row r="1102" spans="1:9" hidden="1" outlineLevel="1">
      <c r="A1102" s="889">
        <v>2024</v>
      </c>
      <c r="B1102" s="893" t="s">
        <v>1478</v>
      </c>
      <c r="C1102" s="890" t="s">
        <v>2408</v>
      </c>
      <c r="D1102" s="891">
        <v>780</v>
      </c>
      <c r="E1102" s="891">
        <v>2.15</v>
      </c>
      <c r="F1102" s="892">
        <v>5.12</v>
      </c>
      <c r="G1102" s="8" t="s">
        <v>1479</v>
      </c>
      <c r="H1102" s="592" t="s">
        <v>1220</v>
      </c>
      <c r="I1102" s="587"/>
    </row>
    <row r="1103" spans="1:9" hidden="1" outlineLevel="1">
      <c r="A1103" s="889">
        <v>2024</v>
      </c>
      <c r="B1103" s="893" t="s">
        <v>1796</v>
      </c>
      <c r="C1103" s="890" t="s">
        <v>2408</v>
      </c>
      <c r="D1103" s="891">
        <v>915163</v>
      </c>
      <c r="E1103" s="891">
        <v>2516.6999999999998</v>
      </c>
      <c r="F1103" s="892">
        <v>6003.47</v>
      </c>
      <c r="G1103" s="8" t="s">
        <v>1797</v>
      </c>
      <c r="H1103" s="592" t="s">
        <v>1220</v>
      </c>
      <c r="I1103" s="587"/>
    </row>
    <row r="1104" spans="1:9" hidden="1" outlineLevel="1">
      <c r="A1104" s="889">
        <v>2024</v>
      </c>
      <c r="B1104" s="893" t="s">
        <v>2244</v>
      </c>
      <c r="C1104" s="890" t="s">
        <v>2408</v>
      </c>
      <c r="D1104" s="891">
        <v>110579</v>
      </c>
      <c r="E1104" s="891">
        <v>304.08999999999997</v>
      </c>
      <c r="F1104" s="892">
        <v>725.4</v>
      </c>
      <c r="G1104" s="8" t="s">
        <v>2245</v>
      </c>
      <c r="H1104" s="592" t="s">
        <v>1220</v>
      </c>
      <c r="I1104" s="587"/>
    </row>
    <row r="1105" spans="1:9" hidden="1" outlineLevel="1">
      <c r="A1105" s="889">
        <v>2024</v>
      </c>
      <c r="B1105" s="893" t="s">
        <v>1416</v>
      </c>
      <c r="C1105" s="890" t="s">
        <v>2408</v>
      </c>
      <c r="D1105" s="891">
        <v>6762115</v>
      </c>
      <c r="E1105" s="891">
        <v>18595.82</v>
      </c>
      <c r="F1105" s="892">
        <v>44359.47</v>
      </c>
      <c r="G1105" s="8" t="s">
        <v>1417</v>
      </c>
      <c r="H1105" s="592" t="s">
        <v>1220</v>
      </c>
      <c r="I1105" s="587"/>
    </row>
    <row r="1106" spans="1:9" hidden="1" outlineLevel="1">
      <c r="A1106" s="889">
        <v>2024</v>
      </c>
      <c r="B1106" s="893" t="s">
        <v>1265</v>
      </c>
      <c r="C1106" s="890" t="s">
        <v>2408</v>
      </c>
      <c r="D1106" s="891">
        <v>-1109212.2009999999</v>
      </c>
      <c r="E1106" s="891">
        <v>-3050.33</v>
      </c>
      <c r="F1106" s="892">
        <v>-7276.43</v>
      </c>
      <c r="G1106" s="8" t="s">
        <v>1266</v>
      </c>
      <c r="H1106" s="592" t="s">
        <v>1220</v>
      </c>
      <c r="I1106" s="587"/>
    </row>
    <row r="1107" spans="1:9" hidden="1" outlineLevel="1">
      <c r="A1107" s="889">
        <v>2024</v>
      </c>
      <c r="B1107" s="893" t="s">
        <v>2250</v>
      </c>
      <c r="C1107" s="890" t="s">
        <v>2408</v>
      </c>
      <c r="D1107" s="891">
        <v>89400</v>
      </c>
      <c r="E1107" s="891">
        <v>245.85</v>
      </c>
      <c r="F1107" s="892">
        <v>586.46</v>
      </c>
      <c r="G1107" s="8" t="s">
        <v>2251</v>
      </c>
      <c r="H1107" s="592" t="s">
        <v>1220</v>
      </c>
      <c r="I1107" s="587"/>
    </row>
    <row r="1108" spans="1:9" hidden="1" outlineLevel="1">
      <c r="A1108" s="889">
        <v>2024</v>
      </c>
      <c r="B1108" s="893" t="s">
        <v>1654</v>
      </c>
      <c r="C1108" s="890" t="s">
        <v>2408</v>
      </c>
      <c r="D1108" s="891">
        <v>-22130043.68</v>
      </c>
      <c r="E1108" s="891">
        <v>-60857.62</v>
      </c>
      <c r="F1108" s="892">
        <v>-145173.09</v>
      </c>
      <c r="G1108" s="8" t="s">
        <v>1655</v>
      </c>
      <c r="H1108" s="592" t="s">
        <v>1220</v>
      </c>
      <c r="I1108" s="587"/>
    </row>
    <row r="1109" spans="1:9" hidden="1" outlineLevel="1">
      <c r="A1109" s="889">
        <v>2024</v>
      </c>
      <c r="B1109" s="893" t="s">
        <v>1516</v>
      </c>
      <c r="C1109" s="890" t="s">
        <v>2408</v>
      </c>
      <c r="D1109" s="891">
        <v>-21766625</v>
      </c>
      <c r="E1109" s="891">
        <v>-59858.22</v>
      </c>
      <c r="F1109" s="892">
        <v>-142789.06</v>
      </c>
      <c r="G1109" s="8" t="s">
        <v>1517</v>
      </c>
      <c r="H1109" s="592" t="s">
        <v>1220</v>
      </c>
      <c r="I1109" s="587"/>
    </row>
    <row r="1110" spans="1:9" hidden="1" outlineLevel="1">
      <c r="A1110" s="889">
        <v>2024</v>
      </c>
      <c r="B1110" s="893" t="s">
        <v>1430</v>
      </c>
      <c r="C1110" s="890" t="s">
        <v>2408</v>
      </c>
      <c r="D1110" s="891">
        <v>-168769998</v>
      </c>
      <c r="E1110" s="891">
        <v>-464117.49</v>
      </c>
      <c r="F1110" s="892">
        <v>-1107131.19</v>
      </c>
      <c r="G1110" s="8" t="s">
        <v>1431</v>
      </c>
      <c r="H1110" s="592" t="s">
        <v>1220</v>
      </c>
      <c r="I1110" s="587"/>
    </row>
    <row r="1111" spans="1:9" hidden="1" outlineLevel="1">
      <c r="A1111" s="889">
        <v>2024</v>
      </c>
      <c r="B1111" s="893" t="s">
        <v>1808</v>
      </c>
      <c r="C1111" s="890" t="s">
        <v>2408</v>
      </c>
      <c r="D1111" s="891">
        <v>-3734886.6290000002</v>
      </c>
      <c r="E1111" s="891">
        <v>-10270.94</v>
      </c>
      <c r="F1111" s="892">
        <v>-24500.86</v>
      </c>
      <c r="G1111" s="8" t="s">
        <v>1809</v>
      </c>
      <c r="H1111" s="592" t="s">
        <v>1220</v>
      </c>
      <c r="I1111" s="587"/>
    </row>
    <row r="1112" spans="1:9" hidden="1" outlineLevel="1">
      <c r="A1112" s="889">
        <v>2024</v>
      </c>
      <c r="B1112" s="893" t="s">
        <v>1768</v>
      </c>
      <c r="C1112" s="890" t="s">
        <v>2408</v>
      </c>
      <c r="D1112" s="891">
        <v>-11484957</v>
      </c>
      <c r="E1112" s="891">
        <v>-31583.63</v>
      </c>
      <c r="F1112" s="892">
        <v>-75341.320000000007</v>
      </c>
      <c r="G1112" s="8" t="s">
        <v>1769</v>
      </c>
      <c r="H1112" s="592" t="s">
        <v>1220</v>
      </c>
      <c r="I1112" s="587"/>
    </row>
    <row r="1113" spans="1:9" hidden="1" outlineLevel="1">
      <c r="A1113" s="889">
        <v>2024</v>
      </c>
      <c r="B1113" s="893" t="s">
        <v>879</v>
      </c>
      <c r="C1113" s="890" t="s">
        <v>2408</v>
      </c>
      <c r="D1113" s="891">
        <v>-11855605</v>
      </c>
      <c r="E1113" s="891">
        <v>-32602.91</v>
      </c>
      <c r="F1113" s="892">
        <v>-77772.77</v>
      </c>
      <c r="G1113" s="8" t="s">
        <v>880</v>
      </c>
      <c r="H1113" s="592" t="s">
        <v>1220</v>
      </c>
      <c r="I1113" s="587"/>
    </row>
    <row r="1114" spans="1:9" hidden="1" outlineLevel="1">
      <c r="A1114" s="889">
        <v>2024</v>
      </c>
      <c r="B1114" s="893" t="s">
        <v>1683</v>
      </c>
      <c r="C1114" s="890" t="s">
        <v>2408</v>
      </c>
      <c r="D1114" s="891">
        <v>15110981</v>
      </c>
      <c r="E1114" s="891">
        <v>41555.199999999997</v>
      </c>
      <c r="F1114" s="892">
        <v>99128.04</v>
      </c>
      <c r="G1114" s="8" t="s">
        <v>1684</v>
      </c>
      <c r="H1114" s="592" t="s">
        <v>1220</v>
      </c>
      <c r="I1114" s="587"/>
    </row>
    <row r="1115" spans="1:9" hidden="1" outlineLevel="1">
      <c r="A1115" s="889">
        <v>2024</v>
      </c>
      <c r="B1115" s="893" t="s">
        <v>758</v>
      </c>
      <c r="C1115" s="890" t="s">
        <v>2408</v>
      </c>
      <c r="D1115" s="891">
        <v>-16907986.265999999</v>
      </c>
      <c r="E1115" s="891">
        <v>-46496.959999999999</v>
      </c>
      <c r="F1115" s="892">
        <v>-110916.39</v>
      </c>
      <c r="G1115" s="8" t="s">
        <v>759</v>
      </c>
      <c r="H1115" s="592" t="s">
        <v>1220</v>
      </c>
      <c r="I1115" s="587"/>
    </row>
    <row r="1116" spans="1:9" hidden="1" outlineLevel="1">
      <c r="A1116" s="889">
        <v>2024</v>
      </c>
      <c r="B1116" s="893" t="s">
        <v>1090</v>
      </c>
      <c r="C1116" s="890" t="s">
        <v>2408</v>
      </c>
      <c r="D1116" s="891">
        <v>1843549</v>
      </c>
      <c r="E1116" s="891">
        <v>5069.76</v>
      </c>
      <c r="F1116" s="892">
        <v>12093.68</v>
      </c>
      <c r="G1116" s="8" t="s">
        <v>1091</v>
      </c>
      <c r="H1116" s="592" t="s">
        <v>1220</v>
      </c>
      <c r="I1116" s="587"/>
    </row>
    <row r="1117" spans="1:9" hidden="1" outlineLevel="1">
      <c r="A1117" s="889">
        <v>2024</v>
      </c>
      <c r="B1117" s="893" t="s">
        <v>2256</v>
      </c>
      <c r="C1117" s="890" t="s">
        <v>2408</v>
      </c>
      <c r="D1117" s="891">
        <v>2292939.7039999999</v>
      </c>
      <c r="E1117" s="891">
        <v>6305.58</v>
      </c>
      <c r="F1117" s="892">
        <v>15041.68</v>
      </c>
      <c r="G1117" s="8" t="s">
        <v>2257</v>
      </c>
      <c r="H1117" s="592" t="s">
        <v>1220</v>
      </c>
      <c r="I1117" s="587"/>
    </row>
    <row r="1118" spans="1:9" hidden="1" outlineLevel="1">
      <c r="A1118" s="889">
        <v>2024</v>
      </c>
      <c r="B1118" s="893" t="s">
        <v>1784</v>
      </c>
      <c r="C1118" s="890" t="s">
        <v>2408</v>
      </c>
      <c r="D1118" s="891">
        <v>192010.71</v>
      </c>
      <c r="E1118" s="891">
        <v>528.03</v>
      </c>
      <c r="F1118" s="892">
        <v>1259.5899999999999</v>
      </c>
      <c r="G1118" s="8" t="s">
        <v>1785</v>
      </c>
      <c r="H1118" s="592" t="s">
        <v>1220</v>
      </c>
      <c r="I1118" s="587"/>
    </row>
    <row r="1119" spans="1:9" hidden="1" outlineLevel="1">
      <c r="A1119" s="889">
        <v>2024</v>
      </c>
      <c r="B1119" s="893" t="s">
        <v>1816</v>
      </c>
      <c r="C1119" s="890" t="s">
        <v>2408</v>
      </c>
      <c r="D1119" s="891">
        <v>391666</v>
      </c>
      <c r="E1119" s="891">
        <v>1077.08</v>
      </c>
      <c r="F1119" s="892">
        <v>2569.33</v>
      </c>
      <c r="G1119" s="8" t="s">
        <v>1817</v>
      </c>
      <c r="H1119" s="592" t="s">
        <v>1220</v>
      </c>
      <c r="I1119" s="587"/>
    </row>
    <row r="1120" spans="1:9" hidden="1" outlineLevel="1">
      <c r="A1120" s="889">
        <v>2024</v>
      </c>
      <c r="B1120" s="893" t="s">
        <v>1778</v>
      </c>
      <c r="C1120" s="890" t="s">
        <v>2408</v>
      </c>
      <c r="D1120" s="891">
        <v>49112</v>
      </c>
      <c r="E1120" s="891">
        <v>135.06</v>
      </c>
      <c r="F1120" s="892">
        <v>322.17</v>
      </c>
      <c r="G1120" s="8" t="s">
        <v>1779</v>
      </c>
      <c r="H1120" s="592" t="s">
        <v>1220</v>
      </c>
      <c r="I1120" s="587"/>
    </row>
    <row r="1121" spans="1:9" hidden="1" outlineLevel="1">
      <c r="A1121" s="889">
        <v>2024</v>
      </c>
      <c r="B1121" s="893" t="s">
        <v>799</v>
      </c>
      <c r="C1121" s="890" t="s">
        <v>2408</v>
      </c>
      <c r="D1121" s="891">
        <v>18298</v>
      </c>
      <c r="E1121" s="891">
        <v>50.32</v>
      </c>
      <c r="F1121" s="892">
        <v>120.03</v>
      </c>
      <c r="G1121" s="8" t="s">
        <v>2262</v>
      </c>
      <c r="H1121" s="592" t="s">
        <v>1220</v>
      </c>
      <c r="I1121" s="587"/>
    </row>
    <row r="1122" spans="1:9" hidden="1" outlineLevel="1">
      <c r="A1122" s="889">
        <v>2024</v>
      </c>
      <c r="B1122" s="893" t="s">
        <v>2263</v>
      </c>
      <c r="C1122" s="890" t="s">
        <v>2408</v>
      </c>
      <c r="D1122" s="891">
        <v>-258203</v>
      </c>
      <c r="E1122" s="891">
        <v>-710.06</v>
      </c>
      <c r="F1122" s="892">
        <v>-1693.81</v>
      </c>
      <c r="G1122" s="8" t="s">
        <v>2264</v>
      </c>
      <c r="H1122" s="592" t="s">
        <v>1220</v>
      </c>
      <c r="I1122" s="587"/>
    </row>
    <row r="1123" spans="1:9" hidden="1" outlineLevel="1">
      <c r="A1123" s="889">
        <v>2024</v>
      </c>
      <c r="B1123" s="893" t="s">
        <v>2265</v>
      </c>
      <c r="C1123" s="890" t="s">
        <v>2408</v>
      </c>
      <c r="D1123" s="891">
        <v>12687</v>
      </c>
      <c r="E1123" s="891">
        <v>34.89</v>
      </c>
      <c r="F1123" s="892">
        <v>83.23</v>
      </c>
      <c r="G1123" s="8" t="s">
        <v>2266</v>
      </c>
      <c r="H1123" s="592" t="s">
        <v>1220</v>
      </c>
      <c r="I1123" s="587"/>
    </row>
    <row r="1124" spans="1:9" hidden="1" outlineLevel="1">
      <c r="A1124" s="889">
        <v>2024</v>
      </c>
      <c r="B1124" s="893" t="s">
        <v>1520</v>
      </c>
      <c r="C1124" s="890" t="s">
        <v>2408</v>
      </c>
      <c r="D1124" s="891">
        <v>1370460</v>
      </c>
      <c r="E1124" s="891">
        <v>3768.77</v>
      </c>
      <c r="F1124" s="892">
        <v>8990.2199999999993</v>
      </c>
      <c r="G1124" s="8" t="s">
        <v>1521</v>
      </c>
      <c r="H1124" s="592" t="s">
        <v>1220</v>
      </c>
      <c r="I1124" s="587"/>
    </row>
    <row r="1125" spans="1:9" hidden="1" outlineLevel="1">
      <c r="A1125" s="889">
        <v>2024</v>
      </c>
      <c r="B1125" s="893" t="s">
        <v>943</v>
      </c>
      <c r="C1125" s="890" t="s">
        <v>2408</v>
      </c>
      <c r="D1125" s="891">
        <v>-8813915</v>
      </c>
      <c r="E1125" s="891">
        <v>-24238.27</v>
      </c>
      <c r="F1125" s="892">
        <v>-57819.28</v>
      </c>
      <c r="G1125" s="8" t="s">
        <v>944</v>
      </c>
      <c r="H1125" s="592" t="s">
        <v>1220</v>
      </c>
      <c r="I1125" s="587"/>
    </row>
    <row r="1126" spans="1:9" hidden="1" outlineLevel="1">
      <c r="A1126" s="889">
        <v>2024</v>
      </c>
      <c r="B1126" s="893" t="s">
        <v>1046</v>
      </c>
      <c r="C1126" s="890" t="s">
        <v>2408</v>
      </c>
      <c r="D1126" s="891">
        <v>0</v>
      </c>
      <c r="E1126" s="891">
        <v>0</v>
      </c>
      <c r="F1126" s="892">
        <v>0</v>
      </c>
      <c r="G1126" s="8" t="s">
        <v>1047</v>
      </c>
      <c r="H1126" s="592" t="s">
        <v>1220</v>
      </c>
      <c r="I1126" s="587"/>
    </row>
    <row r="1127" spans="1:9" hidden="1" outlineLevel="1">
      <c r="A1127" s="889">
        <v>2024</v>
      </c>
      <c r="B1127" s="893" t="s">
        <v>1770</v>
      </c>
      <c r="C1127" s="890" t="s">
        <v>2408</v>
      </c>
      <c r="D1127" s="891">
        <v>-149783</v>
      </c>
      <c r="E1127" s="891">
        <v>-411.9</v>
      </c>
      <c r="F1127" s="892">
        <v>-982.58</v>
      </c>
      <c r="G1127" s="8" t="s">
        <v>1771</v>
      </c>
      <c r="H1127" s="592" t="s">
        <v>1220</v>
      </c>
      <c r="I1127" s="587"/>
    </row>
    <row r="1128" spans="1:9" hidden="1" outlineLevel="1">
      <c r="A1128" s="889">
        <v>2024</v>
      </c>
      <c r="B1128" s="893" t="s">
        <v>1030</v>
      </c>
      <c r="C1128" s="890" t="s">
        <v>2408</v>
      </c>
      <c r="D1128" s="891">
        <v>-499966.4</v>
      </c>
      <c r="E1128" s="891">
        <v>-1374.91</v>
      </c>
      <c r="F1128" s="892">
        <v>-3279.78</v>
      </c>
      <c r="G1128" s="8" t="s">
        <v>1031</v>
      </c>
      <c r="H1128" s="592" t="s">
        <v>1220</v>
      </c>
      <c r="I1128" s="587"/>
    </row>
    <row r="1129" spans="1:9" hidden="1" outlineLevel="1">
      <c r="A1129" s="889">
        <v>2024</v>
      </c>
      <c r="B1129" s="893" t="s">
        <v>839</v>
      </c>
      <c r="C1129" s="890" t="s">
        <v>2408</v>
      </c>
      <c r="D1129" s="891">
        <v>139144</v>
      </c>
      <c r="E1129" s="891">
        <v>382.65</v>
      </c>
      <c r="F1129" s="892">
        <v>912.78</v>
      </c>
      <c r="G1129" s="8" t="s">
        <v>1311</v>
      </c>
      <c r="H1129" s="592" t="s">
        <v>1220</v>
      </c>
      <c r="I1129" s="587"/>
    </row>
    <row r="1130" spans="1:9" hidden="1" outlineLevel="1">
      <c r="A1130" s="889">
        <v>2024</v>
      </c>
      <c r="B1130" s="893" t="s">
        <v>1273</v>
      </c>
      <c r="C1130" s="890" t="s">
        <v>2408</v>
      </c>
      <c r="D1130" s="891">
        <v>2804176</v>
      </c>
      <c r="E1130" s="891">
        <v>7711.48</v>
      </c>
      <c r="F1130" s="892">
        <v>18395.39</v>
      </c>
      <c r="G1130" s="8" t="s">
        <v>1274</v>
      </c>
      <c r="H1130" s="592" t="s">
        <v>1220</v>
      </c>
      <c r="I1130" s="587"/>
    </row>
    <row r="1131" spans="1:9" hidden="1" outlineLevel="1">
      <c r="A1131" s="889">
        <v>2024</v>
      </c>
      <c r="B1131" s="893" t="s">
        <v>1488</v>
      </c>
      <c r="C1131" s="890" t="s">
        <v>2408</v>
      </c>
      <c r="D1131" s="891">
        <v>-855252</v>
      </c>
      <c r="E1131" s="891">
        <v>-2351.94</v>
      </c>
      <c r="F1131" s="892">
        <v>-5610.45</v>
      </c>
      <c r="G1131" s="8" t="s">
        <v>1489</v>
      </c>
      <c r="H1131" s="592" t="s">
        <v>1220</v>
      </c>
      <c r="I1131" s="587"/>
    </row>
    <row r="1132" spans="1:9" hidden="1" outlineLevel="1">
      <c r="A1132" s="889">
        <v>2024</v>
      </c>
      <c r="B1132" s="893" t="s">
        <v>1782</v>
      </c>
      <c r="C1132" s="890" t="s">
        <v>2408</v>
      </c>
      <c r="D1132" s="891">
        <v>-16961</v>
      </c>
      <c r="E1132" s="891">
        <v>-46.64</v>
      </c>
      <c r="F1132" s="892">
        <v>-111.26</v>
      </c>
      <c r="G1132" s="8" t="s">
        <v>1783</v>
      </c>
      <c r="H1132" s="592" t="s">
        <v>1220</v>
      </c>
      <c r="I1132" s="587"/>
    </row>
    <row r="1133" spans="1:9" hidden="1" outlineLevel="1">
      <c r="A1133" s="889">
        <v>2024</v>
      </c>
      <c r="B1133" s="893" t="s">
        <v>1472</v>
      </c>
      <c r="C1133" s="890" t="s">
        <v>2408</v>
      </c>
      <c r="D1133" s="891">
        <v>77339</v>
      </c>
      <c r="E1133" s="891">
        <v>212.68</v>
      </c>
      <c r="F1133" s="892">
        <v>507.34</v>
      </c>
      <c r="G1133" s="8" t="s">
        <v>1473</v>
      </c>
      <c r="H1133" s="592" t="s">
        <v>1220</v>
      </c>
      <c r="I1133" s="587"/>
    </row>
    <row r="1134" spans="1:9" hidden="1" outlineLevel="1">
      <c r="A1134" s="889">
        <v>2024</v>
      </c>
      <c r="B1134" s="893" t="s">
        <v>2271</v>
      </c>
      <c r="C1134" s="890" t="s">
        <v>2408</v>
      </c>
      <c r="D1134" s="891">
        <v>0</v>
      </c>
      <c r="E1134" s="891">
        <v>0</v>
      </c>
      <c r="F1134" s="892">
        <v>0</v>
      </c>
      <c r="G1134" s="8" t="s">
        <v>2272</v>
      </c>
      <c r="H1134" s="592" t="s">
        <v>1220</v>
      </c>
      <c r="I1134" s="587"/>
    </row>
    <row r="1135" spans="1:9" hidden="1" outlineLevel="1">
      <c r="A1135" s="889">
        <v>2024</v>
      </c>
      <c r="B1135" s="893" t="s">
        <v>2273</v>
      </c>
      <c r="C1135" s="890" t="s">
        <v>2408</v>
      </c>
      <c r="D1135" s="891">
        <v>0</v>
      </c>
      <c r="E1135" s="891">
        <v>0</v>
      </c>
      <c r="F1135" s="892">
        <v>0</v>
      </c>
      <c r="G1135" s="8" t="s">
        <v>2274</v>
      </c>
      <c r="H1135" s="592" t="s">
        <v>1220</v>
      </c>
      <c r="I1135" s="587"/>
    </row>
    <row r="1136" spans="1:9" hidden="1" outlineLevel="1">
      <c r="A1136" s="889">
        <v>2024</v>
      </c>
      <c r="B1136" s="893" t="s">
        <v>1508</v>
      </c>
      <c r="C1136" s="890" t="s">
        <v>2408</v>
      </c>
      <c r="D1136" s="891">
        <v>-448404</v>
      </c>
      <c r="E1136" s="891">
        <v>-1233.1099999999999</v>
      </c>
      <c r="F1136" s="892">
        <v>-2941.53</v>
      </c>
      <c r="G1136" s="8" t="s">
        <v>1509</v>
      </c>
      <c r="H1136" s="592" t="s">
        <v>1220</v>
      </c>
      <c r="I1136" s="587"/>
    </row>
    <row r="1137" spans="1:9" hidden="1" outlineLevel="1">
      <c r="A1137" s="889">
        <v>2024</v>
      </c>
      <c r="B1137" s="893" t="s">
        <v>1305</v>
      </c>
      <c r="C1137" s="890" t="s">
        <v>2408</v>
      </c>
      <c r="D1137" s="891">
        <v>-2338945.8569999998</v>
      </c>
      <c r="E1137" s="891">
        <v>-6432.1</v>
      </c>
      <c r="F1137" s="892">
        <v>-15343.48</v>
      </c>
      <c r="G1137" s="8" t="s">
        <v>1306</v>
      </c>
      <c r="H1137" s="592" t="s">
        <v>1220</v>
      </c>
      <c r="I1137" s="587"/>
    </row>
    <row r="1138" spans="1:9" hidden="1" outlineLevel="1">
      <c r="A1138" s="889">
        <v>2024</v>
      </c>
      <c r="B1138" s="893" t="s">
        <v>1810</v>
      </c>
      <c r="C1138" s="890" t="s">
        <v>2408</v>
      </c>
      <c r="D1138" s="891">
        <v>-644623</v>
      </c>
      <c r="E1138" s="891">
        <v>-1772.71</v>
      </c>
      <c r="F1138" s="892">
        <v>-4228.7299999999996</v>
      </c>
      <c r="G1138" s="8" t="s">
        <v>1811</v>
      </c>
      <c r="H1138" s="592" t="s">
        <v>1220</v>
      </c>
      <c r="I1138" s="587"/>
    </row>
    <row r="1139" spans="1:9" hidden="1" outlineLevel="1">
      <c r="A1139" s="889">
        <v>2024</v>
      </c>
      <c r="B1139" s="893" t="s">
        <v>2275</v>
      </c>
      <c r="C1139" s="890" t="s">
        <v>2408</v>
      </c>
      <c r="D1139" s="891">
        <v>-1994332.0549999999</v>
      </c>
      <c r="E1139" s="891">
        <v>-5484.41</v>
      </c>
      <c r="F1139" s="892">
        <v>-13082.82</v>
      </c>
      <c r="G1139" s="8" t="s">
        <v>2276</v>
      </c>
      <c r="H1139" s="592" t="s">
        <v>1220</v>
      </c>
      <c r="I1139" s="587"/>
    </row>
    <row r="1140" spans="1:9" hidden="1" outlineLevel="1">
      <c r="A1140" s="889">
        <v>2024</v>
      </c>
      <c r="B1140" s="893" t="s">
        <v>1370</v>
      </c>
      <c r="C1140" s="890" t="s">
        <v>2408</v>
      </c>
      <c r="D1140" s="891">
        <v>-6297.6</v>
      </c>
      <c r="E1140" s="891">
        <v>-17.32</v>
      </c>
      <c r="F1140" s="892">
        <v>-41.31</v>
      </c>
      <c r="G1140" s="8" t="s">
        <v>1371</v>
      </c>
      <c r="H1140" s="592" t="s">
        <v>1220</v>
      </c>
      <c r="I1140" s="587"/>
    </row>
    <row r="1141" spans="1:9" hidden="1" outlineLevel="1">
      <c r="A1141" s="889">
        <v>2024</v>
      </c>
      <c r="B1141" s="893" t="s">
        <v>1522</v>
      </c>
      <c r="C1141" s="890" t="s">
        <v>2408</v>
      </c>
      <c r="D1141" s="891">
        <v>503186</v>
      </c>
      <c r="E1141" s="891">
        <v>1383.76</v>
      </c>
      <c r="F1141" s="892">
        <v>3300.9</v>
      </c>
      <c r="G1141" s="8" t="s">
        <v>1523</v>
      </c>
      <c r="H1141" s="592" t="s">
        <v>1220</v>
      </c>
      <c r="I1141" s="587"/>
    </row>
    <row r="1142" spans="1:9" hidden="1" outlineLevel="1">
      <c r="A1142" s="889">
        <v>2024</v>
      </c>
      <c r="B1142" s="893" t="s">
        <v>1223</v>
      </c>
      <c r="C1142" s="890" t="s">
        <v>2408</v>
      </c>
      <c r="D1142" s="891">
        <v>1059089.33</v>
      </c>
      <c r="E1142" s="891">
        <v>2912.5</v>
      </c>
      <c r="F1142" s="892">
        <v>6947.63</v>
      </c>
      <c r="G1142" s="8" t="s">
        <v>1224</v>
      </c>
      <c r="H1142" s="592" t="s">
        <v>1220</v>
      </c>
      <c r="I1142" s="587"/>
    </row>
    <row r="1143" spans="1:9" hidden="1" outlineLevel="1">
      <c r="A1143" s="889">
        <v>2024</v>
      </c>
      <c r="B1143" s="893" t="s">
        <v>1432</v>
      </c>
      <c r="C1143" s="890" t="s">
        <v>2408</v>
      </c>
      <c r="D1143" s="891">
        <v>-91271.35</v>
      </c>
      <c r="E1143" s="891">
        <v>-251</v>
      </c>
      <c r="F1143" s="892">
        <v>-598.74</v>
      </c>
      <c r="G1143" s="8" t="s">
        <v>1433</v>
      </c>
      <c r="H1143" s="592" t="s">
        <v>1220</v>
      </c>
      <c r="I1143" s="587"/>
    </row>
    <row r="1144" spans="1:9" hidden="1" outlineLevel="1">
      <c r="A1144" s="889">
        <v>2024</v>
      </c>
      <c r="B1144" s="893" t="s">
        <v>1364</v>
      </c>
      <c r="C1144" s="890" t="s">
        <v>2408</v>
      </c>
      <c r="D1144" s="891">
        <v>-247315.25</v>
      </c>
      <c r="E1144" s="891">
        <v>-680.12</v>
      </c>
      <c r="F1144" s="892">
        <v>-1622.39</v>
      </c>
      <c r="G1144" s="8" t="s">
        <v>1365</v>
      </c>
      <c r="H1144" s="592" t="s">
        <v>1220</v>
      </c>
      <c r="I1144" s="587"/>
    </row>
    <row r="1145" spans="1:9" hidden="1" outlineLevel="1">
      <c r="A1145" s="889">
        <v>2024</v>
      </c>
      <c r="B1145" s="893" t="s">
        <v>1285</v>
      </c>
      <c r="C1145" s="890" t="s">
        <v>2408</v>
      </c>
      <c r="D1145" s="891">
        <v>253583</v>
      </c>
      <c r="E1145" s="891">
        <v>697.35</v>
      </c>
      <c r="F1145" s="892">
        <v>1663.5</v>
      </c>
      <c r="G1145" s="8" t="s">
        <v>1286</v>
      </c>
      <c r="H1145" s="592" t="s">
        <v>1220</v>
      </c>
      <c r="I1145" s="587"/>
    </row>
    <row r="1146" spans="1:9" hidden="1" outlineLevel="1">
      <c r="A1146" s="889">
        <v>2024</v>
      </c>
      <c r="B1146" s="893" t="s">
        <v>768</v>
      </c>
      <c r="C1146" s="890" t="s">
        <v>2408</v>
      </c>
      <c r="D1146" s="891">
        <v>210841.79</v>
      </c>
      <c r="E1146" s="891">
        <v>579.80999999999995</v>
      </c>
      <c r="F1146" s="892">
        <v>1383.12</v>
      </c>
      <c r="G1146" s="8" t="s">
        <v>769</v>
      </c>
      <c r="H1146" s="592" t="s">
        <v>1220</v>
      </c>
      <c r="I1146" s="587"/>
    </row>
    <row r="1147" spans="1:9" hidden="1" outlineLevel="1">
      <c r="A1147" s="889">
        <v>2024</v>
      </c>
      <c r="B1147" s="893" t="s">
        <v>2281</v>
      </c>
      <c r="C1147" s="890" t="s">
        <v>2408</v>
      </c>
      <c r="D1147" s="891">
        <v>35431.49</v>
      </c>
      <c r="E1147" s="891">
        <v>97.44</v>
      </c>
      <c r="F1147" s="892">
        <v>232.43</v>
      </c>
      <c r="G1147" s="8" t="s">
        <v>2282</v>
      </c>
      <c r="H1147" s="592" t="s">
        <v>1220</v>
      </c>
      <c r="I1147" s="587"/>
    </row>
    <row r="1148" spans="1:9" hidden="1" outlineLevel="1">
      <c r="A1148" s="889">
        <v>2024</v>
      </c>
      <c r="B1148" s="893" t="s">
        <v>1756</v>
      </c>
      <c r="C1148" s="890" t="s">
        <v>2408</v>
      </c>
      <c r="D1148" s="891">
        <v>-76476299</v>
      </c>
      <c r="E1148" s="891">
        <v>-210309.82</v>
      </c>
      <c r="F1148" s="892">
        <v>-501684.52</v>
      </c>
      <c r="G1148" s="8" t="s">
        <v>1757</v>
      </c>
      <c r="H1148" s="592" t="s">
        <v>1220</v>
      </c>
      <c r="I1148" s="587"/>
    </row>
    <row r="1149" spans="1:9" hidden="1" outlineLevel="1">
      <c r="A1149" s="889">
        <v>2024</v>
      </c>
      <c r="B1149" s="893" t="s">
        <v>2285</v>
      </c>
      <c r="C1149" s="890" t="s">
        <v>2408</v>
      </c>
      <c r="D1149" s="891">
        <v>189631</v>
      </c>
      <c r="E1149" s="891">
        <v>521.49</v>
      </c>
      <c r="F1149" s="892">
        <v>1243.98</v>
      </c>
      <c r="G1149" s="8" t="s">
        <v>2286</v>
      </c>
      <c r="H1149" s="592" t="s">
        <v>1220</v>
      </c>
      <c r="I1149" s="587"/>
    </row>
    <row r="1150" spans="1:9" hidden="1" outlineLevel="1">
      <c r="A1150" s="889">
        <v>2024</v>
      </c>
      <c r="B1150" s="893" t="s">
        <v>1650</v>
      </c>
      <c r="C1150" s="890" t="s">
        <v>2411</v>
      </c>
      <c r="D1150" s="891">
        <v>119539</v>
      </c>
      <c r="E1150" s="891">
        <v>-328.73</v>
      </c>
      <c r="F1150" s="892">
        <v>-784.18</v>
      </c>
      <c r="G1150" s="8" t="s">
        <v>1651</v>
      </c>
      <c r="H1150" s="592" t="s">
        <v>1220</v>
      </c>
      <c r="I1150" s="587"/>
    </row>
    <row r="1151" spans="1:9" hidden="1" outlineLevel="1">
      <c r="A1151" s="889">
        <v>2024</v>
      </c>
      <c r="B1151" s="893" t="s">
        <v>1430</v>
      </c>
      <c r="C1151" s="890" t="s">
        <v>2411</v>
      </c>
      <c r="D1151" s="891">
        <v>3814663</v>
      </c>
      <c r="E1151" s="891">
        <v>-10490.32</v>
      </c>
      <c r="F1151" s="892">
        <v>-25024.19</v>
      </c>
      <c r="G1151" s="8" t="s">
        <v>1431</v>
      </c>
      <c r="H1151" s="592" t="s">
        <v>1220</v>
      </c>
      <c r="I1151" s="587"/>
    </row>
    <row r="1152" spans="1:9" hidden="1" outlineLevel="1">
      <c r="A1152" s="889">
        <v>2024</v>
      </c>
      <c r="B1152" s="893" t="s">
        <v>1402</v>
      </c>
      <c r="C1152" s="890" t="s">
        <v>2409</v>
      </c>
      <c r="D1152" s="891">
        <v>355224</v>
      </c>
      <c r="E1152" s="891">
        <v>97.69</v>
      </c>
      <c r="F1152" s="892">
        <v>233.03</v>
      </c>
      <c r="G1152" s="8" t="s">
        <v>1403</v>
      </c>
      <c r="H1152" s="592" t="s">
        <v>1220</v>
      </c>
      <c r="I1152" s="587"/>
    </row>
    <row r="1153" spans="1:9" hidden="1" outlineLevel="1">
      <c r="A1153" s="889">
        <v>2024</v>
      </c>
      <c r="B1153" s="893" t="s">
        <v>1666</v>
      </c>
      <c r="C1153" s="890" t="s">
        <v>2409</v>
      </c>
      <c r="D1153" s="891">
        <v>1000000</v>
      </c>
      <c r="E1153" s="891">
        <v>275</v>
      </c>
      <c r="F1153" s="892">
        <v>656</v>
      </c>
      <c r="G1153" s="8" t="s">
        <v>1667</v>
      </c>
      <c r="H1153" s="592" t="s">
        <v>1220</v>
      </c>
      <c r="I1153" s="587"/>
    </row>
    <row r="1154" spans="1:9" hidden="1" outlineLevel="1">
      <c r="A1154" s="889">
        <v>2024</v>
      </c>
      <c r="B1154" s="893" t="s">
        <v>1650</v>
      </c>
      <c r="C1154" s="890" t="s">
        <v>2409</v>
      </c>
      <c r="D1154" s="891">
        <v>-54453085</v>
      </c>
      <c r="E1154" s="891">
        <v>-14974.6</v>
      </c>
      <c r="F1154" s="892">
        <v>-35721.22</v>
      </c>
      <c r="G1154" s="8" t="s">
        <v>1651</v>
      </c>
      <c r="H1154" s="592" t="s">
        <v>1220</v>
      </c>
      <c r="I1154" s="587"/>
    </row>
    <row r="1155" spans="1:9" hidden="1" outlineLevel="1">
      <c r="A1155" s="889">
        <v>2024</v>
      </c>
      <c r="B1155" s="893" t="s">
        <v>1312</v>
      </c>
      <c r="C1155" s="890" t="s">
        <v>2409</v>
      </c>
      <c r="D1155" s="891">
        <v>7134</v>
      </c>
      <c r="E1155" s="891">
        <v>1.96</v>
      </c>
      <c r="F1155" s="892">
        <v>4.68</v>
      </c>
      <c r="G1155" s="8" t="s">
        <v>1313</v>
      </c>
      <c r="H1155" s="592" t="s">
        <v>1220</v>
      </c>
      <c r="I1155" s="587"/>
    </row>
    <row r="1156" spans="1:9" hidden="1" outlineLevel="1">
      <c r="A1156" s="889">
        <v>2024</v>
      </c>
      <c r="B1156" s="893" t="s">
        <v>1683</v>
      </c>
      <c r="C1156" s="890" t="s">
        <v>2409</v>
      </c>
      <c r="D1156" s="891">
        <v>-790790</v>
      </c>
      <c r="E1156" s="894">
        <v>-217.47</v>
      </c>
      <c r="F1156" s="892">
        <v>-518.76</v>
      </c>
      <c r="G1156" s="8" t="s">
        <v>1684</v>
      </c>
      <c r="H1156" s="592" t="s">
        <v>1220</v>
      </c>
      <c r="I1156" s="587"/>
    </row>
    <row r="1157" spans="1:9" hidden="1" outlineLevel="1">
      <c r="A1157" s="889">
        <v>2024</v>
      </c>
      <c r="B1157" s="893" t="s">
        <v>758</v>
      </c>
      <c r="C1157" s="890" t="s">
        <v>2409</v>
      </c>
      <c r="D1157" s="891">
        <v>3175614</v>
      </c>
      <c r="E1157" s="894">
        <v>873.29</v>
      </c>
      <c r="F1157" s="892">
        <v>2083.1999999999998</v>
      </c>
      <c r="G1157" s="8" t="s">
        <v>759</v>
      </c>
      <c r="H1157" s="592" t="s">
        <v>1220</v>
      </c>
      <c r="I1157" s="587"/>
    </row>
    <row r="1158" spans="1:9" hidden="1" outlineLevel="1">
      <c r="A1158" s="889">
        <v>2024</v>
      </c>
      <c r="B1158" s="893" t="s">
        <v>943</v>
      </c>
      <c r="C1158" s="890" t="s">
        <v>2409</v>
      </c>
      <c r="D1158" s="891">
        <v>475839</v>
      </c>
      <c r="E1158" s="894">
        <v>130.86000000000001</v>
      </c>
      <c r="F1158" s="892">
        <v>312.14999999999998</v>
      </c>
      <c r="G1158" s="8" t="s">
        <v>944</v>
      </c>
      <c r="H1158" s="592" t="s">
        <v>1220</v>
      </c>
      <c r="I1158" s="587"/>
    </row>
    <row r="1159" spans="1:9" hidden="1" outlineLevel="1">
      <c r="A1159" s="889">
        <v>2024</v>
      </c>
      <c r="B1159" s="893" t="s">
        <v>1650</v>
      </c>
      <c r="C1159" s="890" t="s">
        <v>2419</v>
      </c>
      <c r="D1159" s="891">
        <v>4878460</v>
      </c>
      <c r="E1159" s="894">
        <v>2683.15</v>
      </c>
      <c r="F1159" s="892">
        <v>6400.54</v>
      </c>
      <c r="G1159" s="8" t="s">
        <v>1651</v>
      </c>
      <c r="H1159" s="592" t="s">
        <v>1220</v>
      </c>
      <c r="I1159" s="587"/>
    </row>
    <row r="1160" spans="1:9" ht="13.5" hidden="1" outlineLevel="1" thickBot="1">
      <c r="A1160" s="1547">
        <v>2024</v>
      </c>
      <c r="B1160" s="1548" t="s">
        <v>1520</v>
      </c>
      <c r="C1160" s="1549" t="s">
        <v>2412</v>
      </c>
      <c r="D1160" s="1537">
        <v>93060</v>
      </c>
      <c r="E1160" s="1558">
        <v>51.18</v>
      </c>
      <c r="F1160" s="1550">
        <v>122.09</v>
      </c>
      <c r="G1160" s="8" t="s">
        <v>1521</v>
      </c>
      <c r="H1160" s="592" t="s">
        <v>1220</v>
      </c>
      <c r="I1160" s="587"/>
    </row>
    <row r="1161" spans="1:9" ht="19.5" customHeight="1" collapsed="1" thickBot="1">
      <c r="A1161" s="1551" t="s">
        <v>2422</v>
      </c>
      <c r="B1161" s="1552"/>
      <c r="C1161" s="1553"/>
      <c r="D1161" s="1560">
        <f>SUM(D700:D1160)-D1151-D1150</f>
        <v>-57651471.330000043</v>
      </c>
      <c r="E1161" s="1561">
        <f>SUM(E700:E1160)</f>
        <v>-86465.055237039822</v>
      </c>
      <c r="F1161" s="1562">
        <f>SUM(F700:F1160)</f>
        <v>-194580.60816552042</v>
      </c>
      <c r="G1161"/>
      <c r="H1161" s="591"/>
      <c r="I1161" s="587"/>
    </row>
    <row r="1162" spans="1:9" hidden="1">
      <c r="A1162" s="912"/>
      <c r="B1162" s="912"/>
      <c r="C1162" s="2"/>
      <c r="D1162" s="918"/>
      <c r="E1162" s="918"/>
      <c r="F1162" s="918"/>
      <c r="G1162"/>
      <c r="H1162" s="591"/>
      <c r="I1162" s="587"/>
    </row>
    <row r="1163" spans="1:9" hidden="1">
      <c r="A1163" s="912"/>
      <c r="B1163" s="912"/>
      <c r="C1163" s="2"/>
      <c r="D1163" s="918"/>
      <c r="E1163" s="918"/>
      <c r="F1163" s="918"/>
      <c r="G1163"/>
      <c r="H1163" s="591"/>
      <c r="I1163" s="587"/>
    </row>
    <row r="1164" spans="1:9" hidden="1">
      <c r="A1164" s="912"/>
      <c r="B1164" s="912"/>
      <c r="C1164" s="2"/>
      <c r="D1164" s="918"/>
      <c r="E1164" s="918"/>
      <c r="F1164" s="918"/>
      <c r="G1164"/>
      <c r="H1164" s="591"/>
      <c r="I1164" s="587"/>
    </row>
    <row r="1165" spans="1:9" hidden="1">
      <c r="A1165" s="912"/>
      <c r="B1165" s="912"/>
      <c r="C1165" s="2"/>
      <c r="D1165" s="918"/>
      <c r="E1165" s="918"/>
      <c r="F1165" s="918"/>
      <c r="G1165"/>
      <c r="H1165" s="591"/>
      <c r="I1165" s="587"/>
    </row>
    <row r="1166" spans="1:9" hidden="1">
      <c r="A1166" s="912"/>
      <c r="B1166" s="912"/>
      <c r="C1166" s="2"/>
      <c r="D1166" s="918"/>
      <c r="E1166" s="918"/>
      <c r="F1166" s="918"/>
      <c r="G1166"/>
      <c r="H1166" s="591"/>
      <c r="I1166" s="587"/>
    </row>
    <row r="1167" spans="1:9" hidden="1">
      <c r="A1167" s="912"/>
      <c r="B1167" s="912"/>
      <c r="C1167" s="2"/>
      <c r="D1167" s="918"/>
      <c r="E1167" s="918"/>
      <c r="F1167" s="918"/>
      <c r="G1167"/>
      <c r="H1167" s="591"/>
      <c r="I1167" s="587"/>
    </row>
    <row r="1168" spans="1:9" hidden="1">
      <c r="A1168" s="912"/>
      <c r="B1168" s="912"/>
      <c r="C1168" s="2"/>
      <c r="D1168" s="918"/>
      <c r="E1168" s="918"/>
      <c r="F1168" s="918"/>
      <c r="G1168"/>
      <c r="H1168" s="591"/>
      <c r="I1168" s="587"/>
    </row>
    <row r="1169" spans="1:10" hidden="1">
      <c r="A1169" s="912"/>
      <c r="B1169" s="912"/>
      <c r="C1169" s="2"/>
      <c r="D1169" s="918"/>
      <c r="E1169" s="918"/>
      <c r="F1169" s="918"/>
      <c r="G1169"/>
      <c r="H1169" s="591"/>
      <c r="I1169" s="587"/>
    </row>
    <row r="1170" spans="1:10" hidden="1">
      <c r="A1170" s="912"/>
      <c r="B1170" s="912"/>
      <c r="C1170" s="2"/>
      <c r="D1170" s="71"/>
      <c r="E1170" s="71"/>
      <c r="F1170" s="71"/>
      <c r="H1170" s="591"/>
      <c r="I1170" s="587"/>
    </row>
    <row r="1171" spans="1:10">
      <c r="A1171" s="912"/>
      <c r="B1171" s="912"/>
      <c r="C1171" s="2"/>
      <c r="D1171" s="71"/>
      <c r="E1171" s="71"/>
      <c r="F1171" s="71"/>
      <c r="H1171" s="591"/>
      <c r="I1171" s="587"/>
    </row>
    <row r="1172" spans="1:10">
      <c r="A1172" s="16" t="s">
        <v>2423</v>
      </c>
      <c r="C1172" s="1"/>
      <c r="D1172" s="919"/>
      <c r="E1172" s="919"/>
      <c r="F1172" s="349"/>
      <c r="H1172" s="591"/>
      <c r="I1172" s="587"/>
    </row>
    <row r="1173" spans="1:10" ht="15" thickBot="1">
      <c r="A1173" s="82"/>
      <c r="B1173" s="63"/>
      <c r="C1173" s="1"/>
      <c r="D1173" s="175"/>
      <c r="E1173" s="175"/>
      <c r="H1173" s="591"/>
      <c r="I1173" s="587"/>
    </row>
    <row r="1174" spans="1:10" ht="89.25" customHeight="1">
      <c r="A1174" s="807" t="s">
        <v>2071</v>
      </c>
      <c r="B1174" s="920" t="s">
        <v>2403</v>
      </c>
      <c r="C1174" s="808" t="s">
        <v>2404</v>
      </c>
      <c r="D1174" s="809" t="s">
        <v>2405</v>
      </c>
      <c r="E1174" s="810" t="s">
        <v>2406</v>
      </c>
      <c r="F1174" s="811" t="s">
        <v>2407</v>
      </c>
      <c r="H1174" s="591"/>
      <c r="I1174" s="587"/>
    </row>
    <row r="1175" spans="1:10" ht="13.5" thickBot="1">
      <c r="A1175" s="812"/>
      <c r="B1175" s="503"/>
      <c r="C1175" s="507"/>
      <c r="D1175" s="526" t="s">
        <v>454</v>
      </c>
      <c r="E1175" s="528" t="s">
        <v>2054</v>
      </c>
      <c r="F1175" s="813" t="s">
        <v>2054</v>
      </c>
      <c r="H1175" s="591"/>
      <c r="I1175" s="587"/>
    </row>
    <row r="1176" spans="1:10" hidden="1" outlineLevel="1">
      <c r="A1176" s="1687">
        <v>2018</v>
      </c>
      <c r="B1176" s="1677" t="s">
        <v>1953</v>
      </c>
      <c r="C1176" s="1678" t="s">
        <v>2416</v>
      </c>
      <c r="D1176" s="1679">
        <v>7780</v>
      </c>
      <c r="E1176" s="1679">
        <v>0</v>
      </c>
      <c r="F1176" s="1680">
        <v>2.88</v>
      </c>
      <c r="G1176" s="8" t="s">
        <v>1954</v>
      </c>
      <c r="H1176" s="591" t="s">
        <v>1828</v>
      </c>
      <c r="I1176" s="587"/>
      <c r="J1176"/>
    </row>
    <row r="1177" spans="1:10" ht="13.5" hidden="1" outlineLevel="1" thickBot="1">
      <c r="A1177" s="1686">
        <v>2018</v>
      </c>
      <c r="B1177" s="1681" t="s">
        <v>1953</v>
      </c>
      <c r="C1177" s="1682" t="s">
        <v>2408</v>
      </c>
      <c r="D1177" s="1683">
        <v>7780</v>
      </c>
      <c r="E1177" s="1684">
        <v>26.84</v>
      </c>
      <c r="F1177" s="1685">
        <v>0</v>
      </c>
      <c r="G1177" s="8" t="s">
        <v>1954</v>
      </c>
      <c r="H1177" s="591" t="s">
        <v>1828</v>
      </c>
      <c r="I1177" s="587"/>
      <c r="J1177"/>
    </row>
    <row r="1178" spans="1:10" ht="13.5" hidden="1" outlineLevel="1" thickBot="1">
      <c r="A1178" s="1563">
        <v>2020</v>
      </c>
      <c r="B1178" s="917" t="s">
        <v>1953</v>
      </c>
      <c r="C1178" s="685" t="s">
        <v>2408</v>
      </c>
      <c r="D1178" s="686">
        <v>15676</v>
      </c>
      <c r="E1178" s="1565">
        <v>35.43</v>
      </c>
      <c r="F1178" s="1566">
        <v>65.209999999999994</v>
      </c>
      <c r="G1178" s="8" t="s">
        <v>1954</v>
      </c>
      <c r="H1178" s="591" t="s">
        <v>1828</v>
      </c>
      <c r="I1178" s="587"/>
      <c r="J1178"/>
    </row>
    <row r="1179" spans="1:10" hidden="1" outlineLevel="1">
      <c r="A1179" s="814">
        <v>2021</v>
      </c>
      <c r="B1179" s="77" t="s">
        <v>1847</v>
      </c>
      <c r="C1179" s="118" t="s">
        <v>2408</v>
      </c>
      <c r="D1179" s="58">
        <v>89</v>
      </c>
      <c r="E1179" s="58">
        <v>0.23</v>
      </c>
      <c r="F1179" s="819">
        <v>0.35</v>
      </c>
      <c r="G1179" s="8" t="s">
        <v>1848</v>
      </c>
      <c r="H1179" s="591" t="s">
        <v>1828</v>
      </c>
      <c r="I1179" s="587"/>
      <c r="J1179"/>
    </row>
    <row r="1180" spans="1:10" ht="13.5" hidden="1" outlineLevel="1" thickBot="1">
      <c r="A1180" s="1564">
        <v>2021</v>
      </c>
      <c r="B1180" s="74" t="s">
        <v>1953</v>
      </c>
      <c r="C1180" s="1567" t="s">
        <v>2408</v>
      </c>
      <c r="D1180" s="49">
        <v>48430</v>
      </c>
      <c r="E1180" s="49">
        <v>123.01</v>
      </c>
      <c r="F1180" s="1568">
        <v>191.3</v>
      </c>
      <c r="G1180" s="8" t="s">
        <v>1954</v>
      </c>
      <c r="H1180" s="591" t="s">
        <v>1828</v>
      </c>
      <c r="I1180" s="587"/>
      <c r="J1180"/>
    </row>
    <row r="1181" spans="1:10" hidden="1" outlineLevel="1">
      <c r="A1181" s="814">
        <v>2022</v>
      </c>
      <c r="B1181" s="77" t="s">
        <v>1831</v>
      </c>
      <c r="C1181" s="118" t="s">
        <v>2408</v>
      </c>
      <c r="D1181" s="58">
        <v>-1288482</v>
      </c>
      <c r="E1181" s="58">
        <v>-4870.46</v>
      </c>
      <c r="F1181" s="819">
        <v>-5398.74</v>
      </c>
      <c r="G1181" s="8" t="s">
        <v>1832</v>
      </c>
      <c r="H1181" s="591" t="s">
        <v>1828</v>
      </c>
      <c r="I1181" s="587"/>
      <c r="J1181"/>
    </row>
    <row r="1182" spans="1:10" hidden="1" outlineLevel="1">
      <c r="A1182" s="814">
        <v>2022</v>
      </c>
      <c r="B1182" s="73" t="s">
        <v>1021</v>
      </c>
      <c r="C1182" s="118" t="s">
        <v>2408</v>
      </c>
      <c r="D1182" s="48">
        <v>-329584</v>
      </c>
      <c r="E1182" s="48">
        <v>-1245.83</v>
      </c>
      <c r="F1182" s="816">
        <v>-1380.96</v>
      </c>
      <c r="G1182" s="8" t="s">
        <v>944</v>
      </c>
      <c r="H1182" s="591" t="s">
        <v>1828</v>
      </c>
      <c r="I1182" s="587"/>
      <c r="J1182"/>
    </row>
    <row r="1183" spans="1:10" hidden="1" outlineLevel="1">
      <c r="A1183" s="814">
        <v>2022</v>
      </c>
      <c r="B1183" s="73" t="s">
        <v>1021</v>
      </c>
      <c r="C1183" s="118" t="s">
        <v>2409</v>
      </c>
      <c r="D1183" s="57">
        <v>-22935</v>
      </c>
      <c r="E1183" s="58">
        <v>-9.17</v>
      </c>
      <c r="F1183" s="815">
        <v>-9.17</v>
      </c>
      <c r="G1183" s="8" t="s">
        <v>944</v>
      </c>
      <c r="H1183" s="591" t="s">
        <v>1828</v>
      </c>
      <c r="I1183" s="587"/>
      <c r="J1183"/>
    </row>
    <row r="1184" spans="1:10" hidden="1" outlineLevel="1">
      <c r="A1184" s="814">
        <v>2022</v>
      </c>
      <c r="B1184" s="73" t="s">
        <v>1021</v>
      </c>
      <c r="C1184" s="118" t="s">
        <v>2410</v>
      </c>
      <c r="D1184" s="48">
        <v>-108754</v>
      </c>
      <c r="E1184" s="48">
        <v>-32.630000000000003</v>
      </c>
      <c r="F1184" s="816">
        <v>-32.630000000000003</v>
      </c>
      <c r="G1184" s="8" t="s">
        <v>944</v>
      </c>
      <c r="H1184" s="591" t="s">
        <v>1828</v>
      </c>
      <c r="I1184" s="587"/>
      <c r="J1184"/>
    </row>
    <row r="1185" spans="1:10" hidden="1" outlineLevel="1">
      <c r="A1185" s="814">
        <v>2022</v>
      </c>
      <c r="B1185" s="73" t="s">
        <v>1835</v>
      </c>
      <c r="C1185" s="118" t="s">
        <v>2408</v>
      </c>
      <c r="D1185" s="57">
        <v>162014</v>
      </c>
      <c r="E1185" s="58">
        <v>612.41</v>
      </c>
      <c r="F1185" s="815">
        <v>678.84</v>
      </c>
      <c r="G1185" s="8" t="s">
        <v>1836</v>
      </c>
      <c r="H1185" s="591" t="s">
        <v>1828</v>
      </c>
      <c r="I1185" s="587"/>
      <c r="J1185"/>
    </row>
    <row r="1186" spans="1:10" hidden="1" outlineLevel="1">
      <c r="A1186" s="814">
        <v>2022</v>
      </c>
      <c r="B1186" s="73" t="s">
        <v>1837</v>
      </c>
      <c r="C1186" s="118" t="s">
        <v>2408</v>
      </c>
      <c r="D1186" s="48">
        <v>1949311</v>
      </c>
      <c r="E1186" s="48">
        <v>7368.4</v>
      </c>
      <c r="F1186" s="816">
        <v>8167.61</v>
      </c>
      <c r="G1186" s="8" t="s">
        <v>1838</v>
      </c>
      <c r="H1186" s="591" t="s">
        <v>1828</v>
      </c>
      <c r="I1186" s="587"/>
      <c r="J1186"/>
    </row>
    <row r="1187" spans="1:10" hidden="1" outlineLevel="1">
      <c r="A1187" s="814">
        <v>2022</v>
      </c>
      <c r="B1187" s="73" t="s">
        <v>1839</v>
      </c>
      <c r="C1187" s="118" t="s">
        <v>2408</v>
      </c>
      <c r="D1187" s="57">
        <v>-116</v>
      </c>
      <c r="E1187" s="58">
        <v>-0.44</v>
      </c>
      <c r="F1187" s="815">
        <v>-0.49</v>
      </c>
      <c r="G1187" s="8" t="s">
        <v>1840</v>
      </c>
      <c r="H1187" s="591" t="s">
        <v>1828</v>
      </c>
      <c r="I1187" s="587"/>
      <c r="J1187"/>
    </row>
    <row r="1188" spans="1:10" hidden="1" outlineLevel="1">
      <c r="A1188" s="814">
        <v>2022</v>
      </c>
      <c r="B1188" s="73" t="s">
        <v>1841</v>
      </c>
      <c r="C1188" s="118" t="s">
        <v>2408</v>
      </c>
      <c r="D1188" s="48">
        <v>-300</v>
      </c>
      <c r="E1188" s="48">
        <v>-1.1299999999999999</v>
      </c>
      <c r="F1188" s="816">
        <v>-1.26</v>
      </c>
      <c r="G1188" s="8" t="s">
        <v>1842</v>
      </c>
      <c r="H1188" s="591" t="s">
        <v>1828</v>
      </c>
      <c r="I1188" s="587"/>
      <c r="J1188"/>
    </row>
    <row r="1189" spans="1:10" hidden="1" outlineLevel="1">
      <c r="A1189" s="814">
        <v>2022</v>
      </c>
      <c r="B1189" s="73" t="s">
        <v>1845</v>
      </c>
      <c r="C1189" s="118" t="s">
        <v>2408</v>
      </c>
      <c r="D1189" s="57">
        <v>-20860</v>
      </c>
      <c r="E1189" s="58">
        <v>-78.849999999999994</v>
      </c>
      <c r="F1189" s="815">
        <v>-87.4</v>
      </c>
      <c r="G1189" s="8" t="s">
        <v>1846</v>
      </c>
      <c r="H1189" s="591" t="s">
        <v>1828</v>
      </c>
      <c r="I1189" s="587"/>
      <c r="J1189"/>
    </row>
    <row r="1190" spans="1:10" hidden="1" outlineLevel="1">
      <c r="A1190" s="814">
        <v>2022</v>
      </c>
      <c r="B1190" s="73" t="s">
        <v>1847</v>
      </c>
      <c r="C1190" s="118" t="s">
        <v>2408</v>
      </c>
      <c r="D1190" s="48">
        <v>79024</v>
      </c>
      <c r="E1190" s="48">
        <v>298.70999999999998</v>
      </c>
      <c r="F1190" s="816">
        <v>331.11</v>
      </c>
      <c r="G1190" s="8" t="s">
        <v>1848</v>
      </c>
      <c r="H1190" s="591" t="s">
        <v>1828</v>
      </c>
      <c r="I1190" s="587"/>
      <c r="J1190"/>
    </row>
    <row r="1191" spans="1:10" hidden="1" outlineLevel="1">
      <c r="A1191" s="814">
        <v>2022</v>
      </c>
      <c r="B1191" s="73" t="s">
        <v>1853</v>
      </c>
      <c r="C1191" s="118" t="s">
        <v>2408</v>
      </c>
      <c r="D1191" s="57">
        <v>22523</v>
      </c>
      <c r="E1191" s="58">
        <v>85.14</v>
      </c>
      <c r="F1191" s="815">
        <v>94.37</v>
      </c>
      <c r="G1191" s="8" t="s">
        <v>1854</v>
      </c>
      <c r="H1191" s="591" t="s">
        <v>1828</v>
      </c>
      <c r="I1191" s="587"/>
      <c r="J1191"/>
    </row>
    <row r="1192" spans="1:10" hidden="1" outlineLevel="1">
      <c r="A1192" s="814">
        <v>2022</v>
      </c>
      <c r="B1192" s="73" t="s">
        <v>1855</v>
      </c>
      <c r="C1192" s="118" t="s">
        <v>2408</v>
      </c>
      <c r="D1192" s="48">
        <v>70979</v>
      </c>
      <c r="E1192" s="48">
        <v>268.3</v>
      </c>
      <c r="F1192" s="816">
        <v>297.39999999999998</v>
      </c>
      <c r="G1192" s="8" t="s">
        <v>1856</v>
      </c>
      <c r="H1192" s="591" t="s">
        <v>1828</v>
      </c>
      <c r="I1192" s="587"/>
      <c r="J1192"/>
    </row>
    <row r="1193" spans="1:10" hidden="1" outlineLevel="1">
      <c r="A1193" s="814">
        <v>2022</v>
      </c>
      <c r="B1193" s="73" t="s">
        <v>1861</v>
      </c>
      <c r="C1193" s="118" t="s">
        <v>2408</v>
      </c>
      <c r="D1193" s="57">
        <v>-9186</v>
      </c>
      <c r="E1193" s="58">
        <v>-34.72</v>
      </c>
      <c r="F1193" s="815">
        <v>-38.49</v>
      </c>
      <c r="G1193" s="8" t="s">
        <v>1862</v>
      </c>
      <c r="H1193" s="591" t="s">
        <v>1828</v>
      </c>
      <c r="I1193" s="587"/>
      <c r="J1193"/>
    </row>
    <row r="1194" spans="1:10" hidden="1" outlineLevel="1">
      <c r="A1194" s="814">
        <v>2022</v>
      </c>
      <c r="B1194" s="73" t="s">
        <v>1863</v>
      </c>
      <c r="C1194" s="118" t="s">
        <v>2408</v>
      </c>
      <c r="D1194" s="48">
        <v>-60276</v>
      </c>
      <c r="E1194" s="48">
        <v>-227.84</v>
      </c>
      <c r="F1194" s="816">
        <v>-252.56</v>
      </c>
      <c r="G1194" s="8" t="s">
        <v>1864</v>
      </c>
      <c r="H1194" s="591" t="s">
        <v>1828</v>
      </c>
      <c r="I1194" s="587"/>
      <c r="J1194"/>
    </row>
    <row r="1195" spans="1:10" hidden="1" outlineLevel="1">
      <c r="A1195" s="814">
        <v>2022</v>
      </c>
      <c r="B1195" s="73" t="s">
        <v>1865</v>
      </c>
      <c r="C1195" s="118" t="s">
        <v>2408</v>
      </c>
      <c r="D1195" s="57">
        <v>48223</v>
      </c>
      <c r="E1195" s="58">
        <v>182.28</v>
      </c>
      <c r="F1195" s="815">
        <v>202.05</v>
      </c>
      <c r="G1195" s="8" t="s">
        <v>1866</v>
      </c>
      <c r="H1195" s="591" t="s">
        <v>1828</v>
      </c>
      <c r="I1195" s="587"/>
      <c r="J1195"/>
    </row>
    <row r="1196" spans="1:10" hidden="1" outlineLevel="1">
      <c r="A1196" s="814">
        <v>2022</v>
      </c>
      <c r="B1196" s="73" t="s">
        <v>1869</v>
      </c>
      <c r="C1196" s="118" t="s">
        <v>2408</v>
      </c>
      <c r="D1196" s="48">
        <v>-183030</v>
      </c>
      <c r="E1196" s="48">
        <v>-691.85</v>
      </c>
      <c r="F1196" s="816">
        <v>-766.9</v>
      </c>
      <c r="G1196" s="8" t="s">
        <v>1870</v>
      </c>
      <c r="H1196" s="591" t="s">
        <v>1828</v>
      </c>
      <c r="I1196" s="587"/>
      <c r="J1196"/>
    </row>
    <row r="1197" spans="1:10" hidden="1" outlineLevel="1">
      <c r="A1197" s="814">
        <v>2022</v>
      </c>
      <c r="B1197" s="73" t="s">
        <v>2297</v>
      </c>
      <c r="C1197" s="118" t="s">
        <v>2408</v>
      </c>
      <c r="D1197" s="57">
        <v>81199248</v>
      </c>
      <c r="E1197" s="58">
        <v>306933.15999999997</v>
      </c>
      <c r="F1197" s="815">
        <v>340224.85</v>
      </c>
      <c r="G1197" s="8" t="s">
        <v>2298</v>
      </c>
      <c r="H1197" s="591" t="s">
        <v>1828</v>
      </c>
      <c r="I1197" s="587"/>
      <c r="J1197"/>
    </row>
    <row r="1198" spans="1:10" hidden="1" outlineLevel="1">
      <c r="A1198" s="814">
        <v>2022</v>
      </c>
      <c r="B1198" s="73" t="s">
        <v>1875</v>
      </c>
      <c r="C1198" s="118" t="s">
        <v>2408</v>
      </c>
      <c r="D1198" s="48">
        <v>29175</v>
      </c>
      <c r="E1198" s="48">
        <v>110.28</v>
      </c>
      <c r="F1198" s="816">
        <v>122.24</v>
      </c>
      <c r="G1198" s="8" t="s">
        <v>1876</v>
      </c>
      <c r="H1198" s="591" t="s">
        <v>1828</v>
      </c>
      <c r="I1198" s="587"/>
      <c r="J1198"/>
    </row>
    <row r="1199" spans="1:10" hidden="1" outlineLevel="1">
      <c r="A1199" s="814">
        <v>2022</v>
      </c>
      <c r="B1199" s="73" t="s">
        <v>1879</v>
      </c>
      <c r="C1199" s="118" t="s">
        <v>2408</v>
      </c>
      <c r="D1199" s="57">
        <v>74525</v>
      </c>
      <c r="E1199" s="58">
        <v>281.7</v>
      </c>
      <c r="F1199" s="815">
        <v>312.26</v>
      </c>
      <c r="G1199" s="8" t="s">
        <v>1880</v>
      </c>
      <c r="H1199" s="591" t="s">
        <v>1828</v>
      </c>
      <c r="I1199" s="587"/>
      <c r="J1199"/>
    </row>
    <row r="1200" spans="1:10" hidden="1" outlineLevel="1">
      <c r="A1200" s="814">
        <v>2022</v>
      </c>
      <c r="B1200" s="73" t="s">
        <v>456</v>
      </c>
      <c r="C1200" s="118" t="s">
        <v>2408</v>
      </c>
      <c r="D1200" s="48">
        <v>3988</v>
      </c>
      <c r="E1200" s="48">
        <v>15.07</v>
      </c>
      <c r="F1200" s="816">
        <v>16.71</v>
      </c>
      <c r="G1200" s="8" t="s">
        <v>457</v>
      </c>
      <c r="H1200" s="591" t="s">
        <v>1828</v>
      </c>
      <c r="I1200" s="587"/>
      <c r="J1200"/>
    </row>
    <row r="1201" spans="1:10" hidden="1" outlineLevel="1">
      <c r="A1201" s="814">
        <v>2022</v>
      </c>
      <c r="B1201" s="73" t="s">
        <v>2077</v>
      </c>
      <c r="C1201" s="118" t="s">
        <v>2408</v>
      </c>
      <c r="D1201" s="57">
        <v>21217</v>
      </c>
      <c r="E1201" s="58">
        <v>80.2</v>
      </c>
      <c r="F1201" s="815">
        <v>88.9</v>
      </c>
      <c r="G1201" s="8" t="s">
        <v>2078</v>
      </c>
      <c r="H1201" s="591" t="s">
        <v>1828</v>
      </c>
      <c r="I1201" s="587"/>
      <c r="J1201"/>
    </row>
    <row r="1202" spans="1:10" hidden="1" outlineLevel="1">
      <c r="A1202" s="814">
        <v>2022</v>
      </c>
      <c r="B1202" s="73" t="s">
        <v>1895</v>
      </c>
      <c r="C1202" s="118" t="s">
        <v>2408</v>
      </c>
      <c r="D1202" s="48">
        <v>89089</v>
      </c>
      <c r="E1202" s="48">
        <v>336.76</v>
      </c>
      <c r="F1202" s="816">
        <v>373.28</v>
      </c>
      <c r="G1202" s="8" t="s">
        <v>1896</v>
      </c>
      <c r="H1202" s="591" t="s">
        <v>1828</v>
      </c>
      <c r="I1202" s="587"/>
      <c r="J1202"/>
    </row>
    <row r="1203" spans="1:10" hidden="1" outlineLevel="1">
      <c r="A1203" s="814">
        <v>2022</v>
      </c>
      <c r="B1203" s="73" t="s">
        <v>1683</v>
      </c>
      <c r="C1203" s="118" t="s">
        <v>2408</v>
      </c>
      <c r="D1203" s="57">
        <v>-802205</v>
      </c>
      <c r="E1203" s="58">
        <v>-3032.33</v>
      </c>
      <c r="F1203" s="815">
        <v>-3361.24</v>
      </c>
      <c r="G1203" s="8" t="s">
        <v>1684</v>
      </c>
      <c r="H1203" s="591" t="s">
        <v>1828</v>
      </c>
      <c r="I1203" s="587"/>
      <c r="J1203"/>
    </row>
    <row r="1204" spans="1:10" hidden="1" outlineLevel="1">
      <c r="A1204" s="814">
        <v>2022</v>
      </c>
      <c r="B1204" s="73" t="s">
        <v>977</v>
      </c>
      <c r="C1204" s="118" t="s">
        <v>2408</v>
      </c>
      <c r="D1204" s="48">
        <v>122396</v>
      </c>
      <c r="E1204" s="48">
        <v>462.66</v>
      </c>
      <c r="F1204" s="816">
        <v>512.84</v>
      </c>
      <c r="G1204" s="8" t="s">
        <v>978</v>
      </c>
      <c r="H1204" s="591" t="s">
        <v>1828</v>
      </c>
      <c r="I1204" s="587"/>
      <c r="J1204"/>
    </row>
    <row r="1205" spans="1:10" hidden="1" outlineLevel="1">
      <c r="A1205" s="814">
        <v>2022</v>
      </c>
      <c r="B1205" s="73" t="s">
        <v>1901</v>
      </c>
      <c r="C1205" s="118" t="s">
        <v>2408</v>
      </c>
      <c r="D1205" s="57">
        <v>67934</v>
      </c>
      <c r="E1205" s="58">
        <v>256.79000000000002</v>
      </c>
      <c r="F1205" s="815">
        <v>284.64</v>
      </c>
      <c r="G1205" s="8" t="s">
        <v>1902</v>
      </c>
      <c r="H1205" s="591" t="s">
        <v>1828</v>
      </c>
      <c r="I1205" s="587"/>
      <c r="J1205"/>
    </row>
    <row r="1206" spans="1:10" hidden="1" outlineLevel="1">
      <c r="A1206" s="814">
        <v>2022</v>
      </c>
      <c r="B1206" s="73" t="s">
        <v>1911</v>
      </c>
      <c r="C1206" s="118" t="s">
        <v>2408</v>
      </c>
      <c r="D1206" s="48">
        <v>-970434</v>
      </c>
      <c r="E1206" s="48">
        <v>-3668.24</v>
      </c>
      <c r="F1206" s="816">
        <v>-4066.12</v>
      </c>
      <c r="G1206" s="8" t="s">
        <v>1912</v>
      </c>
      <c r="H1206" s="591" t="s">
        <v>1828</v>
      </c>
      <c r="I1206" s="587"/>
      <c r="J1206"/>
    </row>
    <row r="1207" spans="1:10" hidden="1" outlineLevel="1">
      <c r="A1207" s="814">
        <v>2022</v>
      </c>
      <c r="B1207" s="73" t="s">
        <v>1913</v>
      </c>
      <c r="C1207" s="118" t="s">
        <v>2408</v>
      </c>
      <c r="D1207" s="57">
        <v>-180317</v>
      </c>
      <c r="E1207" s="58">
        <v>-681.6</v>
      </c>
      <c r="F1207" s="815">
        <v>-755.53</v>
      </c>
      <c r="G1207" s="8" t="s">
        <v>1914</v>
      </c>
      <c r="H1207" s="591" t="s">
        <v>1828</v>
      </c>
      <c r="I1207" s="587"/>
      <c r="J1207"/>
    </row>
    <row r="1208" spans="1:10" hidden="1" outlineLevel="1">
      <c r="A1208" s="814">
        <v>2022</v>
      </c>
      <c r="B1208" s="73" t="s">
        <v>1915</v>
      </c>
      <c r="C1208" s="118" t="s">
        <v>2408</v>
      </c>
      <c r="D1208" s="48">
        <v>-19726</v>
      </c>
      <c r="E1208" s="48">
        <v>-74.56</v>
      </c>
      <c r="F1208" s="816">
        <v>-82.65</v>
      </c>
      <c r="G1208" s="8" t="s">
        <v>1916</v>
      </c>
      <c r="H1208" s="591" t="s">
        <v>1828</v>
      </c>
      <c r="I1208" s="587"/>
      <c r="J1208"/>
    </row>
    <row r="1209" spans="1:10" hidden="1" outlineLevel="1">
      <c r="A1209" s="814">
        <v>2022</v>
      </c>
      <c r="B1209" s="73" t="s">
        <v>1919</v>
      </c>
      <c r="C1209" s="118" t="s">
        <v>2408</v>
      </c>
      <c r="D1209" s="57">
        <v>3118950</v>
      </c>
      <c r="E1209" s="58">
        <v>11789.63</v>
      </c>
      <c r="F1209" s="815">
        <v>13068.4</v>
      </c>
      <c r="G1209" s="8" t="s">
        <v>1920</v>
      </c>
      <c r="H1209" s="591" t="s">
        <v>1828</v>
      </c>
      <c r="I1209" s="587"/>
      <c r="J1209"/>
    </row>
    <row r="1210" spans="1:10" hidden="1" outlineLevel="1">
      <c r="A1210" s="814">
        <v>2022</v>
      </c>
      <c r="B1210" s="73" t="s">
        <v>1921</v>
      </c>
      <c r="C1210" s="118" t="s">
        <v>2408</v>
      </c>
      <c r="D1210" s="48">
        <v>2621</v>
      </c>
      <c r="E1210" s="48">
        <v>9.91</v>
      </c>
      <c r="F1210" s="816">
        <v>10.98</v>
      </c>
      <c r="G1210" s="8" t="s">
        <v>1922</v>
      </c>
      <c r="H1210" s="591" t="s">
        <v>1828</v>
      </c>
      <c r="I1210" s="587"/>
      <c r="J1210"/>
    </row>
    <row r="1211" spans="1:10" hidden="1" outlineLevel="1">
      <c r="A1211" s="814">
        <v>2022</v>
      </c>
      <c r="B1211" s="73" t="s">
        <v>1923</v>
      </c>
      <c r="C1211" s="118" t="s">
        <v>2408</v>
      </c>
      <c r="D1211" s="57">
        <v>3791</v>
      </c>
      <c r="E1211" s="58">
        <v>14.33</v>
      </c>
      <c r="F1211" s="815">
        <v>15.88</v>
      </c>
      <c r="G1211" s="8" t="s">
        <v>1924</v>
      </c>
      <c r="H1211" s="591" t="s">
        <v>1828</v>
      </c>
      <c r="I1211" s="587"/>
      <c r="J1211"/>
    </row>
    <row r="1212" spans="1:10" hidden="1" outlineLevel="1">
      <c r="A1212" s="814">
        <v>2022</v>
      </c>
      <c r="B1212" s="73" t="s">
        <v>1927</v>
      </c>
      <c r="C1212" s="118" t="s">
        <v>2408</v>
      </c>
      <c r="D1212" s="48">
        <v>9156</v>
      </c>
      <c r="E1212" s="48">
        <v>34.61</v>
      </c>
      <c r="F1212" s="816">
        <v>38.36</v>
      </c>
      <c r="G1212" s="8" t="s">
        <v>1928</v>
      </c>
      <c r="H1212" s="591" t="s">
        <v>1828</v>
      </c>
      <c r="I1212" s="587"/>
      <c r="J1212"/>
    </row>
    <row r="1213" spans="1:10" hidden="1" outlineLevel="1">
      <c r="A1213" s="814">
        <v>2022</v>
      </c>
      <c r="B1213" s="73" t="s">
        <v>1935</v>
      </c>
      <c r="C1213" s="118" t="s">
        <v>2408</v>
      </c>
      <c r="D1213" s="57">
        <v>39972</v>
      </c>
      <c r="E1213" s="58">
        <v>151.09</v>
      </c>
      <c r="F1213" s="815">
        <v>167.48</v>
      </c>
      <c r="G1213" s="8" t="s">
        <v>1936</v>
      </c>
      <c r="H1213" s="591" t="s">
        <v>1828</v>
      </c>
      <c r="I1213" s="587"/>
      <c r="J1213"/>
    </row>
    <row r="1214" spans="1:10" hidden="1" outlineLevel="1">
      <c r="A1214" s="814">
        <v>2022</v>
      </c>
      <c r="B1214" s="73" t="s">
        <v>1939</v>
      </c>
      <c r="C1214" s="118" t="s">
        <v>2408</v>
      </c>
      <c r="D1214" s="48">
        <v>-78</v>
      </c>
      <c r="E1214" s="48">
        <v>-0.28999999999999998</v>
      </c>
      <c r="F1214" s="816">
        <v>-0.33</v>
      </c>
      <c r="G1214" s="8" t="s">
        <v>1940</v>
      </c>
      <c r="H1214" s="591" t="s">
        <v>1828</v>
      </c>
      <c r="I1214" s="587"/>
      <c r="J1214"/>
    </row>
    <row r="1215" spans="1:10" hidden="1" outlineLevel="1">
      <c r="A1215" s="814">
        <v>2022</v>
      </c>
      <c r="B1215" s="73" t="s">
        <v>1943</v>
      </c>
      <c r="C1215" s="118" t="s">
        <v>2408</v>
      </c>
      <c r="D1215" s="57">
        <v>-1406</v>
      </c>
      <c r="E1215" s="58">
        <v>-5.31</v>
      </c>
      <c r="F1215" s="815">
        <v>-5.89</v>
      </c>
      <c r="G1215" s="8" t="s">
        <v>1944</v>
      </c>
      <c r="H1215" s="591" t="s">
        <v>1828</v>
      </c>
      <c r="I1215" s="587"/>
      <c r="J1215"/>
    </row>
    <row r="1216" spans="1:10" hidden="1" outlineLevel="1">
      <c r="A1216" s="814">
        <v>2022</v>
      </c>
      <c r="B1216" s="73" t="s">
        <v>1945</v>
      </c>
      <c r="C1216" s="118" t="s">
        <v>2408</v>
      </c>
      <c r="D1216" s="48">
        <v>67910</v>
      </c>
      <c r="E1216" s="48">
        <v>256.7</v>
      </c>
      <c r="F1216" s="816">
        <v>284.54000000000002</v>
      </c>
      <c r="G1216" s="8" t="s">
        <v>1946</v>
      </c>
      <c r="H1216" s="591" t="s">
        <v>1828</v>
      </c>
      <c r="I1216" s="587"/>
      <c r="J1216"/>
    </row>
    <row r="1217" spans="1:10" hidden="1" outlineLevel="1">
      <c r="A1217" s="814">
        <v>2022</v>
      </c>
      <c r="B1217" s="73" t="s">
        <v>1953</v>
      </c>
      <c r="C1217" s="118" t="s">
        <v>2408</v>
      </c>
      <c r="D1217" s="57">
        <v>52145</v>
      </c>
      <c r="E1217" s="58">
        <v>197.11</v>
      </c>
      <c r="F1217" s="815">
        <v>218.49</v>
      </c>
      <c r="G1217" s="8" t="s">
        <v>1954</v>
      </c>
      <c r="H1217" s="591" t="s">
        <v>1828</v>
      </c>
      <c r="I1217" s="587"/>
      <c r="J1217"/>
    </row>
    <row r="1218" spans="1:10" hidden="1" outlineLevel="1">
      <c r="A1218" s="814">
        <v>2022</v>
      </c>
      <c r="B1218" s="73" t="s">
        <v>1955</v>
      </c>
      <c r="C1218" s="118" t="s">
        <v>2408</v>
      </c>
      <c r="D1218" s="48">
        <v>-116061</v>
      </c>
      <c r="E1218" s="48">
        <v>-438.71</v>
      </c>
      <c r="F1218" s="816">
        <v>-486.3</v>
      </c>
      <c r="G1218" s="8" t="s">
        <v>1956</v>
      </c>
      <c r="H1218" s="591" t="s">
        <v>1828</v>
      </c>
      <c r="I1218" s="587"/>
      <c r="J1218"/>
    </row>
    <row r="1219" spans="1:10" hidden="1" outlineLevel="1">
      <c r="A1219" s="814">
        <v>2022</v>
      </c>
      <c r="B1219" s="73" t="s">
        <v>1961</v>
      </c>
      <c r="C1219" s="118" t="s">
        <v>2408</v>
      </c>
      <c r="D1219" s="57">
        <v>-29095</v>
      </c>
      <c r="E1219" s="58">
        <v>-109.98</v>
      </c>
      <c r="F1219" s="815">
        <v>-121.91</v>
      </c>
      <c r="G1219" s="8" t="s">
        <v>1962</v>
      </c>
      <c r="H1219" s="591" t="s">
        <v>1828</v>
      </c>
      <c r="I1219" s="587"/>
      <c r="J1219"/>
    </row>
    <row r="1220" spans="1:10" hidden="1" outlineLevel="1">
      <c r="A1220" s="814">
        <v>2022</v>
      </c>
      <c r="B1220" s="73" t="s">
        <v>1965</v>
      </c>
      <c r="C1220" s="118" t="s">
        <v>2408</v>
      </c>
      <c r="D1220" s="48">
        <v>-30609</v>
      </c>
      <c r="E1220" s="48">
        <v>-115.7</v>
      </c>
      <c r="F1220" s="816">
        <v>-128.25</v>
      </c>
      <c r="G1220" s="8" t="s">
        <v>1966</v>
      </c>
      <c r="H1220" s="591" t="s">
        <v>1828</v>
      </c>
      <c r="I1220" s="587"/>
      <c r="J1220"/>
    </row>
    <row r="1221" spans="1:10" hidden="1" outlineLevel="1">
      <c r="A1221" s="814">
        <v>2022</v>
      </c>
      <c r="B1221" s="73" t="s">
        <v>1967</v>
      </c>
      <c r="C1221" s="118" t="s">
        <v>2408</v>
      </c>
      <c r="D1221" s="57">
        <v>3498208</v>
      </c>
      <c r="E1221" s="58">
        <v>13223.23</v>
      </c>
      <c r="F1221" s="815">
        <v>14657.49</v>
      </c>
      <c r="G1221" s="8" t="s">
        <v>1968</v>
      </c>
      <c r="H1221" s="591" t="s">
        <v>1828</v>
      </c>
      <c r="I1221" s="587"/>
      <c r="J1221"/>
    </row>
    <row r="1222" spans="1:10" hidden="1" outlineLevel="1">
      <c r="A1222" s="814">
        <v>2022</v>
      </c>
      <c r="B1222" s="73" t="s">
        <v>1971</v>
      </c>
      <c r="C1222" s="118" t="s">
        <v>2408</v>
      </c>
      <c r="D1222" s="48">
        <v>16332</v>
      </c>
      <c r="E1222" s="48">
        <v>61.73</v>
      </c>
      <c r="F1222" s="816">
        <v>68.430000000000007</v>
      </c>
      <c r="G1222" s="8" t="s">
        <v>1972</v>
      </c>
      <c r="H1222" s="591" t="s">
        <v>1828</v>
      </c>
      <c r="I1222" s="587"/>
      <c r="J1222"/>
    </row>
    <row r="1223" spans="1:10" hidden="1" outlineLevel="1">
      <c r="A1223" s="814">
        <v>2022</v>
      </c>
      <c r="B1223" s="73" t="s">
        <v>1981</v>
      </c>
      <c r="C1223" s="118" t="s">
        <v>2408</v>
      </c>
      <c r="D1223" s="57">
        <v>-107945</v>
      </c>
      <c r="E1223" s="58">
        <v>-408.03</v>
      </c>
      <c r="F1223" s="815">
        <v>-452.29</v>
      </c>
      <c r="G1223" s="8" t="s">
        <v>1982</v>
      </c>
      <c r="H1223" s="591" t="s">
        <v>1828</v>
      </c>
      <c r="I1223" s="587"/>
      <c r="J1223"/>
    </row>
    <row r="1224" spans="1:10" hidden="1" outlineLevel="1">
      <c r="A1224" s="814">
        <v>2022</v>
      </c>
      <c r="B1224" s="73" t="s">
        <v>1983</v>
      </c>
      <c r="C1224" s="118" t="s">
        <v>2408</v>
      </c>
      <c r="D1224" s="48">
        <v>14272</v>
      </c>
      <c r="E1224" s="48">
        <v>53.95</v>
      </c>
      <c r="F1224" s="816">
        <v>59.8</v>
      </c>
      <c r="G1224" s="8" t="s">
        <v>1984</v>
      </c>
      <c r="H1224" s="591" t="s">
        <v>1828</v>
      </c>
      <c r="I1224" s="587"/>
      <c r="J1224"/>
    </row>
    <row r="1225" spans="1:10" hidden="1" outlineLevel="1">
      <c r="A1225" s="814">
        <v>2022</v>
      </c>
      <c r="B1225" s="73" t="s">
        <v>1985</v>
      </c>
      <c r="C1225" s="118" t="s">
        <v>2408</v>
      </c>
      <c r="D1225" s="57">
        <v>598841</v>
      </c>
      <c r="E1225" s="58">
        <v>2263.62</v>
      </c>
      <c r="F1225" s="815">
        <v>2509.14</v>
      </c>
      <c r="G1225" s="8" t="s">
        <v>1986</v>
      </c>
      <c r="H1225" s="591" t="s">
        <v>1828</v>
      </c>
      <c r="I1225" s="587"/>
      <c r="J1225"/>
    </row>
    <row r="1226" spans="1:10" hidden="1" outlineLevel="1">
      <c r="A1226" s="814">
        <v>2022</v>
      </c>
      <c r="B1226" s="73" t="s">
        <v>1993</v>
      </c>
      <c r="C1226" s="118" t="s">
        <v>2408</v>
      </c>
      <c r="D1226" s="48">
        <v>152711</v>
      </c>
      <c r="E1226" s="48">
        <v>577.25</v>
      </c>
      <c r="F1226" s="816">
        <v>639.86</v>
      </c>
      <c r="G1226" s="8" t="s">
        <v>1994</v>
      </c>
      <c r="H1226" s="591" t="s">
        <v>1828</v>
      </c>
      <c r="I1226" s="587"/>
      <c r="J1226"/>
    </row>
    <row r="1227" spans="1:10" hidden="1" outlineLevel="1">
      <c r="A1227" s="814">
        <v>2022</v>
      </c>
      <c r="B1227" s="73" t="s">
        <v>1154</v>
      </c>
      <c r="C1227" s="118" t="s">
        <v>2408</v>
      </c>
      <c r="D1227" s="48">
        <v>-21880</v>
      </c>
      <c r="E1227" s="48">
        <v>-82.71</v>
      </c>
      <c r="F1227" s="815">
        <v>-91.68</v>
      </c>
      <c r="G1227" s="8" t="s">
        <v>1155</v>
      </c>
      <c r="H1227" s="591" t="s">
        <v>1828</v>
      </c>
      <c r="I1227" s="587"/>
      <c r="J1227"/>
    </row>
    <row r="1228" spans="1:10" hidden="1" outlineLevel="1">
      <c r="A1228" s="814">
        <v>2022</v>
      </c>
      <c r="B1228" s="73" t="s">
        <v>2003</v>
      </c>
      <c r="C1228" s="118" t="s">
        <v>2408</v>
      </c>
      <c r="D1228" s="48">
        <v>-7599054</v>
      </c>
      <c r="E1228" s="48">
        <v>-28724.42</v>
      </c>
      <c r="F1228" s="816">
        <v>-31840.04</v>
      </c>
      <c r="G1228" s="8" t="s">
        <v>2004</v>
      </c>
      <c r="H1228" s="591" t="s">
        <v>1828</v>
      </c>
      <c r="I1228" s="587"/>
      <c r="J1228"/>
    </row>
    <row r="1229" spans="1:10" hidden="1" outlineLevel="1">
      <c r="A1229" s="814">
        <v>2022</v>
      </c>
      <c r="B1229" s="73" t="s">
        <v>2005</v>
      </c>
      <c r="C1229" s="118" t="s">
        <v>2408</v>
      </c>
      <c r="D1229" s="48">
        <v>137694</v>
      </c>
      <c r="E1229" s="48">
        <v>520.48</v>
      </c>
      <c r="F1229" s="815">
        <v>576.94000000000005</v>
      </c>
      <c r="G1229" s="8" t="s">
        <v>2006</v>
      </c>
      <c r="H1229" s="591" t="s">
        <v>1828</v>
      </c>
      <c r="I1229" s="587"/>
      <c r="J1229"/>
    </row>
    <row r="1230" spans="1:10" hidden="1" outlineLevel="1">
      <c r="A1230" s="818">
        <v>2022</v>
      </c>
      <c r="B1230" s="77" t="s">
        <v>2009</v>
      </c>
      <c r="C1230" s="60" t="s">
        <v>2408</v>
      </c>
      <c r="D1230" s="55">
        <v>-38253</v>
      </c>
      <c r="E1230" s="55">
        <v>-144.6</v>
      </c>
      <c r="F1230" s="819">
        <v>-160.28</v>
      </c>
      <c r="G1230" s="8" t="s">
        <v>2010</v>
      </c>
      <c r="H1230" s="591" t="s">
        <v>1828</v>
      </c>
      <c r="I1230" s="587"/>
      <c r="J1230"/>
    </row>
    <row r="1231" spans="1:10" hidden="1" outlineLevel="1">
      <c r="A1231" s="818">
        <v>2022</v>
      </c>
      <c r="B1231" s="77" t="s">
        <v>2015</v>
      </c>
      <c r="C1231" s="60" t="s">
        <v>2408</v>
      </c>
      <c r="D1231" s="55">
        <v>182147</v>
      </c>
      <c r="E1231" s="55">
        <v>688.52</v>
      </c>
      <c r="F1231" s="819">
        <v>763.2</v>
      </c>
      <c r="G1231" s="8" t="s">
        <v>2016</v>
      </c>
      <c r="H1231" s="591" t="s">
        <v>1828</v>
      </c>
      <c r="I1231" s="587"/>
      <c r="J1231"/>
    </row>
    <row r="1232" spans="1:10" hidden="1" outlineLevel="1">
      <c r="A1232" s="818">
        <v>2022</v>
      </c>
      <c r="B1232" s="77" t="s">
        <v>2019</v>
      </c>
      <c r="C1232" s="60" t="s">
        <v>2408</v>
      </c>
      <c r="D1232" s="55">
        <v>-293598</v>
      </c>
      <c r="E1232" s="55">
        <v>-1109.8</v>
      </c>
      <c r="F1232" s="819">
        <v>-1230.18</v>
      </c>
      <c r="G1232" s="8" t="s">
        <v>2020</v>
      </c>
      <c r="H1232" s="591" t="s">
        <v>1828</v>
      </c>
      <c r="I1232" s="587"/>
      <c r="J1232"/>
    </row>
    <row r="1233" spans="1:10" hidden="1" outlineLevel="1">
      <c r="A1233" s="818">
        <v>2022</v>
      </c>
      <c r="B1233" s="77" t="s">
        <v>1314</v>
      </c>
      <c r="C1233" s="60" t="s">
        <v>2408</v>
      </c>
      <c r="D1233" s="55">
        <v>438847</v>
      </c>
      <c r="E1233" s="55">
        <v>1658.84</v>
      </c>
      <c r="F1233" s="819">
        <v>1838.77</v>
      </c>
      <c r="G1233" s="8" t="s">
        <v>1315</v>
      </c>
      <c r="H1233" s="591" t="s">
        <v>1828</v>
      </c>
      <c r="I1233" s="587"/>
      <c r="J1233"/>
    </row>
    <row r="1234" spans="1:10" hidden="1" outlineLevel="1">
      <c r="A1234" s="818">
        <v>2022</v>
      </c>
      <c r="B1234" s="77" t="s">
        <v>2021</v>
      </c>
      <c r="C1234" s="60" t="s">
        <v>2408</v>
      </c>
      <c r="D1234" s="55">
        <v>-460299</v>
      </c>
      <c r="E1234" s="55">
        <v>-1739.93</v>
      </c>
      <c r="F1234" s="819">
        <v>-1928.65</v>
      </c>
      <c r="G1234" s="8" t="s">
        <v>2022</v>
      </c>
      <c r="H1234" s="591" t="s">
        <v>1828</v>
      </c>
      <c r="I1234" s="587"/>
      <c r="J1234"/>
    </row>
    <row r="1235" spans="1:10" hidden="1" outlineLevel="1">
      <c r="A1235" s="818">
        <v>2022</v>
      </c>
      <c r="B1235" s="77" t="s">
        <v>2027</v>
      </c>
      <c r="C1235" s="60" t="s">
        <v>2408</v>
      </c>
      <c r="D1235" s="55">
        <v>-696296</v>
      </c>
      <c r="E1235" s="55">
        <v>-2632</v>
      </c>
      <c r="F1235" s="819">
        <v>-2917.48</v>
      </c>
      <c r="G1235" s="8" t="s">
        <v>2028</v>
      </c>
      <c r="H1235" s="591" t="s">
        <v>1828</v>
      </c>
      <c r="I1235" s="587"/>
      <c r="J1235"/>
    </row>
    <row r="1236" spans="1:10" hidden="1" outlineLevel="1">
      <c r="A1236" s="818">
        <v>2022</v>
      </c>
      <c r="B1236" s="77" t="s">
        <v>2031</v>
      </c>
      <c r="C1236" s="60" t="s">
        <v>2408</v>
      </c>
      <c r="D1236" s="55">
        <v>227788</v>
      </c>
      <c r="E1236" s="55">
        <v>861.04</v>
      </c>
      <c r="F1236" s="819">
        <v>954.43</v>
      </c>
      <c r="G1236" s="8" t="s">
        <v>2032</v>
      </c>
      <c r="H1236" s="591" t="s">
        <v>1828</v>
      </c>
      <c r="I1236" s="587"/>
      <c r="J1236"/>
    </row>
    <row r="1237" spans="1:10" hidden="1" outlineLevel="1">
      <c r="A1237" s="818">
        <v>2022</v>
      </c>
      <c r="B1237" s="77" t="s">
        <v>819</v>
      </c>
      <c r="C1237" s="60" t="s">
        <v>2408</v>
      </c>
      <c r="D1237" s="55">
        <v>4102087</v>
      </c>
      <c r="E1237" s="55">
        <v>15505.89</v>
      </c>
      <c r="F1237" s="819">
        <v>17187.740000000002</v>
      </c>
      <c r="G1237" s="8" t="s">
        <v>820</v>
      </c>
      <c r="H1237" s="591" t="s">
        <v>1828</v>
      </c>
      <c r="I1237" s="587"/>
      <c r="J1237"/>
    </row>
    <row r="1238" spans="1:10" ht="13.5" hidden="1" outlineLevel="1" thickBot="1">
      <c r="A1238" s="817">
        <v>2022</v>
      </c>
      <c r="B1238" s="74" t="s">
        <v>2037</v>
      </c>
      <c r="C1238" s="34" t="s">
        <v>2408</v>
      </c>
      <c r="D1238" s="49">
        <v>3016573</v>
      </c>
      <c r="E1238" s="49">
        <v>11402.65</v>
      </c>
      <c r="F1238" s="1568">
        <v>12639.44</v>
      </c>
      <c r="G1238" s="8" t="s">
        <v>2038</v>
      </c>
      <c r="H1238" s="591" t="s">
        <v>1828</v>
      </c>
      <c r="I1238" s="587"/>
      <c r="J1238"/>
    </row>
    <row r="1239" spans="1:10" hidden="1" outlineLevel="1">
      <c r="A1239" s="818">
        <v>2023</v>
      </c>
      <c r="B1239" s="77" t="s">
        <v>1831</v>
      </c>
      <c r="C1239" s="60" t="s">
        <v>2408</v>
      </c>
      <c r="D1239" s="55">
        <v>-2535636</v>
      </c>
      <c r="E1239" s="55">
        <v>-9052.2199999999993</v>
      </c>
      <c r="F1239" s="819">
        <v>-14985.61</v>
      </c>
      <c r="G1239" s="8" t="s">
        <v>1832</v>
      </c>
      <c r="H1239" s="591" t="s">
        <v>1828</v>
      </c>
      <c r="I1239" s="587"/>
      <c r="J1239"/>
    </row>
    <row r="1240" spans="1:10" hidden="1" outlineLevel="1">
      <c r="A1240" s="818">
        <v>2023</v>
      </c>
      <c r="B1240" s="77" t="s">
        <v>1021</v>
      </c>
      <c r="C1240" s="60" t="s">
        <v>2408</v>
      </c>
      <c r="D1240" s="55">
        <v>-232878</v>
      </c>
      <c r="E1240" s="55">
        <v>-831.37</v>
      </c>
      <c r="F1240" s="819">
        <v>-1376.31</v>
      </c>
      <c r="G1240" s="8" t="s">
        <v>944</v>
      </c>
      <c r="H1240" s="591" t="s">
        <v>1828</v>
      </c>
      <c r="I1240" s="587"/>
      <c r="J1240"/>
    </row>
    <row r="1241" spans="1:10" hidden="1" outlineLevel="1">
      <c r="A1241" s="818">
        <v>2023</v>
      </c>
      <c r="B1241" s="77" t="s">
        <v>1021</v>
      </c>
      <c r="C1241" s="60" t="s">
        <v>2409</v>
      </c>
      <c r="D1241" s="55">
        <v>-575613</v>
      </c>
      <c r="E1241" s="55">
        <v>-230.25</v>
      </c>
      <c r="F1241" s="819">
        <v>-230.25</v>
      </c>
      <c r="G1241" s="8" t="s">
        <v>944</v>
      </c>
      <c r="H1241" s="591" t="s">
        <v>1828</v>
      </c>
      <c r="I1241" s="587"/>
      <c r="J1241"/>
    </row>
    <row r="1242" spans="1:10" hidden="1" outlineLevel="1">
      <c r="A1242" s="818">
        <v>2023</v>
      </c>
      <c r="B1242" s="77" t="s">
        <v>1021</v>
      </c>
      <c r="C1242" s="60" t="s">
        <v>2410</v>
      </c>
      <c r="D1242" s="55">
        <v>-306022</v>
      </c>
      <c r="E1242" s="55">
        <v>-91.81</v>
      </c>
      <c r="F1242" s="819">
        <v>-91.81</v>
      </c>
      <c r="G1242" s="8" t="s">
        <v>944</v>
      </c>
      <c r="H1242" s="591" t="s">
        <v>1828</v>
      </c>
      <c r="I1242" s="587"/>
      <c r="J1242"/>
    </row>
    <row r="1243" spans="1:10" hidden="1" outlineLevel="1">
      <c r="A1243" s="818">
        <v>2023</v>
      </c>
      <c r="B1243" s="77" t="s">
        <v>1835</v>
      </c>
      <c r="C1243" s="60" t="s">
        <v>2408</v>
      </c>
      <c r="D1243" s="55">
        <v>263907</v>
      </c>
      <c r="E1243" s="55">
        <v>942.15</v>
      </c>
      <c r="F1243" s="819">
        <v>1559.69</v>
      </c>
      <c r="G1243" s="8" t="s">
        <v>1836</v>
      </c>
      <c r="H1243" s="591" t="s">
        <v>1828</v>
      </c>
      <c r="I1243" s="587"/>
      <c r="J1243"/>
    </row>
    <row r="1244" spans="1:10" hidden="1" outlineLevel="1">
      <c r="A1244" s="818">
        <v>2023</v>
      </c>
      <c r="B1244" s="77" t="s">
        <v>1837</v>
      </c>
      <c r="C1244" s="60" t="s">
        <v>2408</v>
      </c>
      <c r="D1244" s="55">
        <v>2853601</v>
      </c>
      <c r="E1244" s="55">
        <v>10187.36</v>
      </c>
      <c r="F1244" s="819">
        <v>16864.78</v>
      </c>
      <c r="G1244" s="8" t="s">
        <v>1838</v>
      </c>
      <c r="H1244" s="591" t="s">
        <v>1828</v>
      </c>
      <c r="I1244" s="587"/>
      <c r="J1244"/>
    </row>
    <row r="1245" spans="1:10" hidden="1" outlineLevel="1">
      <c r="A1245" s="818">
        <v>2023</v>
      </c>
      <c r="B1245" s="77" t="s">
        <v>1839</v>
      </c>
      <c r="C1245" s="60" t="s">
        <v>2408</v>
      </c>
      <c r="D1245" s="55">
        <v>-8745</v>
      </c>
      <c r="E1245" s="55">
        <v>-31.22</v>
      </c>
      <c r="F1245" s="819">
        <v>-51.68</v>
      </c>
      <c r="G1245" s="8" t="s">
        <v>1840</v>
      </c>
      <c r="H1245" s="591" t="s">
        <v>1828</v>
      </c>
      <c r="I1245" s="587"/>
      <c r="J1245"/>
    </row>
    <row r="1246" spans="1:10" hidden="1" outlineLevel="1">
      <c r="A1246" s="818">
        <v>2023</v>
      </c>
      <c r="B1246" s="77" t="s">
        <v>1841</v>
      </c>
      <c r="C1246" s="60" t="s">
        <v>2408</v>
      </c>
      <c r="D1246" s="55">
        <v>-96214</v>
      </c>
      <c r="E1246" s="55">
        <v>-343.48</v>
      </c>
      <c r="F1246" s="819">
        <v>-568.62</v>
      </c>
      <c r="G1246" s="8" t="s">
        <v>1842</v>
      </c>
      <c r="H1246" s="591" t="s">
        <v>1828</v>
      </c>
      <c r="I1246" s="587"/>
      <c r="J1246"/>
    </row>
    <row r="1247" spans="1:10" hidden="1" outlineLevel="1">
      <c r="A1247" s="818">
        <v>2023</v>
      </c>
      <c r="B1247" s="77" t="s">
        <v>1845</v>
      </c>
      <c r="C1247" s="60" t="s">
        <v>2408</v>
      </c>
      <c r="D1247" s="55">
        <v>84389</v>
      </c>
      <c r="E1247" s="55">
        <v>301.27</v>
      </c>
      <c r="F1247" s="819">
        <v>498.74</v>
      </c>
      <c r="G1247" s="8" t="s">
        <v>1846</v>
      </c>
      <c r="H1247" s="591" t="s">
        <v>1828</v>
      </c>
      <c r="I1247" s="587"/>
      <c r="J1247"/>
    </row>
    <row r="1248" spans="1:10" hidden="1" outlineLevel="1">
      <c r="A1248" s="818">
        <v>2023</v>
      </c>
      <c r="B1248" s="77" t="s">
        <v>1847</v>
      </c>
      <c r="C1248" s="60" t="s">
        <v>2408</v>
      </c>
      <c r="D1248" s="55">
        <v>79888</v>
      </c>
      <c r="E1248" s="55">
        <v>285.2</v>
      </c>
      <c r="F1248" s="819">
        <v>472.14</v>
      </c>
      <c r="G1248" s="8" t="s">
        <v>1848</v>
      </c>
      <c r="H1248" s="591" t="s">
        <v>1828</v>
      </c>
      <c r="I1248" s="587"/>
      <c r="J1248"/>
    </row>
    <row r="1249" spans="1:10" hidden="1" outlineLevel="1">
      <c r="A1249" s="818">
        <v>2023</v>
      </c>
      <c r="B1249" s="77" t="s">
        <v>2293</v>
      </c>
      <c r="C1249" s="60" t="s">
        <v>2408</v>
      </c>
      <c r="D1249" s="55">
        <v>-587031</v>
      </c>
      <c r="E1249" s="55">
        <v>-2095.6999999999998</v>
      </c>
      <c r="F1249" s="819">
        <v>-3469.35</v>
      </c>
      <c r="G1249" s="8" t="s">
        <v>2294</v>
      </c>
      <c r="H1249" s="591" t="s">
        <v>1828</v>
      </c>
      <c r="I1249" s="587"/>
      <c r="J1249"/>
    </row>
    <row r="1250" spans="1:10" hidden="1" outlineLevel="1">
      <c r="A1250" s="818">
        <v>2023</v>
      </c>
      <c r="B1250" s="77" t="s">
        <v>1853</v>
      </c>
      <c r="C1250" s="60" t="s">
        <v>2408</v>
      </c>
      <c r="D1250" s="55">
        <v>73279</v>
      </c>
      <c r="E1250" s="55">
        <v>261.61</v>
      </c>
      <c r="F1250" s="819">
        <v>433.08</v>
      </c>
      <c r="G1250" s="8" t="s">
        <v>1854</v>
      </c>
      <c r="H1250" s="591" t="s">
        <v>1828</v>
      </c>
      <c r="I1250" s="587"/>
      <c r="J1250"/>
    </row>
    <row r="1251" spans="1:10" hidden="1" outlineLevel="1">
      <c r="A1251" s="818">
        <v>2023</v>
      </c>
      <c r="B1251" s="77" t="s">
        <v>1855</v>
      </c>
      <c r="C1251" s="60" t="s">
        <v>2408</v>
      </c>
      <c r="D1251" s="55">
        <v>-415514</v>
      </c>
      <c r="E1251" s="55">
        <v>-1483.38</v>
      </c>
      <c r="F1251" s="819">
        <v>-2455.69</v>
      </c>
      <c r="G1251" s="8" t="s">
        <v>1856</v>
      </c>
      <c r="H1251" s="591" t="s">
        <v>1828</v>
      </c>
      <c r="I1251" s="587"/>
      <c r="J1251"/>
    </row>
    <row r="1252" spans="1:10" hidden="1" outlineLevel="1">
      <c r="A1252" s="818">
        <v>2023</v>
      </c>
      <c r="B1252" s="77" t="s">
        <v>1861</v>
      </c>
      <c r="C1252" s="60" t="s">
        <v>2408</v>
      </c>
      <c r="D1252" s="55">
        <v>4842568</v>
      </c>
      <c r="E1252" s="55">
        <v>17287.97</v>
      </c>
      <c r="F1252" s="819">
        <v>28619.58</v>
      </c>
      <c r="G1252" s="8" t="s">
        <v>1862</v>
      </c>
      <c r="H1252" s="591" t="s">
        <v>1828</v>
      </c>
      <c r="I1252" s="587"/>
      <c r="J1252"/>
    </row>
    <row r="1253" spans="1:10" hidden="1" outlineLevel="1">
      <c r="A1253" s="818">
        <v>2023</v>
      </c>
      <c r="B1253" s="77" t="s">
        <v>1863</v>
      </c>
      <c r="C1253" s="60" t="s">
        <v>2408</v>
      </c>
      <c r="D1253" s="55">
        <v>-39683</v>
      </c>
      <c r="E1253" s="55">
        <v>-141.66999999999999</v>
      </c>
      <c r="F1253" s="819">
        <v>-234.53</v>
      </c>
      <c r="G1253" s="8" t="s">
        <v>1864</v>
      </c>
      <c r="H1253" s="591" t="s">
        <v>1828</v>
      </c>
      <c r="I1253" s="587"/>
      <c r="J1253"/>
    </row>
    <row r="1254" spans="1:10" hidden="1" outlineLevel="1">
      <c r="A1254" s="818">
        <v>2023</v>
      </c>
      <c r="B1254" s="77" t="s">
        <v>1865</v>
      </c>
      <c r="C1254" s="60" t="s">
        <v>2408</v>
      </c>
      <c r="D1254" s="55">
        <v>375703</v>
      </c>
      <c r="E1254" s="55">
        <v>1341.26</v>
      </c>
      <c r="F1254" s="819">
        <v>2220.4</v>
      </c>
      <c r="G1254" s="8" t="s">
        <v>1866</v>
      </c>
      <c r="H1254" s="591" t="s">
        <v>1828</v>
      </c>
      <c r="I1254" s="587"/>
      <c r="J1254"/>
    </row>
    <row r="1255" spans="1:10" hidden="1" outlineLevel="1">
      <c r="A1255" s="818">
        <v>2023</v>
      </c>
      <c r="B1255" s="77" t="s">
        <v>1869</v>
      </c>
      <c r="C1255" s="60" t="s">
        <v>2408</v>
      </c>
      <c r="D1255" s="55">
        <v>-334404</v>
      </c>
      <c r="E1255" s="55">
        <v>-1193.82</v>
      </c>
      <c r="F1255" s="819">
        <v>-1976.33</v>
      </c>
      <c r="G1255" s="8" t="s">
        <v>1870</v>
      </c>
      <c r="H1255" s="591" t="s">
        <v>1828</v>
      </c>
      <c r="I1255" s="587"/>
      <c r="J1255"/>
    </row>
    <row r="1256" spans="1:10" hidden="1" outlineLevel="1">
      <c r="A1256" s="818">
        <v>2023</v>
      </c>
      <c r="B1256" s="77" t="s">
        <v>2297</v>
      </c>
      <c r="C1256" s="60" t="s">
        <v>2408</v>
      </c>
      <c r="D1256" s="55">
        <v>77197957</v>
      </c>
      <c r="E1256" s="55">
        <v>275596.71000000002</v>
      </c>
      <c r="F1256" s="819">
        <v>456239.93</v>
      </c>
      <c r="G1256" s="8" t="s">
        <v>2298</v>
      </c>
      <c r="H1256" s="591" t="s">
        <v>1828</v>
      </c>
      <c r="I1256" s="587"/>
      <c r="J1256"/>
    </row>
    <row r="1257" spans="1:10" hidden="1" outlineLevel="1">
      <c r="A1257" s="818">
        <v>2023</v>
      </c>
      <c r="B1257" s="77" t="s">
        <v>1875</v>
      </c>
      <c r="C1257" s="60" t="s">
        <v>2408</v>
      </c>
      <c r="D1257" s="55">
        <v>27919</v>
      </c>
      <c r="E1257" s="55">
        <v>99.67</v>
      </c>
      <c r="F1257" s="819">
        <v>165</v>
      </c>
      <c r="G1257" s="8" t="s">
        <v>1876</v>
      </c>
      <c r="H1257" s="591" t="s">
        <v>1828</v>
      </c>
      <c r="I1257" s="587"/>
      <c r="J1257"/>
    </row>
    <row r="1258" spans="1:10" hidden="1" outlineLevel="1">
      <c r="A1258" s="818">
        <v>2023</v>
      </c>
      <c r="B1258" s="77" t="s">
        <v>1879</v>
      </c>
      <c r="C1258" s="60" t="s">
        <v>2408</v>
      </c>
      <c r="D1258" s="55">
        <v>95912</v>
      </c>
      <c r="E1258" s="55">
        <v>342.41</v>
      </c>
      <c r="F1258" s="819">
        <v>566.84</v>
      </c>
      <c r="G1258" s="8" t="s">
        <v>1880</v>
      </c>
      <c r="H1258" s="591" t="s">
        <v>1828</v>
      </c>
      <c r="I1258" s="587"/>
      <c r="J1258"/>
    </row>
    <row r="1259" spans="1:10" hidden="1" outlineLevel="1">
      <c r="A1259" s="818">
        <v>2023</v>
      </c>
      <c r="B1259" s="77" t="s">
        <v>456</v>
      </c>
      <c r="C1259" s="60" t="s">
        <v>2408</v>
      </c>
      <c r="D1259" s="55">
        <v>-227340</v>
      </c>
      <c r="E1259" s="55">
        <v>-811.6</v>
      </c>
      <c r="F1259" s="819">
        <v>-1343.58</v>
      </c>
      <c r="G1259" s="8" t="s">
        <v>457</v>
      </c>
      <c r="H1259" s="591" t="s">
        <v>1828</v>
      </c>
      <c r="I1259" s="587"/>
      <c r="J1259"/>
    </row>
    <row r="1260" spans="1:10" hidden="1" outlineLevel="1">
      <c r="A1260" s="818">
        <v>2023</v>
      </c>
      <c r="B1260" s="77" t="s">
        <v>2077</v>
      </c>
      <c r="C1260" s="60" t="s">
        <v>2408</v>
      </c>
      <c r="D1260" s="55">
        <v>243</v>
      </c>
      <c r="E1260" s="55">
        <v>0.87</v>
      </c>
      <c r="F1260" s="819">
        <v>1.44</v>
      </c>
      <c r="G1260" s="8" t="s">
        <v>2078</v>
      </c>
      <c r="H1260" s="591" t="s">
        <v>1828</v>
      </c>
      <c r="I1260" s="587"/>
      <c r="J1260"/>
    </row>
    <row r="1261" spans="1:10" hidden="1" outlineLevel="1">
      <c r="A1261" s="818">
        <v>2023</v>
      </c>
      <c r="B1261" s="77" t="s">
        <v>1895</v>
      </c>
      <c r="C1261" s="60" t="s">
        <v>2408</v>
      </c>
      <c r="D1261" s="55">
        <v>1446582</v>
      </c>
      <c r="E1261" s="55">
        <v>5164.3</v>
      </c>
      <c r="F1261" s="819">
        <v>8549.2999999999993</v>
      </c>
      <c r="G1261" s="8" t="s">
        <v>1896</v>
      </c>
      <c r="H1261" s="591" t="s">
        <v>1828</v>
      </c>
      <c r="I1261" s="587"/>
      <c r="J1261"/>
    </row>
    <row r="1262" spans="1:10" hidden="1" outlineLevel="1">
      <c r="A1262" s="818">
        <v>2023</v>
      </c>
      <c r="B1262" s="77" t="s">
        <v>1683</v>
      </c>
      <c r="C1262" s="60" t="s">
        <v>2408</v>
      </c>
      <c r="D1262" s="55">
        <v>-887153</v>
      </c>
      <c r="E1262" s="55">
        <v>-3167.14</v>
      </c>
      <c r="F1262" s="819">
        <v>-5243.07</v>
      </c>
      <c r="G1262" s="8" t="s">
        <v>1684</v>
      </c>
      <c r="H1262" s="591" t="s">
        <v>1828</v>
      </c>
      <c r="I1262" s="587"/>
      <c r="J1262"/>
    </row>
    <row r="1263" spans="1:10" hidden="1" outlineLevel="1">
      <c r="A1263" s="818">
        <v>2023</v>
      </c>
      <c r="B1263" s="77" t="s">
        <v>977</v>
      </c>
      <c r="C1263" s="60" t="s">
        <v>2408</v>
      </c>
      <c r="D1263" s="55">
        <v>1897026</v>
      </c>
      <c r="E1263" s="55">
        <v>6772.38</v>
      </c>
      <c r="F1263" s="819">
        <v>11211.42</v>
      </c>
      <c r="G1263" s="8" t="s">
        <v>978</v>
      </c>
      <c r="H1263" s="591" t="s">
        <v>1828</v>
      </c>
      <c r="I1263" s="587"/>
      <c r="J1263"/>
    </row>
    <row r="1264" spans="1:10" hidden="1" outlineLevel="1">
      <c r="A1264" s="818">
        <v>2023</v>
      </c>
      <c r="B1264" s="77" t="s">
        <v>977</v>
      </c>
      <c r="C1264" s="60" t="s">
        <v>2411</v>
      </c>
      <c r="D1264" s="55">
        <v>879743</v>
      </c>
      <c r="E1264" s="55">
        <v>-3140.6</v>
      </c>
      <c r="F1264" s="819">
        <v>-5199.1400000000003</v>
      </c>
      <c r="G1264" s="8" t="s">
        <v>978</v>
      </c>
      <c r="H1264" s="591" t="s">
        <v>1828</v>
      </c>
      <c r="I1264" s="587"/>
      <c r="J1264"/>
    </row>
    <row r="1265" spans="1:10" hidden="1" outlineLevel="1">
      <c r="A1265" s="818">
        <v>2023</v>
      </c>
      <c r="B1265" s="77" t="s">
        <v>1901</v>
      </c>
      <c r="C1265" s="60" t="s">
        <v>2408</v>
      </c>
      <c r="D1265" s="55">
        <v>133250</v>
      </c>
      <c r="E1265" s="55">
        <v>475.7</v>
      </c>
      <c r="F1265" s="819">
        <v>787.51</v>
      </c>
      <c r="G1265" s="8" t="s">
        <v>1902</v>
      </c>
      <c r="H1265" s="591" t="s">
        <v>1828</v>
      </c>
      <c r="I1265" s="587"/>
      <c r="J1265"/>
    </row>
    <row r="1266" spans="1:10" hidden="1" outlineLevel="1">
      <c r="A1266" s="818">
        <v>2023</v>
      </c>
      <c r="B1266" s="77" t="s">
        <v>1911</v>
      </c>
      <c r="C1266" s="60" t="s">
        <v>2408</v>
      </c>
      <c r="D1266" s="55">
        <v>-47913</v>
      </c>
      <c r="E1266" s="55">
        <v>-171.05</v>
      </c>
      <c r="F1266" s="819">
        <v>-283.17</v>
      </c>
      <c r="G1266" s="8" t="s">
        <v>1912</v>
      </c>
      <c r="H1266" s="591" t="s">
        <v>1828</v>
      </c>
      <c r="I1266" s="587"/>
      <c r="J1266"/>
    </row>
    <row r="1267" spans="1:10" hidden="1" outlineLevel="1">
      <c r="A1267" s="818">
        <v>2023</v>
      </c>
      <c r="B1267" s="77" t="s">
        <v>1913</v>
      </c>
      <c r="C1267" s="60" t="s">
        <v>2408</v>
      </c>
      <c r="D1267" s="55">
        <v>-554677</v>
      </c>
      <c r="E1267" s="55">
        <v>-1980.2</v>
      </c>
      <c r="F1267" s="819">
        <v>-3278.14</v>
      </c>
      <c r="G1267" s="8" t="s">
        <v>1914</v>
      </c>
      <c r="H1267" s="591" t="s">
        <v>1828</v>
      </c>
      <c r="I1267" s="587"/>
      <c r="J1267"/>
    </row>
    <row r="1268" spans="1:10" hidden="1" outlineLevel="1">
      <c r="A1268" s="818">
        <v>2023</v>
      </c>
      <c r="B1268" s="77" t="s">
        <v>1915</v>
      </c>
      <c r="C1268" s="60" t="s">
        <v>2408</v>
      </c>
      <c r="D1268" s="55">
        <v>-44721</v>
      </c>
      <c r="E1268" s="55">
        <v>-159.65</v>
      </c>
      <c r="F1268" s="819">
        <v>-264.3</v>
      </c>
      <c r="G1268" s="8" t="s">
        <v>1916</v>
      </c>
      <c r="H1268" s="591" t="s">
        <v>1828</v>
      </c>
      <c r="I1268" s="587"/>
      <c r="J1268"/>
    </row>
    <row r="1269" spans="1:10" hidden="1" outlineLevel="1">
      <c r="A1269" s="818">
        <v>2023</v>
      </c>
      <c r="B1269" s="77" t="s">
        <v>1917</v>
      </c>
      <c r="C1269" s="60" t="s">
        <v>2408</v>
      </c>
      <c r="D1269" s="55">
        <v>-31492</v>
      </c>
      <c r="E1269" s="55">
        <v>-112.43</v>
      </c>
      <c r="F1269" s="819">
        <v>-186.12</v>
      </c>
      <c r="G1269" s="8" t="s">
        <v>1918</v>
      </c>
      <c r="H1269" s="591" t="s">
        <v>1828</v>
      </c>
      <c r="I1269" s="587"/>
      <c r="J1269"/>
    </row>
    <row r="1270" spans="1:10" hidden="1" outlineLevel="1">
      <c r="A1270" s="818">
        <v>2023</v>
      </c>
      <c r="B1270" s="77" t="s">
        <v>1919</v>
      </c>
      <c r="C1270" s="60" t="s">
        <v>2408</v>
      </c>
      <c r="D1270" s="55">
        <v>17992976</v>
      </c>
      <c r="E1270" s="55">
        <v>64234.92</v>
      </c>
      <c r="F1270" s="819">
        <v>106338.49</v>
      </c>
      <c r="G1270" s="8" t="s">
        <v>1920</v>
      </c>
      <c r="H1270" s="591" t="s">
        <v>1828</v>
      </c>
      <c r="I1270" s="587"/>
      <c r="J1270"/>
    </row>
    <row r="1271" spans="1:10" hidden="1" outlineLevel="1">
      <c r="A1271" s="818">
        <v>2023</v>
      </c>
      <c r="B1271" s="77" t="s">
        <v>1921</v>
      </c>
      <c r="C1271" s="60" t="s">
        <v>2408</v>
      </c>
      <c r="D1271" s="55">
        <v>22534</v>
      </c>
      <c r="E1271" s="55">
        <v>80.45</v>
      </c>
      <c r="F1271" s="819">
        <v>133.18</v>
      </c>
      <c r="G1271" s="8" t="s">
        <v>1922</v>
      </c>
      <c r="H1271" s="591" t="s">
        <v>1828</v>
      </c>
      <c r="I1271" s="587"/>
      <c r="J1271"/>
    </row>
    <row r="1272" spans="1:10" hidden="1" outlineLevel="1">
      <c r="A1272" s="818">
        <v>2023</v>
      </c>
      <c r="B1272" s="77" t="s">
        <v>1923</v>
      </c>
      <c r="C1272" s="60" t="s">
        <v>2408</v>
      </c>
      <c r="D1272" s="55">
        <v>5239</v>
      </c>
      <c r="E1272" s="55">
        <v>18.7</v>
      </c>
      <c r="F1272" s="819">
        <v>30.96</v>
      </c>
      <c r="G1272" s="8" t="s">
        <v>1924</v>
      </c>
      <c r="H1272" s="591" t="s">
        <v>1828</v>
      </c>
      <c r="I1272" s="587"/>
      <c r="J1272"/>
    </row>
    <row r="1273" spans="1:10" hidden="1" outlineLevel="1">
      <c r="A1273" s="818">
        <v>2023</v>
      </c>
      <c r="B1273" s="77" t="s">
        <v>1927</v>
      </c>
      <c r="C1273" s="60" t="s">
        <v>2408</v>
      </c>
      <c r="D1273" s="55">
        <v>6759</v>
      </c>
      <c r="E1273" s="55">
        <v>24.13</v>
      </c>
      <c r="F1273" s="819">
        <v>39.950000000000003</v>
      </c>
      <c r="G1273" s="8" t="s">
        <v>1928</v>
      </c>
      <c r="H1273" s="591" t="s">
        <v>1828</v>
      </c>
      <c r="I1273" s="587"/>
      <c r="J1273"/>
    </row>
    <row r="1274" spans="1:10" hidden="1" outlineLevel="1">
      <c r="A1274" s="818">
        <v>2023</v>
      </c>
      <c r="B1274" s="77" t="s">
        <v>1935</v>
      </c>
      <c r="C1274" s="60" t="s">
        <v>2408</v>
      </c>
      <c r="D1274" s="55">
        <v>454154</v>
      </c>
      <c r="E1274" s="55">
        <v>1621.33</v>
      </c>
      <c r="F1274" s="819">
        <v>2684.05</v>
      </c>
      <c r="G1274" s="8" t="s">
        <v>1936</v>
      </c>
      <c r="H1274" s="591" t="s">
        <v>1828</v>
      </c>
      <c r="I1274" s="587"/>
      <c r="J1274"/>
    </row>
    <row r="1275" spans="1:10" hidden="1" outlineLevel="1">
      <c r="A1275" s="818">
        <v>2023</v>
      </c>
      <c r="B1275" s="77" t="s">
        <v>1939</v>
      </c>
      <c r="C1275" s="60" t="s">
        <v>2408</v>
      </c>
      <c r="D1275" s="55">
        <v>13009</v>
      </c>
      <c r="E1275" s="55">
        <v>46.44</v>
      </c>
      <c r="F1275" s="819">
        <v>76.88</v>
      </c>
      <c r="G1275" s="8" t="s">
        <v>1940</v>
      </c>
      <c r="H1275" s="591" t="s">
        <v>1828</v>
      </c>
      <c r="I1275" s="587"/>
      <c r="J1275"/>
    </row>
    <row r="1276" spans="1:10" hidden="1" outlineLevel="1">
      <c r="A1276" s="818">
        <v>2023</v>
      </c>
      <c r="B1276" s="77" t="s">
        <v>1943</v>
      </c>
      <c r="C1276" s="60" t="s">
        <v>2408</v>
      </c>
      <c r="D1276" s="55">
        <v>4380</v>
      </c>
      <c r="E1276" s="55">
        <v>15.64</v>
      </c>
      <c r="F1276" s="819">
        <v>25.89</v>
      </c>
      <c r="G1276" s="8" t="s">
        <v>1944</v>
      </c>
      <c r="H1276" s="591" t="s">
        <v>1828</v>
      </c>
      <c r="I1276" s="587"/>
      <c r="J1276"/>
    </row>
    <row r="1277" spans="1:10" hidden="1" outlineLevel="1">
      <c r="A1277" s="818">
        <v>2023</v>
      </c>
      <c r="B1277" s="77" t="s">
        <v>1945</v>
      </c>
      <c r="C1277" s="60" t="s">
        <v>2408</v>
      </c>
      <c r="D1277" s="55">
        <v>122948</v>
      </c>
      <c r="E1277" s="55">
        <v>438.92</v>
      </c>
      <c r="F1277" s="819">
        <v>726.62</v>
      </c>
      <c r="G1277" s="8" t="s">
        <v>1946</v>
      </c>
      <c r="H1277" s="591" t="s">
        <v>1828</v>
      </c>
      <c r="I1277" s="587"/>
      <c r="J1277"/>
    </row>
    <row r="1278" spans="1:10" hidden="1" outlineLevel="1">
      <c r="A1278" s="818">
        <v>2023</v>
      </c>
      <c r="B1278" s="77" t="s">
        <v>1953</v>
      </c>
      <c r="C1278" s="60" t="s">
        <v>2408</v>
      </c>
      <c r="D1278" s="55">
        <v>-78639</v>
      </c>
      <c r="E1278" s="55">
        <v>-280.74</v>
      </c>
      <c r="F1278" s="819">
        <v>-464.76</v>
      </c>
      <c r="G1278" s="8" t="s">
        <v>1954</v>
      </c>
      <c r="H1278" s="591" t="s">
        <v>1828</v>
      </c>
      <c r="I1278" s="587"/>
      <c r="J1278"/>
    </row>
    <row r="1279" spans="1:10" hidden="1" outlineLevel="1">
      <c r="A1279" s="818">
        <v>2023</v>
      </c>
      <c r="B1279" s="77" t="s">
        <v>1955</v>
      </c>
      <c r="C1279" s="60" t="s">
        <v>2408</v>
      </c>
      <c r="D1279" s="55">
        <v>-67049</v>
      </c>
      <c r="E1279" s="55">
        <v>-239.36</v>
      </c>
      <c r="F1279" s="819">
        <v>-396.26</v>
      </c>
      <c r="G1279" s="8" t="s">
        <v>1956</v>
      </c>
      <c r="H1279" s="591" t="s">
        <v>1828</v>
      </c>
      <c r="I1279" s="587"/>
      <c r="J1279"/>
    </row>
    <row r="1280" spans="1:10" hidden="1" outlineLevel="1">
      <c r="A1280" s="818">
        <v>2023</v>
      </c>
      <c r="B1280" s="77" t="s">
        <v>1965</v>
      </c>
      <c r="C1280" s="60" t="s">
        <v>2408</v>
      </c>
      <c r="D1280" s="55">
        <v>-2691</v>
      </c>
      <c r="E1280" s="55">
        <v>-9.61</v>
      </c>
      <c r="F1280" s="819">
        <v>-15.9</v>
      </c>
      <c r="G1280" s="8" t="s">
        <v>1966</v>
      </c>
      <c r="H1280" s="591" t="s">
        <v>1828</v>
      </c>
      <c r="I1280" s="587"/>
      <c r="J1280"/>
    </row>
    <row r="1281" spans="1:10" hidden="1" outlineLevel="1">
      <c r="A1281" s="818">
        <v>2023</v>
      </c>
      <c r="B1281" s="77" t="s">
        <v>1967</v>
      </c>
      <c r="C1281" s="60" t="s">
        <v>2408</v>
      </c>
      <c r="D1281" s="55">
        <v>9840328</v>
      </c>
      <c r="E1281" s="55">
        <v>35129.97</v>
      </c>
      <c r="F1281" s="819">
        <v>58156.34</v>
      </c>
      <c r="G1281" s="8" t="s">
        <v>1968</v>
      </c>
      <c r="H1281" s="591" t="s">
        <v>1828</v>
      </c>
      <c r="I1281" s="587"/>
      <c r="J1281"/>
    </row>
    <row r="1282" spans="1:10" hidden="1" outlineLevel="1">
      <c r="A1282" s="818">
        <v>2023</v>
      </c>
      <c r="B1282" s="77" t="s">
        <v>1971</v>
      </c>
      <c r="C1282" s="60" t="s">
        <v>2408</v>
      </c>
      <c r="D1282" s="55">
        <v>22553</v>
      </c>
      <c r="E1282" s="55">
        <v>80.510000000000005</v>
      </c>
      <c r="F1282" s="819">
        <v>133.29</v>
      </c>
      <c r="G1282" s="8" t="s">
        <v>1972</v>
      </c>
      <c r="H1282" s="591" t="s">
        <v>1828</v>
      </c>
      <c r="I1282" s="587"/>
      <c r="J1282"/>
    </row>
    <row r="1283" spans="1:10" hidden="1" outlineLevel="1">
      <c r="A1283" s="818">
        <v>2023</v>
      </c>
      <c r="B1283" s="77" t="s">
        <v>1973</v>
      </c>
      <c r="C1283" s="60" t="s">
        <v>2408</v>
      </c>
      <c r="D1283" s="55">
        <v>3559208</v>
      </c>
      <c r="E1283" s="55">
        <v>12706.37</v>
      </c>
      <c r="F1283" s="819">
        <v>21034.92</v>
      </c>
      <c r="G1283" s="8" t="s">
        <v>1974</v>
      </c>
      <c r="H1283" s="591" t="s">
        <v>1828</v>
      </c>
      <c r="I1283" s="587"/>
      <c r="J1283"/>
    </row>
    <row r="1284" spans="1:10" hidden="1" outlineLevel="1">
      <c r="A1284" s="818">
        <v>2023</v>
      </c>
      <c r="B1284" s="77" t="s">
        <v>1979</v>
      </c>
      <c r="C1284" s="60" t="s">
        <v>2408</v>
      </c>
      <c r="D1284" s="55">
        <v>107667</v>
      </c>
      <c r="E1284" s="55">
        <v>384.37</v>
      </c>
      <c r="F1284" s="819">
        <v>636.30999999999995</v>
      </c>
      <c r="G1284" s="8" t="s">
        <v>1980</v>
      </c>
      <c r="H1284" s="591" t="s">
        <v>1828</v>
      </c>
      <c r="I1284" s="587"/>
      <c r="J1284"/>
    </row>
    <row r="1285" spans="1:10" hidden="1" outlineLevel="1">
      <c r="A1285" s="818">
        <v>2023</v>
      </c>
      <c r="B1285" s="77" t="s">
        <v>1981</v>
      </c>
      <c r="C1285" s="60" t="s">
        <v>2408</v>
      </c>
      <c r="D1285" s="55">
        <v>72694</v>
      </c>
      <c r="E1285" s="55">
        <v>259.52</v>
      </c>
      <c r="F1285" s="819">
        <v>429.62</v>
      </c>
      <c r="G1285" s="8" t="s">
        <v>1982</v>
      </c>
      <c r="H1285" s="591" t="s">
        <v>1828</v>
      </c>
      <c r="I1285" s="587"/>
      <c r="J1285"/>
    </row>
    <row r="1286" spans="1:10" hidden="1" outlineLevel="1">
      <c r="A1286" s="818">
        <v>2023</v>
      </c>
      <c r="B1286" s="77" t="s">
        <v>1983</v>
      </c>
      <c r="C1286" s="60" t="s">
        <v>2408</v>
      </c>
      <c r="D1286" s="55">
        <v>-13297</v>
      </c>
      <c r="E1286" s="55">
        <v>-47.47</v>
      </c>
      <c r="F1286" s="819">
        <v>-78.59</v>
      </c>
      <c r="G1286" s="8" t="s">
        <v>1984</v>
      </c>
      <c r="H1286" s="591" t="s">
        <v>1828</v>
      </c>
      <c r="I1286" s="587"/>
      <c r="J1286"/>
    </row>
    <row r="1287" spans="1:10" hidden="1" outlineLevel="1">
      <c r="A1287" s="818">
        <v>2023</v>
      </c>
      <c r="B1287" s="77" t="s">
        <v>1985</v>
      </c>
      <c r="C1287" s="60" t="s">
        <v>2408</v>
      </c>
      <c r="D1287" s="55">
        <v>3077945</v>
      </c>
      <c r="E1287" s="55">
        <v>10988.26</v>
      </c>
      <c r="F1287" s="819">
        <v>18190.650000000001</v>
      </c>
      <c r="G1287" s="8" t="s">
        <v>1986</v>
      </c>
      <c r="H1287" s="591" t="s">
        <v>1828</v>
      </c>
      <c r="I1287" s="587"/>
      <c r="J1287"/>
    </row>
    <row r="1288" spans="1:10" hidden="1" outlineLevel="1">
      <c r="A1288" s="818">
        <v>2023</v>
      </c>
      <c r="B1288" s="77" t="s">
        <v>1991</v>
      </c>
      <c r="C1288" s="60" t="s">
        <v>2408</v>
      </c>
      <c r="D1288" s="55">
        <v>1065154</v>
      </c>
      <c r="E1288" s="55">
        <v>3802.6</v>
      </c>
      <c r="F1288" s="819">
        <v>6295.06</v>
      </c>
      <c r="G1288" s="8" t="s">
        <v>1992</v>
      </c>
      <c r="H1288" s="591" t="s">
        <v>1828</v>
      </c>
      <c r="I1288" s="587"/>
      <c r="J1288"/>
    </row>
    <row r="1289" spans="1:10" hidden="1" outlineLevel="1">
      <c r="A1289" s="818">
        <v>2023</v>
      </c>
      <c r="B1289" s="77" t="s">
        <v>1993</v>
      </c>
      <c r="C1289" s="60" t="s">
        <v>2408</v>
      </c>
      <c r="D1289" s="55">
        <v>6527772</v>
      </c>
      <c r="E1289" s="55">
        <v>23304.15</v>
      </c>
      <c r="F1289" s="819">
        <v>38579.129999999997</v>
      </c>
      <c r="G1289" s="8" t="s">
        <v>1994</v>
      </c>
      <c r="H1289" s="591" t="s">
        <v>1828</v>
      </c>
      <c r="I1289" s="587"/>
      <c r="J1289"/>
    </row>
    <row r="1290" spans="1:10" hidden="1" outlineLevel="1">
      <c r="A1290" s="818">
        <v>2023</v>
      </c>
      <c r="B1290" s="77" t="s">
        <v>1154</v>
      </c>
      <c r="C1290" s="60" t="s">
        <v>2408</v>
      </c>
      <c r="D1290" s="55">
        <v>-92288</v>
      </c>
      <c r="E1290" s="55">
        <v>-329.47</v>
      </c>
      <c r="F1290" s="819">
        <v>-545.41999999999996</v>
      </c>
      <c r="G1290" s="8" t="s">
        <v>1155</v>
      </c>
      <c r="H1290" s="591" t="s">
        <v>1828</v>
      </c>
      <c r="I1290" s="587"/>
      <c r="J1290"/>
    </row>
    <row r="1291" spans="1:10" hidden="1" outlineLevel="1">
      <c r="A1291" s="818">
        <v>2023</v>
      </c>
      <c r="B1291" s="77" t="s">
        <v>2003</v>
      </c>
      <c r="C1291" s="60" t="s">
        <v>2408</v>
      </c>
      <c r="D1291" s="55">
        <v>-5320578</v>
      </c>
      <c r="E1291" s="55">
        <v>-18994.46</v>
      </c>
      <c r="F1291" s="819">
        <v>-31444.62</v>
      </c>
      <c r="G1291" s="8" t="s">
        <v>2004</v>
      </c>
      <c r="H1291" s="591" t="s">
        <v>1828</v>
      </c>
      <c r="I1291" s="587"/>
      <c r="J1291"/>
    </row>
    <row r="1292" spans="1:10" hidden="1" outlineLevel="1">
      <c r="A1292" s="818">
        <v>2023</v>
      </c>
      <c r="B1292" s="77" t="s">
        <v>2005</v>
      </c>
      <c r="C1292" s="60" t="s">
        <v>2408</v>
      </c>
      <c r="D1292" s="55">
        <v>857484</v>
      </c>
      <c r="E1292" s="55">
        <v>3061.22</v>
      </c>
      <c r="F1292" s="819">
        <v>5067.7299999999996</v>
      </c>
      <c r="G1292" s="8" t="s">
        <v>2006</v>
      </c>
      <c r="H1292" s="591" t="s">
        <v>1828</v>
      </c>
      <c r="I1292" s="587"/>
      <c r="J1292"/>
    </row>
    <row r="1293" spans="1:10" hidden="1" outlineLevel="1">
      <c r="A1293" s="818">
        <v>2023</v>
      </c>
      <c r="B1293" s="77" t="s">
        <v>2009</v>
      </c>
      <c r="C1293" s="60" t="s">
        <v>2408</v>
      </c>
      <c r="D1293" s="55">
        <v>-21354</v>
      </c>
      <c r="E1293" s="55">
        <v>-76.23</v>
      </c>
      <c r="F1293" s="819">
        <v>-126.2</v>
      </c>
      <c r="G1293" s="8" t="s">
        <v>2010</v>
      </c>
      <c r="H1293" s="591" t="s">
        <v>1828</v>
      </c>
      <c r="I1293" s="587"/>
      <c r="J1293"/>
    </row>
    <row r="1294" spans="1:10" hidden="1" outlineLevel="1">
      <c r="A1294" s="818">
        <v>2023</v>
      </c>
      <c r="B1294" s="77" t="s">
        <v>2015</v>
      </c>
      <c r="C1294" s="60" t="s">
        <v>2408</v>
      </c>
      <c r="D1294" s="55">
        <v>170909</v>
      </c>
      <c r="E1294" s="55">
        <v>610.15</v>
      </c>
      <c r="F1294" s="819">
        <v>1010.07</v>
      </c>
      <c r="G1294" s="8" t="s">
        <v>2016</v>
      </c>
      <c r="H1294" s="591" t="s">
        <v>1828</v>
      </c>
      <c r="I1294" s="587"/>
      <c r="J1294"/>
    </row>
    <row r="1295" spans="1:10" hidden="1" outlineLevel="1">
      <c r="A1295" s="814">
        <v>2023</v>
      </c>
      <c r="B1295" s="234" t="s">
        <v>2019</v>
      </c>
      <c r="C1295" s="80" t="s">
        <v>2408</v>
      </c>
      <c r="D1295" s="236">
        <v>-306660</v>
      </c>
      <c r="E1295" s="55">
        <v>-1094.78</v>
      </c>
      <c r="F1295" s="819">
        <v>-1812.36</v>
      </c>
      <c r="G1295" s="8" t="s">
        <v>2020</v>
      </c>
      <c r="H1295" s="591" t="s">
        <v>1828</v>
      </c>
      <c r="I1295" s="587"/>
      <c r="J1295"/>
    </row>
    <row r="1296" spans="1:10" hidden="1" outlineLevel="1">
      <c r="A1296" s="814">
        <v>2023</v>
      </c>
      <c r="B1296" s="234" t="s">
        <v>1314</v>
      </c>
      <c r="C1296" s="80" t="s">
        <v>2408</v>
      </c>
      <c r="D1296" s="236">
        <v>738714</v>
      </c>
      <c r="E1296" s="55">
        <v>2637.21</v>
      </c>
      <c r="F1296" s="819">
        <v>4365.8</v>
      </c>
      <c r="G1296" s="8" t="s">
        <v>1315</v>
      </c>
      <c r="H1296" s="591" t="s">
        <v>1828</v>
      </c>
      <c r="I1296" s="587"/>
      <c r="J1296"/>
    </row>
    <row r="1297" spans="1:10" hidden="1" outlineLevel="1">
      <c r="A1297" s="814">
        <v>2023</v>
      </c>
      <c r="B1297" s="234" t="s">
        <v>2021</v>
      </c>
      <c r="C1297" s="80" t="s">
        <v>2408</v>
      </c>
      <c r="D1297" s="236">
        <v>-974011</v>
      </c>
      <c r="E1297" s="55">
        <v>-3477.22</v>
      </c>
      <c r="F1297" s="819">
        <v>-5756.41</v>
      </c>
      <c r="G1297" s="8" t="s">
        <v>2022</v>
      </c>
      <c r="H1297" s="591" t="s">
        <v>1828</v>
      </c>
      <c r="I1297" s="587"/>
      <c r="J1297"/>
    </row>
    <row r="1298" spans="1:10" hidden="1" outlineLevel="1">
      <c r="A1298" s="814">
        <v>2023</v>
      </c>
      <c r="B1298" s="234" t="s">
        <v>2027</v>
      </c>
      <c r="C1298" s="80" t="s">
        <v>2408</v>
      </c>
      <c r="D1298" s="236">
        <v>-7030991</v>
      </c>
      <c r="E1298" s="55">
        <v>-25100.639999999999</v>
      </c>
      <c r="F1298" s="819">
        <v>-41553.160000000003</v>
      </c>
      <c r="G1298" s="8" t="s">
        <v>2028</v>
      </c>
      <c r="H1298" s="591" t="s">
        <v>1828</v>
      </c>
      <c r="I1298" s="587"/>
      <c r="J1298"/>
    </row>
    <row r="1299" spans="1:10" hidden="1" outlineLevel="1">
      <c r="A1299" s="814">
        <v>2023</v>
      </c>
      <c r="B1299" s="234" t="s">
        <v>2031</v>
      </c>
      <c r="C1299" s="80" t="s">
        <v>2408</v>
      </c>
      <c r="D1299" s="236">
        <v>119848</v>
      </c>
      <c r="E1299" s="55">
        <v>427.86</v>
      </c>
      <c r="F1299" s="819">
        <v>708.3</v>
      </c>
      <c r="G1299" s="8" t="s">
        <v>2032</v>
      </c>
      <c r="H1299" s="591" t="s">
        <v>1828</v>
      </c>
      <c r="I1299" s="587"/>
      <c r="J1299"/>
    </row>
    <row r="1300" spans="1:10" hidden="1" outlineLevel="1">
      <c r="A1300" s="814">
        <v>2023</v>
      </c>
      <c r="B1300" s="234" t="s">
        <v>2035</v>
      </c>
      <c r="C1300" s="80" t="s">
        <v>2408</v>
      </c>
      <c r="D1300" s="236">
        <v>-63566036</v>
      </c>
      <c r="E1300" s="55">
        <v>-226930.75</v>
      </c>
      <c r="F1300" s="819">
        <v>-375675.27</v>
      </c>
      <c r="G1300" s="8" t="s">
        <v>2036</v>
      </c>
      <c r="H1300" s="591" t="s">
        <v>1828</v>
      </c>
      <c r="I1300" s="587"/>
      <c r="J1300"/>
    </row>
    <row r="1301" spans="1:10" ht="13.5" hidden="1" outlineLevel="1" thickBot="1">
      <c r="A1301" s="1564">
        <v>2023</v>
      </c>
      <c r="B1301" s="1569" t="s">
        <v>2037</v>
      </c>
      <c r="C1301" s="687" t="s">
        <v>2408</v>
      </c>
      <c r="D1301" s="1570">
        <v>3366083</v>
      </c>
      <c r="E1301" s="49">
        <v>12016.92</v>
      </c>
      <c r="F1301" s="1568">
        <v>19893.55</v>
      </c>
      <c r="G1301" s="8" t="s">
        <v>2038</v>
      </c>
      <c r="H1301" s="591" t="s">
        <v>1828</v>
      </c>
      <c r="I1301" s="587"/>
      <c r="J1301"/>
    </row>
    <row r="1302" spans="1:10" hidden="1" outlineLevel="1">
      <c r="A1302" s="814">
        <v>2024</v>
      </c>
      <c r="B1302" s="234" t="s">
        <v>1831</v>
      </c>
      <c r="C1302" s="567" t="s">
        <v>2408</v>
      </c>
      <c r="D1302" s="236">
        <v>-783181</v>
      </c>
      <c r="E1302" s="55">
        <v>-2153.75</v>
      </c>
      <c r="F1302" s="819">
        <v>-5137.67</v>
      </c>
      <c r="G1302" s="8" t="s">
        <v>1832</v>
      </c>
      <c r="H1302" s="591" t="s">
        <v>1828</v>
      </c>
      <c r="I1302" s="587"/>
      <c r="J1302"/>
    </row>
    <row r="1303" spans="1:10" hidden="1" outlineLevel="1">
      <c r="A1303" s="814">
        <v>2024</v>
      </c>
      <c r="B1303" s="234" t="s">
        <v>1021</v>
      </c>
      <c r="C1303" s="80" t="s">
        <v>2408</v>
      </c>
      <c r="D1303" s="236">
        <v>-256143</v>
      </c>
      <c r="E1303" s="55">
        <v>-704.39</v>
      </c>
      <c r="F1303" s="819">
        <v>-1680.3</v>
      </c>
      <c r="G1303" s="8" t="s">
        <v>944</v>
      </c>
      <c r="H1303" s="591" t="s">
        <v>1828</v>
      </c>
      <c r="I1303" s="587"/>
      <c r="J1303"/>
    </row>
    <row r="1304" spans="1:10" hidden="1" outlineLevel="1">
      <c r="A1304" s="814">
        <v>2024</v>
      </c>
      <c r="B1304" s="234" t="s">
        <v>1021</v>
      </c>
      <c r="C1304" s="80" t="s">
        <v>2409</v>
      </c>
      <c r="D1304" s="236">
        <v>83110</v>
      </c>
      <c r="E1304" s="55">
        <v>22.86</v>
      </c>
      <c r="F1304" s="819">
        <v>54.52</v>
      </c>
      <c r="G1304" s="8" t="s">
        <v>944</v>
      </c>
      <c r="H1304" s="591" t="s">
        <v>1828</v>
      </c>
      <c r="I1304" s="587"/>
      <c r="J1304"/>
    </row>
    <row r="1305" spans="1:10" hidden="1" outlineLevel="1">
      <c r="A1305" s="814">
        <v>2024</v>
      </c>
      <c r="B1305" s="234" t="s">
        <v>1835</v>
      </c>
      <c r="C1305" s="80" t="s">
        <v>2408</v>
      </c>
      <c r="D1305" s="236">
        <v>-615165</v>
      </c>
      <c r="E1305" s="55">
        <v>-1691.7</v>
      </c>
      <c r="F1305" s="819">
        <v>-4035.48</v>
      </c>
      <c r="G1305" s="8" t="s">
        <v>1836</v>
      </c>
      <c r="H1305" s="591" t="s">
        <v>1828</v>
      </c>
      <c r="I1305" s="587"/>
      <c r="J1305"/>
    </row>
    <row r="1306" spans="1:10" hidden="1" outlineLevel="1">
      <c r="A1306" s="814">
        <v>2024</v>
      </c>
      <c r="B1306" s="234" t="s">
        <v>542</v>
      </c>
      <c r="C1306" s="80" t="s">
        <v>2408</v>
      </c>
      <c r="D1306" s="236">
        <v>-2164</v>
      </c>
      <c r="E1306" s="55">
        <v>-5.95</v>
      </c>
      <c r="F1306" s="819">
        <v>-14.2</v>
      </c>
      <c r="G1306" s="8" t="s">
        <v>543</v>
      </c>
      <c r="H1306" s="591" t="s">
        <v>1828</v>
      </c>
      <c r="I1306" s="587"/>
      <c r="J1306"/>
    </row>
    <row r="1307" spans="1:10" hidden="1" outlineLevel="1">
      <c r="A1307" s="814">
        <v>2024</v>
      </c>
      <c r="B1307" s="234" t="s">
        <v>1837</v>
      </c>
      <c r="C1307" s="80" t="s">
        <v>2408</v>
      </c>
      <c r="D1307" s="236">
        <v>-3271355</v>
      </c>
      <c r="E1307" s="55">
        <v>-8996.23</v>
      </c>
      <c r="F1307" s="819">
        <v>-21460.09</v>
      </c>
      <c r="G1307" s="8" t="s">
        <v>1838</v>
      </c>
      <c r="H1307" s="591" t="s">
        <v>1828</v>
      </c>
      <c r="I1307" s="587"/>
      <c r="J1307"/>
    </row>
    <row r="1308" spans="1:10" hidden="1" outlineLevel="1">
      <c r="A1308" s="814">
        <v>2024</v>
      </c>
      <c r="B1308" s="234" t="s">
        <v>1839</v>
      </c>
      <c r="C1308" s="80" t="s">
        <v>2408</v>
      </c>
      <c r="D1308" s="236">
        <v>-45068</v>
      </c>
      <c r="E1308" s="55">
        <v>-123.94</v>
      </c>
      <c r="F1308" s="819">
        <v>-295.64999999999998</v>
      </c>
      <c r="G1308" s="8" t="s">
        <v>1840</v>
      </c>
      <c r="H1308" s="591" t="s">
        <v>1828</v>
      </c>
      <c r="I1308" s="587"/>
      <c r="J1308"/>
    </row>
    <row r="1309" spans="1:10" hidden="1" outlineLevel="1">
      <c r="A1309" s="814">
        <v>2024</v>
      </c>
      <c r="B1309" s="234" t="s">
        <v>1841</v>
      </c>
      <c r="C1309" s="80" t="s">
        <v>2408</v>
      </c>
      <c r="D1309" s="236">
        <v>-44669</v>
      </c>
      <c r="E1309" s="55">
        <v>-122.84</v>
      </c>
      <c r="F1309" s="819">
        <v>-293.02999999999997</v>
      </c>
      <c r="G1309" s="8" t="s">
        <v>1842</v>
      </c>
      <c r="H1309" s="591" t="s">
        <v>1828</v>
      </c>
      <c r="I1309" s="587"/>
      <c r="J1309"/>
    </row>
    <row r="1310" spans="1:10" hidden="1" outlineLevel="1">
      <c r="A1310" s="814">
        <v>2024</v>
      </c>
      <c r="B1310" s="234" t="s">
        <v>1843</v>
      </c>
      <c r="C1310" s="80" t="s">
        <v>2408</v>
      </c>
      <c r="D1310" s="236">
        <v>-10942330</v>
      </c>
      <c r="E1310" s="55">
        <v>-30091.41</v>
      </c>
      <c r="F1310" s="819">
        <v>-71781.679999999993</v>
      </c>
      <c r="G1310" s="8" t="s">
        <v>1844</v>
      </c>
      <c r="H1310" s="591" t="s">
        <v>1828</v>
      </c>
      <c r="I1310" s="587"/>
      <c r="J1310"/>
    </row>
    <row r="1311" spans="1:10" hidden="1" outlineLevel="1">
      <c r="A1311" s="814">
        <v>2024</v>
      </c>
      <c r="B1311" s="921" t="s">
        <v>1845</v>
      </c>
      <c r="C1311" s="80" t="s">
        <v>2408</v>
      </c>
      <c r="D1311" s="709">
        <v>720635</v>
      </c>
      <c r="E1311" s="48">
        <v>1981.75</v>
      </c>
      <c r="F1311" s="815">
        <v>4727.37</v>
      </c>
      <c r="G1311" s="8" t="s">
        <v>1846</v>
      </c>
      <c r="H1311" s="591" t="s">
        <v>1828</v>
      </c>
      <c r="I1311" s="587"/>
      <c r="J1311"/>
    </row>
    <row r="1312" spans="1:10" hidden="1" outlineLevel="1">
      <c r="A1312" s="818">
        <v>2024</v>
      </c>
      <c r="B1312" s="566" t="s">
        <v>1847</v>
      </c>
      <c r="C1312" s="567" t="s">
        <v>2408</v>
      </c>
      <c r="D1312" s="236">
        <v>3068706</v>
      </c>
      <c r="E1312" s="55">
        <v>8438.94</v>
      </c>
      <c r="F1312" s="819">
        <v>20130.71</v>
      </c>
      <c r="G1312" s="8" t="s">
        <v>1848</v>
      </c>
      <c r="H1312" s="591" t="s">
        <v>1828</v>
      </c>
      <c r="I1312" s="587"/>
      <c r="J1312"/>
    </row>
    <row r="1313" spans="1:10" hidden="1" outlineLevel="1">
      <c r="A1313" s="818">
        <v>2024</v>
      </c>
      <c r="B1313" s="235" t="s">
        <v>2293</v>
      </c>
      <c r="C1313" s="80" t="s">
        <v>2408</v>
      </c>
      <c r="D1313" s="236">
        <v>345704</v>
      </c>
      <c r="E1313" s="55">
        <v>950.69</v>
      </c>
      <c r="F1313" s="819">
        <v>2267.8200000000002</v>
      </c>
      <c r="G1313" s="8" t="s">
        <v>2294</v>
      </c>
      <c r="H1313" s="591" t="s">
        <v>1828</v>
      </c>
      <c r="I1313" s="587"/>
      <c r="J1313"/>
    </row>
    <row r="1314" spans="1:10" hidden="1" outlineLevel="1">
      <c r="A1314" s="818">
        <v>2024</v>
      </c>
      <c r="B1314" s="235" t="s">
        <v>1849</v>
      </c>
      <c r="C1314" s="80" t="s">
        <v>2408</v>
      </c>
      <c r="D1314" s="236">
        <v>3900</v>
      </c>
      <c r="E1314" s="55">
        <v>10.73</v>
      </c>
      <c r="F1314" s="819">
        <v>25.58</v>
      </c>
      <c r="G1314" s="8" t="s">
        <v>1850</v>
      </c>
      <c r="H1314" s="591" t="s">
        <v>1828</v>
      </c>
      <c r="I1314" s="587"/>
      <c r="J1314"/>
    </row>
    <row r="1315" spans="1:10" hidden="1" outlineLevel="1">
      <c r="A1315" s="818">
        <v>2024</v>
      </c>
      <c r="B1315" s="235" t="s">
        <v>1853</v>
      </c>
      <c r="C1315" s="80" t="s">
        <v>2408</v>
      </c>
      <c r="D1315" s="236">
        <v>1969027</v>
      </c>
      <c r="E1315" s="55">
        <v>5414.82</v>
      </c>
      <c r="F1315" s="819">
        <v>12916.82</v>
      </c>
      <c r="G1315" s="8" t="s">
        <v>1854</v>
      </c>
      <c r="H1315" s="591" t="s">
        <v>1828</v>
      </c>
      <c r="I1315" s="587"/>
      <c r="J1315"/>
    </row>
    <row r="1316" spans="1:10" hidden="1" outlineLevel="1">
      <c r="A1316" s="818">
        <v>2024</v>
      </c>
      <c r="B1316" s="235" t="s">
        <v>1855</v>
      </c>
      <c r="C1316" s="80" t="s">
        <v>2408</v>
      </c>
      <c r="D1316" s="236">
        <v>-29688204</v>
      </c>
      <c r="E1316" s="55">
        <v>-81642.559999999998</v>
      </c>
      <c r="F1316" s="819">
        <v>-194754.62</v>
      </c>
      <c r="G1316" s="8" t="s">
        <v>1856</v>
      </c>
      <c r="H1316" s="591" t="s">
        <v>1828</v>
      </c>
      <c r="I1316" s="587"/>
      <c r="J1316"/>
    </row>
    <row r="1317" spans="1:10" hidden="1" outlineLevel="1">
      <c r="A1317" s="818">
        <v>2024</v>
      </c>
      <c r="B1317" s="235" t="s">
        <v>1859</v>
      </c>
      <c r="C1317" s="80" t="s">
        <v>2408</v>
      </c>
      <c r="D1317" s="236">
        <v>1293989</v>
      </c>
      <c r="E1317" s="55">
        <v>3558.47</v>
      </c>
      <c r="F1317" s="819">
        <v>8488.57</v>
      </c>
      <c r="G1317" s="8" t="s">
        <v>1860</v>
      </c>
      <c r="H1317" s="591" t="s">
        <v>1828</v>
      </c>
      <c r="I1317" s="587"/>
      <c r="J1317"/>
    </row>
    <row r="1318" spans="1:10" hidden="1" outlineLevel="1">
      <c r="A1318" s="818">
        <v>2024</v>
      </c>
      <c r="B1318" s="235" t="s">
        <v>1861</v>
      </c>
      <c r="C1318" s="80" t="s">
        <v>2408</v>
      </c>
      <c r="D1318" s="236">
        <v>-127307</v>
      </c>
      <c r="E1318" s="55">
        <v>-350.09</v>
      </c>
      <c r="F1318" s="819">
        <v>-835.13</v>
      </c>
      <c r="G1318" s="8" t="s">
        <v>1862</v>
      </c>
      <c r="H1318" s="591" t="s">
        <v>1828</v>
      </c>
      <c r="I1318" s="587"/>
      <c r="J1318"/>
    </row>
    <row r="1319" spans="1:10" hidden="1" outlineLevel="1">
      <c r="A1319" s="818">
        <v>2024</v>
      </c>
      <c r="B1319" s="235" t="s">
        <v>1863</v>
      </c>
      <c r="C1319" s="80" t="s">
        <v>2408</v>
      </c>
      <c r="D1319" s="236">
        <v>-6352268</v>
      </c>
      <c r="E1319" s="55">
        <v>-17468.740000000002</v>
      </c>
      <c r="F1319" s="819">
        <v>-41670.879999999997</v>
      </c>
      <c r="G1319" s="8" t="s">
        <v>1864</v>
      </c>
      <c r="H1319" s="591" t="s">
        <v>1828</v>
      </c>
      <c r="I1319" s="587"/>
      <c r="J1319"/>
    </row>
    <row r="1320" spans="1:10" hidden="1" outlineLevel="1">
      <c r="A1320" s="818">
        <v>2024</v>
      </c>
      <c r="B1320" s="235" t="s">
        <v>1865</v>
      </c>
      <c r="C1320" s="80" t="s">
        <v>2408</v>
      </c>
      <c r="D1320" s="236">
        <v>8973104</v>
      </c>
      <c r="E1320" s="55">
        <v>24676.04</v>
      </c>
      <c r="F1320" s="819">
        <v>58863.56</v>
      </c>
      <c r="G1320" s="8" t="s">
        <v>1866</v>
      </c>
      <c r="H1320" s="591" t="s">
        <v>1828</v>
      </c>
      <c r="I1320" s="587"/>
      <c r="J1320"/>
    </row>
    <row r="1321" spans="1:10" hidden="1" outlineLevel="1">
      <c r="A1321" s="818">
        <v>2024</v>
      </c>
      <c r="B1321" s="235" t="s">
        <v>1869</v>
      </c>
      <c r="C1321" s="80" t="s">
        <v>2408</v>
      </c>
      <c r="D1321" s="236">
        <v>-3349743</v>
      </c>
      <c r="E1321" s="55">
        <v>-9211.7900000000009</v>
      </c>
      <c r="F1321" s="819">
        <v>-21974.31</v>
      </c>
      <c r="G1321" s="8" t="s">
        <v>1870</v>
      </c>
      <c r="H1321" s="591" t="s">
        <v>1828</v>
      </c>
      <c r="I1321" s="587"/>
      <c r="J1321"/>
    </row>
    <row r="1322" spans="1:10" hidden="1" outlineLevel="1">
      <c r="A1322" s="818">
        <v>2024</v>
      </c>
      <c r="B1322" s="235" t="s">
        <v>1873</v>
      </c>
      <c r="C1322" s="80" t="s">
        <v>2408</v>
      </c>
      <c r="D1322" s="236">
        <v>-11401890</v>
      </c>
      <c r="E1322" s="55">
        <v>-31355.200000000001</v>
      </c>
      <c r="F1322" s="819">
        <v>-74796.399999999994</v>
      </c>
      <c r="G1322" s="8" t="s">
        <v>1874</v>
      </c>
      <c r="H1322" s="591" t="s">
        <v>1828</v>
      </c>
      <c r="I1322" s="587"/>
      <c r="J1322"/>
    </row>
    <row r="1323" spans="1:10" hidden="1" outlineLevel="1">
      <c r="A1323" s="818">
        <v>2024</v>
      </c>
      <c r="B1323" s="235" t="s">
        <v>2297</v>
      </c>
      <c r="C1323" s="80" t="s">
        <v>2408</v>
      </c>
      <c r="D1323" s="236">
        <v>52127109</v>
      </c>
      <c r="E1323" s="55">
        <v>143349.54999999999</v>
      </c>
      <c r="F1323" s="819">
        <v>341953.84</v>
      </c>
      <c r="G1323" s="8" t="s">
        <v>2298</v>
      </c>
      <c r="H1323" s="591" t="s">
        <v>1828</v>
      </c>
      <c r="I1323" s="587"/>
      <c r="J1323"/>
    </row>
    <row r="1324" spans="1:10" hidden="1" outlineLevel="1">
      <c r="A1324" s="818">
        <v>2024</v>
      </c>
      <c r="B1324" s="235" t="s">
        <v>1875</v>
      </c>
      <c r="C1324" s="80" t="s">
        <v>2408</v>
      </c>
      <c r="D1324" s="236">
        <v>32090</v>
      </c>
      <c r="E1324" s="55">
        <v>88.25</v>
      </c>
      <c r="F1324" s="819">
        <v>210.51</v>
      </c>
      <c r="G1324" s="8" t="s">
        <v>1876</v>
      </c>
      <c r="H1324" s="591" t="s">
        <v>1828</v>
      </c>
      <c r="I1324" s="587"/>
      <c r="J1324"/>
    </row>
    <row r="1325" spans="1:10" hidden="1" outlineLevel="1">
      <c r="A1325" s="818">
        <v>2024</v>
      </c>
      <c r="B1325" s="235" t="s">
        <v>1879</v>
      </c>
      <c r="C1325" s="80" t="s">
        <v>2408</v>
      </c>
      <c r="D1325" s="236">
        <v>7989</v>
      </c>
      <c r="E1325" s="55">
        <v>21.97</v>
      </c>
      <c r="F1325" s="819">
        <v>52.41</v>
      </c>
      <c r="G1325" s="8" t="s">
        <v>1880</v>
      </c>
      <c r="H1325" s="591" t="s">
        <v>1828</v>
      </c>
      <c r="I1325" s="587"/>
      <c r="J1325"/>
    </row>
    <row r="1326" spans="1:10" hidden="1" outlineLevel="1">
      <c r="A1326" s="818">
        <v>2024</v>
      </c>
      <c r="B1326" s="235" t="s">
        <v>768</v>
      </c>
      <c r="C1326" s="80" t="s">
        <v>2408</v>
      </c>
      <c r="D1326" s="236">
        <v>37803</v>
      </c>
      <c r="E1326" s="55">
        <v>103.96</v>
      </c>
      <c r="F1326" s="819">
        <v>247.99</v>
      </c>
      <c r="G1326" s="8" t="s">
        <v>2301</v>
      </c>
      <c r="H1326" s="591" t="s">
        <v>1828</v>
      </c>
      <c r="I1326" s="587"/>
      <c r="J1326"/>
    </row>
    <row r="1327" spans="1:10" hidden="1" outlineLevel="1">
      <c r="A1327" s="818">
        <v>2024</v>
      </c>
      <c r="B1327" s="235" t="s">
        <v>456</v>
      </c>
      <c r="C1327" s="80" t="s">
        <v>2408</v>
      </c>
      <c r="D1327" s="236">
        <v>-35952</v>
      </c>
      <c r="E1327" s="55">
        <v>-98.87</v>
      </c>
      <c r="F1327" s="819">
        <v>-235.85</v>
      </c>
      <c r="G1327" s="8" t="s">
        <v>457</v>
      </c>
      <c r="H1327" s="591" t="s">
        <v>1828</v>
      </c>
      <c r="I1327" s="587"/>
      <c r="J1327"/>
    </row>
    <row r="1328" spans="1:10" hidden="1" outlineLevel="1">
      <c r="A1328" s="818">
        <v>2024</v>
      </c>
      <c r="B1328" s="235" t="s">
        <v>2077</v>
      </c>
      <c r="C1328" s="80" t="s">
        <v>2408</v>
      </c>
      <c r="D1328" s="236">
        <v>18379</v>
      </c>
      <c r="E1328" s="55">
        <v>50.54</v>
      </c>
      <c r="F1328" s="819">
        <v>120.57</v>
      </c>
      <c r="G1328" s="8" t="s">
        <v>2078</v>
      </c>
      <c r="H1328" s="591" t="s">
        <v>1828</v>
      </c>
      <c r="I1328" s="587"/>
      <c r="J1328"/>
    </row>
    <row r="1329" spans="1:10" hidden="1" outlineLevel="1">
      <c r="A1329" s="818">
        <v>2024</v>
      </c>
      <c r="B1329" s="235" t="s">
        <v>1889</v>
      </c>
      <c r="C1329" s="80" t="s">
        <v>2408</v>
      </c>
      <c r="D1329" s="236">
        <v>7230706</v>
      </c>
      <c r="E1329" s="55">
        <v>19884.439999999999</v>
      </c>
      <c r="F1329" s="819">
        <v>47433.43</v>
      </c>
      <c r="G1329" s="8" t="s">
        <v>1890</v>
      </c>
      <c r="H1329" s="591" t="s">
        <v>1828</v>
      </c>
      <c r="I1329" s="587"/>
      <c r="J1329"/>
    </row>
    <row r="1330" spans="1:10" hidden="1" outlineLevel="1">
      <c r="A1330" s="818">
        <v>2024</v>
      </c>
      <c r="B1330" s="235" t="s">
        <v>1893</v>
      </c>
      <c r="C1330" s="80" t="s">
        <v>2408</v>
      </c>
      <c r="D1330" s="236">
        <v>25356687</v>
      </c>
      <c r="E1330" s="55">
        <v>69730.89</v>
      </c>
      <c r="F1330" s="819">
        <v>166339.87</v>
      </c>
      <c r="G1330" s="8" t="s">
        <v>1894</v>
      </c>
      <c r="H1330" s="591" t="s">
        <v>1828</v>
      </c>
      <c r="I1330" s="587"/>
      <c r="J1330"/>
    </row>
    <row r="1331" spans="1:10" hidden="1" outlineLevel="1">
      <c r="A1331" s="818">
        <v>2024</v>
      </c>
      <c r="B1331" s="235" t="s">
        <v>1895</v>
      </c>
      <c r="C1331" s="80" t="s">
        <v>2408</v>
      </c>
      <c r="D1331" s="236">
        <v>-9708631</v>
      </c>
      <c r="E1331" s="55">
        <v>-26698.74</v>
      </c>
      <c r="F1331" s="819">
        <v>-63688.62</v>
      </c>
      <c r="G1331" s="8" t="s">
        <v>1896</v>
      </c>
      <c r="H1331" s="591" t="s">
        <v>1828</v>
      </c>
      <c r="I1331" s="587"/>
      <c r="J1331"/>
    </row>
    <row r="1332" spans="1:10" hidden="1" outlineLevel="1">
      <c r="A1332" s="818">
        <v>2024</v>
      </c>
      <c r="B1332" s="235" t="s">
        <v>1683</v>
      </c>
      <c r="C1332" s="80" t="s">
        <v>2408</v>
      </c>
      <c r="D1332" s="236">
        <v>1288381</v>
      </c>
      <c r="E1332" s="55">
        <v>3543.05</v>
      </c>
      <c r="F1332" s="819">
        <v>8451.7800000000007</v>
      </c>
      <c r="G1332" s="8" t="s">
        <v>1684</v>
      </c>
      <c r="H1332" s="591" t="s">
        <v>1828</v>
      </c>
      <c r="I1332" s="587"/>
      <c r="J1332"/>
    </row>
    <row r="1333" spans="1:10" hidden="1" outlineLevel="1">
      <c r="A1333" s="818">
        <v>2024</v>
      </c>
      <c r="B1333" s="235" t="s">
        <v>977</v>
      </c>
      <c r="C1333" s="80" t="s">
        <v>2408</v>
      </c>
      <c r="D1333" s="236">
        <v>69669149</v>
      </c>
      <c r="E1333" s="55">
        <v>191590.16</v>
      </c>
      <c r="F1333" s="819">
        <v>457029.62</v>
      </c>
      <c r="G1333" s="8" t="s">
        <v>978</v>
      </c>
      <c r="H1333" s="591" t="s">
        <v>1828</v>
      </c>
      <c r="I1333" s="587"/>
      <c r="J1333"/>
    </row>
    <row r="1334" spans="1:10" hidden="1" outlineLevel="1">
      <c r="A1334" s="818">
        <v>2024</v>
      </c>
      <c r="B1334" s="235" t="s">
        <v>977</v>
      </c>
      <c r="C1334" s="80" t="s">
        <v>2409</v>
      </c>
      <c r="D1334" s="236">
        <v>9345659</v>
      </c>
      <c r="E1334" s="55">
        <v>2570.06</v>
      </c>
      <c r="F1334" s="819">
        <v>6130.75</v>
      </c>
      <c r="G1334" s="8" t="s">
        <v>978</v>
      </c>
      <c r="H1334" s="591" t="s">
        <v>1828</v>
      </c>
      <c r="I1334" s="587"/>
      <c r="J1334"/>
    </row>
    <row r="1335" spans="1:10" hidden="1" outlineLevel="1">
      <c r="A1335" s="818">
        <v>2024</v>
      </c>
      <c r="B1335" s="235" t="s">
        <v>977</v>
      </c>
      <c r="C1335" s="80" t="s">
        <v>2411</v>
      </c>
      <c r="D1335" s="236">
        <v>976481</v>
      </c>
      <c r="E1335" s="55">
        <v>-2684.64</v>
      </c>
      <c r="F1335" s="819">
        <v>-6404.08</v>
      </c>
      <c r="G1335" s="8" t="s">
        <v>978</v>
      </c>
      <c r="H1335" s="591" t="s">
        <v>1828</v>
      </c>
      <c r="I1335" s="587"/>
      <c r="J1335"/>
    </row>
    <row r="1336" spans="1:10" hidden="1" outlineLevel="1">
      <c r="A1336" s="818">
        <v>2024</v>
      </c>
      <c r="B1336" s="235" t="s">
        <v>1901</v>
      </c>
      <c r="C1336" s="80" t="s">
        <v>2408</v>
      </c>
      <c r="D1336" s="236">
        <v>-170216</v>
      </c>
      <c r="E1336" s="55">
        <v>-468.09</v>
      </c>
      <c r="F1336" s="819">
        <v>-1116.6199999999999</v>
      </c>
      <c r="G1336" s="8" t="s">
        <v>1902</v>
      </c>
      <c r="H1336" s="591" t="s">
        <v>1828</v>
      </c>
      <c r="I1336" s="587"/>
      <c r="J1336"/>
    </row>
    <row r="1337" spans="1:10" hidden="1" outlineLevel="1">
      <c r="A1337" s="818">
        <v>2024</v>
      </c>
      <c r="B1337" s="235" t="s">
        <v>1903</v>
      </c>
      <c r="C1337" s="80" t="s">
        <v>2408</v>
      </c>
      <c r="D1337" s="236">
        <v>60563</v>
      </c>
      <c r="E1337" s="55">
        <v>166.55</v>
      </c>
      <c r="F1337" s="819">
        <v>397.29</v>
      </c>
      <c r="G1337" s="8" t="s">
        <v>1904</v>
      </c>
      <c r="H1337" s="591" t="s">
        <v>1828</v>
      </c>
      <c r="I1337" s="587"/>
      <c r="J1337"/>
    </row>
    <row r="1338" spans="1:10" hidden="1" outlineLevel="1">
      <c r="A1338" s="818">
        <v>2024</v>
      </c>
      <c r="B1338" s="235" t="s">
        <v>1911</v>
      </c>
      <c r="C1338" s="80" t="s">
        <v>2408</v>
      </c>
      <c r="D1338" s="236">
        <v>-1049307</v>
      </c>
      <c r="E1338" s="55">
        <v>-2885.59</v>
      </c>
      <c r="F1338" s="819">
        <v>-6883.45</v>
      </c>
      <c r="G1338" s="8" t="s">
        <v>1912</v>
      </c>
      <c r="H1338" s="591" t="s">
        <v>1828</v>
      </c>
      <c r="I1338" s="587"/>
      <c r="J1338"/>
    </row>
    <row r="1339" spans="1:10" hidden="1" outlineLevel="1">
      <c r="A1339" s="818">
        <v>2024</v>
      </c>
      <c r="B1339" s="235" t="s">
        <v>1913</v>
      </c>
      <c r="C1339" s="80" t="s">
        <v>2408</v>
      </c>
      <c r="D1339" s="236">
        <v>-212052</v>
      </c>
      <c r="E1339" s="55">
        <v>-583.14</v>
      </c>
      <c r="F1339" s="819">
        <v>-1391.06</v>
      </c>
      <c r="G1339" s="8" t="s">
        <v>1914</v>
      </c>
      <c r="H1339" s="591" t="s">
        <v>1828</v>
      </c>
      <c r="I1339" s="587"/>
      <c r="J1339"/>
    </row>
    <row r="1340" spans="1:10" hidden="1" outlineLevel="1">
      <c r="A1340" s="818">
        <v>2024</v>
      </c>
      <c r="B1340" s="235" t="s">
        <v>1915</v>
      </c>
      <c r="C1340" s="80" t="s">
        <v>2408</v>
      </c>
      <c r="D1340" s="236">
        <v>-331375</v>
      </c>
      <c r="E1340" s="55">
        <v>-911.28</v>
      </c>
      <c r="F1340" s="819">
        <v>-2173.8200000000002</v>
      </c>
      <c r="G1340" s="8" t="s">
        <v>1916</v>
      </c>
      <c r="H1340" s="591" t="s">
        <v>1828</v>
      </c>
      <c r="I1340" s="587"/>
      <c r="J1340"/>
    </row>
    <row r="1341" spans="1:10" hidden="1" outlineLevel="1">
      <c r="A1341" s="818">
        <v>2024</v>
      </c>
      <c r="B1341" s="235" t="s">
        <v>1917</v>
      </c>
      <c r="C1341" s="80" t="s">
        <v>2408</v>
      </c>
      <c r="D1341" s="236">
        <v>789734</v>
      </c>
      <c r="E1341" s="55">
        <v>2171.77</v>
      </c>
      <c r="F1341" s="819">
        <v>5180.66</v>
      </c>
      <c r="G1341" s="8" t="s">
        <v>1918</v>
      </c>
      <c r="H1341" s="591" t="s">
        <v>1828</v>
      </c>
      <c r="I1341" s="587"/>
    </row>
    <row r="1342" spans="1:10" hidden="1" outlineLevel="1">
      <c r="A1342" s="818">
        <v>2024</v>
      </c>
      <c r="B1342" s="235" t="s">
        <v>1919</v>
      </c>
      <c r="C1342" s="80" t="s">
        <v>2408</v>
      </c>
      <c r="D1342" s="236">
        <v>49865107</v>
      </c>
      <c r="E1342" s="55">
        <v>137129.04</v>
      </c>
      <c r="F1342" s="819">
        <v>327115.09999999998</v>
      </c>
      <c r="G1342" s="8" t="s">
        <v>1920</v>
      </c>
      <c r="H1342" s="591" t="s">
        <v>1828</v>
      </c>
      <c r="I1342" s="587"/>
    </row>
    <row r="1343" spans="1:10" hidden="1" outlineLevel="1">
      <c r="A1343" s="818">
        <v>2024</v>
      </c>
      <c r="B1343" s="235" t="s">
        <v>1921</v>
      </c>
      <c r="C1343" s="80" t="s">
        <v>2408</v>
      </c>
      <c r="D1343" s="236">
        <v>165946</v>
      </c>
      <c r="E1343" s="55">
        <v>456.35</v>
      </c>
      <c r="F1343" s="819">
        <v>1088.6099999999999</v>
      </c>
      <c r="G1343" s="8" t="s">
        <v>1922</v>
      </c>
      <c r="H1343" s="591" t="s">
        <v>1828</v>
      </c>
      <c r="I1343" s="587"/>
    </row>
    <row r="1344" spans="1:10" hidden="1" outlineLevel="1">
      <c r="A1344" s="818">
        <v>2024</v>
      </c>
      <c r="B1344" s="235" t="s">
        <v>1923</v>
      </c>
      <c r="C1344" s="80" t="s">
        <v>2408</v>
      </c>
      <c r="D1344" s="236">
        <v>78160</v>
      </c>
      <c r="E1344" s="55">
        <v>214.94</v>
      </c>
      <c r="F1344" s="819">
        <v>512.73</v>
      </c>
      <c r="G1344" s="8" t="s">
        <v>1924</v>
      </c>
      <c r="H1344" s="591" t="s">
        <v>1828</v>
      </c>
      <c r="I1344" s="587"/>
    </row>
    <row r="1345" spans="1:9" hidden="1" outlineLevel="1">
      <c r="A1345" s="818">
        <v>2024</v>
      </c>
      <c r="B1345" s="235" t="s">
        <v>1927</v>
      </c>
      <c r="C1345" s="80" t="s">
        <v>2408</v>
      </c>
      <c r="D1345" s="236">
        <v>270441</v>
      </c>
      <c r="E1345" s="55">
        <v>743.71</v>
      </c>
      <c r="F1345" s="819">
        <v>1774.09</v>
      </c>
      <c r="G1345" s="8" t="s">
        <v>1928</v>
      </c>
      <c r="H1345" s="591" t="s">
        <v>1828</v>
      </c>
      <c r="I1345" s="587"/>
    </row>
    <row r="1346" spans="1:9" hidden="1" outlineLevel="1">
      <c r="A1346" s="818">
        <v>2024</v>
      </c>
      <c r="B1346" s="235" t="s">
        <v>1935</v>
      </c>
      <c r="C1346" s="80" t="s">
        <v>2408</v>
      </c>
      <c r="D1346" s="236">
        <v>16672728</v>
      </c>
      <c r="E1346" s="55">
        <v>45850</v>
      </c>
      <c r="F1346" s="819">
        <v>109373.1</v>
      </c>
      <c r="G1346" s="8" t="s">
        <v>1936</v>
      </c>
      <c r="H1346" s="591" t="s">
        <v>1828</v>
      </c>
      <c r="I1346" s="587"/>
    </row>
    <row r="1347" spans="1:9" hidden="1" outlineLevel="1">
      <c r="A1347" s="818">
        <v>2024</v>
      </c>
      <c r="B1347" s="235" t="s">
        <v>1937</v>
      </c>
      <c r="C1347" s="80" t="s">
        <v>2408</v>
      </c>
      <c r="D1347" s="236">
        <v>128944494</v>
      </c>
      <c r="E1347" s="55">
        <v>354597.36</v>
      </c>
      <c r="F1347" s="819">
        <v>845875.88</v>
      </c>
      <c r="G1347" s="8" t="s">
        <v>1938</v>
      </c>
      <c r="H1347" s="591" t="s">
        <v>1828</v>
      </c>
      <c r="I1347" s="587"/>
    </row>
    <row r="1348" spans="1:9" hidden="1" outlineLevel="1">
      <c r="A1348" s="818">
        <v>2024</v>
      </c>
      <c r="B1348" s="235" t="s">
        <v>1939</v>
      </c>
      <c r="C1348" s="80" t="s">
        <v>2408</v>
      </c>
      <c r="D1348" s="236">
        <v>62644</v>
      </c>
      <c r="E1348" s="55">
        <v>172.27</v>
      </c>
      <c r="F1348" s="819">
        <v>410.94</v>
      </c>
      <c r="G1348" s="8" t="s">
        <v>1940</v>
      </c>
      <c r="H1348" s="591" t="s">
        <v>1828</v>
      </c>
      <c r="I1348" s="587"/>
    </row>
    <row r="1349" spans="1:9" hidden="1" outlineLevel="1">
      <c r="A1349" s="818">
        <v>2024</v>
      </c>
      <c r="B1349" s="235" t="s">
        <v>1943</v>
      </c>
      <c r="C1349" s="80" t="s">
        <v>2408</v>
      </c>
      <c r="D1349" s="236">
        <v>-179348</v>
      </c>
      <c r="E1349" s="55">
        <v>-493.21</v>
      </c>
      <c r="F1349" s="819">
        <v>-1176.52</v>
      </c>
      <c r="G1349" s="8" t="s">
        <v>1944</v>
      </c>
      <c r="H1349" s="591" t="s">
        <v>1828</v>
      </c>
      <c r="I1349" s="587"/>
    </row>
    <row r="1350" spans="1:9" hidden="1" outlineLevel="1">
      <c r="A1350" s="818">
        <v>2024</v>
      </c>
      <c r="B1350" s="235" t="s">
        <v>1945</v>
      </c>
      <c r="C1350" s="80" t="s">
        <v>2408</v>
      </c>
      <c r="D1350" s="236">
        <v>36718</v>
      </c>
      <c r="E1350" s="55">
        <v>100.97</v>
      </c>
      <c r="F1350" s="819">
        <v>240.87</v>
      </c>
      <c r="G1350" s="8" t="s">
        <v>1946</v>
      </c>
      <c r="H1350" s="591" t="s">
        <v>1828</v>
      </c>
      <c r="I1350" s="587"/>
    </row>
    <row r="1351" spans="1:9" hidden="1" outlineLevel="1">
      <c r="A1351" s="818">
        <v>2024</v>
      </c>
      <c r="B1351" s="235" t="s">
        <v>1947</v>
      </c>
      <c r="C1351" s="80" t="s">
        <v>2408</v>
      </c>
      <c r="D1351" s="236">
        <v>30015</v>
      </c>
      <c r="E1351" s="55">
        <v>82.54</v>
      </c>
      <c r="F1351" s="819">
        <v>196.9</v>
      </c>
      <c r="G1351" s="8" t="s">
        <v>1948</v>
      </c>
      <c r="H1351" s="591" t="s">
        <v>1828</v>
      </c>
      <c r="I1351" s="587"/>
    </row>
    <row r="1352" spans="1:9" hidden="1" outlineLevel="1">
      <c r="A1352" s="818">
        <v>2024</v>
      </c>
      <c r="B1352" s="235" t="s">
        <v>1953</v>
      </c>
      <c r="C1352" s="80" t="s">
        <v>2408</v>
      </c>
      <c r="D1352" s="236">
        <v>316335</v>
      </c>
      <c r="E1352" s="55">
        <v>869.92</v>
      </c>
      <c r="F1352" s="819">
        <v>2075.16</v>
      </c>
      <c r="G1352" s="8" t="s">
        <v>1954</v>
      </c>
      <c r="H1352" s="591" t="s">
        <v>1828</v>
      </c>
      <c r="I1352" s="587"/>
    </row>
    <row r="1353" spans="1:9" hidden="1" outlineLevel="1">
      <c r="A1353" s="818">
        <v>2024</v>
      </c>
      <c r="B1353" s="235" t="s">
        <v>1955</v>
      </c>
      <c r="C1353" s="80" t="s">
        <v>2408</v>
      </c>
      <c r="D1353" s="236">
        <v>-275645</v>
      </c>
      <c r="E1353" s="55">
        <v>-758.02</v>
      </c>
      <c r="F1353" s="819">
        <v>-1808.23</v>
      </c>
      <c r="G1353" s="8" t="s">
        <v>1956</v>
      </c>
      <c r="H1353" s="591" t="s">
        <v>1828</v>
      </c>
      <c r="I1353" s="587"/>
    </row>
    <row r="1354" spans="1:9" hidden="1" outlineLevel="1">
      <c r="A1354" s="818">
        <v>2024</v>
      </c>
      <c r="B1354" s="235" t="s">
        <v>1957</v>
      </c>
      <c r="C1354" s="80" t="s">
        <v>2408</v>
      </c>
      <c r="D1354" s="236">
        <v>-757280</v>
      </c>
      <c r="E1354" s="55">
        <v>-2082.52</v>
      </c>
      <c r="F1354" s="819">
        <v>-4967.76</v>
      </c>
      <c r="G1354" s="8" t="s">
        <v>1958</v>
      </c>
      <c r="H1354" s="591" t="s">
        <v>1828</v>
      </c>
      <c r="I1354" s="587"/>
    </row>
    <row r="1355" spans="1:9" hidden="1" outlineLevel="1">
      <c r="A1355" s="818">
        <v>2024</v>
      </c>
      <c r="B1355" s="235" t="s">
        <v>1963</v>
      </c>
      <c r="C1355" s="80" t="s">
        <v>2408</v>
      </c>
      <c r="D1355" s="236">
        <v>-7858718</v>
      </c>
      <c r="E1355" s="55">
        <v>-21611.47</v>
      </c>
      <c r="F1355" s="819">
        <v>-51553.19</v>
      </c>
      <c r="G1355" s="8" t="s">
        <v>1964</v>
      </c>
      <c r="H1355" s="591" t="s">
        <v>1828</v>
      </c>
      <c r="I1355" s="587"/>
    </row>
    <row r="1356" spans="1:9" hidden="1" outlineLevel="1">
      <c r="A1356" s="818">
        <v>2024</v>
      </c>
      <c r="B1356" s="235" t="s">
        <v>1965</v>
      </c>
      <c r="C1356" s="80" t="s">
        <v>2408</v>
      </c>
      <c r="D1356" s="236">
        <v>158276</v>
      </c>
      <c r="E1356" s="55">
        <v>435.26</v>
      </c>
      <c r="F1356" s="819">
        <v>1038.29</v>
      </c>
      <c r="G1356" s="8" t="s">
        <v>1966</v>
      </c>
      <c r="H1356" s="591" t="s">
        <v>1828</v>
      </c>
      <c r="I1356" s="587"/>
    </row>
    <row r="1357" spans="1:9" hidden="1" outlineLevel="1">
      <c r="A1357" s="818">
        <v>2024</v>
      </c>
      <c r="B1357" s="235" t="s">
        <v>1967</v>
      </c>
      <c r="C1357" s="80" t="s">
        <v>2408</v>
      </c>
      <c r="D1357" s="236">
        <v>-18055807</v>
      </c>
      <c r="E1357" s="55">
        <v>-49653.47</v>
      </c>
      <c r="F1357" s="819">
        <v>-118446.09</v>
      </c>
      <c r="G1357" s="8" t="s">
        <v>1968</v>
      </c>
      <c r="H1357" s="591" t="s">
        <v>1828</v>
      </c>
      <c r="I1357" s="587"/>
    </row>
    <row r="1358" spans="1:9" hidden="1" outlineLevel="1">
      <c r="A1358" s="818">
        <v>2024</v>
      </c>
      <c r="B1358" s="235" t="s">
        <v>1969</v>
      </c>
      <c r="C1358" s="80" t="s">
        <v>2408</v>
      </c>
      <c r="D1358" s="236">
        <v>515644</v>
      </c>
      <c r="E1358" s="55">
        <v>1418.02</v>
      </c>
      <c r="F1358" s="819">
        <v>3382.62</v>
      </c>
      <c r="G1358" s="8" t="s">
        <v>1970</v>
      </c>
      <c r="H1358" s="591" t="s">
        <v>1828</v>
      </c>
      <c r="I1358" s="587"/>
    </row>
    <row r="1359" spans="1:9" hidden="1" outlineLevel="1">
      <c r="A1359" s="818">
        <v>2024</v>
      </c>
      <c r="B1359" s="235" t="s">
        <v>1971</v>
      </c>
      <c r="C1359" s="80" t="s">
        <v>2408</v>
      </c>
      <c r="D1359" s="236">
        <v>-305509</v>
      </c>
      <c r="E1359" s="55">
        <v>-840.15</v>
      </c>
      <c r="F1359" s="819">
        <v>-2004.14</v>
      </c>
      <c r="G1359" s="8" t="s">
        <v>1972</v>
      </c>
      <c r="H1359" s="591" t="s">
        <v>1828</v>
      </c>
      <c r="I1359" s="587"/>
    </row>
    <row r="1360" spans="1:9" hidden="1" outlineLevel="1">
      <c r="A1360" s="818">
        <v>2024</v>
      </c>
      <c r="B1360" s="235" t="s">
        <v>1979</v>
      </c>
      <c r="C1360" s="80" t="s">
        <v>2408</v>
      </c>
      <c r="D1360" s="236">
        <v>100363</v>
      </c>
      <c r="E1360" s="55">
        <v>276</v>
      </c>
      <c r="F1360" s="819">
        <v>658.38</v>
      </c>
      <c r="G1360" s="8" t="s">
        <v>1980</v>
      </c>
      <c r="H1360" s="591" t="s">
        <v>1828</v>
      </c>
      <c r="I1360" s="587"/>
    </row>
    <row r="1361" spans="1:9" hidden="1" outlineLevel="1">
      <c r="A1361" s="818">
        <v>2024</v>
      </c>
      <c r="B1361" s="235" t="s">
        <v>1981</v>
      </c>
      <c r="C1361" s="80" t="s">
        <v>2408</v>
      </c>
      <c r="D1361" s="236">
        <v>565514</v>
      </c>
      <c r="E1361" s="55">
        <v>1555.16</v>
      </c>
      <c r="F1361" s="819">
        <v>3709.77</v>
      </c>
      <c r="G1361" s="8" t="s">
        <v>1982</v>
      </c>
      <c r="H1361" s="591" t="s">
        <v>1828</v>
      </c>
      <c r="I1361" s="587"/>
    </row>
    <row r="1362" spans="1:9" hidden="1" outlineLevel="1">
      <c r="A1362" s="818">
        <v>2024</v>
      </c>
      <c r="B1362" s="235" t="s">
        <v>1983</v>
      </c>
      <c r="C1362" s="80" t="s">
        <v>2408</v>
      </c>
      <c r="D1362" s="236">
        <v>-107879</v>
      </c>
      <c r="E1362" s="55">
        <v>-296.67</v>
      </c>
      <c r="F1362" s="819">
        <v>-707.69</v>
      </c>
      <c r="G1362" s="8" t="s">
        <v>1984</v>
      </c>
      <c r="H1362" s="591" t="s">
        <v>1828</v>
      </c>
      <c r="I1362" s="587"/>
    </row>
    <row r="1363" spans="1:9" hidden="1" outlineLevel="1">
      <c r="A1363" s="818">
        <v>2024</v>
      </c>
      <c r="B1363" s="235" t="s">
        <v>1985</v>
      </c>
      <c r="C1363" s="80" t="s">
        <v>2408</v>
      </c>
      <c r="D1363" s="236">
        <v>513487</v>
      </c>
      <c r="E1363" s="55">
        <v>1412.09</v>
      </c>
      <c r="F1363" s="819">
        <v>3368.47</v>
      </c>
      <c r="G1363" s="8" t="s">
        <v>1986</v>
      </c>
      <c r="H1363" s="591" t="s">
        <v>1828</v>
      </c>
      <c r="I1363" s="587"/>
    </row>
    <row r="1364" spans="1:9" hidden="1" outlineLevel="1">
      <c r="A1364" s="818">
        <v>2024</v>
      </c>
      <c r="B1364" s="235" t="s">
        <v>1989</v>
      </c>
      <c r="C1364" s="80" t="s">
        <v>2408</v>
      </c>
      <c r="D1364" s="236">
        <v>208972</v>
      </c>
      <c r="E1364" s="55">
        <v>574.66999999999996</v>
      </c>
      <c r="F1364" s="819">
        <v>1370.86</v>
      </c>
      <c r="G1364" s="8" t="s">
        <v>1990</v>
      </c>
      <c r="H1364" s="591" t="s">
        <v>1828</v>
      </c>
      <c r="I1364" s="587"/>
    </row>
    <row r="1365" spans="1:9" hidden="1" outlineLevel="1">
      <c r="A1365" s="818">
        <v>2024</v>
      </c>
      <c r="B1365" s="235" t="s">
        <v>1991</v>
      </c>
      <c r="C1365" s="80" t="s">
        <v>2408</v>
      </c>
      <c r="D1365" s="236">
        <v>1548167</v>
      </c>
      <c r="E1365" s="55">
        <v>4257.46</v>
      </c>
      <c r="F1365" s="819">
        <v>10155.98</v>
      </c>
      <c r="G1365" s="8" t="s">
        <v>1992</v>
      </c>
      <c r="H1365" s="591" t="s">
        <v>1828</v>
      </c>
      <c r="I1365" s="587"/>
    </row>
    <row r="1366" spans="1:9" hidden="1" outlineLevel="1">
      <c r="A1366" s="818">
        <v>2024</v>
      </c>
      <c r="B1366" s="235" t="s">
        <v>1993</v>
      </c>
      <c r="C1366" s="80" t="s">
        <v>2408</v>
      </c>
      <c r="D1366" s="236">
        <v>26149998</v>
      </c>
      <c r="E1366" s="55">
        <v>71912.490000000005</v>
      </c>
      <c r="F1366" s="819">
        <v>171543.99</v>
      </c>
      <c r="G1366" s="8" t="s">
        <v>1994</v>
      </c>
      <c r="H1366" s="591" t="s">
        <v>1828</v>
      </c>
      <c r="I1366" s="587"/>
    </row>
    <row r="1367" spans="1:9" hidden="1" outlineLevel="1">
      <c r="A1367" s="818">
        <v>2024</v>
      </c>
      <c r="B1367" s="235" t="s">
        <v>1995</v>
      </c>
      <c r="C1367" s="80" t="s">
        <v>2408</v>
      </c>
      <c r="D1367" s="236">
        <v>-43586485</v>
      </c>
      <c r="E1367" s="55">
        <v>-119862.83</v>
      </c>
      <c r="F1367" s="819">
        <v>-285927.34000000003</v>
      </c>
      <c r="G1367" s="8" t="s">
        <v>1996</v>
      </c>
      <c r="H1367" s="591" t="s">
        <v>1828</v>
      </c>
      <c r="I1367" s="587"/>
    </row>
    <row r="1368" spans="1:9" hidden="1" outlineLevel="1">
      <c r="A1368" s="818">
        <v>2024</v>
      </c>
      <c r="B1368" s="235" t="s">
        <v>1154</v>
      </c>
      <c r="C1368" s="80" t="s">
        <v>2408</v>
      </c>
      <c r="D1368" s="236">
        <v>2843596</v>
      </c>
      <c r="E1368" s="55">
        <v>7819.89</v>
      </c>
      <c r="F1368" s="819">
        <v>18653.990000000002</v>
      </c>
      <c r="G1368" s="8" t="s">
        <v>1155</v>
      </c>
      <c r="H1368" s="591" t="s">
        <v>1828</v>
      </c>
      <c r="I1368" s="587"/>
    </row>
    <row r="1369" spans="1:9" hidden="1" outlineLevel="1">
      <c r="A1369" s="818">
        <v>2024</v>
      </c>
      <c r="B1369" s="235" t="s">
        <v>2003</v>
      </c>
      <c r="C1369" s="80" t="s">
        <v>2408</v>
      </c>
      <c r="D1369" s="236">
        <v>2252064</v>
      </c>
      <c r="E1369" s="55">
        <v>6193.18</v>
      </c>
      <c r="F1369" s="819">
        <v>14773.54</v>
      </c>
      <c r="G1369" s="8" t="s">
        <v>2004</v>
      </c>
      <c r="H1369" s="591" t="s">
        <v>1828</v>
      </c>
      <c r="I1369" s="587"/>
    </row>
    <row r="1370" spans="1:9" hidden="1" outlineLevel="1">
      <c r="A1370" s="818">
        <v>2024</v>
      </c>
      <c r="B1370" s="235" t="s">
        <v>2005</v>
      </c>
      <c r="C1370" s="80" t="s">
        <v>2408</v>
      </c>
      <c r="D1370" s="236">
        <v>-326880</v>
      </c>
      <c r="E1370" s="55">
        <v>-898.92</v>
      </c>
      <c r="F1370" s="819">
        <v>-2144.33</v>
      </c>
      <c r="G1370" s="8" t="s">
        <v>2006</v>
      </c>
      <c r="H1370" s="591" t="s">
        <v>1828</v>
      </c>
      <c r="I1370" s="587"/>
    </row>
    <row r="1371" spans="1:9" hidden="1" outlineLevel="1">
      <c r="A1371" s="818">
        <v>2024</v>
      </c>
      <c r="B1371" s="235" t="s">
        <v>2009</v>
      </c>
      <c r="C1371" s="80" t="s">
        <v>2408</v>
      </c>
      <c r="D1371" s="236">
        <v>1420463</v>
      </c>
      <c r="E1371" s="55">
        <v>3906.27</v>
      </c>
      <c r="F1371" s="819">
        <v>9318.24</v>
      </c>
      <c r="G1371" s="8" t="s">
        <v>2010</v>
      </c>
      <c r="H1371" s="591" t="s">
        <v>1828</v>
      </c>
      <c r="I1371" s="587"/>
    </row>
    <row r="1372" spans="1:9" hidden="1" outlineLevel="1">
      <c r="A1372" s="818">
        <v>2024</v>
      </c>
      <c r="B1372" s="235" t="s">
        <v>2015</v>
      </c>
      <c r="C1372" s="80" t="s">
        <v>2408</v>
      </c>
      <c r="D1372" s="236">
        <v>254888</v>
      </c>
      <c r="E1372" s="55">
        <v>700.94</v>
      </c>
      <c r="F1372" s="819">
        <v>1672.07</v>
      </c>
      <c r="G1372" s="8" t="s">
        <v>2016</v>
      </c>
      <c r="H1372" s="591" t="s">
        <v>1828</v>
      </c>
      <c r="I1372" s="587"/>
    </row>
    <row r="1373" spans="1:9" hidden="1" outlineLevel="1">
      <c r="A1373" s="818">
        <v>2024</v>
      </c>
      <c r="B1373" s="235" t="s">
        <v>2019</v>
      </c>
      <c r="C1373" s="80" t="s">
        <v>2408</v>
      </c>
      <c r="D1373" s="236">
        <v>-562654</v>
      </c>
      <c r="E1373" s="55">
        <v>-1547.3</v>
      </c>
      <c r="F1373" s="819">
        <v>-3691.01</v>
      </c>
      <c r="G1373" s="8" t="s">
        <v>2020</v>
      </c>
      <c r="H1373" s="591" t="s">
        <v>1828</v>
      </c>
      <c r="I1373" s="587"/>
    </row>
    <row r="1374" spans="1:9" hidden="1" outlineLevel="1">
      <c r="A1374" s="818">
        <v>2024</v>
      </c>
      <c r="B1374" s="235" t="s">
        <v>1314</v>
      </c>
      <c r="C1374" s="80" t="s">
        <v>2408</v>
      </c>
      <c r="D1374" s="236">
        <v>1215921</v>
      </c>
      <c r="E1374" s="55">
        <v>3343.78</v>
      </c>
      <c r="F1374" s="819">
        <v>7976.44</v>
      </c>
      <c r="G1374" s="8" t="s">
        <v>1315</v>
      </c>
      <c r="H1374" s="591" t="s">
        <v>1828</v>
      </c>
      <c r="I1374" s="587"/>
    </row>
    <row r="1375" spans="1:9" hidden="1" outlineLevel="1">
      <c r="A1375" s="818">
        <v>2024</v>
      </c>
      <c r="B1375" s="235" t="s">
        <v>2021</v>
      </c>
      <c r="C1375" s="80" t="s">
        <v>2408</v>
      </c>
      <c r="D1375" s="236">
        <v>-615973</v>
      </c>
      <c r="E1375" s="55">
        <v>-1693.93</v>
      </c>
      <c r="F1375" s="819">
        <v>-4040.78</v>
      </c>
      <c r="G1375" s="8" t="s">
        <v>2022</v>
      </c>
      <c r="H1375" s="591" t="s">
        <v>1828</v>
      </c>
      <c r="I1375" s="587"/>
    </row>
    <row r="1376" spans="1:9" hidden="1" outlineLevel="1">
      <c r="A1376" s="818">
        <v>2024</v>
      </c>
      <c r="B1376" s="235" t="s">
        <v>2023</v>
      </c>
      <c r="C1376" s="80" t="s">
        <v>2408</v>
      </c>
      <c r="D1376" s="236">
        <v>575068</v>
      </c>
      <c r="E1376" s="55">
        <v>1581.44</v>
      </c>
      <c r="F1376" s="819">
        <v>3772.45</v>
      </c>
      <c r="G1376" s="8" t="s">
        <v>2024</v>
      </c>
      <c r="H1376" s="591" t="s">
        <v>1828</v>
      </c>
      <c r="I1376" s="587"/>
    </row>
    <row r="1377" spans="1:12" hidden="1" outlineLevel="1">
      <c r="A1377" s="818">
        <v>2024</v>
      </c>
      <c r="B1377" s="235" t="s">
        <v>2027</v>
      </c>
      <c r="C1377" s="80" t="s">
        <v>2408</v>
      </c>
      <c r="D1377" s="236">
        <v>9501765</v>
      </c>
      <c r="E1377" s="55">
        <v>26129.85</v>
      </c>
      <c r="F1377" s="819">
        <v>62331.58</v>
      </c>
      <c r="G1377" s="8" t="s">
        <v>2028</v>
      </c>
      <c r="H1377" s="591" t="s">
        <v>1828</v>
      </c>
      <c r="I1377" s="587"/>
    </row>
    <row r="1378" spans="1:12" hidden="1" outlineLevel="1">
      <c r="A1378" s="818">
        <v>2024</v>
      </c>
      <c r="B1378" s="235" t="s">
        <v>2029</v>
      </c>
      <c r="C1378" s="80" t="s">
        <v>2408</v>
      </c>
      <c r="D1378" s="236">
        <v>688350</v>
      </c>
      <c r="E1378" s="55">
        <v>1892.96</v>
      </c>
      <c r="F1378" s="819">
        <v>4515.58</v>
      </c>
      <c r="G1378" s="8" t="s">
        <v>2030</v>
      </c>
      <c r="H1378" s="591" t="s">
        <v>1828</v>
      </c>
      <c r="I1378" s="587"/>
    </row>
    <row r="1379" spans="1:12" hidden="1" outlineLevel="1">
      <c r="A1379" s="818">
        <v>2024</v>
      </c>
      <c r="B1379" s="235" t="s">
        <v>2031</v>
      </c>
      <c r="C1379" s="80" t="s">
        <v>2408</v>
      </c>
      <c r="D1379" s="236">
        <v>-2609786</v>
      </c>
      <c r="E1379" s="55">
        <v>-7176.91</v>
      </c>
      <c r="F1379" s="819">
        <v>-17120.2</v>
      </c>
      <c r="G1379" s="8" t="s">
        <v>2032</v>
      </c>
      <c r="H1379" s="591" t="s">
        <v>1828</v>
      </c>
      <c r="I1379" s="587"/>
    </row>
    <row r="1380" spans="1:12" hidden="1" outlineLevel="1">
      <c r="A1380" s="818">
        <v>2024</v>
      </c>
      <c r="B1380" s="235" t="s">
        <v>2035</v>
      </c>
      <c r="C1380" s="80" t="s">
        <v>2408</v>
      </c>
      <c r="D1380" s="236">
        <v>-22112067</v>
      </c>
      <c r="E1380" s="55">
        <v>-60808.18</v>
      </c>
      <c r="F1380" s="819">
        <v>-145055.16</v>
      </c>
      <c r="G1380" s="8" t="s">
        <v>2036</v>
      </c>
      <c r="H1380" s="591" t="s">
        <v>1828</v>
      </c>
      <c r="I1380" s="587"/>
    </row>
    <row r="1381" spans="1:12" hidden="1" outlineLevel="1">
      <c r="A1381" s="818">
        <v>2024</v>
      </c>
      <c r="B1381" s="235" t="s">
        <v>2037</v>
      </c>
      <c r="C1381" s="80" t="s">
        <v>2408</v>
      </c>
      <c r="D1381" s="236">
        <v>2275658</v>
      </c>
      <c r="E1381" s="55">
        <v>6258.06</v>
      </c>
      <c r="F1381" s="819">
        <v>14928.32</v>
      </c>
      <c r="G1381" s="8" t="s">
        <v>2038</v>
      </c>
      <c r="H1381" s="591" t="s">
        <v>1828</v>
      </c>
      <c r="I1381" s="587"/>
    </row>
    <row r="1382" spans="1:12" hidden="1" outlineLevel="1">
      <c r="A1382" s="818">
        <v>2024</v>
      </c>
      <c r="B1382" s="235" t="s">
        <v>2041</v>
      </c>
      <c r="C1382" s="80" t="s">
        <v>2408</v>
      </c>
      <c r="D1382" s="236">
        <v>-18479835</v>
      </c>
      <c r="E1382" s="55">
        <v>-50819.55</v>
      </c>
      <c r="F1382" s="819">
        <v>-121227.72</v>
      </c>
      <c r="G1382" s="8" t="s">
        <v>2042</v>
      </c>
      <c r="H1382" s="591" t="s">
        <v>1828</v>
      </c>
      <c r="I1382" s="587"/>
    </row>
    <row r="1383" spans="1:12" ht="13.5" hidden="1" outlineLevel="1" thickBot="1">
      <c r="A1383" s="817">
        <v>2024</v>
      </c>
      <c r="B1383" s="235" t="s">
        <v>2045</v>
      </c>
      <c r="C1383" s="80" t="s">
        <v>2408</v>
      </c>
      <c r="D1383" s="236">
        <v>120</v>
      </c>
      <c r="E1383" s="55">
        <v>0.33</v>
      </c>
      <c r="F1383" s="819">
        <v>0.79</v>
      </c>
      <c r="G1383" s="8" t="s">
        <v>2046</v>
      </c>
      <c r="H1383" s="591" t="s">
        <v>1828</v>
      </c>
      <c r="I1383" s="587"/>
    </row>
    <row r="1384" spans="1:12" ht="18" customHeight="1" collapsed="1" thickBot="1">
      <c r="A1384" s="820" t="s">
        <v>2424</v>
      </c>
      <c r="B1384" s="821"/>
      <c r="C1384" s="825"/>
      <c r="D1384" s="1560">
        <f>+SUM(D1176:D1383)-D1176-D1335-D1264</f>
        <v>374855279</v>
      </c>
      <c r="E1384" s="1561">
        <f>+SUM(E1176:E1383)</f>
        <v>1137335.3700000003</v>
      </c>
      <c r="F1384" s="1562">
        <f>+SUM(F1176:F1383)</f>
        <v>2158074.0900000012</v>
      </c>
    </row>
    <row r="1386" spans="1:12">
      <c r="A1386" s="8"/>
      <c r="B1386" s="8"/>
      <c r="C1386" s="81"/>
      <c r="D1386" s="16"/>
      <c r="E1386" s="8"/>
      <c r="G1386" s="192"/>
      <c r="H1386" s="192"/>
      <c r="J1386" s="590"/>
    </row>
    <row r="1387" spans="1:12">
      <c r="A1387" s="8"/>
      <c r="B1387" s="8"/>
      <c r="C1387" s="81"/>
      <c r="D1387" s="16"/>
      <c r="E1387" s="8"/>
      <c r="G1387" s="192"/>
      <c r="H1387" s="192"/>
      <c r="J1387" s="590"/>
    </row>
    <row r="1388" spans="1:12">
      <c r="A1388" s="35" t="s">
        <v>2425</v>
      </c>
      <c r="B1388" s="8"/>
      <c r="G1388" s="192"/>
      <c r="H1388" s="192"/>
      <c r="I1388" s="192"/>
      <c r="J1388" s="593"/>
      <c r="K1388" s="192"/>
      <c r="L1388" s="192"/>
    </row>
    <row r="1389" spans="1:12" ht="13.5" thickBot="1">
      <c r="A1389" s="8"/>
      <c r="B1389" s="8"/>
      <c r="G1389" s="192"/>
      <c r="H1389" s="192"/>
      <c r="I1389" s="192"/>
      <c r="J1389" s="593"/>
      <c r="K1389" s="192"/>
      <c r="L1389" s="192"/>
    </row>
    <row r="1390" spans="1:12" ht="51">
      <c r="A1390" s="1806" t="s">
        <v>2071</v>
      </c>
      <c r="B1390" s="1814"/>
      <c r="C1390" s="1807"/>
      <c r="D1390" s="613" t="s">
        <v>2387</v>
      </c>
      <c r="E1390" s="614" t="s">
        <v>2426</v>
      </c>
      <c r="F1390" s="615" t="s">
        <v>2389</v>
      </c>
      <c r="G1390" s="192"/>
      <c r="H1390" s="192"/>
      <c r="I1390" s="192"/>
      <c r="J1390" s="593"/>
      <c r="K1390" s="192"/>
      <c r="L1390" s="192"/>
    </row>
    <row r="1391" spans="1:12" s="542" customFormat="1" ht="18" customHeight="1" thickBot="1">
      <c r="A1391" s="1815"/>
      <c r="B1391" s="1816"/>
      <c r="C1391" s="1817"/>
      <c r="D1391" s="597" t="s">
        <v>454</v>
      </c>
      <c r="E1391" s="556" t="s">
        <v>2054</v>
      </c>
      <c r="F1391" s="552" t="s">
        <v>2054</v>
      </c>
      <c r="G1391" s="541"/>
      <c r="H1391" s="541"/>
      <c r="I1391" s="541"/>
      <c r="J1391" s="594"/>
      <c r="K1391" s="541"/>
      <c r="L1391" s="541"/>
    </row>
    <row r="1392" spans="1:12" ht="13.5" thickBot="1">
      <c r="A1392" s="611" t="s">
        <v>455</v>
      </c>
      <c r="B1392" s="601"/>
      <c r="C1392" s="602"/>
      <c r="D1392" s="609">
        <f t="shared" ref="D1392:E1392" si="16">SUM(D1393:D1395)</f>
        <v>-29515596</v>
      </c>
      <c r="E1392" s="609">
        <f t="shared" si="16"/>
        <v>47340.19</v>
      </c>
      <c r="F1392" s="610">
        <f>SUM(F1393:F1395)</f>
        <v>64440.79</v>
      </c>
      <c r="G1392" s="192"/>
      <c r="H1392" s="192"/>
      <c r="I1392" s="192"/>
      <c r="J1392" s="593"/>
      <c r="K1392" s="192"/>
      <c r="L1392" s="192"/>
    </row>
    <row r="1393" spans="1:12" hidden="1" outlineLevel="1">
      <c r="A1393" s="553">
        <f>+Hinweise!B3-1</f>
        <v>2024</v>
      </c>
      <c r="B1393" s="598"/>
      <c r="C1393" s="599"/>
      <c r="D1393" s="629">
        <v>-2745277</v>
      </c>
      <c r="E1393" s="630">
        <v>-7253.83</v>
      </c>
      <c r="F1393" s="631">
        <v>-17303.75</v>
      </c>
      <c r="H1393" s="589" t="s">
        <v>455</v>
      </c>
      <c r="I1393" s="192"/>
      <c r="J1393" s="593"/>
      <c r="K1393" s="192"/>
      <c r="L1393" s="192"/>
    </row>
    <row r="1394" spans="1:12" hidden="1" outlineLevel="1">
      <c r="A1394" s="554">
        <f>+A1393-1</f>
        <v>2023</v>
      </c>
      <c r="B1394" s="36"/>
      <c r="C1394" s="600"/>
      <c r="D1394" s="629">
        <v>-12634275</v>
      </c>
      <c r="E1394" s="630">
        <v>29285.89</v>
      </c>
      <c r="F1394" s="631">
        <v>52955.07</v>
      </c>
      <c r="H1394" s="589" t="str">
        <f>+H1393</f>
        <v>Regelzone 50Hertz (gesamt)</v>
      </c>
      <c r="I1394" s="192"/>
      <c r="J1394" s="593"/>
      <c r="K1394" s="192"/>
      <c r="L1394" s="192"/>
    </row>
    <row r="1395" spans="1:12" ht="13.5" hidden="1" outlineLevel="1" thickBot="1">
      <c r="A1395" s="555">
        <f>+A1394-1</f>
        <v>2022</v>
      </c>
      <c r="B1395" s="601"/>
      <c r="C1395" s="602"/>
      <c r="D1395" s="632">
        <v>-14136044</v>
      </c>
      <c r="E1395" s="633">
        <v>25308.13</v>
      </c>
      <c r="F1395" s="631">
        <v>28789.47</v>
      </c>
      <c r="H1395" s="589" t="str">
        <f>+H1394</f>
        <v>Regelzone 50Hertz (gesamt)</v>
      </c>
      <c r="I1395" s="192"/>
      <c r="J1395" s="593"/>
      <c r="K1395" s="192"/>
      <c r="L1395" s="192"/>
    </row>
    <row r="1396" spans="1:12" ht="13.5" collapsed="1" thickBot="1">
      <c r="A1396" s="605" t="s">
        <v>774</v>
      </c>
      <c r="B1396" s="606"/>
      <c r="C1396" s="607"/>
      <c r="D1396" s="608">
        <f>SUM(D1397:D1404)</f>
        <v>48617645</v>
      </c>
      <c r="E1396" s="609">
        <f>SUM(E1397:E1404)</f>
        <v>27005.539999999997</v>
      </c>
      <c r="F1396" s="610">
        <f>SUM(F1397:F1404)</f>
        <v>55190.689999999995</v>
      </c>
      <c r="H1396" s="586"/>
      <c r="I1396" s="192"/>
      <c r="J1396" s="593"/>
      <c r="K1396" s="192"/>
      <c r="L1396" s="192"/>
    </row>
    <row r="1397" spans="1:12" hidden="1" outlineLevel="1">
      <c r="A1397" s="553">
        <f>+A1393</f>
        <v>2024</v>
      </c>
      <c r="B1397" s="598"/>
      <c r="C1397" s="599"/>
      <c r="D1397" s="629">
        <v>34672436</v>
      </c>
      <c r="E1397" s="630">
        <v>16929.25</v>
      </c>
      <c r="F1397" s="213">
        <v>40383.949999999997</v>
      </c>
      <c r="H1397" s="586" t="str">
        <f>+A1396</f>
        <v>Regelzone Amprion (gesamt)</v>
      </c>
      <c r="I1397" s="192"/>
      <c r="J1397" s="593"/>
      <c r="K1397" s="192"/>
      <c r="L1397" s="192"/>
    </row>
    <row r="1398" spans="1:12" hidden="1" outlineLevel="1">
      <c r="A1398" s="554">
        <f>+A1394</f>
        <v>2023</v>
      </c>
      <c r="B1398" s="36"/>
      <c r="C1398" s="600"/>
      <c r="D1398" s="629">
        <v>-855</v>
      </c>
      <c r="E1398" s="630">
        <v>-0.46</v>
      </c>
      <c r="F1398" s="213">
        <v>-0.76</v>
      </c>
      <c r="H1398" s="586" t="str">
        <f>+A1396</f>
        <v>Regelzone Amprion (gesamt)</v>
      </c>
      <c r="I1398" s="192"/>
      <c r="J1398" s="593"/>
      <c r="K1398" s="192"/>
      <c r="L1398" s="192"/>
    </row>
    <row r="1399" spans="1:12" hidden="1" outlineLevel="1">
      <c r="A1399" s="554">
        <v>2022</v>
      </c>
      <c r="B1399" s="36"/>
      <c r="C1399" s="600"/>
      <c r="D1399" s="629">
        <v>0</v>
      </c>
      <c r="E1399" s="630">
        <v>0</v>
      </c>
      <c r="F1399" s="213">
        <v>0</v>
      </c>
      <c r="H1399" s="586" t="str">
        <f>+A1396</f>
        <v>Regelzone Amprion (gesamt)</v>
      </c>
      <c r="I1399" s="192"/>
      <c r="J1399" s="593"/>
      <c r="K1399" s="192"/>
      <c r="L1399" s="192"/>
    </row>
    <row r="1400" spans="1:12" hidden="1" outlineLevel="1">
      <c r="A1400" s="554">
        <v>2021</v>
      </c>
      <c r="B1400" s="36"/>
      <c r="C1400" s="600"/>
      <c r="D1400" s="629">
        <v>10081015</v>
      </c>
      <c r="E1400" s="630">
        <v>5999.87</v>
      </c>
      <c r="F1400" s="213">
        <v>9330.5</v>
      </c>
      <c r="H1400" s="586" t="str">
        <f>+A1396</f>
        <v>Regelzone Amprion (gesamt)</v>
      </c>
      <c r="I1400" s="192"/>
      <c r="J1400" s="593"/>
      <c r="K1400" s="192"/>
      <c r="L1400" s="192"/>
    </row>
    <row r="1401" spans="1:12" hidden="1" outlineLevel="1">
      <c r="A1401" s="554">
        <v>2020</v>
      </c>
      <c r="B1401" s="36"/>
      <c r="C1401" s="600"/>
      <c r="D1401" s="629">
        <v>0</v>
      </c>
      <c r="E1401" s="630">
        <v>0</v>
      </c>
      <c r="F1401" s="213">
        <v>0</v>
      </c>
      <c r="H1401" s="586" t="str">
        <f>+A1396</f>
        <v>Regelzone Amprion (gesamt)</v>
      </c>
      <c r="I1401" s="192"/>
      <c r="J1401" s="593"/>
      <c r="K1401" s="192"/>
      <c r="L1401" s="192"/>
    </row>
    <row r="1402" spans="1:12" hidden="1" outlineLevel="1">
      <c r="A1402" s="554">
        <v>2019</v>
      </c>
      <c r="B1402" s="36"/>
      <c r="C1402" s="600"/>
      <c r="D1402" s="629">
        <v>3110577</v>
      </c>
      <c r="E1402" s="630">
        <v>3686.44</v>
      </c>
      <c r="F1402" s="213">
        <v>5477</v>
      </c>
      <c r="H1402" s="586" t="str">
        <f>+A1396</f>
        <v>Regelzone Amprion (gesamt)</v>
      </c>
      <c r="I1402" s="192"/>
      <c r="J1402" s="593"/>
      <c r="K1402" s="192"/>
      <c r="L1402" s="192"/>
    </row>
    <row r="1403" spans="1:12" hidden="1" outlineLevel="1">
      <c r="A1403" s="554">
        <v>2018</v>
      </c>
      <c r="B1403" s="36"/>
      <c r="C1403" s="600"/>
      <c r="D1403" s="629">
        <v>754472</v>
      </c>
      <c r="E1403" s="630">
        <v>390.44</v>
      </c>
      <c r="F1403" s="213">
        <v>0</v>
      </c>
      <c r="H1403" s="586" t="s">
        <v>774</v>
      </c>
      <c r="I1403" s="192"/>
      <c r="J1403" s="593"/>
      <c r="K1403" s="192"/>
      <c r="L1403" s="192"/>
    </row>
    <row r="1404" spans="1:12" ht="13.5" hidden="1" outlineLevel="1" thickBot="1">
      <c r="A1404" s="554">
        <v>2017</v>
      </c>
      <c r="B1404" s="36"/>
      <c r="C1404" s="600"/>
      <c r="D1404" s="629">
        <v>0</v>
      </c>
      <c r="E1404" s="630">
        <v>0</v>
      </c>
      <c r="F1404" s="213">
        <v>0</v>
      </c>
      <c r="H1404" s="586" t="s">
        <v>774</v>
      </c>
      <c r="I1404" s="192"/>
      <c r="J1404" s="593"/>
      <c r="K1404" s="192"/>
      <c r="L1404" s="192"/>
    </row>
    <row r="1405" spans="1:12" ht="13.5" collapsed="1" thickBot="1">
      <c r="A1405" s="605" t="s">
        <v>1220</v>
      </c>
      <c r="B1405" s="606"/>
      <c r="C1405" s="607"/>
      <c r="D1405" s="608">
        <f>SUM(D1406:D1408)</f>
        <v>-55039508</v>
      </c>
      <c r="E1405" s="609">
        <f>SUM(E1406:E1408)</f>
        <v>-22596.55</v>
      </c>
      <c r="F1405" s="610">
        <f>SUM(F1406:F1408)</f>
        <v>-53901.149999999994</v>
      </c>
      <c r="H1405" s="586"/>
      <c r="I1405" s="192"/>
      <c r="J1405" s="593"/>
      <c r="K1405" s="192"/>
      <c r="L1405" s="192"/>
    </row>
    <row r="1406" spans="1:12" hidden="1" outlineLevel="1">
      <c r="A1406" s="553">
        <f>+A1397</f>
        <v>2024</v>
      </c>
      <c r="B1406" s="723"/>
      <c r="C1406" s="724"/>
      <c r="D1406" s="725">
        <v>-55034715</v>
      </c>
      <c r="E1406" s="727">
        <f>-22614.27+20.29</f>
        <v>-22593.98</v>
      </c>
      <c r="F1406" s="729">
        <f>-53945.31+48.41</f>
        <v>-53896.899999999994</v>
      </c>
      <c r="H1406" s="586" t="str">
        <f>+A1405</f>
        <v>Regelzone TenneT (gesamt)</v>
      </c>
      <c r="I1406" s="192"/>
      <c r="J1406" s="593"/>
      <c r="K1406" s="192"/>
      <c r="L1406" s="192"/>
    </row>
    <row r="1407" spans="1:12" hidden="1" outlineLevel="1">
      <c r="A1407" s="554">
        <f>+A1398</f>
        <v>2023</v>
      </c>
      <c r="B1407" s="730"/>
      <c r="C1407" s="731"/>
      <c r="D1407" s="967">
        <v>-4793</v>
      </c>
      <c r="E1407" s="726">
        <v>-2.57</v>
      </c>
      <c r="F1407" s="728">
        <v>-4.25</v>
      </c>
      <c r="H1407" s="586" t="str">
        <f>+H1406</f>
        <v>Regelzone TenneT (gesamt)</v>
      </c>
      <c r="I1407" s="192"/>
      <c r="J1407" s="593"/>
      <c r="K1407" s="192"/>
      <c r="L1407" s="192"/>
    </row>
    <row r="1408" spans="1:12" ht="13.5" hidden="1" outlineLevel="1" thickBot="1">
      <c r="A1408" s="554"/>
      <c r="B1408" s="730"/>
      <c r="C1408" s="731"/>
      <c r="D1408" s="725"/>
      <c r="E1408" s="726"/>
      <c r="F1408" s="728"/>
      <c r="H1408" s="586" t="str">
        <f>+H1407</f>
        <v>Regelzone TenneT (gesamt)</v>
      </c>
      <c r="I1408" s="192"/>
      <c r="J1408" s="593"/>
      <c r="K1408" s="192"/>
      <c r="L1408" s="192"/>
    </row>
    <row r="1409" spans="1:12" ht="13.5" collapsed="1" thickBot="1">
      <c r="A1409" s="605" t="s">
        <v>1828</v>
      </c>
      <c r="B1409" s="606"/>
      <c r="C1409" s="607"/>
      <c r="D1409" s="608">
        <f>SUM(D1410:D1412)</f>
        <v>-1776072</v>
      </c>
      <c r="E1409" s="609">
        <f t="shared" ref="E1409" si="17">SUM(E1410:E1412)</f>
        <v>-732.63</v>
      </c>
      <c r="F1409" s="610">
        <f>SUM(F1410:F1412)</f>
        <v>-1747.66</v>
      </c>
      <c r="H1409" s="586"/>
      <c r="I1409" s="192"/>
      <c r="J1409" s="593"/>
      <c r="K1409" s="192"/>
      <c r="L1409" s="192"/>
    </row>
    <row r="1410" spans="1:12" hidden="1" outlineLevel="1">
      <c r="A1410" s="553">
        <f>+A1393</f>
        <v>2024</v>
      </c>
      <c r="B1410" s="598"/>
      <c r="C1410" s="599"/>
      <c r="D1410" s="629">
        <v>-1776072</v>
      </c>
      <c r="E1410" s="630">
        <v>-732.63</v>
      </c>
      <c r="F1410" s="631">
        <v>-1747.66</v>
      </c>
      <c r="H1410" s="586" t="str">
        <f>+A1409</f>
        <v>Regelzone TransnetBW (gesamt)</v>
      </c>
      <c r="I1410" s="192"/>
      <c r="J1410" s="590"/>
      <c r="K1410" s="192"/>
      <c r="L1410" s="192"/>
    </row>
    <row r="1411" spans="1:12" hidden="1" outlineLevel="1">
      <c r="A1411" s="554">
        <f>+A1394</f>
        <v>2023</v>
      </c>
      <c r="B1411" s="36"/>
      <c r="C1411" s="600"/>
      <c r="D1411" s="629">
        <v>0</v>
      </c>
      <c r="E1411" s="630">
        <v>0</v>
      </c>
      <c r="F1411" s="631">
        <v>0</v>
      </c>
      <c r="H1411" s="586" t="str">
        <f>+H1410</f>
        <v>Regelzone TransnetBW (gesamt)</v>
      </c>
      <c r="I1411" s="192"/>
      <c r="J1411" s="590"/>
      <c r="K1411" s="192"/>
      <c r="L1411" s="192"/>
    </row>
    <row r="1412" spans="1:12" ht="13.5" hidden="1" outlineLevel="1" thickBot="1">
      <c r="A1412" s="555">
        <f>+A1395</f>
        <v>2022</v>
      </c>
      <c r="B1412" s="601"/>
      <c r="C1412" s="602"/>
      <c r="D1412" s="629">
        <v>0</v>
      </c>
      <c r="E1412" s="630">
        <v>0</v>
      </c>
      <c r="F1412" s="631">
        <v>0</v>
      </c>
      <c r="H1412" s="586" t="str">
        <f>+H1411</f>
        <v>Regelzone TransnetBW (gesamt)</v>
      </c>
      <c r="I1412" s="192"/>
      <c r="J1412" s="590"/>
      <c r="K1412" s="192"/>
      <c r="L1412" s="192"/>
    </row>
    <row r="1413" spans="1:12" ht="13.5" collapsed="1" thickBot="1">
      <c r="A1413" s="605" t="s">
        <v>2047</v>
      </c>
      <c r="B1413" s="606"/>
      <c r="C1413" s="607"/>
      <c r="D1413" s="608">
        <f>D1392+D1396+D1405+D1409</f>
        <v>-37713531</v>
      </c>
      <c r="E1413" s="609">
        <f>E1392+E1396+E1405+E1409</f>
        <v>51016.549999999996</v>
      </c>
      <c r="F1413" s="822">
        <f>F1392+F1396+F1405+F1409</f>
        <v>63982.67</v>
      </c>
      <c r="G1413" s="192"/>
      <c r="H1413" s="192"/>
      <c r="I1413" s="192"/>
      <c r="J1413" s="593"/>
      <c r="K1413" s="192"/>
      <c r="L1413" s="192"/>
    </row>
    <row r="1414" spans="1:12" ht="15">
      <c r="A1414" s="8"/>
      <c r="B1414" s="8"/>
      <c r="C1414" s="344"/>
      <c r="D1414" s="252"/>
      <c r="E1414" s="252"/>
      <c r="F1414" s="252"/>
      <c r="G1414" s="192"/>
      <c r="H1414" s="192"/>
      <c r="I1414" s="192"/>
      <c r="J1414" s="593"/>
      <c r="K1414" s="192"/>
      <c r="L1414" s="192"/>
    </row>
    <row r="1415" spans="1:12">
      <c r="A1415" s="35" t="s">
        <v>2427</v>
      </c>
      <c r="B1415" s="192"/>
      <c r="C1415" s="192"/>
      <c r="G1415" s="192"/>
      <c r="H1415" s="593"/>
      <c r="I1415" s="192"/>
      <c r="J1415" s="192"/>
    </row>
    <row r="1416" spans="1:12">
      <c r="A1416" s="8"/>
      <c r="B1416" s="192"/>
      <c r="C1416" s="192"/>
      <c r="G1416" s="192"/>
      <c r="H1416" s="593"/>
      <c r="I1416" s="192"/>
      <c r="J1416" s="192"/>
    </row>
    <row r="1417" spans="1:12">
      <c r="A1417" s="16" t="s">
        <v>2402</v>
      </c>
      <c r="C1417" s="16"/>
      <c r="D1417" s="1"/>
      <c r="E1417" s="175"/>
      <c r="F1417" s="175"/>
      <c r="G1417" s="192"/>
      <c r="H1417" s="8"/>
      <c r="I1417" s="590"/>
    </row>
    <row r="1418" spans="1:12" ht="15" thickBot="1">
      <c r="A1418" s="82"/>
      <c r="B1418" s="63"/>
      <c r="C1418" s="63"/>
      <c r="D1418" s="1"/>
      <c r="E1418" s="175"/>
      <c r="F1418" s="175"/>
      <c r="G1418" s="557"/>
      <c r="H1418" s="8"/>
      <c r="I1418" s="590"/>
    </row>
    <row r="1419" spans="1:12" ht="89.25" customHeight="1" thickBot="1">
      <c r="A1419" s="562" t="s">
        <v>2071</v>
      </c>
      <c r="B1419" s="1806" t="s">
        <v>2404</v>
      </c>
      <c r="C1419" s="1807"/>
      <c r="D1419" s="612" t="s">
        <v>2405</v>
      </c>
      <c r="E1419" s="614" t="s">
        <v>2406</v>
      </c>
      <c r="F1419" s="230" t="s">
        <v>2407</v>
      </c>
      <c r="G1419" s="558"/>
      <c r="H1419" s="8"/>
      <c r="I1419" s="590"/>
    </row>
    <row r="1420" spans="1:12" ht="13.5" thickBot="1">
      <c r="A1420" s="409"/>
      <c r="B1420" s="1808"/>
      <c r="C1420" s="1809"/>
      <c r="D1420" s="526" t="s">
        <v>454</v>
      </c>
      <c r="E1420" s="1670" t="s">
        <v>2054</v>
      </c>
      <c r="F1420" s="1663" t="s">
        <v>2054</v>
      </c>
      <c r="G1420" s="596"/>
      <c r="H1420" s="8"/>
      <c r="I1420" s="590"/>
    </row>
    <row r="1421" spans="1:12" hidden="1" outlineLevel="1">
      <c r="A1421" s="603">
        <f>+Hinweise!B3-1</f>
        <v>2024</v>
      </c>
      <c r="B1421" s="1810" t="s">
        <v>2408</v>
      </c>
      <c r="C1421" s="1811"/>
      <c r="D1421" s="1664">
        <v>-607320</v>
      </c>
      <c r="E1421" s="699">
        <v>-1670.13</v>
      </c>
      <c r="F1421" s="698">
        <v>-3984.02</v>
      </c>
      <c r="H1421" s="589" t="s">
        <v>455</v>
      </c>
      <c r="I1421" s="590"/>
    </row>
    <row r="1422" spans="1:12" hidden="1" outlineLevel="1">
      <c r="A1422" s="604">
        <f>+A1421</f>
        <v>2024</v>
      </c>
      <c r="B1422" s="1804" t="s">
        <v>2418</v>
      </c>
      <c r="C1422" s="1805"/>
      <c r="D1422" s="1665"/>
      <c r="E1422" s="1671"/>
      <c r="F1422" s="629"/>
      <c r="H1422" s="589" t="str">
        <f>+H1421</f>
        <v>Regelzone 50Hertz (gesamt)</v>
      </c>
      <c r="I1422" s="590"/>
    </row>
    <row r="1423" spans="1:12" hidden="1" outlineLevel="1">
      <c r="A1423" s="604">
        <f t="shared" ref="A1423:A1427" si="18">+A1422</f>
        <v>2024</v>
      </c>
      <c r="B1423" s="1804" t="s">
        <v>2409</v>
      </c>
      <c r="C1423" s="1805"/>
      <c r="D1423" s="1665"/>
      <c r="E1423" s="1671"/>
      <c r="F1423" s="629"/>
      <c r="H1423" s="589" t="str">
        <f t="shared" ref="H1423:H1437" si="19">+H1422</f>
        <v>Regelzone 50Hertz (gesamt)</v>
      </c>
      <c r="I1423" s="590"/>
    </row>
    <row r="1424" spans="1:12" hidden="1" outlineLevel="1">
      <c r="A1424" s="604">
        <f t="shared" si="18"/>
        <v>2024</v>
      </c>
      <c r="B1424" s="1804" t="s">
        <v>2428</v>
      </c>
      <c r="C1424" s="1805"/>
      <c r="D1424" s="1665"/>
      <c r="E1424" s="1671"/>
      <c r="F1424" s="629"/>
      <c r="H1424" s="589" t="str">
        <f t="shared" si="19"/>
        <v>Regelzone 50Hertz (gesamt)</v>
      </c>
      <c r="I1424" s="590"/>
    </row>
    <row r="1425" spans="1:9" hidden="1" outlineLevel="1">
      <c r="A1425" s="604">
        <f t="shared" si="18"/>
        <v>2024</v>
      </c>
      <c r="B1425" s="1804" t="s">
        <v>2429</v>
      </c>
      <c r="C1425" s="1805"/>
      <c r="D1425" s="1665"/>
      <c r="E1425" s="1671"/>
      <c r="F1425" s="629"/>
      <c r="H1425" s="589" t="str">
        <f t="shared" si="19"/>
        <v>Regelzone 50Hertz (gesamt)</v>
      </c>
      <c r="I1425" s="590"/>
    </row>
    <row r="1426" spans="1:9" hidden="1" outlineLevel="1">
      <c r="A1426" s="604">
        <f t="shared" si="18"/>
        <v>2024</v>
      </c>
      <c r="B1426" s="1804" t="s">
        <v>2430</v>
      </c>
      <c r="C1426" s="1805"/>
      <c r="D1426" s="1665"/>
      <c r="E1426" s="1671"/>
      <c r="F1426" s="629"/>
      <c r="H1426" s="589" t="str">
        <f t="shared" si="19"/>
        <v>Regelzone 50Hertz (gesamt)</v>
      </c>
      <c r="I1426" s="590"/>
    </row>
    <row r="1427" spans="1:9" ht="13.5" hidden="1" outlineLevel="1" thickBot="1">
      <c r="A1427" s="604">
        <f t="shared" si="18"/>
        <v>2024</v>
      </c>
      <c r="B1427" s="1818" t="s">
        <v>2431</v>
      </c>
      <c r="C1427" s="1819"/>
      <c r="D1427" s="1666"/>
      <c r="E1427" s="1672"/>
      <c r="F1427" s="632"/>
      <c r="H1427" s="589" t="str">
        <f t="shared" si="19"/>
        <v>Regelzone 50Hertz (gesamt)</v>
      </c>
      <c r="I1427" s="590"/>
    </row>
    <row r="1428" spans="1:9" hidden="1" outlineLevel="1">
      <c r="A1428" s="563">
        <f>+A1421-1</f>
        <v>2023</v>
      </c>
      <c r="B1428" s="1810" t="s">
        <v>2408</v>
      </c>
      <c r="C1428" s="1811"/>
      <c r="D1428" s="1667">
        <v>0</v>
      </c>
      <c r="E1428" s="699">
        <v>0</v>
      </c>
      <c r="F1428" s="698">
        <v>0</v>
      </c>
      <c r="H1428" s="589" t="str">
        <f>+H1427</f>
        <v>Regelzone 50Hertz (gesamt)</v>
      </c>
      <c r="I1428" s="590"/>
    </row>
    <row r="1429" spans="1:9" hidden="1" outlineLevel="1">
      <c r="A1429" s="564">
        <f>+A1428</f>
        <v>2023</v>
      </c>
      <c r="B1429" s="1804" t="s">
        <v>2418</v>
      </c>
      <c r="C1429" s="1805"/>
      <c r="D1429" s="1668"/>
      <c r="E1429" s="1671"/>
      <c r="F1429" s="629"/>
      <c r="H1429" s="589" t="str">
        <f t="shared" si="19"/>
        <v>Regelzone 50Hertz (gesamt)</v>
      </c>
      <c r="I1429" s="590"/>
    </row>
    <row r="1430" spans="1:9" hidden="1" outlineLevel="1">
      <c r="A1430" s="564">
        <f t="shared" ref="A1430:A1432" si="20">+A1429</f>
        <v>2023</v>
      </c>
      <c r="B1430" s="1804" t="s">
        <v>2409</v>
      </c>
      <c r="C1430" s="1805"/>
      <c r="D1430" s="1668"/>
      <c r="E1430" s="1671"/>
      <c r="F1430" s="629"/>
      <c r="H1430" s="589" t="str">
        <f t="shared" si="19"/>
        <v>Regelzone 50Hertz (gesamt)</v>
      </c>
      <c r="I1430" s="590"/>
    </row>
    <row r="1431" spans="1:9" hidden="1" outlineLevel="1">
      <c r="A1431" s="564">
        <f t="shared" si="20"/>
        <v>2023</v>
      </c>
      <c r="B1431" s="1804" t="s">
        <v>2428</v>
      </c>
      <c r="C1431" s="1805"/>
      <c r="D1431" s="1668"/>
      <c r="E1431" s="1671"/>
      <c r="F1431" s="629"/>
      <c r="H1431" s="589" t="str">
        <f t="shared" si="19"/>
        <v>Regelzone 50Hertz (gesamt)</v>
      </c>
      <c r="I1431" s="590"/>
    </row>
    <row r="1432" spans="1:9" ht="13.5" hidden="1" outlineLevel="1" thickBot="1">
      <c r="A1432" s="564">
        <f t="shared" si="20"/>
        <v>2023</v>
      </c>
      <c r="B1432" s="1818" t="s">
        <v>2429</v>
      </c>
      <c r="C1432" s="1819"/>
      <c r="D1432" s="1669"/>
      <c r="E1432" s="1672"/>
      <c r="F1432" s="632"/>
      <c r="H1432" s="589" t="str">
        <f t="shared" si="19"/>
        <v>Regelzone 50Hertz (gesamt)</v>
      </c>
      <c r="I1432" s="590"/>
    </row>
    <row r="1433" spans="1:9" hidden="1" outlineLevel="1">
      <c r="A1433" s="563">
        <f>+A1428-1</f>
        <v>2022</v>
      </c>
      <c r="B1433" s="1810" t="s">
        <v>2408</v>
      </c>
      <c r="C1433" s="1811"/>
      <c r="D1433" s="1667">
        <v>0</v>
      </c>
      <c r="E1433" s="699">
        <v>0</v>
      </c>
      <c r="F1433" s="698">
        <v>0</v>
      </c>
      <c r="H1433" s="589" t="str">
        <f t="shared" si="19"/>
        <v>Regelzone 50Hertz (gesamt)</v>
      </c>
      <c r="I1433" s="590"/>
    </row>
    <row r="1434" spans="1:9" hidden="1" outlineLevel="1">
      <c r="A1434" s="564">
        <f>+A1429-1</f>
        <v>2022</v>
      </c>
      <c r="B1434" s="1804" t="s">
        <v>2418</v>
      </c>
      <c r="C1434" s="1805"/>
      <c r="D1434" s="1668"/>
      <c r="E1434" s="1671"/>
      <c r="F1434" s="629"/>
      <c r="H1434" s="589" t="str">
        <f t="shared" si="19"/>
        <v>Regelzone 50Hertz (gesamt)</v>
      </c>
      <c r="I1434" s="590"/>
    </row>
    <row r="1435" spans="1:9" hidden="1" outlineLevel="1">
      <c r="A1435" s="564">
        <f>+A1430-1</f>
        <v>2022</v>
      </c>
      <c r="B1435" s="1804" t="s">
        <v>2409</v>
      </c>
      <c r="C1435" s="1805"/>
      <c r="D1435" s="1668"/>
      <c r="E1435" s="1671"/>
      <c r="F1435" s="629"/>
      <c r="H1435" s="589" t="str">
        <f t="shared" si="19"/>
        <v>Regelzone 50Hertz (gesamt)</v>
      </c>
      <c r="I1435" s="590"/>
    </row>
    <row r="1436" spans="1:9" hidden="1" outlineLevel="1">
      <c r="A1436" s="564">
        <f>+A1431-1</f>
        <v>2022</v>
      </c>
      <c r="B1436" s="1804" t="s">
        <v>2428</v>
      </c>
      <c r="C1436" s="1805"/>
      <c r="D1436" s="1668"/>
      <c r="E1436" s="1671"/>
      <c r="F1436" s="629"/>
      <c r="H1436" s="589" t="str">
        <f t="shared" si="19"/>
        <v>Regelzone 50Hertz (gesamt)</v>
      </c>
      <c r="I1436" s="590"/>
    </row>
    <row r="1437" spans="1:9" ht="13.5" hidden="1" outlineLevel="1" thickBot="1">
      <c r="A1437" s="565">
        <f>+A1432-1</f>
        <v>2022</v>
      </c>
      <c r="B1437" s="1818" t="s">
        <v>2429</v>
      </c>
      <c r="C1437" s="1819"/>
      <c r="D1437" s="1669"/>
      <c r="E1437" s="700"/>
      <c r="F1437" s="636"/>
      <c r="H1437" s="589" t="str">
        <f t="shared" si="19"/>
        <v>Regelzone 50Hertz (gesamt)</v>
      </c>
      <c r="I1437" s="590"/>
    </row>
    <row r="1438" spans="1:9" ht="13.5" collapsed="1" thickBot="1">
      <c r="A1438" s="561" t="s">
        <v>2413</v>
      </c>
      <c r="B1438" s="1812"/>
      <c r="C1438" s="1813"/>
      <c r="D1438" s="559">
        <f>+SUM(D1421:D1437)</f>
        <v>-607320</v>
      </c>
      <c r="E1438" s="823">
        <f t="shared" ref="E1438:F1438" si="21">+SUM(E1421:E1437)</f>
        <v>-1670.13</v>
      </c>
      <c r="F1438" s="824">
        <f t="shared" si="21"/>
        <v>-3984.02</v>
      </c>
      <c r="G1438" s="192"/>
      <c r="H1438" s="8"/>
      <c r="I1438" s="590"/>
    </row>
    <row r="1439" spans="1:9">
      <c r="A1439" s="8"/>
      <c r="B1439" s="81"/>
      <c r="C1439" s="16"/>
      <c r="D1439" s="8"/>
      <c r="G1439" s="192"/>
      <c r="H1439" s="8"/>
      <c r="I1439" s="590"/>
    </row>
    <row r="1440" spans="1:9" hidden="1">
      <c r="A1440" s="8"/>
      <c r="B1440" s="81"/>
      <c r="C1440" s="16"/>
      <c r="D1440" s="8"/>
      <c r="G1440" s="192"/>
      <c r="H1440" s="8"/>
      <c r="I1440" s="590"/>
    </row>
    <row r="1441" spans="1:9" hidden="1">
      <c r="A1441" s="8"/>
      <c r="B1441" s="81"/>
      <c r="C1441" s="16"/>
      <c r="D1441" s="8"/>
      <c r="E1441" s="670"/>
      <c r="F1441" s="670"/>
      <c r="G1441" s="192"/>
      <c r="H1441" s="8"/>
      <c r="I1441" s="590"/>
    </row>
    <row r="1442" spans="1:9" hidden="1">
      <c r="A1442" s="8"/>
      <c r="B1442" s="81"/>
      <c r="C1442" s="16"/>
      <c r="D1442" s="8"/>
      <c r="G1442" s="192"/>
      <c r="H1442" s="8"/>
      <c r="I1442" s="590"/>
    </row>
    <row r="1443" spans="1:9" hidden="1">
      <c r="A1443" s="8"/>
      <c r="B1443" s="81"/>
      <c r="C1443" s="16"/>
      <c r="D1443" s="8"/>
      <c r="G1443" s="192"/>
      <c r="H1443" s="8"/>
      <c r="I1443" s="590"/>
    </row>
    <row r="1444" spans="1:9" hidden="1">
      <c r="A1444" s="8"/>
      <c r="B1444" s="81"/>
      <c r="C1444" s="16"/>
      <c r="D1444" s="8"/>
      <c r="G1444" s="192"/>
      <c r="H1444" s="8"/>
      <c r="I1444" s="590"/>
    </row>
    <row r="1445" spans="1:9">
      <c r="A1445" s="16" t="s">
        <v>2414</v>
      </c>
      <c r="B1445" s="8"/>
      <c r="C1445" s="16"/>
      <c r="D1445" s="1"/>
      <c r="E1445" s="175"/>
      <c r="F1445" s="175"/>
      <c r="G1445" s="192"/>
      <c r="H1445" s="8"/>
      <c r="I1445" s="590"/>
    </row>
    <row r="1446" spans="1:9" ht="15" thickBot="1">
      <c r="A1446" s="8"/>
      <c r="B1446" s="82"/>
      <c r="C1446" s="63"/>
      <c r="D1446" s="1"/>
      <c r="E1446" s="175"/>
      <c r="F1446" s="175"/>
      <c r="G1446" s="192"/>
      <c r="H1446" s="8"/>
      <c r="I1446" s="590"/>
    </row>
    <row r="1447" spans="1:9" ht="87" customHeight="1" thickBot="1">
      <c r="A1447" s="562" t="s">
        <v>2071</v>
      </c>
      <c r="B1447" s="1806" t="s">
        <v>2404</v>
      </c>
      <c r="C1447" s="1807"/>
      <c r="D1447" s="612" t="s">
        <v>2405</v>
      </c>
      <c r="E1447" s="560" t="s">
        <v>2406</v>
      </c>
      <c r="F1447" s="230" t="s">
        <v>2407</v>
      </c>
      <c r="G1447" s="192"/>
      <c r="H1447" s="8"/>
      <c r="I1447" s="590"/>
    </row>
    <row r="1448" spans="1:9" ht="13.5" thickBot="1">
      <c r="A1448" s="409"/>
      <c r="B1448" s="1815"/>
      <c r="C1448" s="1817"/>
      <c r="D1448" s="532" t="s">
        <v>454</v>
      </c>
      <c r="E1448" s="527" t="s">
        <v>2054</v>
      </c>
      <c r="F1448" s="530" t="s">
        <v>2054</v>
      </c>
      <c r="G1448" s="192"/>
      <c r="H1448" s="8"/>
      <c r="I1448" s="590"/>
    </row>
    <row r="1449" spans="1:9" hidden="1" outlineLevel="1">
      <c r="A1449" s="563">
        <f>+A1421</f>
        <v>2024</v>
      </c>
      <c r="B1449" s="1810" t="s">
        <v>2408</v>
      </c>
      <c r="C1449" s="1811"/>
      <c r="D1449" s="699">
        <v>-19162455</v>
      </c>
      <c r="E1449" s="699">
        <f>D1449*0.275/100</f>
        <v>-52696.751250000001</v>
      </c>
      <c r="F1449" s="699">
        <f>D1449*0.656/100</f>
        <v>-125705.70480000001</v>
      </c>
      <c r="G1449" s="741"/>
      <c r="H1449" s="589" t="s">
        <v>774</v>
      </c>
      <c r="I1449" s="590"/>
    </row>
    <row r="1450" spans="1:9" hidden="1" outlineLevel="1">
      <c r="A1450" s="564">
        <f>+A1449</f>
        <v>2024</v>
      </c>
      <c r="B1450" s="1804" t="s">
        <v>2418</v>
      </c>
      <c r="C1450" s="1805"/>
      <c r="D1450" s="640">
        <v>0</v>
      </c>
      <c r="E1450" s="1512">
        <v>0</v>
      </c>
      <c r="F1450" s="1512">
        <v>0</v>
      </c>
      <c r="H1450" s="589" t="str">
        <f>+H1449</f>
        <v>Regelzone Amprion (gesamt)</v>
      </c>
      <c r="I1450" s="590"/>
    </row>
    <row r="1451" spans="1:9" hidden="1" outlineLevel="1">
      <c r="A1451" s="564">
        <f t="shared" ref="A1451:A1455" si="22">+A1450</f>
        <v>2024</v>
      </c>
      <c r="B1451" s="1804" t="s">
        <v>2409</v>
      </c>
      <c r="C1451" s="1805"/>
      <c r="D1451" s="640">
        <v>0</v>
      </c>
      <c r="E1451" s="1512">
        <v>0</v>
      </c>
      <c r="F1451" s="1512">
        <v>0</v>
      </c>
      <c r="H1451" s="589" t="str">
        <f t="shared" ref="H1451:H1480" si="23">+H1450</f>
        <v>Regelzone Amprion (gesamt)</v>
      </c>
      <c r="I1451" s="590"/>
    </row>
    <row r="1452" spans="1:9" hidden="1" outlineLevel="1">
      <c r="A1452" s="564">
        <f t="shared" si="22"/>
        <v>2024</v>
      </c>
      <c r="B1452" s="1804" t="s">
        <v>2428</v>
      </c>
      <c r="C1452" s="1805"/>
      <c r="D1452" s="640">
        <v>0</v>
      </c>
      <c r="E1452" s="1512">
        <v>0</v>
      </c>
      <c r="F1452" s="1512">
        <v>0</v>
      </c>
      <c r="H1452" s="589" t="str">
        <f t="shared" si="23"/>
        <v>Regelzone Amprion (gesamt)</v>
      </c>
      <c r="I1452" s="590"/>
    </row>
    <row r="1453" spans="1:9" hidden="1" outlineLevel="1">
      <c r="A1453" s="564">
        <f t="shared" si="22"/>
        <v>2024</v>
      </c>
      <c r="B1453" s="1804" t="s">
        <v>2429</v>
      </c>
      <c r="C1453" s="1805"/>
      <c r="D1453" s="640">
        <v>0</v>
      </c>
      <c r="E1453" s="1512">
        <v>0</v>
      </c>
      <c r="F1453" s="1512">
        <v>0</v>
      </c>
      <c r="H1453" s="589" t="str">
        <f t="shared" si="23"/>
        <v>Regelzone Amprion (gesamt)</v>
      </c>
      <c r="I1453" s="590"/>
    </row>
    <row r="1454" spans="1:9" hidden="1" outlineLevel="1">
      <c r="A1454" s="564">
        <f t="shared" si="22"/>
        <v>2024</v>
      </c>
      <c r="B1454" s="1804" t="s">
        <v>2430</v>
      </c>
      <c r="C1454" s="1805"/>
      <c r="D1454" s="640">
        <v>0</v>
      </c>
      <c r="E1454" s="1512">
        <v>0</v>
      </c>
      <c r="F1454" s="1512">
        <v>0</v>
      </c>
      <c r="H1454" s="589" t="str">
        <f t="shared" si="23"/>
        <v>Regelzone Amprion (gesamt)</v>
      </c>
      <c r="I1454" s="590"/>
    </row>
    <row r="1455" spans="1:9" ht="13.5" hidden="1" outlineLevel="1" thickBot="1">
      <c r="A1455" s="564">
        <f t="shared" si="22"/>
        <v>2024</v>
      </c>
      <c r="B1455" s="1818" t="s">
        <v>2431</v>
      </c>
      <c r="C1455" s="1819"/>
      <c r="D1455" s="641">
        <v>0</v>
      </c>
      <c r="E1455" s="1513">
        <v>0</v>
      </c>
      <c r="F1455" s="1513">
        <v>0</v>
      </c>
      <c r="H1455" s="589" t="str">
        <f t="shared" si="23"/>
        <v>Regelzone Amprion (gesamt)</v>
      </c>
      <c r="I1455" s="590"/>
    </row>
    <row r="1456" spans="1:9" hidden="1" outlineLevel="1">
      <c r="A1456" s="563">
        <f>+A1428</f>
        <v>2023</v>
      </c>
      <c r="B1456" s="1810" t="s">
        <v>2408</v>
      </c>
      <c r="C1456" s="1811"/>
      <c r="D1456" s="699">
        <v>2539948</v>
      </c>
      <c r="E1456" s="699">
        <f>D1456*0.357/100</f>
        <v>9067.6143599999996</v>
      </c>
      <c r="F1456" s="699">
        <f>D1456*0.591/100</f>
        <v>15011.09268</v>
      </c>
      <c r="H1456" s="589" t="str">
        <f t="shared" si="23"/>
        <v>Regelzone Amprion (gesamt)</v>
      </c>
      <c r="I1456" s="590"/>
    </row>
    <row r="1457" spans="1:9" hidden="1" outlineLevel="1">
      <c r="A1457" s="564">
        <f>+A1456</f>
        <v>2023</v>
      </c>
      <c r="B1457" s="1804" t="s">
        <v>2418</v>
      </c>
      <c r="C1457" s="1805"/>
      <c r="D1457" s="640">
        <v>0</v>
      </c>
      <c r="E1457" s="1512">
        <v>0</v>
      </c>
      <c r="F1457" s="1512">
        <v>0</v>
      </c>
      <c r="H1457" s="589" t="str">
        <f t="shared" si="23"/>
        <v>Regelzone Amprion (gesamt)</v>
      </c>
      <c r="I1457" s="590"/>
    </row>
    <row r="1458" spans="1:9" hidden="1" outlineLevel="1">
      <c r="A1458" s="564">
        <f t="shared" ref="A1458:A1460" si="24">+A1457</f>
        <v>2023</v>
      </c>
      <c r="B1458" s="1804" t="s">
        <v>2409</v>
      </c>
      <c r="C1458" s="1805"/>
      <c r="D1458" s="640">
        <v>0</v>
      </c>
      <c r="E1458" s="1512">
        <v>0</v>
      </c>
      <c r="F1458" s="1512">
        <v>0</v>
      </c>
      <c r="H1458" s="589" t="str">
        <f t="shared" si="23"/>
        <v>Regelzone Amprion (gesamt)</v>
      </c>
      <c r="I1458" s="590"/>
    </row>
    <row r="1459" spans="1:9" hidden="1" outlineLevel="1">
      <c r="A1459" s="564">
        <f t="shared" si="24"/>
        <v>2023</v>
      </c>
      <c r="B1459" s="1804" t="s">
        <v>2428</v>
      </c>
      <c r="C1459" s="1805"/>
      <c r="D1459" s="640">
        <v>0</v>
      </c>
      <c r="E1459" s="1512">
        <v>0</v>
      </c>
      <c r="F1459" s="1512">
        <v>0</v>
      </c>
      <c r="H1459" s="589" t="str">
        <f t="shared" ref="H1459:H1469" si="25">+H1458</f>
        <v>Regelzone Amprion (gesamt)</v>
      </c>
      <c r="I1459" s="590"/>
    </row>
    <row r="1460" spans="1:9" ht="13.5" hidden="1" outlineLevel="1" thickBot="1">
      <c r="A1460" s="564">
        <f t="shared" si="24"/>
        <v>2023</v>
      </c>
      <c r="B1460" s="1818" t="s">
        <v>2429</v>
      </c>
      <c r="C1460" s="1819"/>
      <c r="D1460" s="641">
        <v>0</v>
      </c>
      <c r="E1460" s="1513">
        <v>0</v>
      </c>
      <c r="F1460" s="1513">
        <v>0</v>
      </c>
      <c r="H1460" s="589" t="str">
        <f t="shared" si="25"/>
        <v>Regelzone Amprion (gesamt)</v>
      </c>
      <c r="I1460" s="590"/>
    </row>
    <row r="1461" spans="1:9" hidden="1" outlineLevel="1">
      <c r="A1461" s="563">
        <v>2022</v>
      </c>
      <c r="B1461" s="1828" t="s">
        <v>2408</v>
      </c>
      <c r="C1461" s="1811"/>
      <c r="D1461" s="1201">
        <v>0</v>
      </c>
      <c r="E1461" s="1515">
        <v>0</v>
      </c>
      <c r="F1461" s="1515">
        <v>0</v>
      </c>
      <c r="H1461" s="589" t="str">
        <f t="shared" si="25"/>
        <v>Regelzone Amprion (gesamt)</v>
      </c>
      <c r="I1461" s="590"/>
    </row>
    <row r="1462" spans="1:9" hidden="1" outlineLevel="1">
      <c r="A1462" s="740">
        <v>2022</v>
      </c>
      <c r="B1462" s="1829" t="s">
        <v>2418</v>
      </c>
      <c r="C1462" s="1805"/>
      <c r="D1462" s="640">
        <v>0</v>
      </c>
      <c r="E1462" s="1512">
        <v>0</v>
      </c>
      <c r="F1462" s="1512">
        <v>0</v>
      </c>
      <c r="H1462" s="589" t="str">
        <f t="shared" si="25"/>
        <v>Regelzone Amprion (gesamt)</v>
      </c>
      <c r="I1462" s="590"/>
    </row>
    <row r="1463" spans="1:9" hidden="1" outlineLevel="1">
      <c r="A1463" s="740">
        <v>2022</v>
      </c>
      <c r="B1463" s="1829" t="s">
        <v>2409</v>
      </c>
      <c r="C1463" s="1805"/>
      <c r="D1463" s="640">
        <v>0</v>
      </c>
      <c r="E1463" s="1512">
        <v>0</v>
      </c>
      <c r="F1463" s="1512">
        <v>0</v>
      </c>
      <c r="H1463" s="589" t="str">
        <f t="shared" si="25"/>
        <v>Regelzone Amprion (gesamt)</v>
      </c>
      <c r="I1463" s="590"/>
    </row>
    <row r="1464" spans="1:9" hidden="1" outlineLevel="1">
      <c r="A1464" s="740">
        <v>2022</v>
      </c>
      <c r="B1464" s="1829" t="s">
        <v>2428</v>
      </c>
      <c r="C1464" s="1805"/>
      <c r="D1464" s="640">
        <v>0</v>
      </c>
      <c r="E1464" s="1512">
        <v>0</v>
      </c>
      <c r="F1464" s="1512">
        <v>0</v>
      </c>
      <c r="H1464" s="589" t="str">
        <f t="shared" si="25"/>
        <v>Regelzone Amprion (gesamt)</v>
      </c>
      <c r="I1464" s="590"/>
    </row>
    <row r="1465" spans="1:9" ht="13.5" hidden="1" outlineLevel="1" thickBot="1">
      <c r="A1465" s="1514">
        <v>2022</v>
      </c>
      <c r="B1465" s="1830" t="s">
        <v>2429</v>
      </c>
      <c r="C1465" s="1819"/>
      <c r="D1465" s="641">
        <v>0</v>
      </c>
      <c r="E1465" s="1513">
        <v>0</v>
      </c>
      <c r="F1465" s="1513">
        <v>0</v>
      </c>
      <c r="H1465" s="589" t="str">
        <f t="shared" si="25"/>
        <v>Regelzone Amprion (gesamt)</v>
      </c>
      <c r="I1465" s="590"/>
    </row>
    <row r="1466" spans="1:9" hidden="1" outlineLevel="1">
      <c r="A1466" s="739">
        <v>2021</v>
      </c>
      <c r="B1466" s="1810" t="s">
        <v>2408</v>
      </c>
      <c r="C1466" s="1811"/>
      <c r="D1466" s="699">
        <v>-10081015</v>
      </c>
      <c r="E1466" s="699">
        <f>D1466*0.254/100</f>
        <v>-25605.7781</v>
      </c>
      <c r="F1466" s="699">
        <f>D1466*0.395/100</f>
        <v>-39820.009250000003</v>
      </c>
      <c r="H1466" s="589" t="str">
        <f t="shared" si="25"/>
        <v>Regelzone Amprion (gesamt)</v>
      </c>
      <c r="I1466" s="590"/>
    </row>
    <row r="1467" spans="1:9" hidden="1" outlineLevel="1">
      <c r="A1467" s="564">
        <v>2021</v>
      </c>
      <c r="B1467" s="1804" t="s">
        <v>2418</v>
      </c>
      <c r="C1467" s="1805"/>
      <c r="D1467" s="640">
        <v>0</v>
      </c>
      <c r="E1467" s="1512">
        <v>0</v>
      </c>
      <c r="F1467" s="1512">
        <v>0</v>
      </c>
      <c r="H1467" s="589" t="str">
        <f t="shared" si="25"/>
        <v>Regelzone Amprion (gesamt)</v>
      </c>
      <c r="I1467" s="590"/>
    </row>
    <row r="1468" spans="1:9" hidden="1" outlineLevel="1">
      <c r="A1468" s="564">
        <v>2021</v>
      </c>
      <c r="B1468" s="1804" t="s">
        <v>2409</v>
      </c>
      <c r="C1468" s="1805"/>
      <c r="D1468" s="640">
        <v>0</v>
      </c>
      <c r="E1468" s="1512">
        <v>0</v>
      </c>
      <c r="F1468" s="1512">
        <v>0</v>
      </c>
      <c r="H1468" s="589" t="str">
        <f t="shared" si="25"/>
        <v>Regelzone Amprion (gesamt)</v>
      </c>
      <c r="I1468" s="590"/>
    </row>
    <row r="1469" spans="1:9" hidden="1" outlineLevel="1">
      <c r="A1469" s="564">
        <v>2021</v>
      </c>
      <c r="B1469" s="1804" t="s">
        <v>2428</v>
      </c>
      <c r="C1469" s="1805"/>
      <c r="D1469" s="640">
        <v>0</v>
      </c>
      <c r="E1469" s="1512">
        <v>0</v>
      </c>
      <c r="F1469" s="1512">
        <v>0</v>
      </c>
      <c r="H1469" s="589" t="str">
        <f t="shared" si="25"/>
        <v>Regelzone Amprion (gesamt)</v>
      </c>
      <c r="I1469" s="590"/>
    </row>
    <row r="1470" spans="1:9" ht="13.5" hidden="1" outlineLevel="1" thickBot="1">
      <c r="A1470" s="1514">
        <v>2021</v>
      </c>
      <c r="B1470" s="1818" t="s">
        <v>2429</v>
      </c>
      <c r="C1470" s="1819"/>
      <c r="D1470" s="641">
        <v>0</v>
      </c>
      <c r="E1470" s="1513">
        <v>0</v>
      </c>
      <c r="F1470" s="1513">
        <v>0</v>
      </c>
      <c r="H1470" s="589" t="str">
        <f>+H1469</f>
        <v>Regelzone Amprion (gesamt)</v>
      </c>
      <c r="I1470" s="590"/>
    </row>
    <row r="1471" spans="1:9" hidden="1" outlineLevel="1">
      <c r="A1471" s="564">
        <v>2020</v>
      </c>
      <c r="B1471" s="1831" t="s">
        <v>2408</v>
      </c>
      <c r="C1471" s="1832"/>
      <c r="D1471" s="640">
        <v>0</v>
      </c>
      <c r="E1471" s="1512">
        <v>0</v>
      </c>
      <c r="F1471" s="1512">
        <v>0</v>
      </c>
      <c r="H1471" s="589" t="str">
        <f>+H1469</f>
        <v>Regelzone Amprion (gesamt)</v>
      </c>
      <c r="I1471" s="590"/>
    </row>
    <row r="1472" spans="1:9" hidden="1" outlineLevel="1">
      <c r="A1472" s="564">
        <v>2020</v>
      </c>
      <c r="B1472" s="1833" t="s">
        <v>2418</v>
      </c>
      <c r="C1472" s="1834"/>
      <c r="D1472" s="640">
        <v>0</v>
      </c>
      <c r="E1472" s="1512">
        <v>0</v>
      </c>
      <c r="F1472" s="1512">
        <v>0</v>
      </c>
      <c r="H1472" s="589" t="str">
        <f>+H1469</f>
        <v>Regelzone Amprion (gesamt)</v>
      </c>
      <c r="I1472" s="590"/>
    </row>
    <row r="1473" spans="1:9" hidden="1" outlineLevel="1">
      <c r="A1473" s="564">
        <v>2020</v>
      </c>
      <c r="B1473" s="1833" t="s">
        <v>2409</v>
      </c>
      <c r="C1473" s="1834"/>
      <c r="D1473" s="640">
        <v>0</v>
      </c>
      <c r="E1473" s="1512">
        <v>0</v>
      </c>
      <c r="F1473" s="1512">
        <v>0</v>
      </c>
      <c r="H1473" s="589" t="str">
        <f>+H1469</f>
        <v>Regelzone Amprion (gesamt)</v>
      </c>
      <c r="I1473" s="590"/>
    </row>
    <row r="1474" spans="1:9" hidden="1" outlineLevel="1">
      <c r="A1474" s="564">
        <v>2020</v>
      </c>
      <c r="B1474" s="1833" t="s">
        <v>2428</v>
      </c>
      <c r="C1474" s="1834"/>
      <c r="D1474" s="640">
        <v>0</v>
      </c>
      <c r="E1474" s="1512">
        <v>0</v>
      </c>
      <c r="F1474" s="1512">
        <v>0</v>
      </c>
      <c r="H1474" s="589" t="str">
        <f>+H1469</f>
        <v>Regelzone Amprion (gesamt)</v>
      </c>
      <c r="I1474" s="590"/>
    </row>
    <row r="1475" spans="1:9" ht="13.5" hidden="1" outlineLevel="1" thickBot="1">
      <c r="A1475" s="564">
        <v>2020</v>
      </c>
      <c r="B1475" s="1835" t="s">
        <v>2429</v>
      </c>
      <c r="C1475" s="1836"/>
      <c r="D1475" s="640">
        <v>0</v>
      </c>
      <c r="E1475" s="1512">
        <v>0</v>
      </c>
      <c r="F1475" s="1512">
        <v>0</v>
      </c>
      <c r="H1475" s="589" t="str">
        <f>+H1469</f>
        <v>Regelzone Amprion (gesamt)</v>
      </c>
      <c r="I1475" s="590"/>
    </row>
    <row r="1476" spans="1:9" hidden="1" outlineLevel="1">
      <c r="A1476" s="563">
        <v>2019</v>
      </c>
      <c r="B1476" s="1810" t="s">
        <v>2408</v>
      </c>
      <c r="C1476" s="1811"/>
      <c r="D1476" s="699">
        <v>-3110577</v>
      </c>
      <c r="E1476" s="699">
        <f>D1476*0.28/100</f>
        <v>-8709.615600000001</v>
      </c>
      <c r="F1476" s="699">
        <f>D1476*0.416/100</f>
        <v>-12940.000319999999</v>
      </c>
      <c r="H1476" s="589" t="str">
        <f>+H1460</f>
        <v>Regelzone Amprion (gesamt)</v>
      </c>
      <c r="I1476" s="590"/>
    </row>
    <row r="1477" spans="1:9" hidden="1" outlineLevel="1">
      <c r="A1477" s="564">
        <f>+A1476</f>
        <v>2019</v>
      </c>
      <c r="B1477" s="1804" t="s">
        <v>2418</v>
      </c>
      <c r="C1477" s="1805"/>
      <c r="D1477" s="640">
        <v>0</v>
      </c>
      <c r="E1477" s="1512">
        <v>0</v>
      </c>
      <c r="F1477" s="1512">
        <v>0</v>
      </c>
      <c r="H1477" s="589" t="str">
        <f t="shared" si="23"/>
        <v>Regelzone Amprion (gesamt)</v>
      </c>
      <c r="I1477" s="590"/>
    </row>
    <row r="1478" spans="1:9" hidden="1" outlineLevel="1">
      <c r="A1478" s="564">
        <f t="shared" ref="A1478:A1480" si="26">+A1477</f>
        <v>2019</v>
      </c>
      <c r="B1478" s="1804" t="s">
        <v>2409</v>
      </c>
      <c r="C1478" s="1805"/>
      <c r="D1478" s="640">
        <v>0</v>
      </c>
      <c r="E1478" s="1512">
        <v>0</v>
      </c>
      <c r="F1478" s="1512">
        <v>0</v>
      </c>
      <c r="H1478" s="589" t="str">
        <f t="shared" si="23"/>
        <v>Regelzone Amprion (gesamt)</v>
      </c>
      <c r="I1478" s="590"/>
    </row>
    <row r="1479" spans="1:9" hidden="1" outlineLevel="1">
      <c r="A1479" s="564">
        <f t="shared" si="26"/>
        <v>2019</v>
      </c>
      <c r="B1479" s="1804" t="s">
        <v>2428</v>
      </c>
      <c r="C1479" s="1805"/>
      <c r="D1479" s="640">
        <v>0</v>
      </c>
      <c r="E1479" s="1512">
        <v>0</v>
      </c>
      <c r="F1479" s="1512">
        <v>0</v>
      </c>
      <c r="H1479" s="589" t="str">
        <f t="shared" si="23"/>
        <v>Regelzone Amprion (gesamt)</v>
      </c>
      <c r="I1479" s="590"/>
    </row>
    <row r="1480" spans="1:9" ht="13.5" hidden="1" outlineLevel="1" thickBot="1">
      <c r="A1480" s="564">
        <f t="shared" si="26"/>
        <v>2019</v>
      </c>
      <c r="B1480" s="1818" t="s">
        <v>2429</v>
      </c>
      <c r="C1480" s="1819"/>
      <c r="D1480" s="641">
        <v>0</v>
      </c>
      <c r="E1480" s="1513">
        <v>0</v>
      </c>
      <c r="F1480" s="1513">
        <v>0</v>
      </c>
      <c r="H1480" s="589" t="str">
        <f t="shared" si="23"/>
        <v>Regelzone Amprion (gesamt)</v>
      </c>
      <c r="I1480" s="590"/>
    </row>
    <row r="1481" spans="1:9" hidden="1" outlineLevel="1">
      <c r="A1481" s="739">
        <v>2018</v>
      </c>
      <c r="B1481" s="1837" t="s">
        <v>2408</v>
      </c>
      <c r="C1481" s="1832"/>
      <c r="D1481" s="1573">
        <v>-898857</v>
      </c>
      <c r="E1481" s="1573">
        <f>D1481*0.345/100</f>
        <v>-3101.05665</v>
      </c>
      <c r="F1481" s="1573">
        <v>0</v>
      </c>
      <c r="H1481" s="589" t="str">
        <f t="shared" ref="H1481:H1490" si="27">+H1480</f>
        <v>Regelzone Amprion (gesamt)</v>
      </c>
      <c r="I1481" s="590"/>
    </row>
    <row r="1482" spans="1:9" hidden="1" outlineLevel="1">
      <c r="A1482" s="564">
        <f>+A1481</f>
        <v>2018</v>
      </c>
      <c r="B1482" s="1838" t="s">
        <v>2418</v>
      </c>
      <c r="C1482" s="1834"/>
      <c r="D1482" s="1512">
        <v>0</v>
      </c>
      <c r="E1482" s="1512">
        <v>0</v>
      </c>
      <c r="F1482" s="1512">
        <v>0</v>
      </c>
      <c r="H1482" s="589" t="str">
        <f t="shared" si="27"/>
        <v>Regelzone Amprion (gesamt)</v>
      </c>
      <c r="I1482" s="590"/>
    </row>
    <row r="1483" spans="1:9" hidden="1" outlineLevel="1">
      <c r="A1483" s="564">
        <f>+A1482</f>
        <v>2018</v>
      </c>
      <c r="B1483" s="1838" t="s">
        <v>2409</v>
      </c>
      <c r="C1483" s="1834"/>
      <c r="D1483" s="1512">
        <v>0</v>
      </c>
      <c r="E1483" s="1512">
        <v>0</v>
      </c>
      <c r="F1483" s="1512">
        <v>0</v>
      </c>
      <c r="H1483" s="589" t="str">
        <f t="shared" si="27"/>
        <v>Regelzone Amprion (gesamt)</v>
      </c>
      <c r="I1483" s="590"/>
    </row>
    <row r="1484" spans="1:9" hidden="1" outlineLevel="1">
      <c r="A1484" s="564">
        <f>+A1483</f>
        <v>2018</v>
      </c>
      <c r="B1484" s="1838" t="s">
        <v>2428</v>
      </c>
      <c r="C1484" s="1834"/>
      <c r="D1484" s="1512">
        <v>0</v>
      </c>
      <c r="E1484" s="1512">
        <v>0</v>
      </c>
      <c r="F1484" s="1512">
        <v>0</v>
      </c>
      <c r="H1484" s="589" t="str">
        <f t="shared" si="27"/>
        <v>Regelzone Amprion (gesamt)</v>
      </c>
      <c r="I1484" s="590"/>
    </row>
    <row r="1485" spans="1:9" ht="13.5" hidden="1" outlineLevel="1" thickBot="1">
      <c r="A1485" s="564">
        <f>+A1484</f>
        <v>2018</v>
      </c>
      <c r="B1485" s="1839" t="s">
        <v>2429</v>
      </c>
      <c r="C1485" s="1836"/>
      <c r="D1485" s="641">
        <v>0</v>
      </c>
      <c r="E1485" s="1513">
        <v>0</v>
      </c>
      <c r="F1485" s="1513">
        <v>0</v>
      </c>
      <c r="H1485" s="589" t="str">
        <f t="shared" si="27"/>
        <v>Regelzone Amprion (gesamt)</v>
      </c>
      <c r="I1485" s="590"/>
    </row>
    <row r="1486" spans="1:9" hidden="1" outlineLevel="1">
      <c r="A1486" s="739">
        <v>2017</v>
      </c>
      <c r="B1486" s="1837" t="s">
        <v>2408</v>
      </c>
      <c r="C1486" s="1832"/>
      <c r="D1486" s="1573">
        <v>0</v>
      </c>
      <c r="E1486" s="1573">
        <v>0</v>
      </c>
      <c r="F1486" s="1573">
        <v>0</v>
      </c>
      <c r="H1486" s="589" t="str">
        <f t="shared" si="27"/>
        <v>Regelzone Amprion (gesamt)</v>
      </c>
      <c r="I1486" s="590"/>
    </row>
    <row r="1487" spans="1:9" hidden="1" outlineLevel="1">
      <c r="A1487" s="564">
        <f>+A1486</f>
        <v>2017</v>
      </c>
      <c r="B1487" s="1838" t="s">
        <v>2418</v>
      </c>
      <c r="C1487" s="1834"/>
      <c r="D1487" s="1512">
        <v>0</v>
      </c>
      <c r="E1487" s="1512">
        <v>0</v>
      </c>
      <c r="F1487" s="1512">
        <v>0</v>
      </c>
      <c r="H1487" s="589" t="str">
        <f t="shared" si="27"/>
        <v>Regelzone Amprion (gesamt)</v>
      </c>
      <c r="I1487" s="590"/>
    </row>
    <row r="1488" spans="1:9" hidden="1" outlineLevel="1">
      <c r="A1488" s="564">
        <f>+A1487</f>
        <v>2017</v>
      </c>
      <c r="B1488" s="1838" t="s">
        <v>2409</v>
      </c>
      <c r="C1488" s="1834"/>
      <c r="D1488" s="1512">
        <v>0</v>
      </c>
      <c r="E1488" s="1512">
        <v>0</v>
      </c>
      <c r="F1488" s="1512">
        <v>0</v>
      </c>
      <c r="H1488" s="589" t="str">
        <f t="shared" si="27"/>
        <v>Regelzone Amprion (gesamt)</v>
      </c>
      <c r="I1488" s="590"/>
    </row>
    <row r="1489" spans="1:9" hidden="1" outlineLevel="1">
      <c r="A1489" s="564">
        <f>+A1488</f>
        <v>2017</v>
      </c>
      <c r="B1489" s="1838" t="s">
        <v>2428</v>
      </c>
      <c r="C1489" s="1834"/>
      <c r="D1489" s="1512">
        <v>0</v>
      </c>
      <c r="E1489" s="1512">
        <v>0</v>
      </c>
      <c r="F1489" s="1512">
        <v>0</v>
      </c>
      <c r="H1489" s="589" t="str">
        <f t="shared" si="27"/>
        <v>Regelzone Amprion (gesamt)</v>
      </c>
      <c r="I1489" s="590"/>
    </row>
    <row r="1490" spans="1:9" ht="13.5" hidden="1" outlineLevel="1" thickBot="1">
      <c r="A1490" s="564">
        <f>+A1489</f>
        <v>2017</v>
      </c>
      <c r="B1490" s="1839" t="s">
        <v>2429</v>
      </c>
      <c r="C1490" s="1836"/>
      <c r="D1490" s="641">
        <v>0</v>
      </c>
      <c r="E1490" s="1513">
        <v>0</v>
      </c>
      <c r="F1490" s="1513">
        <v>0</v>
      </c>
      <c r="H1490" s="589" t="str">
        <f t="shared" si="27"/>
        <v>Regelzone Amprion (gesamt)</v>
      </c>
      <c r="I1490" s="590"/>
    </row>
    <row r="1491" spans="1:9" ht="13.5" collapsed="1" thickBot="1">
      <c r="A1491" s="561" t="s">
        <v>2420</v>
      </c>
      <c r="B1491" s="1812"/>
      <c r="C1491" s="1813"/>
      <c r="D1491" s="559">
        <f>+SUM(D1449:D1490)</f>
        <v>-30712956</v>
      </c>
      <c r="E1491" s="823">
        <f>+SUM(E1449:E1490)</f>
        <v>-81045.587240000008</v>
      </c>
      <c r="F1491" s="824">
        <f>+SUM(F1449:F1490)</f>
        <v>-163454.62169</v>
      </c>
      <c r="G1491" s="586"/>
      <c r="H1491" s="8"/>
      <c r="I1491" s="590"/>
    </row>
    <row r="1492" spans="1:9" ht="12.6" customHeight="1"/>
    <row r="1493" spans="1:9">
      <c r="A1493" s="16" t="s">
        <v>2421</v>
      </c>
      <c r="C1493" s="1"/>
      <c r="D1493" s="175"/>
      <c r="E1493" s="175"/>
    </row>
    <row r="1494" spans="1:9" ht="15" thickBot="1">
      <c r="A1494" s="82"/>
      <c r="B1494" s="63"/>
      <c r="C1494" s="1"/>
      <c r="D1494" s="175"/>
      <c r="E1494" s="175"/>
    </row>
    <row r="1495" spans="1:9" ht="89.25" customHeight="1" thickBot="1">
      <c r="A1495" s="562" t="s">
        <v>2071</v>
      </c>
      <c r="B1495" s="1806" t="s">
        <v>2404</v>
      </c>
      <c r="C1495" s="1807"/>
      <c r="D1495" s="612" t="s">
        <v>2405</v>
      </c>
      <c r="E1495" s="560" t="s">
        <v>2406</v>
      </c>
      <c r="F1495" s="230" t="s">
        <v>2407</v>
      </c>
      <c r="G1495" s="192"/>
      <c r="H1495" s="8"/>
      <c r="I1495" s="590"/>
    </row>
    <row r="1496" spans="1:9" ht="13.5" thickBot="1">
      <c r="A1496" s="409"/>
      <c r="B1496" s="1815"/>
      <c r="C1496" s="1817"/>
      <c r="D1496" s="532" t="s">
        <v>454</v>
      </c>
      <c r="E1496" s="527" t="s">
        <v>2054</v>
      </c>
      <c r="F1496" s="530" t="s">
        <v>2054</v>
      </c>
      <c r="G1496" s="192"/>
      <c r="H1496" s="8"/>
      <c r="I1496" s="590"/>
    </row>
    <row r="1497" spans="1:9" hidden="1" outlineLevel="1">
      <c r="A1497" s="739">
        <v>2024</v>
      </c>
      <c r="B1497" s="1820" t="s">
        <v>2408</v>
      </c>
      <c r="C1497" s="1821"/>
      <c r="D1497" s="732">
        <v>-68784681</v>
      </c>
      <c r="E1497" s="733">
        <f>-189157.87+(-35661808*0.275/100)</f>
        <v>-287227.842</v>
      </c>
      <c r="F1497" s="734">
        <f>-451227.51+(-35661808*0.656/100)</f>
        <v>-685168.97048000002</v>
      </c>
      <c r="H1497" s="589" t="s">
        <v>1220</v>
      </c>
      <c r="I1497" s="590"/>
    </row>
    <row r="1498" spans="1:9" hidden="1" outlineLevel="1">
      <c r="A1498" s="740">
        <v>2024</v>
      </c>
      <c r="B1498" s="1822" t="s">
        <v>2418</v>
      </c>
      <c r="C1498" s="1823"/>
      <c r="D1498" s="735">
        <v>0</v>
      </c>
      <c r="E1498" s="726">
        <v>0</v>
      </c>
      <c r="F1498" s="728">
        <v>0</v>
      </c>
      <c r="H1498" s="589" t="str">
        <f>+H1497</f>
        <v>Regelzone TenneT (gesamt)</v>
      </c>
      <c r="I1498" s="590"/>
    </row>
    <row r="1499" spans="1:9" hidden="1" outlineLevel="1">
      <c r="A1499" s="740">
        <v>2024</v>
      </c>
      <c r="B1499" s="1822" t="s">
        <v>2409</v>
      </c>
      <c r="C1499" s="1823"/>
      <c r="D1499" s="735">
        <v>0</v>
      </c>
      <c r="E1499" s="726">
        <v>0</v>
      </c>
      <c r="F1499" s="728">
        <v>0</v>
      </c>
      <c r="H1499" s="589" t="str">
        <f t="shared" ref="H1499:H1508" si="28">+H1498</f>
        <v>Regelzone TenneT (gesamt)</v>
      </c>
      <c r="I1499" s="590"/>
    </row>
    <row r="1500" spans="1:9" hidden="1" outlineLevel="1">
      <c r="A1500" s="740">
        <v>2024</v>
      </c>
      <c r="B1500" s="1822" t="s">
        <v>2428</v>
      </c>
      <c r="C1500" s="1823"/>
      <c r="D1500" s="735">
        <v>0</v>
      </c>
      <c r="E1500" s="726">
        <v>0</v>
      </c>
      <c r="F1500" s="728">
        <v>0</v>
      </c>
      <c r="H1500" s="589" t="str">
        <f t="shared" si="28"/>
        <v>Regelzone TenneT (gesamt)</v>
      </c>
      <c r="I1500" s="590"/>
    </row>
    <row r="1501" spans="1:9" hidden="1" outlineLevel="1">
      <c r="A1501" s="740">
        <v>2024</v>
      </c>
      <c r="B1501" s="1822" t="s">
        <v>2429</v>
      </c>
      <c r="C1501" s="1823"/>
      <c r="D1501" s="735">
        <v>0</v>
      </c>
      <c r="E1501" s="726">
        <v>0</v>
      </c>
      <c r="F1501" s="728">
        <v>0</v>
      </c>
      <c r="H1501" s="589" t="str">
        <f t="shared" si="28"/>
        <v>Regelzone TenneT (gesamt)</v>
      </c>
      <c r="I1501" s="590"/>
    </row>
    <row r="1502" spans="1:9" hidden="1" outlineLevel="1">
      <c r="A1502" s="740">
        <v>2024</v>
      </c>
      <c r="B1502" s="1822" t="s">
        <v>2430</v>
      </c>
      <c r="C1502" s="1823"/>
      <c r="D1502" s="735">
        <v>0</v>
      </c>
      <c r="E1502" s="726">
        <v>0</v>
      </c>
      <c r="F1502" s="728">
        <v>0</v>
      </c>
      <c r="H1502" s="589" t="str">
        <f t="shared" si="28"/>
        <v>Regelzone TenneT (gesamt)</v>
      </c>
      <c r="I1502" s="590"/>
    </row>
    <row r="1503" spans="1:9" ht="13.5" hidden="1" outlineLevel="1" thickBot="1">
      <c r="A1503" s="740">
        <v>2024</v>
      </c>
      <c r="B1503" s="1824" t="s">
        <v>2431</v>
      </c>
      <c r="C1503" s="1825"/>
      <c r="D1503" s="736">
        <v>0</v>
      </c>
      <c r="E1503" s="737">
        <v>0</v>
      </c>
      <c r="F1503" s="738">
        <v>0</v>
      </c>
      <c r="H1503" s="589" t="str">
        <f t="shared" si="28"/>
        <v>Regelzone TenneT (gesamt)</v>
      </c>
      <c r="I1503" s="590"/>
    </row>
    <row r="1504" spans="1:9" hidden="1" outlineLevel="1">
      <c r="A1504" s="739">
        <v>2023</v>
      </c>
      <c r="B1504" s="1820" t="s">
        <v>2408</v>
      </c>
      <c r="C1504" s="1821"/>
      <c r="D1504" s="732">
        <v>8293</v>
      </c>
      <c r="E1504" s="733">
        <v>29.61</v>
      </c>
      <c r="F1504" s="734">
        <v>49.01</v>
      </c>
      <c r="H1504" s="589" t="str">
        <f t="shared" si="28"/>
        <v>Regelzone TenneT (gesamt)</v>
      </c>
      <c r="I1504" s="590"/>
    </row>
    <row r="1505" spans="1:9" hidden="1" outlineLevel="1">
      <c r="A1505" s="740">
        <v>2023</v>
      </c>
      <c r="B1505" s="1822" t="s">
        <v>2418</v>
      </c>
      <c r="C1505" s="1823"/>
      <c r="D1505" s="735">
        <v>0</v>
      </c>
      <c r="E1505" s="726">
        <v>0</v>
      </c>
      <c r="F1505" s="728">
        <v>0</v>
      </c>
      <c r="H1505" s="589" t="str">
        <f t="shared" si="28"/>
        <v>Regelzone TenneT (gesamt)</v>
      </c>
      <c r="I1505" s="590"/>
    </row>
    <row r="1506" spans="1:9" hidden="1" outlineLevel="1">
      <c r="A1506" s="740">
        <v>2023</v>
      </c>
      <c r="B1506" s="1822" t="s">
        <v>2409</v>
      </c>
      <c r="C1506" s="1823"/>
      <c r="D1506" s="735">
        <v>0</v>
      </c>
      <c r="E1506" s="726">
        <v>0</v>
      </c>
      <c r="F1506" s="728">
        <v>0</v>
      </c>
      <c r="H1506" s="589" t="str">
        <f t="shared" si="28"/>
        <v>Regelzone TenneT (gesamt)</v>
      </c>
      <c r="I1506" s="590"/>
    </row>
    <row r="1507" spans="1:9" hidden="1" outlineLevel="1">
      <c r="A1507" s="740">
        <v>2023</v>
      </c>
      <c r="B1507" s="1822" t="s">
        <v>2428</v>
      </c>
      <c r="C1507" s="1823"/>
      <c r="D1507" s="735">
        <v>0</v>
      </c>
      <c r="E1507" s="726">
        <v>0</v>
      </c>
      <c r="F1507" s="728">
        <v>0</v>
      </c>
      <c r="H1507" s="589" t="str">
        <f t="shared" si="28"/>
        <v>Regelzone TenneT (gesamt)</v>
      </c>
      <c r="I1507" s="590"/>
    </row>
    <row r="1508" spans="1:9" ht="13.5" hidden="1" outlineLevel="1" thickBot="1">
      <c r="A1508" s="740">
        <v>2023</v>
      </c>
      <c r="B1508" s="1824" t="s">
        <v>2429</v>
      </c>
      <c r="C1508" s="1825"/>
      <c r="D1508" s="736">
        <v>0</v>
      </c>
      <c r="E1508" s="737">
        <v>0</v>
      </c>
      <c r="F1508" s="738">
        <v>0</v>
      </c>
      <c r="H1508" s="589" t="str">
        <f t="shared" si="28"/>
        <v>Regelzone TenneT (gesamt)</v>
      </c>
      <c r="I1508" s="590"/>
    </row>
    <row r="1509" spans="1:9" ht="13.5" collapsed="1" thickBot="1">
      <c r="A1509" s="561" t="s">
        <v>2422</v>
      </c>
      <c r="B1509" s="1826"/>
      <c r="C1509" s="1827"/>
      <c r="D1509" s="559">
        <f>+SUM(D1497:D1508)</f>
        <v>-68776388</v>
      </c>
      <c r="E1509" s="823">
        <f>+SUM(E1497:E1508)</f>
        <v>-287198.23200000002</v>
      </c>
      <c r="F1509" s="824">
        <f>+SUM(F1497:F1508)</f>
        <v>-685119.96048000001</v>
      </c>
      <c r="G1509" s="192"/>
      <c r="H1509" s="8"/>
      <c r="I1509" s="590"/>
    </row>
    <row r="1511" spans="1:9">
      <c r="A1511" s="16" t="s">
        <v>2423</v>
      </c>
      <c r="C1511" s="1"/>
      <c r="D1511" s="175"/>
      <c r="E1511" s="175"/>
    </row>
    <row r="1512" spans="1:9" ht="15" thickBot="1">
      <c r="A1512" s="82"/>
      <c r="B1512" s="63"/>
      <c r="C1512" s="1"/>
      <c r="D1512" s="175"/>
      <c r="E1512" s="175"/>
    </row>
    <row r="1513" spans="1:9" ht="93" customHeight="1" thickBot="1">
      <c r="A1513" s="562" t="s">
        <v>2071</v>
      </c>
      <c r="B1513" s="1806" t="s">
        <v>2404</v>
      </c>
      <c r="C1513" s="1807"/>
      <c r="D1513" s="612" t="s">
        <v>2405</v>
      </c>
      <c r="E1513" s="560" t="s">
        <v>2406</v>
      </c>
      <c r="F1513" s="230" t="s">
        <v>2407</v>
      </c>
      <c r="G1513" s="192"/>
      <c r="H1513" s="8"/>
      <c r="I1513" s="590"/>
    </row>
    <row r="1514" spans="1:9" ht="13.5" thickBot="1">
      <c r="A1514" s="409"/>
      <c r="B1514" s="1815"/>
      <c r="C1514" s="1817"/>
      <c r="D1514" s="532" t="s">
        <v>454</v>
      </c>
      <c r="E1514" s="527" t="s">
        <v>2054</v>
      </c>
      <c r="F1514" s="530" t="s">
        <v>2054</v>
      </c>
      <c r="G1514" s="192"/>
      <c r="H1514" s="8"/>
      <c r="I1514" s="590"/>
    </row>
    <row r="1515" spans="1:9" hidden="1" outlineLevel="1">
      <c r="A1515" s="563">
        <f>+A1497</f>
        <v>2024</v>
      </c>
      <c r="B1515" s="1810" t="s">
        <v>2408</v>
      </c>
      <c r="C1515" s="1811"/>
      <c r="D1515" s="699">
        <v>214916</v>
      </c>
      <c r="E1515" s="634">
        <f>D1515*0.275/100</f>
        <v>591.01900000000001</v>
      </c>
      <c r="F1515" s="635">
        <f>D1515*0.656/100</f>
        <v>1409.84896</v>
      </c>
      <c r="H1515" s="589" t="s">
        <v>1828</v>
      </c>
      <c r="I1515" s="590"/>
    </row>
    <row r="1516" spans="1:9" hidden="1" outlineLevel="1">
      <c r="A1516" s="564">
        <f>+A1515</f>
        <v>2024</v>
      </c>
      <c r="B1516" s="1804" t="s">
        <v>2418</v>
      </c>
      <c r="C1516" s="1805"/>
      <c r="D1516" s="640">
        <v>0</v>
      </c>
      <c r="E1516" s="210">
        <v>0</v>
      </c>
      <c r="F1516" s="209">
        <v>0</v>
      </c>
      <c r="H1516" s="589" t="str">
        <f>+H1515</f>
        <v>Regelzone TransnetBW (gesamt)</v>
      </c>
      <c r="I1516" s="590"/>
    </row>
    <row r="1517" spans="1:9" hidden="1" outlineLevel="1">
      <c r="A1517" s="564">
        <f t="shared" ref="A1517:A1521" si="29">+A1516</f>
        <v>2024</v>
      </c>
      <c r="B1517" s="1804" t="s">
        <v>2409</v>
      </c>
      <c r="C1517" s="1805"/>
      <c r="D1517" s="640">
        <v>0</v>
      </c>
      <c r="E1517" s="210">
        <v>0</v>
      </c>
      <c r="F1517" s="209">
        <v>0</v>
      </c>
      <c r="H1517" s="589" t="str">
        <f t="shared" ref="H1517:H1531" si="30">+H1516</f>
        <v>Regelzone TransnetBW (gesamt)</v>
      </c>
      <c r="I1517" s="590"/>
    </row>
    <row r="1518" spans="1:9" hidden="1" outlineLevel="1">
      <c r="A1518" s="564">
        <f t="shared" si="29"/>
        <v>2024</v>
      </c>
      <c r="B1518" s="1804" t="s">
        <v>2428</v>
      </c>
      <c r="C1518" s="1805"/>
      <c r="D1518" s="640">
        <v>0</v>
      </c>
      <c r="E1518" s="210">
        <v>0</v>
      </c>
      <c r="F1518" s="209">
        <v>0</v>
      </c>
      <c r="H1518" s="595" t="str">
        <f t="shared" si="30"/>
        <v>Regelzone TransnetBW (gesamt)</v>
      </c>
      <c r="I1518" s="590"/>
    </row>
    <row r="1519" spans="1:9" hidden="1" outlineLevel="1">
      <c r="A1519" s="564">
        <f t="shared" si="29"/>
        <v>2024</v>
      </c>
      <c r="B1519" s="1804" t="s">
        <v>2429</v>
      </c>
      <c r="C1519" s="1805"/>
      <c r="D1519" s="640">
        <v>0</v>
      </c>
      <c r="E1519" s="210">
        <v>0</v>
      </c>
      <c r="F1519" s="209">
        <v>0</v>
      </c>
      <c r="H1519" s="589" t="str">
        <f t="shared" si="30"/>
        <v>Regelzone TransnetBW (gesamt)</v>
      </c>
      <c r="I1519" s="590"/>
    </row>
    <row r="1520" spans="1:9" hidden="1" outlineLevel="1">
      <c r="A1520" s="564">
        <f t="shared" si="29"/>
        <v>2024</v>
      </c>
      <c r="B1520" s="1804" t="s">
        <v>2430</v>
      </c>
      <c r="C1520" s="1805"/>
      <c r="D1520" s="640">
        <v>0</v>
      </c>
      <c r="E1520" s="210">
        <v>0</v>
      </c>
      <c r="F1520" s="209">
        <v>0</v>
      </c>
      <c r="H1520" s="589" t="str">
        <f t="shared" si="30"/>
        <v>Regelzone TransnetBW (gesamt)</v>
      </c>
      <c r="I1520" s="590"/>
    </row>
    <row r="1521" spans="1:9" ht="13.5" hidden="1" outlineLevel="1" thickBot="1">
      <c r="A1521" s="564">
        <f t="shared" si="29"/>
        <v>2024</v>
      </c>
      <c r="B1521" s="1818" t="s">
        <v>2431</v>
      </c>
      <c r="C1521" s="1819"/>
      <c r="D1521" s="641">
        <v>0</v>
      </c>
      <c r="E1521" s="637">
        <v>0</v>
      </c>
      <c r="F1521" s="638">
        <v>0</v>
      </c>
      <c r="H1521" s="589" t="str">
        <f t="shared" si="30"/>
        <v>Regelzone TransnetBW (gesamt)</v>
      </c>
      <c r="I1521" s="590"/>
    </row>
    <row r="1522" spans="1:9" hidden="1" outlineLevel="1">
      <c r="A1522" s="563">
        <f>+A1504</f>
        <v>2023</v>
      </c>
      <c r="B1522" s="1810" t="s">
        <v>2408</v>
      </c>
      <c r="C1522" s="1811"/>
      <c r="D1522" s="639">
        <v>0</v>
      </c>
      <c r="E1522" s="634">
        <v>0</v>
      </c>
      <c r="F1522" s="635">
        <v>0</v>
      </c>
      <c r="H1522" s="589" t="str">
        <f t="shared" si="30"/>
        <v>Regelzone TransnetBW (gesamt)</v>
      </c>
      <c r="I1522" s="590"/>
    </row>
    <row r="1523" spans="1:9" hidden="1" outlineLevel="1">
      <c r="A1523" s="564">
        <f>+A1522</f>
        <v>2023</v>
      </c>
      <c r="B1523" s="1804" t="s">
        <v>2418</v>
      </c>
      <c r="C1523" s="1805"/>
      <c r="D1523" s="640">
        <v>0</v>
      </c>
      <c r="E1523" s="210">
        <v>0</v>
      </c>
      <c r="F1523" s="209">
        <v>0</v>
      </c>
      <c r="H1523" s="589" t="str">
        <f t="shared" si="30"/>
        <v>Regelzone TransnetBW (gesamt)</v>
      </c>
      <c r="I1523" s="590"/>
    </row>
    <row r="1524" spans="1:9" hidden="1" outlineLevel="1">
      <c r="A1524" s="564">
        <f t="shared" ref="A1524:A1526" si="31">+A1523</f>
        <v>2023</v>
      </c>
      <c r="B1524" s="1804" t="s">
        <v>2409</v>
      </c>
      <c r="C1524" s="1805"/>
      <c r="D1524" s="640">
        <v>0</v>
      </c>
      <c r="E1524" s="210">
        <v>0</v>
      </c>
      <c r="F1524" s="209">
        <v>0</v>
      </c>
      <c r="H1524" s="589" t="str">
        <f t="shared" si="30"/>
        <v>Regelzone TransnetBW (gesamt)</v>
      </c>
      <c r="I1524" s="590"/>
    </row>
    <row r="1525" spans="1:9" hidden="1" outlineLevel="1">
      <c r="A1525" s="564">
        <f t="shared" si="31"/>
        <v>2023</v>
      </c>
      <c r="B1525" s="1804" t="s">
        <v>2428</v>
      </c>
      <c r="C1525" s="1805"/>
      <c r="D1525" s="640">
        <v>0</v>
      </c>
      <c r="E1525" s="210">
        <v>0</v>
      </c>
      <c r="F1525" s="209">
        <v>0</v>
      </c>
      <c r="H1525" s="589" t="str">
        <f t="shared" si="30"/>
        <v>Regelzone TransnetBW (gesamt)</v>
      </c>
      <c r="I1525" s="590"/>
    </row>
    <row r="1526" spans="1:9" ht="13.5" hidden="1" outlineLevel="1" thickBot="1">
      <c r="A1526" s="564">
        <f t="shared" si="31"/>
        <v>2023</v>
      </c>
      <c r="B1526" s="1818" t="s">
        <v>2429</v>
      </c>
      <c r="C1526" s="1819"/>
      <c r="D1526" s="641">
        <v>0</v>
      </c>
      <c r="E1526" s="637">
        <v>0</v>
      </c>
      <c r="F1526" s="638">
        <v>0</v>
      </c>
      <c r="H1526" s="589" t="str">
        <f t="shared" si="30"/>
        <v>Regelzone TransnetBW (gesamt)</v>
      </c>
      <c r="I1526" s="590"/>
    </row>
    <row r="1527" spans="1:9" hidden="1" outlineLevel="1">
      <c r="A1527" s="563">
        <v>2022</v>
      </c>
      <c r="B1527" s="1810" t="s">
        <v>2408</v>
      </c>
      <c r="C1527" s="1811"/>
      <c r="D1527" s="639">
        <v>0</v>
      </c>
      <c r="E1527" s="634">
        <v>0</v>
      </c>
      <c r="F1527" s="635">
        <v>0</v>
      </c>
      <c r="H1527" s="589" t="str">
        <f t="shared" si="30"/>
        <v>Regelzone TransnetBW (gesamt)</v>
      </c>
      <c r="I1527" s="590"/>
    </row>
    <row r="1528" spans="1:9" hidden="1" outlineLevel="1">
      <c r="A1528" s="564">
        <v>2022</v>
      </c>
      <c r="B1528" s="1804" t="s">
        <v>2418</v>
      </c>
      <c r="C1528" s="1805"/>
      <c r="D1528" s="640">
        <v>0</v>
      </c>
      <c r="E1528" s="210">
        <v>0</v>
      </c>
      <c r="F1528" s="209">
        <v>0</v>
      </c>
      <c r="H1528" s="589" t="str">
        <f t="shared" si="30"/>
        <v>Regelzone TransnetBW (gesamt)</v>
      </c>
      <c r="I1528" s="590"/>
    </row>
    <row r="1529" spans="1:9" hidden="1" outlineLevel="1">
      <c r="A1529" s="564">
        <f t="shared" ref="A1529:A1531" si="32">++A1528</f>
        <v>2022</v>
      </c>
      <c r="B1529" s="1804" t="s">
        <v>2409</v>
      </c>
      <c r="C1529" s="1805"/>
      <c r="D1529" s="640">
        <v>0</v>
      </c>
      <c r="E1529" s="210">
        <v>0</v>
      </c>
      <c r="F1529" s="209">
        <v>0</v>
      </c>
      <c r="H1529" s="589" t="str">
        <f t="shared" si="30"/>
        <v>Regelzone TransnetBW (gesamt)</v>
      </c>
      <c r="I1529" s="590"/>
    </row>
    <row r="1530" spans="1:9" hidden="1" outlineLevel="1">
      <c r="A1530" s="564">
        <f t="shared" si="32"/>
        <v>2022</v>
      </c>
      <c r="B1530" s="1804" t="s">
        <v>2428</v>
      </c>
      <c r="C1530" s="1805"/>
      <c r="D1530" s="640">
        <v>0</v>
      </c>
      <c r="E1530" s="210">
        <v>0</v>
      </c>
      <c r="F1530" s="209">
        <v>0</v>
      </c>
      <c r="H1530" s="589" t="str">
        <f t="shared" si="30"/>
        <v>Regelzone TransnetBW (gesamt)</v>
      </c>
      <c r="I1530" s="590"/>
    </row>
    <row r="1531" spans="1:9" ht="13.5" hidden="1" outlineLevel="1" thickBot="1">
      <c r="A1531" s="564">
        <f t="shared" si="32"/>
        <v>2022</v>
      </c>
      <c r="B1531" s="1818" t="s">
        <v>2429</v>
      </c>
      <c r="C1531" s="1819"/>
      <c r="D1531" s="641">
        <v>0</v>
      </c>
      <c r="E1531" s="637">
        <v>0</v>
      </c>
      <c r="F1531" s="638">
        <v>0</v>
      </c>
      <c r="H1531" s="589" t="str">
        <f t="shared" si="30"/>
        <v>Regelzone TransnetBW (gesamt)</v>
      </c>
      <c r="I1531" s="590"/>
    </row>
    <row r="1532" spans="1:9" ht="13.5" collapsed="1" thickBot="1">
      <c r="A1532" s="561" t="s">
        <v>2424</v>
      </c>
      <c r="B1532" s="1826"/>
      <c r="C1532" s="1827"/>
      <c r="D1532" s="559">
        <f>+SUM(D1515:D1531)</f>
        <v>214916</v>
      </c>
      <c r="E1532" s="823">
        <f t="shared" ref="E1532:F1532" si="33">+SUM(E1515:E1531)</f>
        <v>591.01900000000001</v>
      </c>
      <c r="F1532" s="824">
        <f t="shared" si="33"/>
        <v>1409.84896</v>
      </c>
      <c r="G1532" s="586"/>
      <c r="H1532" s="8"/>
      <c r="I1532" s="590"/>
    </row>
    <row r="1533" spans="1:9">
      <c r="A1533" s="16"/>
      <c r="B1533" s="8"/>
      <c r="C1533" s="192"/>
      <c r="F1533" s="8"/>
      <c r="G1533" s="590"/>
      <c r="H1533" s="8"/>
    </row>
    <row r="1534" spans="1:9">
      <c r="A1534" s="16"/>
      <c r="B1534" s="8"/>
      <c r="C1534" s="192"/>
      <c r="F1534" s="8"/>
      <c r="G1534" s="590"/>
      <c r="H1534" s="8"/>
    </row>
    <row r="1535" spans="1:9">
      <c r="A1535" s="16"/>
      <c r="B1535" s="8"/>
      <c r="C1535" s="192"/>
      <c r="F1535" s="8"/>
      <c r="G1535" s="590"/>
      <c r="H1535" s="8"/>
    </row>
    <row r="1536" spans="1:9">
      <c r="A1536" s="16"/>
      <c r="B1536" s="8"/>
      <c r="C1536" s="192"/>
      <c r="F1536" s="8"/>
      <c r="G1536" s="590"/>
      <c r="H1536" s="8"/>
    </row>
    <row r="1537" spans="1:8">
      <c r="A1537" s="16"/>
      <c r="B1537" s="8"/>
      <c r="C1537" s="192"/>
      <c r="F1537" s="8"/>
      <c r="G1537" s="590"/>
      <c r="H1537" s="8"/>
    </row>
    <row r="1538" spans="1:8">
      <c r="A1538" s="16"/>
      <c r="B1538" s="8"/>
      <c r="C1538" s="192"/>
      <c r="F1538" s="8"/>
      <c r="G1538" s="590"/>
      <c r="H1538" s="8"/>
    </row>
  </sheetData>
  <mergeCells count="97"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1:C1471"/>
    <mergeCell ref="B1472:C1472"/>
    <mergeCell ref="B1473:C1473"/>
    <mergeCell ref="B1474:C1474"/>
    <mergeCell ref="B1475:C1475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532:C1532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531:C1531"/>
    <mergeCell ref="B1520:C1520"/>
    <mergeCell ref="B1509:C1509"/>
    <mergeCell ref="B1515:C1515"/>
    <mergeCell ref="B1516:C1516"/>
    <mergeCell ref="B1517:C1517"/>
    <mergeCell ref="B1518:C1518"/>
    <mergeCell ref="B1519:C1519"/>
    <mergeCell ref="B1495:C1496"/>
    <mergeCell ref="B1513:C151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504:C1504"/>
    <mergeCell ref="B1480:C1480"/>
    <mergeCell ref="B1447:C1448"/>
    <mergeCell ref="B1491:C1491"/>
    <mergeCell ref="B1497:C1497"/>
    <mergeCell ref="B1498:C1498"/>
    <mergeCell ref="B1459:C1459"/>
    <mergeCell ref="B1460:C1460"/>
    <mergeCell ref="B1476:C1476"/>
    <mergeCell ref="B1477:C1477"/>
    <mergeCell ref="B1478:C1478"/>
    <mergeCell ref="B1479:C1479"/>
    <mergeCell ref="B1453:C1453"/>
    <mergeCell ref="B1454:C1454"/>
    <mergeCell ref="B1455:C1455"/>
    <mergeCell ref="B1456:C1456"/>
    <mergeCell ref="B1457:C1457"/>
    <mergeCell ref="B1458:C1458"/>
    <mergeCell ref="B1438:C1438"/>
    <mergeCell ref="A1390:C1391"/>
    <mergeCell ref="B1449:C1449"/>
    <mergeCell ref="B1450:C1450"/>
    <mergeCell ref="B1451:C1451"/>
    <mergeCell ref="B1452:C1452"/>
    <mergeCell ref="B1432:C1432"/>
    <mergeCell ref="B1433:C1433"/>
    <mergeCell ref="B1434:C1434"/>
    <mergeCell ref="B1435:C1435"/>
    <mergeCell ref="B1436:C1436"/>
    <mergeCell ref="B1437:C1437"/>
    <mergeCell ref="B1426:C1426"/>
    <mergeCell ref="B1427:C1427"/>
    <mergeCell ref="B1428:C1428"/>
    <mergeCell ref="B1429:C1429"/>
    <mergeCell ref="B1430:C1430"/>
    <mergeCell ref="B1431:C1431"/>
    <mergeCell ref="B1419:C1420"/>
    <mergeCell ref="B1421:C1421"/>
    <mergeCell ref="B1422:C1422"/>
    <mergeCell ref="B1423:C1423"/>
    <mergeCell ref="B1424:C1424"/>
    <mergeCell ref="B1425:C1425"/>
  </mergeCells>
  <phoneticPr fontId="57" type="noConversion"/>
  <pageMargins left="0.98425196850393704" right="0.31496062992125984" top="1.1023622047244095" bottom="0.62992125984251968" header="0.31496062992125984" footer="0.31496062992125984"/>
  <pageSetup paperSize="9" scale="58" fitToHeight="2" orientation="landscape" r:id="rId1"/>
  <headerFooter scaleWithDoc="0">
    <oddHeader xml:space="preserve">&amp;L&amp;G&amp;C&amp;"Calibri,Standard"&amp;1&amp;K000000
</oddHeader>
    <oddFooter>&amp;R&amp;UAnlage 2b&amp;U
Seite &amp;P</oddFooter>
  </headerFooter>
  <rowBreaks count="1" manualBreakCount="1">
    <brk id="1387" max="5" man="1"/>
  </rowBreaks>
  <ignoredErrors>
    <ignoredError sqref="A1522" formula="1"/>
  </ignoredErrors>
  <legacy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54A21-89DB-4229-996B-B133315AFD44}">
  <dimension ref="A4:L65"/>
  <sheetViews>
    <sheetView view="pageLayout" zoomScale="80" zoomScaleNormal="100" zoomScalePageLayoutView="80" workbookViewId="0">
      <selection activeCell="E928" sqref="E928"/>
    </sheetView>
  </sheetViews>
  <sheetFormatPr baseColWidth="10" defaultColWidth="8.140625" defaultRowHeight="12.75"/>
  <cols>
    <col min="1" max="1" width="23" customWidth="1"/>
    <col min="2" max="2" width="12" bestFit="1" customWidth="1"/>
    <col min="3" max="3" width="13.28515625" style="174" customWidth="1"/>
    <col min="4" max="4" width="11.28515625" style="174" customWidth="1"/>
    <col min="5" max="5" width="14" style="174" customWidth="1"/>
    <col min="6" max="6" width="10.28515625" style="174" customWidth="1"/>
    <col min="7" max="7" width="13.5703125" style="174" customWidth="1"/>
    <col min="8" max="8" width="10.28515625" style="174" customWidth="1"/>
    <col min="9" max="9" width="14" style="174" customWidth="1"/>
    <col min="10" max="10" width="13.42578125" style="174" customWidth="1"/>
    <col min="11" max="12" width="14.28515625" style="174" customWidth="1"/>
    <col min="13" max="13" width="11.140625" customWidth="1"/>
    <col min="15" max="15" width="69.42578125" customWidth="1"/>
  </cols>
  <sheetData>
    <row r="4" spans="1:12">
      <c r="B4" s="2"/>
      <c r="C4" s="176"/>
      <c r="D4" s="176"/>
      <c r="E4" s="176"/>
      <c r="F4" s="176"/>
      <c r="G4" s="176"/>
      <c r="H4" s="176"/>
      <c r="I4" s="176"/>
      <c r="J4" s="176"/>
      <c r="K4" s="237">
        <f>'Anlage 1a_Zuschlagszahlungen_NB'!E1</f>
        <v>46280</v>
      </c>
    </row>
    <row r="5" spans="1:12">
      <c r="A5" s="1793"/>
      <c r="B5" s="1793"/>
      <c r="C5" s="1793"/>
      <c r="D5" s="1793"/>
      <c r="E5" s="1793"/>
      <c r="F5" s="1793"/>
      <c r="G5" s="1793"/>
      <c r="H5" s="1793"/>
      <c r="I5" s="1793"/>
      <c r="J5" s="1793"/>
      <c r="K5" s="1793"/>
      <c r="L5" s="1793"/>
    </row>
    <row r="6" spans="1:12">
      <c r="A6" s="11" t="s">
        <v>2432</v>
      </c>
      <c r="B6" s="2"/>
      <c r="C6" s="176"/>
      <c r="D6" s="176"/>
      <c r="E6" s="176"/>
      <c r="F6" s="176"/>
      <c r="G6" s="176"/>
      <c r="H6" s="176"/>
      <c r="I6" s="176"/>
      <c r="J6" s="176"/>
      <c r="K6" s="176"/>
      <c r="L6" s="175"/>
    </row>
    <row r="7" spans="1:12">
      <c r="A7" s="16"/>
    </row>
    <row r="8" spans="1:12" ht="13.5" thickBot="1"/>
    <row r="9" spans="1:12" ht="33.6" customHeight="1" thickBot="1">
      <c r="B9" s="1772" t="s">
        <v>455</v>
      </c>
      <c r="C9" s="1773"/>
      <c r="D9" s="1772" t="s">
        <v>774</v>
      </c>
      <c r="E9" s="1773"/>
      <c r="F9" s="1772" t="s">
        <v>1220</v>
      </c>
      <c r="G9" s="1840"/>
      <c r="H9" s="1772" t="s">
        <v>1828</v>
      </c>
      <c r="I9" s="1773"/>
      <c r="J9" s="1774" t="s">
        <v>2047</v>
      </c>
      <c r="K9" s="1773"/>
    </row>
    <row r="10" spans="1:12" ht="71.25" customHeight="1" thickBot="1">
      <c r="A10" s="940" t="s">
        <v>2071</v>
      </c>
      <c r="B10" s="617" t="s">
        <v>2426</v>
      </c>
      <c r="C10" s="618" t="s">
        <v>2433</v>
      </c>
      <c r="D10" s="617" t="s">
        <v>2426</v>
      </c>
      <c r="E10" s="618" t="s">
        <v>2433</v>
      </c>
      <c r="F10" s="617" t="s">
        <v>2426</v>
      </c>
      <c r="G10" s="618" t="s">
        <v>2433</v>
      </c>
      <c r="H10" s="617" t="s">
        <v>2426</v>
      </c>
      <c r="I10" s="618" t="s">
        <v>2433</v>
      </c>
      <c r="J10" s="624" t="s">
        <v>2426</v>
      </c>
      <c r="K10" s="618" t="s">
        <v>2433</v>
      </c>
    </row>
    <row r="11" spans="1:12" ht="13.5" thickBot="1">
      <c r="A11" s="941"/>
      <c r="B11" s="627" t="s">
        <v>2054</v>
      </c>
      <c r="C11" s="628" t="s">
        <v>2054</v>
      </c>
      <c r="D11" s="627" t="s">
        <v>2054</v>
      </c>
      <c r="E11" s="628" t="s">
        <v>2054</v>
      </c>
      <c r="F11" s="627" t="s">
        <v>2054</v>
      </c>
      <c r="G11" s="628" t="s">
        <v>2054</v>
      </c>
      <c r="H11" s="627" t="s">
        <v>2054</v>
      </c>
      <c r="I11" s="628" t="s">
        <v>2054</v>
      </c>
      <c r="J11" s="627" t="s">
        <v>2054</v>
      </c>
      <c r="K11" s="628" t="s">
        <v>2054</v>
      </c>
    </row>
    <row r="12" spans="1:12">
      <c r="A12" s="942">
        <f>+Hinweise!B3-1</f>
        <v>2024</v>
      </c>
      <c r="B12" s="394">
        <f>+SUMIFS('Anlage 2b_Korrekturen'!$E:$E,'Anlage 2b_Korrekturen'!$H:$H,'Anlage 2c_Korrekturen_JA'!B$9,'Anlage 2b_Korrekturen'!$A:$A,'Anlage 2c_Korrekturen_JA'!$A12)</f>
        <v>1402426.3299999998</v>
      </c>
      <c r="C12" s="395">
        <f>+SUMIFS('Anlage 2b_Korrekturen'!$F:$F,'Anlage 2b_Korrekturen'!$H:$H,'Anlage 2c_Korrekturen_JA'!B$9,'Anlage 2b_Korrekturen'!$A:$A,'Anlage 2c_Korrekturen_JA'!$A12)</f>
        <v>3345424.18</v>
      </c>
      <c r="D12" s="394">
        <f>+SUMIFS('Anlage 2b_Korrekturen'!$E:$E,'Anlage 2b_Korrekturen'!$H:$H,'Anlage 2c_Korrekturen_JA'!D$9,'Anlage 2b_Korrekturen'!$A:$A,'Anlage 2c_Korrekturen_JA'!$A12)</f>
        <v>-10769.911250000005</v>
      </c>
      <c r="E12" s="395">
        <f>+SUMIFS('Anlage 2b_Korrekturen'!$F:$F,'Anlage 2b_Korrekturen'!$H:$H,'Anlage 2c_Korrekturen_JA'!D$9,'Anlage 2b_Korrekturen'!$A:$A,'Anlage 2c_Korrekturen_JA'!$A12)</f>
        <v>-25691.17479999995</v>
      </c>
      <c r="F12" s="394">
        <f>+SUMIFS('Anlage 2b_Korrekturen'!$E:$E,'Anlage 2b_Korrekturen'!$H:$H,'Anlage 2c_Korrekturen_JA'!F$9,'Anlage 2b_Korrekturen'!$A:$A,'Anlage 2c_Korrekturen_JA'!$A12)</f>
        <v>-161490.87199999997</v>
      </c>
      <c r="G12" s="395">
        <f>+SUMIFS('Anlage 2b_Korrekturen'!$F:$F,'Anlage 2b_Korrekturen'!$H:$H,'Anlage 2c_Korrekturen_JA'!F$9,'Anlage 2b_Korrekturen'!$A:$A,'Anlage 2c_Korrekturen_JA'!$A12)</f>
        <v>-385229.23047999979</v>
      </c>
      <c r="H12" s="394">
        <f>+SUMIFS('Anlage 2b_Korrekturen'!$E:$E,'Anlage 2b_Korrekturen'!$H:$H,'Anlage 2c_Korrekturen_JA'!H$9,'Anlage 2b_Korrekturen'!$A:$A,'Anlage 2c_Korrekturen_JA'!$A12)</f>
        <v>621276.75899999973</v>
      </c>
      <c r="I12" s="395">
        <f>+SUMIFS('Anlage 2b_Korrekturen'!$F:$F,'Anlage 2b_Korrekturen'!$H:$H,'Anlage 2c_Korrekturen_JA'!H$9,'Anlage 2b_Korrekturen'!$A:$A,'Anlage 2c_Korrekturen_JA'!$A12)</f>
        <v>1482027.4989600007</v>
      </c>
      <c r="J12" s="238">
        <f t="shared" ref="J12" si="0">+H12+F12+D12+B12</f>
        <v>1851442.3057499996</v>
      </c>
      <c r="K12" s="395">
        <f>+I12+G12+E12+C12</f>
        <v>4416531.2736800015</v>
      </c>
    </row>
    <row r="13" spans="1:12">
      <c r="A13" s="942">
        <f t="shared" ref="A13:A18" si="1">+A12-1</f>
        <v>2023</v>
      </c>
      <c r="B13" s="622">
        <f>+SUMIFS('Anlage 2b_Korrekturen'!$E:$E,'Anlage 2b_Korrekturen'!$H:$H,'Anlage 2c_Korrekturen_JA'!B$9,'Anlage 2b_Korrekturen'!$A:$A,'Anlage 2c_Korrekturen_JA'!$A13)</f>
        <v>-711149.52999999991</v>
      </c>
      <c r="C13" s="623">
        <f>+SUMIFS('Anlage 2b_Korrekturen'!$F:$F,'Anlage 2b_Korrekturen'!$H:$H,'Anlage 2c_Korrekturen_JA'!B$9,'Anlage 2b_Korrekturen'!$A:$A,'Anlage 2c_Korrekturen_JA'!$A13)</f>
        <v>-1172959.5099999998</v>
      </c>
      <c r="D13" s="622">
        <f>+SUMIFS('Anlage 2b_Korrekturen'!$E:$E,'Anlage 2b_Korrekturen'!$H:$H,'Anlage 2c_Korrekturen_JA'!D$9,'Anlage 2b_Korrekturen'!$A:$A,'Anlage 2c_Korrekturen_JA'!$A13)</f>
        <v>143588.38436000003</v>
      </c>
      <c r="E13" s="623">
        <f>+SUMIFS('Anlage 2b_Korrekturen'!$F:$F,'Anlage 2b_Korrekturen'!$H:$H,'Anlage 2c_Korrekturen_JA'!D$9,'Anlage 2b_Korrekturen'!$A:$A,'Anlage 2c_Korrekturen_JA'!$A13)</f>
        <v>237360.88268000004</v>
      </c>
      <c r="F13" s="622">
        <f>+SUMIFS('Anlage 2b_Korrekturen'!$E:$E,'Anlage 2b_Korrekturen'!$H:$H,'Anlage 2c_Korrekturen_JA'!F$9,'Anlage 2b_Korrekturen'!$A:$A,'Anlage 2c_Korrekturen_JA'!$A13)</f>
        <v>-501190.02523704007</v>
      </c>
      <c r="G13" s="623">
        <f>+SUMIFS('Anlage 2b_Korrekturen'!$F:$F,'Anlage 2b_Korrekturen'!$H:$H,'Anlage 2c_Korrekturen_JA'!F$9,'Anlage 2b_Korrekturen'!$A:$A,'Anlage 2c_Korrekturen_JA'!$A13)</f>
        <v>-829614.75816552003</v>
      </c>
      <c r="H13" s="622">
        <f>+SUMIFS('Anlage 2b_Korrekturen'!$E:$E,'Anlage 2b_Korrekturen'!$H:$H,'Anlage 2c_Korrekturen_JA'!H$9,'Anlage 2b_Korrekturen'!$A:$A,'Anlage 2c_Korrekturen_JA'!$A13)</f>
        <v>189330.18000000014</v>
      </c>
      <c r="I13" s="623">
        <f>+SUMIFS('Anlage 2b_Korrekturen'!$F:$F,'Anlage 2b_Korrekturen'!$H:$H,'Anlage 2c_Korrekturen_JA'!H$9,'Anlage 2b_Korrekturen'!$A:$A,'Anlage 2c_Korrekturen_JA'!$A13)</f>
        <v>313639.99000000017</v>
      </c>
      <c r="J13" s="625">
        <f t="shared" ref="J13:J23" si="2">+H13+F13+D13+B13</f>
        <v>-879420.99087703985</v>
      </c>
      <c r="K13" s="623">
        <f>+I13+G13+E13+C13</f>
        <v>-1451573.3954855197</v>
      </c>
    </row>
    <row r="14" spans="1:12">
      <c r="A14" s="942">
        <f t="shared" si="1"/>
        <v>2022</v>
      </c>
      <c r="B14" s="622">
        <f>+SUMIFS('Anlage 2b_Korrekturen'!$E:$E,'Anlage 2b_Korrekturen'!$H:$H,'Anlage 2c_Korrekturen_JA'!B$9,'Anlage 2b_Korrekturen'!$A:$A,'Anlage 2c_Korrekturen_JA'!$A14)</f>
        <v>77087.309999999954</v>
      </c>
      <c r="C14" s="623">
        <f>+SUMIFS('Anlage 2b_Korrekturen'!$F:$F,'Anlage 2b_Korrekturen'!$H:$H,'Anlage 2c_Korrekturen_JA'!B$9,'Anlage 2b_Korrekturen'!$A:$A,'Anlage 2c_Korrekturen_JA'!$A14)</f>
        <v>86192.09</v>
      </c>
      <c r="D14" s="622">
        <f>+SUMIFS('Anlage 2b_Korrekturen'!$E:$E,'Anlage 2b_Korrekturen'!$H:$H,'Anlage 2c_Korrekturen_JA'!D$9,'Anlage 2b_Korrekturen'!$A:$A,'Anlage 2c_Korrekturen_JA'!$A14)</f>
        <v>-254653.21000000025</v>
      </c>
      <c r="E14" s="623">
        <f>+SUMIFS('Anlage 2b_Korrekturen'!$F:$F,'Anlage 2b_Korrekturen'!$H:$H,'Anlage 2c_Korrekturen_JA'!D$9,'Anlage 2b_Korrekturen'!$A:$A,'Anlage 2c_Korrekturen_JA'!$A14)</f>
        <v>-282875.03999999992</v>
      </c>
      <c r="F14" s="622">
        <f>+SUMIFS('Anlage 2b_Korrekturen'!$E:$E,'Anlage 2b_Korrekturen'!$H:$H,'Anlage 2c_Korrekturen_JA'!F$9,'Anlage 2b_Korrekturen'!$A:$A,'Anlage 2c_Korrekturen_JA'!$A14)</f>
        <v>290040.73000000004</v>
      </c>
      <c r="G14" s="623">
        <f>+SUMIFS('Anlage 2b_Korrekturen'!$F:$F,'Anlage 2b_Korrekturen'!$H:$H,'Anlage 2c_Korrekturen_JA'!F$9,'Anlage 2b_Korrekturen'!$A:$A,'Anlage 2c_Korrekturen_JA'!$A14)</f>
        <v>321510.09000000008</v>
      </c>
      <c r="H14" s="622">
        <f>+SUMIFS('Anlage 2b_Korrekturen'!$E:$E,'Anlage 2b_Korrekturen'!$H:$H,'Anlage 2c_Korrekturen_JA'!H$9,'Anlage 2b_Korrekturen'!$A:$A,'Anlage 2c_Korrekturen_JA'!$A14)</f>
        <v>326401.31000000006</v>
      </c>
      <c r="I14" s="623">
        <f>+SUMIFS('Anlage 2b_Korrekturen'!$F:$F,'Anlage 2b_Korrekturen'!$H:$H,'Anlage 2c_Korrekturen_JA'!H$9,'Anlage 2b_Korrekturen'!$A:$A,'Anlage 2c_Korrekturen_JA'!$A14)</f>
        <v>361809.05000000005</v>
      </c>
      <c r="J14" s="625">
        <f t="shared" si="2"/>
        <v>438876.13999999972</v>
      </c>
      <c r="K14" s="623">
        <f t="shared" ref="K14:K23" si="3">+I14+G14+E14+C14</f>
        <v>486636.19000000018</v>
      </c>
    </row>
    <row r="15" spans="1:12">
      <c r="A15" s="942">
        <f t="shared" si="1"/>
        <v>2021</v>
      </c>
      <c r="B15" s="622">
        <f>+SUMIFS('Anlage 2b_Korrekturen'!$E:$E,'Anlage 2b_Korrekturen'!$H:$H,'Anlage 2c_Korrekturen_JA'!B$9,'Anlage 2b_Korrekturen'!$A:$A,'Anlage 2c_Korrekturen_JA'!$A15)</f>
        <v>0</v>
      </c>
      <c r="C15" s="623">
        <f>+SUMIFS('Anlage 2b_Korrekturen'!$F:$F,'Anlage 2b_Korrekturen'!$H:$H,'Anlage 2c_Korrekturen_JA'!B$9,'Anlage 2b_Korrekturen'!$A:$A,'Anlage 2c_Korrekturen_JA'!$A15)</f>
        <v>0</v>
      </c>
      <c r="D15" s="622">
        <f>+SUMIFS('Anlage 2b_Korrekturen'!$E:$E,'Anlage 2b_Korrekturen'!$H:$H,'Anlage 2c_Korrekturen_JA'!D$9,'Anlage 2b_Korrekturen'!$A:$A,'Anlage 2c_Korrekturen_JA'!$A15)</f>
        <v>2284.1818999999959</v>
      </c>
      <c r="E15" s="623">
        <f>+SUMIFS('Anlage 2b_Korrekturen'!$F:$F,'Anlage 2b_Korrekturen'!$H:$H,'Anlage 2c_Korrekturen_JA'!D$9,'Anlage 2b_Korrekturen'!$A:$A,'Anlage 2c_Korrekturen_JA'!$A15)</f>
        <v>3552.1407499999914</v>
      </c>
      <c r="F15" s="622">
        <f>+SUMIFS('Anlage 2b_Korrekturen'!$E:$E,'Anlage 2b_Korrekturen'!$H:$H,'Anlage 2c_Korrekturen_JA'!F$9,'Anlage 2b_Korrekturen'!$A:$A,'Anlage 2c_Korrekturen_JA'!$A15)</f>
        <v>-12645.509999999998</v>
      </c>
      <c r="G15" s="623">
        <f>+SUMIFS('Anlage 2b_Korrekturen'!$F:$F,'Anlage 2b_Korrekturen'!$H:$H,'Anlage 2c_Korrekturen_JA'!F$9,'Anlage 2b_Korrekturen'!$A:$A,'Anlage 2c_Korrekturen_JA'!$A15)</f>
        <v>-19665.27</v>
      </c>
      <c r="H15" s="622">
        <f>+SUMIFS('Anlage 2b_Korrekturen'!$E:$E,'Anlage 2b_Korrekturen'!$H:$H,'Anlage 2c_Korrekturen_JA'!H$9,'Anlage 2b_Korrekturen'!$A:$A,'Anlage 2c_Korrekturen_JA'!$A15)</f>
        <v>123.24000000000001</v>
      </c>
      <c r="I15" s="623">
        <f>+SUMIFS('Anlage 2b_Korrekturen'!$F:$F,'Anlage 2b_Korrekturen'!$H:$H,'Anlage 2c_Korrekturen_JA'!H$9,'Anlage 2b_Korrekturen'!$A:$A,'Anlage 2c_Korrekturen_JA'!$A15)</f>
        <v>191.65</v>
      </c>
      <c r="J15" s="625">
        <f t="shared" si="2"/>
        <v>-10238.088100000003</v>
      </c>
      <c r="K15" s="623">
        <f t="shared" si="3"/>
        <v>-15921.479250000008</v>
      </c>
    </row>
    <row r="16" spans="1:12">
      <c r="A16" s="942">
        <f t="shared" si="1"/>
        <v>2020</v>
      </c>
      <c r="B16" s="622">
        <f>+SUMIFS('Anlage 2b_Korrekturen'!$E:$E,'Anlage 2b_Korrekturen'!$H:$H,'Anlage 2c_Korrekturen_JA'!B$9,'Anlage 2b_Korrekturen'!$A:$A,'Anlage 2c_Korrekturen_JA'!$A16)</f>
        <v>0</v>
      </c>
      <c r="C16" s="623">
        <f>+SUMIFS('Anlage 2b_Korrekturen'!$F:$F,'Anlage 2b_Korrekturen'!$H:$H,'Anlage 2c_Korrekturen_JA'!B$9,'Anlage 2b_Korrekturen'!$A:$A,'Anlage 2c_Korrekturen_JA'!$A16)</f>
        <v>0</v>
      </c>
      <c r="D16" s="622">
        <f>+SUMIFS('Anlage 2b_Korrekturen'!$E:$E,'Anlage 2b_Korrekturen'!$H:$H,'Anlage 2c_Korrekturen_JA'!D$9,'Anlage 2b_Korrekturen'!$A:$A,'Anlage 2c_Korrekturen_JA'!$A16)</f>
        <v>10118.48</v>
      </c>
      <c r="E16" s="623">
        <f>+SUMIFS('Anlage 2b_Korrekturen'!$F:$F,'Anlage 2b_Korrekturen'!$H:$H,'Anlage 2c_Korrekturen_JA'!D$9,'Anlage 2b_Korrekturen'!$A:$A,'Anlage 2c_Korrekturen_JA'!$A16)</f>
        <v>18625.18</v>
      </c>
      <c r="F16" s="622">
        <f>+SUMIFS('Anlage 2b_Korrekturen'!$E:$E,'Anlage 2b_Korrekturen'!$H:$H,'Anlage 2c_Korrekturen_JA'!F$9,'Anlage 2b_Korrekturen'!$A:$A,'Anlage 2c_Korrekturen_JA'!$A16)</f>
        <v>-12107.52</v>
      </c>
      <c r="G16" s="623">
        <f>+SUMIFS('Anlage 2b_Korrekturen'!$F:$F,'Anlage 2b_Korrekturen'!$H:$H,'Anlage 2c_Korrekturen_JA'!F$9,'Anlage 2b_Korrekturen'!$A:$A,'Anlage 2c_Korrekturen_JA'!$A16)</f>
        <v>-22286.400000000001</v>
      </c>
      <c r="H16" s="622">
        <f>+SUMIFS('Anlage 2b_Korrekturen'!$E:$E,'Anlage 2b_Korrekturen'!$H:$H,'Anlage 2c_Korrekturen_JA'!H$9,'Anlage 2b_Korrekturen'!$A:$A,'Anlage 2c_Korrekturen_JA'!$A16)</f>
        <v>35.43</v>
      </c>
      <c r="I16" s="623">
        <f>+SUMIFS('Anlage 2b_Korrekturen'!$F:$F,'Anlage 2b_Korrekturen'!$H:$H,'Anlage 2c_Korrekturen_JA'!H$9,'Anlage 2b_Korrekturen'!$A:$A,'Anlage 2c_Korrekturen_JA'!$A16)</f>
        <v>65.209999999999994</v>
      </c>
      <c r="J16" s="625">
        <f t="shared" si="2"/>
        <v>-1953.6100000000006</v>
      </c>
      <c r="K16" s="623">
        <f t="shared" si="3"/>
        <v>-3596.010000000002</v>
      </c>
    </row>
    <row r="17" spans="1:12">
      <c r="A17" s="942">
        <f t="shared" si="1"/>
        <v>2019</v>
      </c>
      <c r="B17" s="622">
        <f>+SUMIFS('Anlage 2b_Korrekturen'!$E:$E,'Anlage 2b_Korrekturen'!$H:$H,'Anlage 2c_Korrekturen_JA'!B$9,'Anlage 2b_Korrekturen'!$A:$A,'Anlage 2c_Korrekturen_JA'!$A17)</f>
        <v>0</v>
      </c>
      <c r="C17" s="623">
        <f>+SUMIFS('Anlage 2b_Korrekturen'!$F:$F,'Anlage 2b_Korrekturen'!$H:$H,'Anlage 2c_Korrekturen_JA'!B$9,'Anlage 2b_Korrekturen'!$A:$A,'Anlage 2c_Korrekturen_JA'!$A17)</f>
        <v>0</v>
      </c>
      <c r="D17" s="622">
        <f>+SUMIFS('Anlage 2b_Korrekturen'!$E:$E,'Anlage 2b_Korrekturen'!$H:$H,'Anlage 2c_Korrekturen_JA'!D$9,'Anlage 2b_Korrekturen'!$A:$A,'Anlage 2c_Korrekturen_JA'!$A17)</f>
        <v>227.42439999999988</v>
      </c>
      <c r="E17" s="623">
        <f>+SUMIFS('Anlage 2b_Korrekturen'!$F:$F,'Anlage 2b_Korrekturen'!$H:$H,'Anlage 2c_Korrekturen_JA'!D$9,'Anlage 2b_Korrekturen'!$A:$A,'Anlage 2c_Korrekturen_JA'!$A17)</f>
        <v>337.89968000000044</v>
      </c>
      <c r="F17" s="622">
        <f>+SUMIFS('Anlage 2b_Korrekturen'!$E:$E,'Anlage 2b_Korrekturen'!$H:$H,'Anlage 2c_Korrekturen_JA'!F$9,'Anlage 2b_Korrekturen'!$A:$A,'Anlage 2c_Korrekturen_JA'!$A17)</f>
        <v>1133.3599999999999</v>
      </c>
      <c r="G17" s="623">
        <f>+SUMIFS('Anlage 2b_Korrekturen'!$F:$F,'Anlage 2b_Korrekturen'!$H:$H,'Anlage 2c_Korrekturen_JA'!F$9,'Anlage 2b_Korrekturen'!$A:$A,'Anlage 2c_Korrekturen_JA'!$A17)</f>
        <v>1683.85</v>
      </c>
      <c r="H17" s="622">
        <f>+SUMIFS('Anlage 2b_Korrekturen'!$E:$E,'Anlage 2b_Korrekturen'!$H:$H,'Anlage 2c_Korrekturen_JA'!H$9,'Anlage 2b_Korrekturen'!$A:$A,'Anlage 2c_Korrekturen_JA'!$A17)</f>
        <v>0</v>
      </c>
      <c r="I17" s="623">
        <f>+SUMIFS('Anlage 2b_Korrekturen'!$F:$F,'Anlage 2b_Korrekturen'!$H:$H,'Anlage 2c_Korrekturen_JA'!H$9,'Anlage 2b_Korrekturen'!$A:$A,'Anlage 2c_Korrekturen_JA'!$A17)</f>
        <v>0</v>
      </c>
      <c r="J17" s="625">
        <f t="shared" si="2"/>
        <v>1360.7843999999998</v>
      </c>
      <c r="K17" s="623">
        <f t="shared" si="3"/>
        <v>2021.7496800000004</v>
      </c>
    </row>
    <row r="18" spans="1:12">
      <c r="A18" s="942">
        <f t="shared" si="1"/>
        <v>2018</v>
      </c>
      <c r="B18" s="622">
        <f>+SUMIFS('Anlage 2b_Korrekturen'!$E:$E,'Anlage 2b_Korrekturen'!$H:$H,'Anlage 2c_Korrekturen_JA'!B$9,'Anlage 2b_Korrekturen'!$A:$A,'Anlage 2c_Korrekturen_JA'!$A18)</f>
        <v>0</v>
      </c>
      <c r="C18" s="623">
        <f>+SUMIFS('Anlage 2b_Korrekturen'!$F:$F,'Anlage 2b_Korrekturen'!$H:$H,'Anlage 2c_Korrekturen_JA'!B$9,'Anlage 2b_Korrekturen'!$A:$A,'Anlage 2c_Korrekturen_JA'!$A18)</f>
        <v>0</v>
      </c>
      <c r="D18" s="622">
        <f>+SUMIFS('Anlage 2b_Korrekturen'!$E:$E,'Anlage 2b_Korrekturen'!$H:$H,'Anlage 2c_Korrekturen_JA'!D$9,'Anlage 2b_Korrekturen'!$A:$A,'Anlage 2c_Korrekturen_JA'!$A18)</f>
        <v>-660.57664999999997</v>
      </c>
      <c r="E18" s="623">
        <f>+SUMIFS('Anlage 2b_Korrekturen'!$F:$F,'Anlage 2b_Korrekturen'!$H:$H,'Anlage 2c_Korrekturen_JA'!D$9,'Anlage 2b_Korrekturen'!$A:$A,'Anlage 2c_Korrekturen_JA'!$A18)</f>
        <v>219.86</v>
      </c>
      <c r="F18" s="622">
        <f>+SUMIFS('Anlage 2b_Korrekturen'!$E:$E,'Anlage 2b_Korrekturen'!$H:$H,'Anlage 2c_Korrekturen_JA'!F$9,'Anlage 2b_Korrekturen'!$A:$A,'Anlage 2c_Korrekturen_JA'!$A18)</f>
        <v>0</v>
      </c>
      <c r="G18" s="623">
        <f>+SUMIFS('Anlage 2b_Korrekturen'!$F:$F,'Anlage 2b_Korrekturen'!$H:$H,'Anlage 2c_Korrekturen_JA'!F$9,'Anlage 2b_Korrekturen'!$A:$A,'Anlage 2c_Korrekturen_JA'!$A18)</f>
        <v>0</v>
      </c>
      <c r="H18" s="622">
        <f>+SUMIFS('Anlage 2b_Korrekturen'!$E:$E,'Anlage 2b_Korrekturen'!$H:$H,'Anlage 2c_Korrekturen_JA'!H$9,'Anlage 2b_Korrekturen'!$A:$A,'Anlage 2c_Korrekturen_JA'!$A18)</f>
        <v>26.84</v>
      </c>
      <c r="I18" s="623">
        <f>+SUMIFS('Anlage 2b_Korrekturen'!$F:$F,'Anlage 2b_Korrekturen'!$H:$H,'Anlage 2c_Korrekturen_JA'!H$9,'Anlage 2b_Korrekturen'!$A:$A,'Anlage 2c_Korrekturen_JA'!$A18)</f>
        <v>2.88</v>
      </c>
      <c r="J18" s="625">
        <f t="shared" si="2"/>
        <v>-633.73664999999994</v>
      </c>
      <c r="K18" s="623">
        <f t="shared" si="3"/>
        <v>222.74</v>
      </c>
    </row>
    <row r="19" spans="1:12">
      <c r="A19" s="942">
        <f t="shared" ref="A19:A23" si="4">+A18-1</f>
        <v>2017</v>
      </c>
      <c r="B19" s="622">
        <f>+SUMIFS('Anlage 2b_Korrekturen'!$E:$E,'Anlage 2b_Korrekturen'!$H:$H,'Anlage 2c_Korrekturen_JA'!B$9,'Anlage 2b_Korrekturen'!$A:$A,'Anlage 2c_Korrekturen_JA'!$A19)</f>
        <v>0</v>
      </c>
      <c r="C19" s="623">
        <f>+SUMIFS('Anlage 2b_Korrekturen'!$F:$F,'Anlage 2b_Korrekturen'!$H:$H,'Anlage 2c_Korrekturen_JA'!B$9,'Anlage 2b_Korrekturen'!$A:$A,'Anlage 2c_Korrekturen_JA'!$A19)</f>
        <v>0</v>
      </c>
      <c r="D19" s="622">
        <f>+SUMIFS('Anlage 2b_Korrekturen'!$E:$E,'Anlage 2b_Korrekturen'!$H:$H,'Anlage 2c_Korrekturen_JA'!D$9,'Anlage 2b_Korrekturen'!$A:$A,'Anlage 2c_Korrekturen_JA'!$A19)</f>
        <v>58.91</v>
      </c>
      <c r="E19" s="623">
        <f>+SUMIFS('Anlage 2b_Korrekturen'!$F:$F,'Anlage 2b_Korrekturen'!$H:$H,'Anlage 2c_Korrekturen_JA'!D$9,'Anlage 2b_Korrekturen'!$A:$A,'Anlage 2c_Korrekturen_JA'!$A19)</f>
        <v>-3.77</v>
      </c>
      <c r="F19" s="622">
        <f>+SUMIFS('Anlage 2b_Korrekturen'!$E:$E,'Anlage 2b_Korrekturen'!$H:$H,'Anlage 2c_Korrekturen_JA'!F$9,'Anlage 2b_Korrekturen'!$A:$A,'Anlage 2c_Korrekturen_JA'!$A19)</f>
        <v>0</v>
      </c>
      <c r="G19" s="623">
        <f>+SUMIFS('Anlage 2b_Korrekturen'!$F:$F,'Anlage 2b_Korrekturen'!$H:$H,'Anlage 2c_Korrekturen_JA'!F$9,'Anlage 2b_Korrekturen'!$A:$A,'Anlage 2c_Korrekturen_JA'!$A19)</f>
        <v>0</v>
      </c>
      <c r="H19" s="622">
        <f>+SUMIFS('Anlage 2b_Korrekturen'!$E:$E,'Anlage 2b_Korrekturen'!$H:$H,'Anlage 2c_Korrekturen_JA'!H$9,'Anlage 2b_Korrekturen'!$A:$A,'Anlage 2c_Korrekturen_JA'!$A19)</f>
        <v>0</v>
      </c>
      <c r="I19" s="623">
        <f>+SUMIFS('Anlage 2b_Korrekturen'!$F:$F,'Anlage 2b_Korrekturen'!$H:$H,'Anlage 2c_Korrekturen_JA'!H$9,'Anlage 2b_Korrekturen'!$A:$A,'Anlage 2c_Korrekturen_JA'!$A19)</f>
        <v>0</v>
      </c>
      <c r="J19" s="625">
        <f t="shared" si="2"/>
        <v>58.91</v>
      </c>
      <c r="K19" s="623">
        <f t="shared" si="3"/>
        <v>-3.77</v>
      </c>
    </row>
    <row r="20" spans="1:12">
      <c r="A20" s="942">
        <f t="shared" si="4"/>
        <v>2016</v>
      </c>
      <c r="B20" s="622">
        <f>+SUMIFS('Anlage 2b_Korrekturen'!$E:$E,'Anlage 2b_Korrekturen'!$H:$H,'Anlage 2c_Korrekturen_JA'!B$9,'Anlage 2b_Korrekturen'!$A:$A,'Anlage 2c_Korrekturen_JA'!$A20)</f>
        <v>0</v>
      </c>
      <c r="C20" s="623">
        <f>+SUMIFS('Anlage 2b_Korrekturen'!$F:$F,'Anlage 2b_Korrekturen'!$H:$H,'Anlage 2c_Korrekturen_JA'!B$9,'Anlage 2b_Korrekturen'!$A:$A,'Anlage 2c_Korrekturen_JA'!$A20)</f>
        <v>0</v>
      </c>
      <c r="D20" s="622">
        <f>+SUMIFS('Anlage 2b_Korrekturen'!$E:$E,'Anlage 2b_Korrekturen'!$H:$H,'Anlage 2c_Korrekturen_JA'!D$9,'Anlage 2b_Korrekturen'!$A:$A,'Anlage 2c_Korrekturen_JA'!$A20)</f>
        <v>44.7</v>
      </c>
      <c r="E20" s="623">
        <f>+SUMIFS('Anlage 2b_Korrekturen'!$F:$F,'Anlage 2b_Korrekturen'!$H:$H,'Anlage 2c_Korrekturen_JA'!D$9,'Anlage 2b_Korrekturen'!$A:$A,'Anlage 2c_Korrekturen_JA'!$A20)</f>
        <v>4.0199999999999996</v>
      </c>
      <c r="F20" s="622">
        <f>+SUMIFS('Anlage 2b_Korrekturen'!$E:$E,'Anlage 2b_Korrekturen'!$H:$H,'Anlage 2c_Korrekturen_JA'!F$9,'Anlage 2b_Korrekturen'!$A:$A,'Anlage 2c_Korrekturen_JA'!$A20)</f>
        <v>0</v>
      </c>
      <c r="G20" s="623">
        <f>+SUMIFS('Anlage 2b_Korrekturen'!$F:$F,'Anlage 2b_Korrekturen'!$H:$H,'Anlage 2c_Korrekturen_JA'!F$9,'Anlage 2b_Korrekturen'!$A:$A,'Anlage 2c_Korrekturen_JA'!$A20)</f>
        <v>0</v>
      </c>
      <c r="H20" s="622">
        <f>+SUMIFS('Anlage 2b_Korrekturen'!$E:$E,'Anlage 2b_Korrekturen'!$H:$H,'Anlage 2c_Korrekturen_JA'!H$9,'Anlage 2b_Korrekturen'!$A:$A,'Anlage 2c_Korrekturen_JA'!$A20)</f>
        <v>0</v>
      </c>
      <c r="I20" s="623">
        <f>+SUMIFS('Anlage 2b_Korrekturen'!$F:$F,'Anlage 2b_Korrekturen'!$H:$H,'Anlage 2c_Korrekturen_JA'!H$9,'Anlage 2b_Korrekturen'!$A:$A,'Anlage 2c_Korrekturen_JA'!$A20)</f>
        <v>0</v>
      </c>
      <c r="J20" s="625">
        <f t="shared" si="2"/>
        <v>44.7</v>
      </c>
      <c r="K20" s="623">
        <f t="shared" si="3"/>
        <v>4.0199999999999996</v>
      </c>
    </row>
    <row r="21" spans="1:12">
      <c r="A21" s="942">
        <f t="shared" si="4"/>
        <v>2015</v>
      </c>
      <c r="B21" s="622">
        <f>+SUMIFS('Anlage 2b_Korrekturen'!$E:$E,'Anlage 2b_Korrekturen'!$H:$H,'Anlage 2c_Korrekturen_JA'!B$9,'Anlage 2b_Korrekturen'!$A:$A,'Anlage 2c_Korrekturen_JA'!$A21)</f>
        <v>0</v>
      </c>
      <c r="C21" s="623">
        <f>+SUMIFS('Anlage 2b_Korrekturen'!$F:$F,'Anlage 2b_Korrekturen'!$H:$H,'Anlage 2c_Korrekturen_JA'!B$9,'Anlage 2b_Korrekturen'!$A:$A,'Anlage 2c_Korrekturen_JA'!$A21)</f>
        <v>0</v>
      </c>
      <c r="D21" s="622">
        <f>+SUMIFS('Anlage 2b_Korrekturen'!$E:$E,'Anlage 2b_Korrekturen'!$H:$H,'Anlage 2c_Korrekturen_JA'!D$9,'Anlage 2b_Korrekturen'!$A:$A,'Anlage 2c_Korrekturen_JA'!$A21)</f>
        <v>24.51</v>
      </c>
      <c r="E21" s="623">
        <f>+SUMIFS('Anlage 2b_Korrekturen'!$F:$F,'Anlage 2b_Korrekturen'!$H:$H,'Anlage 2c_Korrekturen_JA'!D$9,'Anlage 2b_Korrekturen'!$A:$A,'Anlage 2c_Korrekturen_JA'!$A21)</f>
        <v>-4.93</v>
      </c>
      <c r="F21" s="622">
        <f>+SUMIFS('Anlage 2b_Korrekturen'!$E:$E,'Anlage 2b_Korrekturen'!$H:$H,'Anlage 2c_Korrekturen_JA'!F$9,'Anlage 2b_Korrekturen'!$A:$A,'Anlage 2c_Korrekturen_JA'!$A21)</f>
        <v>0</v>
      </c>
      <c r="G21" s="623">
        <f>+SUMIFS('Anlage 2b_Korrekturen'!$F:$F,'Anlage 2b_Korrekturen'!$H:$H,'Anlage 2c_Korrekturen_JA'!F$9,'Anlage 2b_Korrekturen'!$A:$A,'Anlage 2c_Korrekturen_JA'!$A21)</f>
        <v>0</v>
      </c>
      <c r="H21" s="622">
        <f>+SUMIFS('Anlage 2b_Korrekturen'!$E:$E,'Anlage 2b_Korrekturen'!$H:$H,'Anlage 2c_Korrekturen_JA'!H$9,'Anlage 2b_Korrekturen'!$A:$A,'Anlage 2c_Korrekturen_JA'!$A21)</f>
        <v>0</v>
      </c>
      <c r="I21" s="623">
        <f>+SUMIFS('Anlage 2b_Korrekturen'!$F:$F,'Anlage 2b_Korrekturen'!$H:$H,'Anlage 2c_Korrekturen_JA'!H$9,'Anlage 2b_Korrekturen'!$A:$A,'Anlage 2c_Korrekturen_JA'!$A21)</f>
        <v>0</v>
      </c>
      <c r="J21" s="625">
        <f t="shared" si="2"/>
        <v>24.51</v>
      </c>
      <c r="K21" s="623">
        <f t="shared" si="3"/>
        <v>-4.93</v>
      </c>
    </row>
    <row r="22" spans="1:12">
      <c r="A22" s="943">
        <f t="shared" si="4"/>
        <v>2014</v>
      </c>
      <c r="B22" s="622">
        <f>+SUMIFS('Anlage 2b_Korrekturen'!$E:$E,'Anlage 2b_Korrekturen'!$H:$H,'Anlage 2c_Korrekturen_JA'!B$9,'Anlage 2b_Korrekturen'!$A:$A,'Anlage 2c_Korrekturen_JA'!$A22)</f>
        <v>0</v>
      </c>
      <c r="C22" s="623">
        <f>+SUMIFS('Anlage 2b_Korrekturen'!$F:$F,'Anlage 2b_Korrekturen'!$H:$H,'Anlage 2c_Korrekturen_JA'!B$9,'Anlage 2b_Korrekturen'!$A:$A,'Anlage 2c_Korrekturen_JA'!$A22)</f>
        <v>0</v>
      </c>
      <c r="D22" s="622">
        <f>+SUMIFS('Anlage 2b_Korrekturen'!$E:$E,'Anlage 2b_Korrekturen'!$H:$H,'Anlage 2c_Korrekturen_JA'!D$9,'Anlage 2b_Korrekturen'!$A:$A,'Anlage 2c_Korrekturen_JA'!$A22)</f>
        <v>1.1499999999999999</v>
      </c>
      <c r="E22" s="623">
        <f>+SUMIFS('Anlage 2b_Korrekturen'!$F:$F,'Anlage 2b_Korrekturen'!$H:$H,'Anlage 2c_Korrekturen_JA'!D$9,'Anlage 2b_Korrekturen'!$A:$A,'Anlage 2c_Korrekturen_JA'!$A22)</f>
        <v>1.62</v>
      </c>
      <c r="F22" s="622">
        <f>+SUMIFS('Anlage 2b_Korrekturen'!$E:$E,'Anlage 2b_Korrekturen'!$H:$H,'Anlage 2c_Korrekturen_JA'!F$9,'Anlage 2b_Korrekturen'!$A:$A,'Anlage 2c_Korrekturen_JA'!$A22)</f>
        <v>0</v>
      </c>
      <c r="G22" s="623">
        <f>+SUMIFS('Anlage 2b_Korrekturen'!$F:$F,'Anlage 2b_Korrekturen'!$H:$H,'Anlage 2c_Korrekturen_JA'!F$9,'Anlage 2b_Korrekturen'!$A:$A,'Anlage 2c_Korrekturen_JA'!$A22)</f>
        <v>0</v>
      </c>
      <c r="H22" s="622">
        <f>+SUMIFS('Anlage 2b_Korrekturen'!$E:$E,'Anlage 2b_Korrekturen'!$H:$H,'Anlage 2c_Korrekturen_JA'!H$9,'Anlage 2b_Korrekturen'!$A:$A,'Anlage 2c_Korrekturen_JA'!$A22)</f>
        <v>0</v>
      </c>
      <c r="I22" s="623">
        <f>+SUMIFS('Anlage 2b_Korrekturen'!$F:$F,'Anlage 2b_Korrekturen'!$H:$H,'Anlage 2c_Korrekturen_JA'!H$9,'Anlage 2b_Korrekturen'!$A:$A,'Anlage 2c_Korrekturen_JA'!$A22)</f>
        <v>0</v>
      </c>
      <c r="J22" s="625">
        <f t="shared" si="2"/>
        <v>1.1499999999999999</v>
      </c>
      <c r="K22" s="623">
        <f t="shared" si="3"/>
        <v>1.62</v>
      </c>
    </row>
    <row r="23" spans="1:12">
      <c r="A23" s="944">
        <f t="shared" si="4"/>
        <v>2013</v>
      </c>
      <c r="B23" s="896">
        <f>+SUMIFS('Anlage 2b_Korrekturen'!$E:$E,'Anlage 2b_Korrekturen'!$H:$H,'Anlage 2c_Korrekturen_JA'!B$9,'Anlage 2b_Korrekturen'!$A:$A,'Anlage 2c_Korrekturen_JA'!$A23)</f>
        <v>0</v>
      </c>
      <c r="C23" s="897">
        <f>+SUMIFS('Anlage 2b_Korrekturen'!$F:$F,'Anlage 2b_Korrekturen'!$H:$H,'Anlage 2c_Korrekturen_JA'!B$9,'Anlage 2b_Korrekturen'!$A:$A,'Anlage 2c_Korrekturen_JA'!$A23)</f>
        <v>0</v>
      </c>
      <c r="D23" s="896">
        <f>+SUMIFS('Anlage 2b_Korrekturen'!$E:$E,'Anlage 2b_Korrekturen'!$H:$H,'Anlage 2c_Korrekturen_JA'!D$9,'Anlage 2b_Korrekturen'!$A:$A,'Anlage 2c_Korrekturen_JA'!$A23)</f>
        <v>0.74</v>
      </c>
      <c r="E23" s="623">
        <f>+SUMIFS('Anlage 2b_Korrekturen'!$F:$F,'Anlage 2b_Korrekturen'!$H:$H,'Anlage 2c_Korrekturen_JA'!D$9,'Anlage 2b_Korrekturen'!$A:$A,'Anlage 2c_Korrekturen_JA'!$A23)</f>
        <v>1.61</v>
      </c>
      <c r="F23" s="896">
        <f>+SUMIFS('Anlage 2b_Korrekturen'!$E:$E,'Anlage 2b_Korrekturen'!$H:$H,'Anlage 2c_Korrekturen_JA'!F$9,'Anlage 2b_Korrekturen'!$A:$A,'Anlage 2c_Korrekturen_JA'!$A23)</f>
        <v>0</v>
      </c>
      <c r="G23" s="897">
        <f>+SUMIFS('Anlage 2b_Korrekturen'!$F:$F,'Anlage 2b_Korrekturen'!$H:$H,'Anlage 2c_Korrekturen_JA'!F$9,'Anlage 2b_Korrekturen'!$A:$A,'Anlage 2c_Korrekturen_JA'!$A23)</f>
        <v>0</v>
      </c>
      <c r="H23" s="896">
        <f>+SUMIFS('Anlage 2b_Korrekturen'!$E:$E,'Anlage 2b_Korrekturen'!$H:$H,'Anlage 2c_Korrekturen_JA'!H$9,'Anlage 2b_Korrekturen'!$A:$A,'Anlage 2c_Korrekturen_JA'!$A23)</f>
        <v>0</v>
      </c>
      <c r="I23" s="897">
        <f>+SUMIFS('Anlage 2b_Korrekturen'!$F:$F,'Anlage 2b_Korrekturen'!$H:$H,'Anlage 2c_Korrekturen_JA'!H$9,'Anlage 2b_Korrekturen'!$A:$A,'Anlage 2c_Korrekturen_JA'!$A23)</f>
        <v>0</v>
      </c>
      <c r="J23" s="898">
        <f t="shared" si="2"/>
        <v>0.74</v>
      </c>
      <c r="K23" s="897">
        <f t="shared" si="3"/>
        <v>1.61</v>
      </c>
    </row>
    <row r="24" spans="1:12">
      <c r="A24" s="945">
        <f>+A23-1</f>
        <v>2012</v>
      </c>
      <c r="B24" s="896">
        <f>+SUMIFS('Anlage 2b_Korrekturen'!$E:$E,'Anlage 2b_Korrekturen'!$H:$H,'Anlage 2c_Korrekturen_JA'!B$9,'Anlage 2b_Korrekturen'!$A:$A,'Anlage 2c_Korrekturen_JA'!$A24)</f>
        <v>0</v>
      </c>
      <c r="C24" s="897">
        <f>+SUMIFS('Anlage 2b_Korrekturen'!$F:$F,'Anlage 2b_Korrekturen'!$H:$H,'Anlage 2c_Korrekturen_JA'!B$9,'Anlage 2b_Korrekturen'!$A:$A,'Anlage 2c_Korrekturen_JA'!$A24)</f>
        <v>0</v>
      </c>
      <c r="D24" s="896">
        <f>+SUMIFS('Anlage 2b_Korrekturen'!$E:$E,'Anlage 2b_Korrekturen'!$H:$H,'Anlage 2c_Korrekturen_JA'!D$9,'Anlage 2b_Korrekturen'!$A:$A,'Anlage 2c_Korrekturen_JA'!$A24)</f>
        <v>0.02</v>
      </c>
      <c r="E24" s="897">
        <f>+SUMIFS('Anlage 2b_Korrekturen'!$F:$F,'Anlage 2b_Korrekturen'!$H:$H,'Anlage 2c_Korrekturen_JA'!D$9,'Anlage 2b_Korrekturen'!$A:$A,'Anlage 2c_Korrekturen_JA'!$A24)</f>
        <v>0</v>
      </c>
      <c r="F24" s="896">
        <f>+SUMIFS('Anlage 2b_Korrekturen'!$E:$E,'Anlage 2b_Korrekturen'!$H:$H,'Anlage 2c_Korrekturen_JA'!F$9,'Anlage 2b_Korrekturen'!$A:$A,'Anlage 2c_Korrekturen_JA'!$A24)</f>
        <v>0</v>
      </c>
      <c r="G24" s="897">
        <f>+SUMIFS('Anlage 2b_Korrekturen'!$F:$F,'Anlage 2b_Korrekturen'!$H:$H,'Anlage 2c_Korrekturen_JA'!F$9,'Anlage 2b_Korrekturen'!$A:$A,'Anlage 2c_Korrekturen_JA'!$A24)</f>
        <v>0</v>
      </c>
      <c r="H24" s="896">
        <f>+SUMIFS('Anlage 2b_Korrekturen'!$E:$E,'Anlage 2b_Korrekturen'!$H:$H,'Anlage 2c_Korrekturen_JA'!H$9,'Anlage 2b_Korrekturen'!$A:$A,'Anlage 2c_Korrekturen_JA'!$A24)</f>
        <v>0</v>
      </c>
      <c r="I24" s="897">
        <f>+SUMIFS('Anlage 2b_Korrekturen'!$F:$F,'Anlage 2b_Korrekturen'!$H:$H,'Anlage 2c_Korrekturen_JA'!H$9,'Anlage 2b_Korrekturen'!$A:$A,'Anlage 2c_Korrekturen_JA'!$A24)</f>
        <v>0</v>
      </c>
      <c r="J24" s="898">
        <f>+H24+F24+D24+B24</f>
        <v>0.02</v>
      </c>
      <c r="K24" s="897">
        <f>+I24+G24+E24+C24</f>
        <v>0</v>
      </c>
    </row>
    <row r="25" spans="1:12" ht="13.5" thickBot="1">
      <c r="A25" s="945">
        <f>+A24-1</f>
        <v>2011</v>
      </c>
      <c r="B25" s="896">
        <f>+SUMIFS('Anlage 2b_Korrekturen'!$E:$E,'Anlage 2b_Korrekturen'!$H:$H,'Anlage 2c_Korrekturen_JA'!B$9,'Anlage 2b_Korrekturen'!$A:$A,'Anlage 2c_Korrekturen_JA'!$A25)</f>
        <v>0</v>
      </c>
      <c r="C25" s="897">
        <f>+SUMIFS('Anlage 2b_Korrekturen'!$F:$F,'Anlage 2b_Korrekturen'!$H:$H,'Anlage 2c_Korrekturen_JA'!B$9,'Anlage 2b_Korrekturen'!$A:$A,'Anlage 2c_Korrekturen_JA'!$A25)</f>
        <v>0</v>
      </c>
      <c r="D25" s="896">
        <f>+SUMIFS('Anlage 2b_Korrekturen'!$E:$E,'Anlage 2b_Korrekturen'!$H:$H,'Anlage 2c_Korrekturen_JA'!D$9,'Anlage 2b_Korrekturen'!$A:$A,'Anlage 2c_Korrekturen_JA'!$A25)</f>
        <v>0.39</v>
      </c>
      <c r="E25" s="897">
        <f>+SUMIFS('Anlage 2b_Korrekturen'!$F:$F,'Anlage 2b_Korrekturen'!$H:$H,'Anlage 2c_Korrekturen_JA'!D$9,'Anlage 2b_Korrekturen'!$A:$A,'Anlage 2c_Korrekturen_JA'!$A25)</f>
        <v>0</v>
      </c>
      <c r="F25" s="896">
        <f>+SUMIFS('Anlage 2b_Korrekturen'!$E:$E,'Anlage 2b_Korrekturen'!$H:$H,'Anlage 2c_Korrekturen_JA'!F$9,'Anlage 2b_Korrekturen'!$A:$A,'Anlage 2c_Korrekturen_JA'!$A25)</f>
        <v>0</v>
      </c>
      <c r="G25" s="897">
        <f>+SUMIFS('Anlage 2b_Korrekturen'!$F:$F,'Anlage 2b_Korrekturen'!$H:$H,'Anlage 2c_Korrekturen_JA'!F$9,'Anlage 2b_Korrekturen'!$A:$A,'Anlage 2c_Korrekturen_JA'!$A25)</f>
        <v>0</v>
      </c>
      <c r="H25" s="896">
        <f>+SUMIFS('Anlage 2b_Korrekturen'!$E:$E,'Anlage 2b_Korrekturen'!$H:$H,'Anlage 2c_Korrekturen_JA'!H$9,'Anlage 2b_Korrekturen'!$A:$A,'Anlage 2c_Korrekturen_JA'!$A25)</f>
        <v>0</v>
      </c>
      <c r="I25" s="897">
        <f>+SUMIFS('Anlage 2b_Korrekturen'!$F:$F,'Anlage 2b_Korrekturen'!$H:$H,'Anlage 2c_Korrekturen_JA'!H$9,'Anlage 2b_Korrekturen'!$A:$A,'Anlage 2c_Korrekturen_JA'!$A25)</f>
        <v>0</v>
      </c>
      <c r="J25" s="898">
        <f>+H25+F25+D25+B25</f>
        <v>0.39</v>
      </c>
      <c r="K25" s="897">
        <f>+I25+G25+E25+C25</f>
        <v>0</v>
      </c>
    </row>
    <row r="26" spans="1:12" ht="13.5" thickBot="1">
      <c r="A26" s="946" t="s">
        <v>2047</v>
      </c>
      <c r="B26" s="619">
        <f>+SUM(B12:B23)</f>
        <v>768364.10999999987</v>
      </c>
      <c r="C26" s="620">
        <f t="shared" ref="C26:K26" si="5">+SUM(C12:C23)</f>
        <v>2258656.7600000002</v>
      </c>
      <c r="D26" s="619">
        <f t="shared" si="5"/>
        <v>-109735.21724000025</v>
      </c>
      <c r="E26" s="620">
        <f t="shared" si="5"/>
        <v>-48471.701689999834</v>
      </c>
      <c r="F26" s="619">
        <f t="shared" si="5"/>
        <v>-396259.8372370401</v>
      </c>
      <c r="G26" s="620">
        <f t="shared" si="5"/>
        <v>-933601.71864551981</v>
      </c>
      <c r="H26" s="619">
        <f t="shared" si="5"/>
        <v>1137193.7589999998</v>
      </c>
      <c r="I26" s="620">
        <f t="shared" si="5"/>
        <v>2157736.2789600007</v>
      </c>
      <c r="J26" s="626">
        <f t="shared" si="5"/>
        <v>1399562.8145229591</v>
      </c>
      <c r="K26" s="620">
        <f t="shared" si="5"/>
        <v>3434319.6186244828</v>
      </c>
      <c r="L26" s="621"/>
    </row>
    <row r="28" spans="1:12">
      <c r="D28"/>
      <c r="E28"/>
      <c r="F28"/>
      <c r="G28"/>
      <c r="H28"/>
      <c r="I28"/>
    </row>
    <row r="29" spans="1:12">
      <c r="D29"/>
      <c r="E29"/>
      <c r="F29"/>
      <c r="G29"/>
      <c r="H29"/>
      <c r="I29"/>
    </row>
    <row r="46" ht="31.15" customHeight="1"/>
    <row r="65" spans="4:10">
      <c r="D65"/>
      <c r="F65"/>
      <c r="H65"/>
      <c r="J65"/>
    </row>
  </sheetData>
  <sheetProtection algorithmName="SHA-512" hashValue="BRnhSg2DsTSn19n1CaipOUoJm/k+FUIP6WC/S6KGLEGAGqd73M/B8sIhYrPpsM6w2ojD2YA2kuujEWpbSdQMMg==" saltValue="NJ4KtDay48fzpfRcts7/Cw==" spinCount="100000" sheet="1" objects="1" scenarios="1"/>
  <mergeCells count="6">
    <mergeCell ref="A5:L5"/>
    <mergeCell ref="B9:C9"/>
    <mergeCell ref="D9:E9"/>
    <mergeCell ref="F9:G9"/>
    <mergeCell ref="H9:I9"/>
    <mergeCell ref="J9:K9"/>
  </mergeCells>
  <pageMargins left="0.23622047244094491" right="0.23622047244094491" top="0.74803149606299213" bottom="0.74803149606299213" header="0.31496062992125984" footer="0.31496062992125984"/>
  <pageSetup paperSize="9" scale="97" orientation="landscape" r:id="rId1"/>
  <headerFooter differentOddEven="1" scaleWithDoc="0">
    <oddHeader>&amp;L&amp;G</oddHeader>
    <oddFooter>&amp;R&amp;UAnlage 2c
&amp;USeite &amp;P</oddFooter>
    <evenHeader>&amp;L&amp;G</evenHeader>
    <evenFooter>&amp;R&amp;UAnlage 2c&amp;U
Seite &amp;P</even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6"/>
  <dimension ref="A1:L3618"/>
  <sheetViews>
    <sheetView view="pageLayout" zoomScale="80" zoomScaleNormal="100" zoomScalePageLayoutView="80" workbookViewId="0">
      <selection activeCell="E3598" sqref="E3598"/>
    </sheetView>
  </sheetViews>
  <sheetFormatPr baseColWidth="10" defaultColWidth="2.5703125" defaultRowHeight="12.75" outlineLevelRow="1"/>
  <cols>
    <col min="1" max="1" width="31.42578125" customWidth="1"/>
    <col min="2" max="6" width="29" style="89" customWidth="1"/>
    <col min="7" max="7" width="32.28515625" style="89" customWidth="1"/>
    <col min="8" max="8" width="29" style="89" customWidth="1"/>
    <col min="9" max="9" width="29.5703125" customWidth="1"/>
    <col min="10" max="10" width="17.5703125" customWidth="1"/>
    <col min="11" max="11" width="8.140625" customWidth="1"/>
    <col min="12" max="12" width="11" customWidth="1"/>
  </cols>
  <sheetData>
    <row r="1" spans="1:12" s="128" customFormat="1" ht="18">
      <c r="A1" s="126" t="s">
        <v>2434</v>
      </c>
      <c r="B1" s="127"/>
      <c r="C1" s="127"/>
      <c r="D1" s="127"/>
      <c r="E1" s="127"/>
      <c r="F1" s="127"/>
      <c r="G1" s="127"/>
      <c r="H1" s="127"/>
    </row>
    <row r="3" spans="1:12">
      <c r="A3" s="1733" t="s">
        <v>2435</v>
      </c>
      <c r="B3" s="18"/>
      <c r="C3" s="18"/>
      <c r="D3" s="18"/>
      <c r="E3" s="18"/>
      <c r="F3" s="18"/>
      <c r="G3" s="18"/>
      <c r="H3" s="18"/>
      <c r="I3" s="29">
        <f>'Anlage 1a_Zuschlagszahlungen_NB'!E1</f>
        <v>46280</v>
      </c>
      <c r="J3" s="99"/>
    </row>
    <row r="4" spans="1:12" ht="13.5" thickBot="1">
      <c r="A4" s="8"/>
      <c r="B4" s="18"/>
      <c r="C4" s="18"/>
      <c r="D4" s="18"/>
      <c r="E4" s="18"/>
      <c r="F4" s="18"/>
      <c r="G4" s="18"/>
      <c r="H4" s="18"/>
      <c r="I4" s="8"/>
    </row>
    <row r="5" spans="1:12" s="254" customFormat="1" ht="104.25" customHeight="1">
      <c r="A5" s="490"/>
      <c r="B5" s="488" t="s">
        <v>2436</v>
      </c>
      <c r="C5" s="486" t="s">
        <v>2437</v>
      </c>
      <c r="D5" s="486" t="s">
        <v>2438</v>
      </c>
      <c r="E5" s="486" t="s">
        <v>2439</v>
      </c>
      <c r="F5" s="486" t="s">
        <v>2440</v>
      </c>
      <c r="G5" s="486" t="s">
        <v>2441</v>
      </c>
      <c r="H5" s="487" t="s">
        <v>2442</v>
      </c>
      <c r="I5" s="923" t="s">
        <v>2443</v>
      </c>
      <c r="J5" s="255"/>
    </row>
    <row r="6" spans="1:12" s="8" customFormat="1" ht="13.5" thickBot="1">
      <c r="A6" s="489"/>
      <c r="B6" s="526" t="s">
        <v>2054</v>
      </c>
      <c r="C6" s="525" t="s">
        <v>2054</v>
      </c>
      <c r="D6" s="525" t="s">
        <v>2054</v>
      </c>
      <c r="E6" s="525" t="s">
        <v>2054</v>
      </c>
      <c r="F6" s="525" t="s">
        <v>2054</v>
      </c>
      <c r="G6" s="525" t="s">
        <v>2054</v>
      </c>
      <c r="H6" s="531" t="s">
        <v>2054</v>
      </c>
      <c r="I6" s="924" t="s">
        <v>2054</v>
      </c>
      <c r="J6" s="4"/>
    </row>
    <row r="7" spans="1:12">
      <c r="A7" s="415" t="s">
        <v>455</v>
      </c>
      <c r="B7" s="1697">
        <f>VLOOKUP($A7,'Anlage 1a_Zuschlagszahlungen_NB'!$A$847:$E$1558,5,0)</f>
        <v>267197321.30999979</v>
      </c>
      <c r="C7" s="1696">
        <f>_xlfn.IFNA(VLOOKUP($A7,'Anlage 1b_Abzüge, Pflicht, Boni'!$A$9:$D$67,2,FALSE),0)</f>
        <v>-49160.77</v>
      </c>
      <c r="D7" s="1696">
        <f>_xlfn.IFNA(VLOOKUP(A7,'Anlage 1b_Abzüge, Pflicht, Boni'!$A$9:$D$67,3,FALSE),0)</f>
        <v>3300</v>
      </c>
      <c r="E7" s="405">
        <f>_xlfn.IFNA(VLOOKUP(A7,'Anlage 1b_Abzüge, Pflicht, Boni'!$A$9:$D$67,4,FALSE),0)</f>
        <v>22501200</v>
      </c>
      <c r="F7" s="87">
        <f>SUM(B7:E7)</f>
        <v>289652660.53999978</v>
      </c>
      <c r="G7" s="87">
        <f>SUM(G8:G166)</f>
        <v>32470858.680000011</v>
      </c>
      <c r="H7" s="1694">
        <f>SUM(H8:H166)</f>
        <v>2960</v>
      </c>
      <c r="I7" s="669">
        <f>F7+G7+H7</f>
        <v>322126479.21999979</v>
      </c>
      <c r="J7" s="20"/>
      <c r="K7" s="27"/>
      <c r="L7" s="27"/>
    </row>
    <row r="8" spans="1:12" hidden="1" outlineLevel="1">
      <c r="A8" s="374" t="s">
        <v>456</v>
      </c>
      <c r="B8" s="491">
        <f>VLOOKUP($A8,'Anlage 1a_Zuschlagszahlungen_NB'!$A$847:$E$1558,5,0)</f>
        <v>72501.8</v>
      </c>
      <c r="C8" s="667">
        <f>_xlfn.IFNA(VLOOKUP($A8,'Anlage 1b_Abzüge, Pflicht, Boni'!$A$9:$D$67,2,FALSE),0)</f>
        <v>0</v>
      </c>
      <c r="D8" s="667">
        <f>_xlfn.IFNA(VLOOKUP(A8,'Anlage 1b_Abzüge, Pflicht, Boni'!$A$9:$D$67,3,FALSE),0)</f>
        <v>0</v>
      </c>
      <c r="E8" s="667">
        <f>_xlfn.IFNA(VLOOKUP(A8,'Anlage 1b_Abzüge, Pflicht, Boni'!$A$9:$D$67,4,FALSE),0)</f>
        <v>0</v>
      </c>
      <c r="F8" s="87">
        <f t="shared" ref="F8:F156" si="0">SUM(B8:E8)</f>
        <v>72501.8</v>
      </c>
      <c r="G8" s="88">
        <f>SUMIFS('Anlage 1c_Korrekturen_NB'!$L$11:$L$103,'Anlage 1c_Korrekturen_NB'!$A$11:$A$103,'Anlage 3a_Zusammenfassung_KWKG'!$A8)</f>
        <v>0</v>
      </c>
      <c r="H8" s="134">
        <f>SUMIFS('Anlage 1c_Korrekturen_NB'!$D$622:$D$624,'Anlage 1c_Korrekturen_NB'!$A$622:$A$624,'Anlage 3a_Zusammenfassung_KWKG'!$A8)</f>
        <v>0</v>
      </c>
      <c r="I8" s="669">
        <f t="shared" ref="I8:I38" si="1">G8+H8</f>
        <v>0</v>
      </c>
      <c r="J8" s="20" t="s">
        <v>457</v>
      </c>
      <c r="K8" s="27"/>
      <c r="L8" s="27"/>
    </row>
    <row r="9" spans="1:12" hidden="1" outlineLevel="1">
      <c r="A9" s="408" t="s">
        <v>458</v>
      </c>
      <c r="B9" s="1698">
        <f>VLOOKUP($A9,'Anlage 1a_Zuschlagszahlungen_NB'!$A$847:$E$1558,5,0)</f>
        <v>29288.32</v>
      </c>
      <c r="C9" s="667">
        <f>_xlfn.IFNA(VLOOKUP($A9,'Anlage 1b_Abzüge, Pflicht, Boni'!$A$9:$D$67,2,FALSE),0)</f>
        <v>0</v>
      </c>
      <c r="D9" s="667">
        <f>_xlfn.IFNA(VLOOKUP(A9,'Anlage 1b_Abzüge, Pflicht, Boni'!$A$9:$D$67,3,FALSE),0)</f>
        <v>0</v>
      </c>
      <c r="E9" s="667">
        <f>_xlfn.IFNA(VLOOKUP(A9,'Anlage 1b_Abzüge, Pflicht, Boni'!$A$9:$D$67,4,FALSE),0)</f>
        <v>0</v>
      </c>
      <c r="F9" s="88">
        <f t="shared" ref="F9:F40" si="2">SUM(B9:E9)</f>
        <v>29288.32</v>
      </c>
      <c r="G9" s="88">
        <f>SUMIFS('Anlage 1c_Korrekturen_NB'!$L$11:$L$103,'Anlage 1c_Korrekturen_NB'!$A$11:$A$103,'Anlage 3a_Zusammenfassung_KWKG'!$A9)</f>
        <v>0</v>
      </c>
      <c r="H9" s="134">
        <f>SUMIFS('Anlage 1c_Korrekturen_NB'!$D$622:$D$624,'Anlage 1c_Korrekturen_NB'!$A$622:$A$624,'Anlage 3a_Zusammenfassung_KWKG'!$A9)</f>
        <v>0</v>
      </c>
      <c r="I9" s="925">
        <f t="shared" si="1"/>
        <v>0</v>
      </c>
      <c r="J9" s="91" t="s">
        <v>459</v>
      </c>
      <c r="K9" s="12"/>
      <c r="L9" s="12"/>
    </row>
    <row r="10" spans="1:12" hidden="1" outlineLevel="1">
      <c r="A10" s="408" t="s">
        <v>460</v>
      </c>
      <c r="B10" s="1698">
        <f>VLOOKUP($A10,'Anlage 1a_Zuschlagszahlungen_NB'!$A$847:$E$1558,5,0)</f>
        <v>11066804.680000002</v>
      </c>
      <c r="C10" s="667">
        <f>_xlfn.IFNA(VLOOKUP($A10,'Anlage 1b_Abzüge, Pflicht, Boni'!$A$9:$D$67,2,FALSE),0)</f>
        <v>0</v>
      </c>
      <c r="D10" s="667">
        <f>_xlfn.IFNA(VLOOKUP(A10,'Anlage 1b_Abzüge, Pflicht, Boni'!$A$9:$D$67,3,FALSE),0)</f>
        <v>0</v>
      </c>
      <c r="E10" s="667">
        <f>_xlfn.IFNA(VLOOKUP(A10,'Anlage 1b_Abzüge, Pflicht, Boni'!$A$9:$D$67,4,FALSE),0)</f>
        <v>0</v>
      </c>
      <c r="F10" s="88">
        <f t="shared" si="2"/>
        <v>11066804.680000002</v>
      </c>
      <c r="G10" s="88">
        <f>SUMIFS('Anlage 1c_Korrekturen_NB'!$L$11:$L$103,'Anlage 1c_Korrekturen_NB'!$A$11:$A$103,'Anlage 3a_Zusammenfassung_KWKG'!$A10)</f>
        <v>0</v>
      </c>
      <c r="H10" s="134">
        <f>SUMIFS('Anlage 1c_Korrekturen_NB'!$D$622:$D$624,'Anlage 1c_Korrekturen_NB'!$A$622:$A$624,'Anlage 3a_Zusammenfassung_KWKG'!$A10)</f>
        <v>0</v>
      </c>
      <c r="I10" s="925">
        <f t="shared" si="1"/>
        <v>0</v>
      </c>
      <c r="J10" s="91" t="s">
        <v>461</v>
      </c>
      <c r="K10" s="12"/>
      <c r="L10" s="12"/>
    </row>
    <row r="11" spans="1:12" hidden="1" outlineLevel="1">
      <c r="A11" s="408" t="s">
        <v>462</v>
      </c>
      <c r="B11" s="1698">
        <f>VLOOKUP($A11,'Anlage 1a_Zuschlagszahlungen_NB'!$A$847:$E$1558,5,0)</f>
        <v>1122.6300000000001</v>
      </c>
      <c r="C11" s="667">
        <f>_xlfn.IFNA(VLOOKUP($A11,'Anlage 1b_Abzüge, Pflicht, Boni'!$A$9:$D$67,2,FALSE),0)</f>
        <v>0</v>
      </c>
      <c r="D11" s="667">
        <f>_xlfn.IFNA(VLOOKUP(A11,'Anlage 1b_Abzüge, Pflicht, Boni'!$A$9:$D$67,3,FALSE),0)</f>
        <v>0</v>
      </c>
      <c r="E11" s="667">
        <f>_xlfn.IFNA(VLOOKUP(A11,'Anlage 1b_Abzüge, Pflicht, Boni'!$A$9:$D$67,4,FALSE),0)</f>
        <v>0</v>
      </c>
      <c r="F11" s="88">
        <f t="shared" si="2"/>
        <v>1122.6300000000001</v>
      </c>
      <c r="G11" s="88">
        <f>SUMIFS('Anlage 1c_Korrekturen_NB'!$L$11:$L$103,'Anlage 1c_Korrekturen_NB'!$A$11:$A$103,'Anlage 3a_Zusammenfassung_KWKG'!$A11)</f>
        <v>0</v>
      </c>
      <c r="H11" s="134">
        <f>SUMIFS('Anlage 1c_Korrekturen_NB'!$D$622:$D$624,'Anlage 1c_Korrekturen_NB'!$A$622:$A$624,'Anlage 3a_Zusammenfassung_KWKG'!$A11)</f>
        <v>0</v>
      </c>
      <c r="I11" s="925">
        <f t="shared" si="1"/>
        <v>0</v>
      </c>
      <c r="J11" s="91" t="s">
        <v>463</v>
      </c>
      <c r="K11" s="12"/>
      <c r="L11" s="12"/>
    </row>
    <row r="12" spans="1:12" hidden="1" outlineLevel="1">
      <c r="A12" s="408" t="s">
        <v>464</v>
      </c>
      <c r="B12" s="1698">
        <f>VLOOKUP($A12,'Anlage 1a_Zuschlagszahlungen_NB'!$A$847:$E$1558,5,0)</f>
        <v>590584.1</v>
      </c>
      <c r="C12" s="667">
        <f>_xlfn.IFNA(VLOOKUP($A12,'Anlage 1b_Abzüge, Pflicht, Boni'!$A$9:$D$67,2,FALSE),0)</f>
        <v>0</v>
      </c>
      <c r="D12" s="667">
        <f>_xlfn.IFNA(VLOOKUP(A12,'Anlage 1b_Abzüge, Pflicht, Boni'!$A$9:$D$67,3,FALSE),0)</f>
        <v>0</v>
      </c>
      <c r="E12" s="667">
        <f>_xlfn.IFNA(VLOOKUP(A12,'Anlage 1b_Abzüge, Pflicht, Boni'!$A$9:$D$67,4,FALSE),0)</f>
        <v>0</v>
      </c>
      <c r="F12" s="88">
        <f t="shared" si="2"/>
        <v>590584.1</v>
      </c>
      <c r="G12" s="88">
        <f>SUMIFS('Anlage 1c_Korrekturen_NB'!$L$11:$L$103,'Anlage 1c_Korrekturen_NB'!$A$11:$A$103,'Anlage 3a_Zusammenfassung_KWKG'!$A12)</f>
        <v>0</v>
      </c>
      <c r="H12" s="134">
        <f>SUMIFS('Anlage 1c_Korrekturen_NB'!$D$622:$D$624,'Anlage 1c_Korrekturen_NB'!$A$622:$A$624,'Anlage 3a_Zusammenfassung_KWKG'!$A12)</f>
        <v>0</v>
      </c>
      <c r="I12" s="925">
        <f t="shared" si="1"/>
        <v>0</v>
      </c>
      <c r="J12" s="91" t="s">
        <v>465</v>
      </c>
      <c r="K12" s="12"/>
      <c r="L12" s="12"/>
    </row>
    <row r="13" spans="1:12" hidden="1" outlineLevel="1">
      <c r="A13" s="408" t="s">
        <v>466</v>
      </c>
      <c r="B13" s="1698">
        <f>VLOOKUP($A13,'Anlage 1a_Zuschlagszahlungen_NB'!$A$847:$E$1558,5,0)</f>
        <v>6465887.0099999998</v>
      </c>
      <c r="C13" s="667">
        <f>_xlfn.IFNA(VLOOKUP($A13,'Anlage 1b_Abzüge, Pflicht, Boni'!$A$9:$D$67,2,FALSE),0)</f>
        <v>0</v>
      </c>
      <c r="D13" s="667">
        <f>_xlfn.IFNA(VLOOKUP(A13,'Anlage 1b_Abzüge, Pflicht, Boni'!$A$9:$D$67,3,FALSE),0)</f>
        <v>0</v>
      </c>
      <c r="E13" s="667">
        <f>_xlfn.IFNA(VLOOKUP(A13,'Anlage 1b_Abzüge, Pflicht, Boni'!$A$9:$D$67,4,FALSE),0)</f>
        <v>0</v>
      </c>
      <c r="F13" s="88">
        <f t="shared" si="2"/>
        <v>6465887.0099999998</v>
      </c>
      <c r="G13" s="88">
        <f>SUMIFS('Anlage 1c_Korrekturen_NB'!$L$11:$L$103,'Anlage 1c_Korrekturen_NB'!$A$11:$A$103,'Anlage 3a_Zusammenfassung_KWKG'!$A13)</f>
        <v>0</v>
      </c>
      <c r="H13" s="134">
        <f>SUMIFS('Anlage 1c_Korrekturen_NB'!$D$622:$D$624,'Anlage 1c_Korrekturen_NB'!$A$622:$A$624,'Anlage 3a_Zusammenfassung_KWKG'!$A13)</f>
        <v>0</v>
      </c>
      <c r="I13" s="925">
        <f t="shared" si="1"/>
        <v>0</v>
      </c>
      <c r="J13" s="91" t="s">
        <v>467</v>
      </c>
      <c r="K13" s="12"/>
      <c r="L13" s="12"/>
    </row>
    <row r="14" spans="1:12" hidden="1" outlineLevel="1">
      <c r="A14" s="408" t="s">
        <v>468</v>
      </c>
      <c r="B14" s="1698">
        <f>VLOOKUP($A14,'Anlage 1a_Zuschlagszahlungen_NB'!$A$847:$E$1558,5,0)</f>
        <v>37821.33</v>
      </c>
      <c r="C14" s="667">
        <f>_xlfn.IFNA(VLOOKUP($A14,'Anlage 1b_Abzüge, Pflicht, Boni'!$A$9:$D$67,2,FALSE),0)</f>
        <v>0</v>
      </c>
      <c r="D14" s="667">
        <f>_xlfn.IFNA(VLOOKUP(A14,'Anlage 1b_Abzüge, Pflicht, Boni'!$A$9:$D$67,3,FALSE),0)</f>
        <v>0</v>
      </c>
      <c r="E14" s="667">
        <f>_xlfn.IFNA(VLOOKUP(A14,'Anlage 1b_Abzüge, Pflicht, Boni'!$A$9:$D$67,4,FALSE),0)</f>
        <v>0</v>
      </c>
      <c r="F14" s="88">
        <f t="shared" si="2"/>
        <v>37821.33</v>
      </c>
      <c r="G14" s="88">
        <f>SUMIFS('Anlage 1c_Korrekturen_NB'!$L$11:$L$103,'Anlage 1c_Korrekturen_NB'!$A$11:$A$103,'Anlage 3a_Zusammenfassung_KWKG'!$A14)</f>
        <v>0</v>
      </c>
      <c r="H14" s="134">
        <f>SUMIFS('Anlage 1c_Korrekturen_NB'!$D$622:$D$624,'Anlage 1c_Korrekturen_NB'!$A$622:$A$624,'Anlage 3a_Zusammenfassung_KWKG'!$A14)</f>
        <v>0</v>
      </c>
      <c r="I14" s="925">
        <f t="shared" si="1"/>
        <v>0</v>
      </c>
      <c r="J14" s="91" t="s">
        <v>469</v>
      </c>
      <c r="K14" s="12"/>
      <c r="L14" s="12"/>
    </row>
    <row r="15" spans="1:12" hidden="1" outlineLevel="1">
      <c r="A15" s="408" t="s">
        <v>470</v>
      </c>
      <c r="B15" s="1698">
        <f>VLOOKUP($A15,'Anlage 1a_Zuschlagszahlungen_NB'!$A$847:$E$1558,5,0)</f>
        <v>350920.02999999997</v>
      </c>
      <c r="C15" s="667">
        <f>_xlfn.IFNA(VLOOKUP($A15,'Anlage 1b_Abzüge, Pflicht, Boni'!$A$9:$D$67,2,FALSE),0)</f>
        <v>0</v>
      </c>
      <c r="D15" s="667">
        <f>_xlfn.IFNA(VLOOKUP(A15,'Anlage 1b_Abzüge, Pflicht, Boni'!$A$9:$D$67,3,FALSE),0)</f>
        <v>0</v>
      </c>
      <c r="E15" s="667">
        <f>_xlfn.IFNA(VLOOKUP(A15,'Anlage 1b_Abzüge, Pflicht, Boni'!$A$9:$D$67,4,FALSE),0)</f>
        <v>0</v>
      </c>
      <c r="F15" s="88">
        <f t="shared" si="2"/>
        <v>350920.02999999997</v>
      </c>
      <c r="G15" s="88">
        <f>SUMIFS('Anlage 1c_Korrekturen_NB'!$L$11:$L$103,'Anlage 1c_Korrekturen_NB'!$A$11:$A$103,'Anlage 3a_Zusammenfassung_KWKG'!$A15)</f>
        <v>1458.4699999999998</v>
      </c>
      <c r="H15" s="134">
        <f>SUMIFS('Anlage 1c_Korrekturen_NB'!$D$622:$D$624,'Anlage 1c_Korrekturen_NB'!$A$622:$A$624,'Anlage 3a_Zusammenfassung_KWKG'!$A15)</f>
        <v>0</v>
      </c>
      <c r="I15" s="925">
        <f t="shared" si="1"/>
        <v>1458.4699999999998</v>
      </c>
      <c r="J15" s="91" t="s">
        <v>471</v>
      </c>
      <c r="K15" s="12"/>
      <c r="L15" s="12"/>
    </row>
    <row r="16" spans="1:12" hidden="1" outlineLevel="1">
      <c r="A16" s="408" t="s">
        <v>472</v>
      </c>
      <c r="B16" s="1698">
        <f>VLOOKUP($A16,'Anlage 1a_Zuschlagszahlungen_NB'!$A$847:$E$1558,5,0)</f>
        <v>1326111.1200000001</v>
      </c>
      <c r="C16" s="667">
        <f>_xlfn.IFNA(VLOOKUP($A16,'Anlage 1b_Abzüge, Pflicht, Boni'!$A$9:$D$67,2,FALSE),0)</f>
        <v>0</v>
      </c>
      <c r="D16" s="667">
        <f>_xlfn.IFNA(VLOOKUP(A16,'Anlage 1b_Abzüge, Pflicht, Boni'!$A$9:$D$67,3,FALSE),0)</f>
        <v>0</v>
      </c>
      <c r="E16" s="667">
        <f>_xlfn.IFNA(VLOOKUP(A16,'Anlage 1b_Abzüge, Pflicht, Boni'!$A$9:$D$67,4,FALSE),0)</f>
        <v>0</v>
      </c>
      <c r="F16" s="88">
        <f t="shared" si="2"/>
        <v>1326111.1200000001</v>
      </c>
      <c r="G16" s="88">
        <f>SUMIFS('Anlage 1c_Korrekturen_NB'!$L$11:$L$103,'Anlage 1c_Korrekturen_NB'!$A$11:$A$103,'Anlage 3a_Zusammenfassung_KWKG'!$A16)</f>
        <v>5261.44</v>
      </c>
      <c r="H16" s="134">
        <f>SUMIFS('Anlage 1c_Korrekturen_NB'!$D$622:$D$624,'Anlage 1c_Korrekturen_NB'!$A$622:$A$624,'Anlage 3a_Zusammenfassung_KWKG'!$A16)</f>
        <v>0</v>
      </c>
      <c r="I16" s="925">
        <f t="shared" si="1"/>
        <v>5261.44</v>
      </c>
      <c r="J16" s="91" t="s">
        <v>473</v>
      </c>
      <c r="K16" s="12"/>
      <c r="L16" s="12"/>
    </row>
    <row r="17" spans="1:12" hidden="1" outlineLevel="1">
      <c r="A17" s="408" t="s">
        <v>474</v>
      </c>
      <c r="B17" s="1698">
        <f>VLOOKUP($A17,'Anlage 1a_Zuschlagszahlungen_NB'!$A$847:$E$1558,5,0)</f>
        <v>2251.06</v>
      </c>
      <c r="C17" s="667">
        <f>_xlfn.IFNA(VLOOKUP($A17,'Anlage 1b_Abzüge, Pflicht, Boni'!$A$9:$D$67,2,FALSE),0)</f>
        <v>0</v>
      </c>
      <c r="D17" s="667">
        <f>_xlfn.IFNA(VLOOKUP(A17,'Anlage 1b_Abzüge, Pflicht, Boni'!$A$9:$D$67,3,FALSE),0)</f>
        <v>0</v>
      </c>
      <c r="E17" s="667">
        <f>_xlfn.IFNA(VLOOKUP(A17,'Anlage 1b_Abzüge, Pflicht, Boni'!$A$9:$D$67,4,FALSE),0)</f>
        <v>0</v>
      </c>
      <c r="F17" s="88">
        <f t="shared" si="2"/>
        <v>2251.06</v>
      </c>
      <c r="G17" s="88">
        <f>SUMIFS('Anlage 1c_Korrekturen_NB'!$L$11:$L$103,'Anlage 1c_Korrekturen_NB'!$A$11:$A$103,'Anlage 3a_Zusammenfassung_KWKG'!$A17)</f>
        <v>0</v>
      </c>
      <c r="H17" s="134">
        <f>SUMIFS('Anlage 1c_Korrekturen_NB'!$D$622:$D$624,'Anlage 1c_Korrekturen_NB'!$A$622:$A$624,'Anlage 3a_Zusammenfassung_KWKG'!$A17)</f>
        <v>0</v>
      </c>
      <c r="I17" s="925">
        <f t="shared" si="1"/>
        <v>0</v>
      </c>
      <c r="J17" s="91" t="s">
        <v>475</v>
      </c>
      <c r="K17" s="12"/>
      <c r="L17" s="12"/>
    </row>
    <row r="18" spans="1:12" hidden="1" outlineLevel="1">
      <c r="A18" s="408" t="s">
        <v>476</v>
      </c>
      <c r="B18" s="1698">
        <f>VLOOKUP($A18,'Anlage 1a_Zuschlagszahlungen_NB'!$A$847:$E$1558,5,0)</f>
        <v>1517682.45</v>
      </c>
      <c r="C18" s="667">
        <f>_xlfn.IFNA(VLOOKUP($A18,'Anlage 1b_Abzüge, Pflicht, Boni'!$A$9:$D$67,2,FALSE),0)</f>
        <v>0</v>
      </c>
      <c r="D18" s="667">
        <f>_xlfn.IFNA(VLOOKUP(A18,'Anlage 1b_Abzüge, Pflicht, Boni'!$A$9:$D$67,3,FALSE),0)</f>
        <v>0</v>
      </c>
      <c r="E18" s="667">
        <f>_xlfn.IFNA(VLOOKUP(A18,'Anlage 1b_Abzüge, Pflicht, Boni'!$A$9:$D$67,4,FALSE),0)</f>
        <v>0</v>
      </c>
      <c r="F18" s="88">
        <f t="shared" si="2"/>
        <v>1517682.45</v>
      </c>
      <c r="G18" s="88">
        <f>SUMIFS('Anlage 1c_Korrekturen_NB'!$L$11:$L$103,'Anlage 1c_Korrekturen_NB'!$A$11:$A$103,'Anlage 3a_Zusammenfassung_KWKG'!$A18)</f>
        <v>0</v>
      </c>
      <c r="H18" s="134">
        <f>SUMIFS('Anlage 1c_Korrekturen_NB'!$D$622:$D$624,'Anlage 1c_Korrekturen_NB'!$A$622:$A$624,'Anlage 3a_Zusammenfassung_KWKG'!$A18)</f>
        <v>0</v>
      </c>
      <c r="I18" s="925">
        <f t="shared" si="1"/>
        <v>0</v>
      </c>
      <c r="J18" s="91" t="s">
        <v>477</v>
      </c>
      <c r="K18" s="12"/>
      <c r="L18" s="12"/>
    </row>
    <row r="19" spans="1:12" hidden="1" outlineLevel="1">
      <c r="A19" s="408" t="s">
        <v>478</v>
      </c>
      <c r="B19" s="1698">
        <f>VLOOKUP($A19,'Anlage 1a_Zuschlagszahlungen_NB'!$A$847:$E$1558,5,0)</f>
        <v>826.54</v>
      </c>
      <c r="C19" s="667">
        <f>_xlfn.IFNA(VLOOKUP($A19,'Anlage 1b_Abzüge, Pflicht, Boni'!$A$9:$D$67,2,FALSE),0)</f>
        <v>0</v>
      </c>
      <c r="D19" s="667">
        <f>_xlfn.IFNA(VLOOKUP(A19,'Anlage 1b_Abzüge, Pflicht, Boni'!$A$9:$D$67,3,FALSE),0)</f>
        <v>0</v>
      </c>
      <c r="E19" s="667">
        <f>_xlfn.IFNA(VLOOKUP(A19,'Anlage 1b_Abzüge, Pflicht, Boni'!$A$9:$D$67,4,FALSE),0)</f>
        <v>0</v>
      </c>
      <c r="F19" s="88">
        <f t="shared" si="2"/>
        <v>826.54</v>
      </c>
      <c r="G19" s="88">
        <f>SUMIFS('Anlage 1c_Korrekturen_NB'!$L$11:$L$103,'Anlage 1c_Korrekturen_NB'!$A$11:$A$103,'Anlage 3a_Zusammenfassung_KWKG'!$A19)</f>
        <v>0</v>
      </c>
      <c r="H19" s="134">
        <f>SUMIFS('Anlage 1c_Korrekturen_NB'!$D$622:$D$624,'Anlage 1c_Korrekturen_NB'!$A$622:$A$624,'Anlage 3a_Zusammenfassung_KWKG'!$A19)</f>
        <v>0</v>
      </c>
      <c r="I19" s="925">
        <f t="shared" si="1"/>
        <v>0</v>
      </c>
      <c r="J19" s="91" t="s">
        <v>479</v>
      </c>
      <c r="K19" s="12"/>
      <c r="L19" s="12"/>
    </row>
    <row r="20" spans="1:12" hidden="1" outlineLevel="1">
      <c r="A20" s="408" t="s">
        <v>480</v>
      </c>
      <c r="B20" s="1698">
        <f>VLOOKUP($A20,'Anlage 1a_Zuschlagszahlungen_NB'!$A$847:$E$1558,5,0)</f>
        <v>0</v>
      </c>
      <c r="C20" s="667">
        <f>_xlfn.IFNA(VLOOKUP($A20,'Anlage 1b_Abzüge, Pflicht, Boni'!$A$9:$D$67,2,FALSE),0)</f>
        <v>0</v>
      </c>
      <c r="D20" s="667">
        <f>_xlfn.IFNA(VLOOKUP(A20,'Anlage 1b_Abzüge, Pflicht, Boni'!$A$9:$D$67,3,FALSE),0)</f>
        <v>0</v>
      </c>
      <c r="E20" s="667">
        <f>_xlfn.IFNA(VLOOKUP(A20,'Anlage 1b_Abzüge, Pflicht, Boni'!$A$9:$D$67,4,FALSE),0)</f>
        <v>0</v>
      </c>
      <c r="F20" s="88">
        <f t="shared" si="2"/>
        <v>0</v>
      </c>
      <c r="G20" s="88">
        <f>SUMIFS('Anlage 1c_Korrekturen_NB'!$L$11:$L$103,'Anlage 1c_Korrekturen_NB'!$A$11:$A$103,'Anlage 3a_Zusammenfassung_KWKG'!$A20)</f>
        <v>0</v>
      </c>
      <c r="H20" s="134">
        <f>SUMIFS('Anlage 1c_Korrekturen_NB'!$D$622:$D$624,'Anlage 1c_Korrekturen_NB'!$A$622:$A$624,'Anlage 3a_Zusammenfassung_KWKG'!$A20)</f>
        <v>0</v>
      </c>
      <c r="I20" s="925">
        <f t="shared" si="1"/>
        <v>0</v>
      </c>
      <c r="J20" s="91" t="s">
        <v>481</v>
      </c>
      <c r="K20" s="12"/>
      <c r="L20" s="12"/>
    </row>
    <row r="21" spans="1:12" hidden="1" outlineLevel="1">
      <c r="A21" s="408" t="s">
        <v>482</v>
      </c>
      <c r="B21" s="1698">
        <f>VLOOKUP($A21,'Anlage 1a_Zuschlagszahlungen_NB'!$A$847:$E$1558,5,0)</f>
        <v>1471217.02</v>
      </c>
      <c r="C21" s="667">
        <f>_xlfn.IFNA(VLOOKUP($A21,'Anlage 1b_Abzüge, Pflicht, Boni'!$A$9:$D$67,2,FALSE),0)</f>
        <v>0</v>
      </c>
      <c r="D21" s="667">
        <f>_xlfn.IFNA(VLOOKUP(A21,'Anlage 1b_Abzüge, Pflicht, Boni'!$A$9:$D$67,3,FALSE),0)</f>
        <v>0</v>
      </c>
      <c r="E21" s="667">
        <f>_xlfn.IFNA(VLOOKUP(A21,'Anlage 1b_Abzüge, Pflicht, Boni'!$A$9:$D$67,4,FALSE),0)</f>
        <v>0</v>
      </c>
      <c r="F21" s="88">
        <f t="shared" si="2"/>
        <v>1471217.02</v>
      </c>
      <c r="G21" s="88">
        <f>SUMIFS('Anlage 1c_Korrekturen_NB'!$L$11:$L$103,'Anlage 1c_Korrekturen_NB'!$A$11:$A$103,'Anlage 3a_Zusammenfassung_KWKG'!$A21)</f>
        <v>0</v>
      </c>
      <c r="H21" s="134">
        <f>SUMIFS('Anlage 1c_Korrekturen_NB'!$D$622:$D$624,'Anlage 1c_Korrekturen_NB'!$A$622:$A$624,'Anlage 3a_Zusammenfassung_KWKG'!$A21)</f>
        <v>0</v>
      </c>
      <c r="I21" s="925">
        <f t="shared" si="1"/>
        <v>0</v>
      </c>
      <c r="J21" s="91" t="s">
        <v>483</v>
      </c>
      <c r="K21" s="12"/>
      <c r="L21" s="12"/>
    </row>
    <row r="22" spans="1:12" hidden="1" outlineLevel="1">
      <c r="A22" s="408" t="s">
        <v>484</v>
      </c>
      <c r="B22" s="1698">
        <f>VLOOKUP($A22,'Anlage 1a_Zuschlagszahlungen_NB'!$A$847:$E$1558,5,0)</f>
        <v>40805500.089999981</v>
      </c>
      <c r="C22" s="667">
        <f>_xlfn.IFNA(VLOOKUP($A22,'Anlage 1b_Abzüge, Pflicht, Boni'!$A$9:$D$67,2,FALSE),0)</f>
        <v>-1904.5500000000002</v>
      </c>
      <c r="D22" s="667">
        <f>_xlfn.IFNA(VLOOKUP(A22,'Anlage 1b_Abzüge, Pflicht, Boni'!$A$9:$D$67,3,FALSE),0)</f>
        <v>0</v>
      </c>
      <c r="E22" s="667">
        <f>_xlfn.IFNA(VLOOKUP(A22,'Anlage 1b_Abzüge, Pflicht, Boni'!$A$9:$D$67,4,FALSE),0)</f>
        <v>0</v>
      </c>
      <c r="F22" s="88">
        <f t="shared" si="2"/>
        <v>40803595.539999984</v>
      </c>
      <c r="G22" s="88">
        <f>SUMIFS('Anlage 1c_Korrekturen_NB'!$L$11:$L$103,'Anlage 1c_Korrekturen_NB'!$A$11:$A$103,'Anlage 3a_Zusammenfassung_KWKG'!$A22)</f>
        <v>5278311.3800000008</v>
      </c>
      <c r="H22" s="134">
        <f>SUMIFS('Anlage 1c_Korrekturen_NB'!$D$622:$D$624,'Anlage 1c_Korrekturen_NB'!$A$622:$A$624,'Anlage 3a_Zusammenfassung_KWKG'!$A22)</f>
        <v>0</v>
      </c>
      <c r="I22" s="925">
        <f t="shared" si="1"/>
        <v>5278311.3800000008</v>
      </c>
      <c r="J22" s="91" t="s">
        <v>485</v>
      </c>
      <c r="K22" s="12"/>
      <c r="L22" s="12"/>
    </row>
    <row r="23" spans="1:12" hidden="1" outlineLevel="1">
      <c r="A23" s="408" t="s">
        <v>486</v>
      </c>
      <c r="B23" s="1698">
        <f>VLOOKUP($A23,'Anlage 1a_Zuschlagszahlungen_NB'!$A$847:$E$1558,5,0)</f>
        <v>19765623.289999992</v>
      </c>
      <c r="C23" s="667">
        <f>_xlfn.IFNA(VLOOKUP($A23,'Anlage 1b_Abzüge, Pflicht, Boni'!$A$9:$D$67,2,FALSE),0)</f>
        <v>0</v>
      </c>
      <c r="D23" s="667">
        <f>_xlfn.IFNA(VLOOKUP(A23,'Anlage 1b_Abzüge, Pflicht, Boni'!$A$9:$D$67,3,FALSE),0)</f>
        <v>0</v>
      </c>
      <c r="E23" s="667">
        <f>_xlfn.IFNA(VLOOKUP(A23,'Anlage 1b_Abzüge, Pflicht, Boni'!$A$9:$D$67,4,FALSE),0)</f>
        <v>16038900</v>
      </c>
      <c r="F23" s="88">
        <f t="shared" si="2"/>
        <v>35804523.289999992</v>
      </c>
      <c r="G23" s="88">
        <f>SUMIFS('Anlage 1c_Korrekturen_NB'!$L$11:$L$103,'Anlage 1c_Korrekturen_NB'!$A$11:$A$103,'Anlage 3a_Zusammenfassung_KWKG'!$A23)</f>
        <v>2095006.5999999999</v>
      </c>
      <c r="H23" s="134">
        <f>SUMIFS('Anlage 1c_Korrekturen_NB'!$D$622:$D$624,'Anlage 1c_Korrekturen_NB'!$A$622:$A$624,'Anlage 3a_Zusammenfassung_KWKG'!$A23)</f>
        <v>0</v>
      </c>
      <c r="I23" s="925">
        <f t="shared" si="1"/>
        <v>2095006.5999999999</v>
      </c>
      <c r="J23" s="91" t="s">
        <v>487</v>
      </c>
      <c r="K23" s="12"/>
      <c r="L23" s="12"/>
    </row>
    <row r="24" spans="1:12" hidden="1" outlineLevel="1">
      <c r="A24" s="408" t="s">
        <v>488</v>
      </c>
      <c r="B24" s="1698">
        <f>VLOOKUP($A24,'Anlage 1a_Zuschlagszahlungen_NB'!$A$847:$E$1558,5,0)</f>
        <v>6217900.04</v>
      </c>
      <c r="C24" s="667">
        <f>_xlfn.IFNA(VLOOKUP($A24,'Anlage 1b_Abzüge, Pflicht, Boni'!$A$9:$D$67,2,FALSE),0)</f>
        <v>0</v>
      </c>
      <c r="D24" s="667">
        <f>_xlfn.IFNA(VLOOKUP(A24,'Anlage 1b_Abzüge, Pflicht, Boni'!$A$9:$D$67,3,FALSE),0)</f>
        <v>0</v>
      </c>
      <c r="E24" s="667">
        <f>_xlfn.IFNA(VLOOKUP(A24,'Anlage 1b_Abzüge, Pflicht, Boni'!$A$9:$D$67,4,FALSE),0)</f>
        <v>0</v>
      </c>
      <c r="F24" s="88">
        <f t="shared" si="2"/>
        <v>6217900.04</v>
      </c>
      <c r="G24" s="88">
        <f>SUMIFS('Anlage 1c_Korrekturen_NB'!$L$11:$L$103,'Anlage 1c_Korrekturen_NB'!$A$11:$A$103,'Anlage 3a_Zusammenfassung_KWKG'!$A24)</f>
        <v>10109523.16</v>
      </c>
      <c r="H24" s="134">
        <f>SUMIFS('Anlage 1c_Korrekturen_NB'!$D$622:$D$624,'Anlage 1c_Korrekturen_NB'!$A$622:$A$624,'Anlage 3a_Zusammenfassung_KWKG'!$A24)</f>
        <v>0</v>
      </c>
      <c r="I24" s="925">
        <f t="shared" si="1"/>
        <v>10109523.16</v>
      </c>
      <c r="J24" s="91" t="s">
        <v>489</v>
      </c>
      <c r="K24" s="12"/>
      <c r="L24" s="12"/>
    </row>
    <row r="25" spans="1:12" hidden="1" outlineLevel="1">
      <c r="A25" s="408" t="s">
        <v>490</v>
      </c>
      <c r="B25" s="1698">
        <f>VLOOKUP($A25,'Anlage 1a_Zuschlagszahlungen_NB'!$A$847:$E$1558,5,0)</f>
        <v>53881.240000000005</v>
      </c>
      <c r="C25" s="667">
        <f>_xlfn.IFNA(VLOOKUP($A25,'Anlage 1b_Abzüge, Pflicht, Boni'!$A$9:$D$67,2,FALSE),0)</f>
        <v>-8</v>
      </c>
      <c r="D25" s="667">
        <f>_xlfn.IFNA(VLOOKUP(A25,'Anlage 1b_Abzüge, Pflicht, Boni'!$A$9:$D$67,3,FALSE),0)</f>
        <v>0</v>
      </c>
      <c r="E25" s="667">
        <f>_xlfn.IFNA(VLOOKUP(A25,'Anlage 1b_Abzüge, Pflicht, Boni'!$A$9:$D$67,4,FALSE),0)</f>
        <v>0</v>
      </c>
      <c r="F25" s="88">
        <f t="shared" si="2"/>
        <v>53873.240000000005</v>
      </c>
      <c r="G25" s="88">
        <f>SUMIFS('Anlage 1c_Korrekturen_NB'!$L$11:$L$103,'Anlage 1c_Korrekturen_NB'!$A$11:$A$103,'Anlage 3a_Zusammenfassung_KWKG'!$A25)</f>
        <v>0</v>
      </c>
      <c r="H25" s="134">
        <f>SUMIFS('Anlage 1c_Korrekturen_NB'!$D$622:$D$624,'Anlage 1c_Korrekturen_NB'!$A$622:$A$624,'Anlage 3a_Zusammenfassung_KWKG'!$A25)</f>
        <v>0</v>
      </c>
      <c r="I25" s="925">
        <f t="shared" si="1"/>
        <v>0</v>
      </c>
      <c r="J25" s="91" t="s">
        <v>491</v>
      </c>
      <c r="K25" s="12"/>
      <c r="L25" s="12"/>
    </row>
    <row r="26" spans="1:12" hidden="1" outlineLevel="1">
      <c r="A26" s="408" t="s">
        <v>492</v>
      </c>
      <c r="B26" s="1698">
        <f>VLOOKUP($A26,'Anlage 1a_Zuschlagszahlungen_NB'!$A$847:$E$1558,5,0)</f>
        <v>17182.32</v>
      </c>
      <c r="C26" s="667">
        <f>_xlfn.IFNA(VLOOKUP($A26,'Anlage 1b_Abzüge, Pflicht, Boni'!$A$9:$D$67,2,FALSE),0)</f>
        <v>0</v>
      </c>
      <c r="D26" s="667">
        <f>_xlfn.IFNA(VLOOKUP(A26,'Anlage 1b_Abzüge, Pflicht, Boni'!$A$9:$D$67,3,FALSE),0)</f>
        <v>0</v>
      </c>
      <c r="E26" s="667">
        <f>_xlfn.IFNA(VLOOKUP(A26,'Anlage 1b_Abzüge, Pflicht, Boni'!$A$9:$D$67,4,FALSE),0)</f>
        <v>0</v>
      </c>
      <c r="F26" s="88">
        <f t="shared" si="2"/>
        <v>17182.32</v>
      </c>
      <c r="G26" s="88">
        <f>SUMIFS('Anlage 1c_Korrekturen_NB'!$L$11:$L$103,'Anlage 1c_Korrekturen_NB'!$A$11:$A$103,'Anlage 3a_Zusammenfassung_KWKG'!$A26)</f>
        <v>0</v>
      </c>
      <c r="H26" s="134">
        <f>SUMIFS('Anlage 1c_Korrekturen_NB'!$D$622:$D$624,'Anlage 1c_Korrekturen_NB'!$A$622:$A$624,'Anlage 3a_Zusammenfassung_KWKG'!$A26)</f>
        <v>0</v>
      </c>
      <c r="I26" s="925">
        <f t="shared" si="1"/>
        <v>0</v>
      </c>
      <c r="J26" s="91" t="s">
        <v>493</v>
      </c>
      <c r="K26" s="12"/>
      <c r="L26" s="12"/>
    </row>
    <row r="27" spans="1:12" hidden="1" outlineLevel="1">
      <c r="A27" s="408" t="s">
        <v>494</v>
      </c>
      <c r="B27" s="1698">
        <f>VLOOKUP($A27,'Anlage 1a_Zuschlagszahlungen_NB'!$A$847:$E$1558,5,0)</f>
        <v>5040</v>
      </c>
      <c r="C27" s="667">
        <f>_xlfn.IFNA(VLOOKUP($A27,'Anlage 1b_Abzüge, Pflicht, Boni'!$A$9:$D$67,2,FALSE),0)</f>
        <v>0</v>
      </c>
      <c r="D27" s="667">
        <f>_xlfn.IFNA(VLOOKUP(A27,'Anlage 1b_Abzüge, Pflicht, Boni'!$A$9:$D$67,3,FALSE),0)</f>
        <v>0</v>
      </c>
      <c r="E27" s="667">
        <f>_xlfn.IFNA(VLOOKUP(A27,'Anlage 1b_Abzüge, Pflicht, Boni'!$A$9:$D$67,4,FALSE),0)</f>
        <v>0</v>
      </c>
      <c r="F27" s="88">
        <f t="shared" si="2"/>
        <v>5040</v>
      </c>
      <c r="G27" s="88">
        <f>SUMIFS('Anlage 1c_Korrekturen_NB'!$L$11:$L$103,'Anlage 1c_Korrekturen_NB'!$A$11:$A$103,'Anlage 3a_Zusammenfassung_KWKG'!$A27)</f>
        <v>0</v>
      </c>
      <c r="H27" s="134">
        <f>SUMIFS('Anlage 1c_Korrekturen_NB'!$D$622:$D$624,'Anlage 1c_Korrekturen_NB'!$A$622:$A$624,'Anlage 3a_Zusammenfassung_KWKG'!$A27)</f>
        <v>0</v>
      </c>
      <c r="I27" s="925">
        <f t="shared" si="1"/>
        <v>0</v>
      </c>
      <c r="J27" s="91" t="s">
        <v>495</v>
      </c>
      <c r="K27" s="12"/>
      <c r="L27" s="12"/>
    </row>
    <row r="28" spans="1:12" hidden="1" outlineLevel="1">
      <c r="A28" s="408" t="s">
        <v>496</v>
      </c>
      <c r="B28" s="1698">
        <f>VLOOKUP($A28,'Anlage 1a_Zuschlagszahlungen_NB'!$A$847:$E$1558,5,0)</f>
        <v>323331.99999999994</v>
      </c>
      <c r="C28" s="667">
        <f>_xlfn.IFNA(VLOOKUP($A28,'Anlage 1b_Abzüge, Pflicht, Boni'!$A$9:$D$67,2,FALSE),0)</f>
        <v>0</v>
      </c>
      <c r="D28" s="667">
        <f>_xlfn.IFNA(VLOOKUP(A28,'Anlage 1b_Abzüge, Pflicht, Boni'!$A$9:$D$67,3,FALSE),0)</f>
        <v>0</v>
      </c>
      <c r="E28" s="667">
        <f>_xlfn.IFNA(VLOOKUP(A28,'Anlage 1b_Abzüge, Pflicht, Boni'!$A$9:$D$67,4,FALSE),0)</f>
        <v>0</v>
      </c>
      <c r="F28" s="88">
        <f t="shared" si="2"/>
        <v>323331.99999999994</v>
      </c>
      <c r="G28" s="88">
        <f>SUMIFS('Anlage 1c_Korrekturen_NB'!$L$11:$L$103,'Anlage 1c_Korrekturen_NB'!$A$11:$A$103,'Anlage 3a_Zusammenfassung_KWKG'!$A28)</f>
        <v>8849.64</v>
      </c>
      <c r="H28" s="134">
        <f>SUMIFS('Anlage 1c_Korrekturen_NB'!$D$622:$D$624,'Anlage 1c_Korrekturen_NB'!$A$622:$A$624,'Anlage 3a_Zusammenfassung_KWKG'!$A28)</f>
        <v>0</v>
      </c>
      <c r="I28" s="925">
        <f t="shared" si="1"/>
        <v>8849.64</v>
      </c>
      <c r="J28" s="91" t="s">
        <v>497</v>
      </c>
      <c r="K28" s="12"/>
      <c r="L28" s="12"/>
    </row>
    <row r="29" spans="1:12" hidden="1" outlineLevel="1">
      <c r="A29" s="408" t="s">
        <v>498</v>
      </c>
      <c r="B29" s="1698">
        <f>VLOOKUP($A29,'Anlage 1a_Zuschlagszahlungen_NB'!$A$847:$E$1558,5,0)</f>
        <v>6351.6099999999988</v>
      </c>
      <c r="C29" s="667">
        <f>_xlfn.IFNA(VLOOKUP($A29,'Anlage 1b_Abzüge, Pflicht, Boni'!$A$9:$D$67,2,FALSE),0)</f>
        <v>0</v>
      </c>
      <c r="D29" s="667">
        <f>_xlfn.IFNA(VLOOKUP(A29,'Anlage 1b_Abzüge, Pflicht, Boni'!$A$9:$D$67,3,FALSE),0)</f>
        <v>0</v>
      </c>
      <c r="E29" s="667">
        <f>_xlfn.IFNA(VLOOKUP(A29,'Anlage 1b_Abzüge, Pflicht, Boni'!$A$9:$D$67,4,FALSE),0)</f>
        <v>0</v>
      </c>
      <c r="F29" s="88">
        <f t="shared" si="2"/>
        <v>6351.6099999999988</v>
      </c>
      <c r="G29" s="88">
        <f>SUMIFS('Anlage 1c_Korrekturen_NB'!$L$11:$L$103,'Anlage 1c_Korrekturen_NB'!$A$11:$A$103,'Anlage 3a_Zusammenfassung_KWKG'!$A29)</f>
        <v>0</v>
      </c>
      <c r="H29" s="134">
        <f>SUMIFS('Anlage 1c_Korrekturen_NB'!$D$622:$D$624,'Anlage 1c_Korrekturen_NB'!$A$622:$A$624,'Anlage 3a_Zusammenfassung_KWKG'!$A29)</f>
        <v>0</v>
      </c>
      <c r="I29" s="925">
        <f t="shared" si="1"/>
        <v>0</v>
      </c>
      <c r="J29" s="91" t="s">
        <v>499</v>
      </c>
      <c r="K29" s="12"/>
      <c r="L29" s="12"/>
    </row>
    <row r="30" spans="1:12" hidden="1" outlineLevel="1">
      <c r="A30" s="408" t="s">
        <v>500</v>
      </c>
      <c r="B30" s="1698">
        <f>VLOOKUP($A30,'Anlage 1a_Zuschlagszahlungen_NB'!$A$847:$E$1558,5,0)</f>
        <v>15912.71</v>
      </c>
      <c r="C30" s="667">
        <f>_xlfn.IFNA(VLOOKUP($A30,'Anlage 1b_Abzüge, Pflicht, Boni'!$A$9:$D$67,2,FALSE),0)</f>
        <v>-1.78</v>
      </c>
      <c r="D30" s="667">
        <f>_xlfn.IFNA(VLOOKUP(A30,'Anlage 1b_Abzüge, Pflicht, Boni'!$A$9:$D$67,3,FALSE),0)</f>
        <v>0</v>
      </c>
      <c r="E30" s="667">
        <f>_xlfn.IFNA(VLOOKUP(A30,'Anlage 1b_Abzüge, Pflicht, Boni'!$A$9:$D$67,4,FALSE),0)</f>
        <v>0</v>
      </c>
      <c r="F30" s="88">
        <f t="shared" si="2"/>
        <v>15910.929999999998</v>
      </c>
      <c r="G30" s="88">
        <f>SUMIFS('Anlage 1c_Korrekturen_NB'!$L$11:$L$103,'Anlage 1c_Korrekturen_NB'!$A$11:$A$103,'Anlage 3a_Zusammenfassung_KWKG'!$A30)</f>
        <v>0</v>
      </c>
      <c r="H30" s="134">
        <f>SUMIFS('Anlage 1c_Korrekturen_NB'!$D$622:$D$624,'Anlage 1c_Korrekturen_NB'!$A$622:$A$624,'Anlage 3a_Zusammenfassung_KWKG'!$A30)</f>
        <v>0</v>
      </c>
      <c r="I30" s="925">
        <f t="shared" si="1"/>
        <v>0</v>
      </c>
      <c r="J30" s="91" t="s">
        <v>501</v>
      </c>
      <c r="K30" s="12"/>
      <c r="L30" s="12"/>
    </row>
    <row r="31" spans="1:12" hidden="1" outlineLevel="1">
      <c r="A31" s="408" t="s">
        <v>502</v>
      </c>
      <c r="B31" s="1698">
        <f>VLOOKUP($A31,'Anlage 1a_Zuschlagszahlungen_NB'!$A$847:$E$1558,5,0)</f>
        <v>265130.98</v>
      </c>
      <c r="C31" s="667">
        <f>_xlfn.IFNA(VLOOKUP($A31,'Anlage 1b_Abzüge, Pflicht, Boni'!$A$9:$D$67,2,FALSE),0)</f>
        <v>0</v>
      </c>
      <c r="D31" s="667">
        <f>_xlfn.IFNA(VLOOKUP(A31,'Anlage 1b_Abzüge, Pflicht, Boni'!$A$9:$D$67,3,FALSE),0)</f>
        <v>0</v>
      </c>
      <c r="E31" s="667">
        <f>_xlfn.IFNA(VLOOKUP(A31,'Anlage 1b_Abzüge, Pflicht, Boni'!$A$9:$D$67,4,FALSE),0)</f>
        <v>0</v>
      </c>
      <c r="F31" s="88">
        <f t="shared" si="2"/>
        <v>265130.98</v>
      </c>
      <c r="G31" s="88">
        <f>SUMIFS('Anlage 1c_Korrekturen_NB'!$L$11:$L$103,'Anlage 1c_Korrekturen_NB'!$A$11:$A$103,'Anlage 3a_Zusammenfassung_KWKG'!$A31)</f>
        <v>0</v>
      </c>
      <c r="H31" s="134">
        <f>SUMIFS('Anlage 1c_Korrekturen_NB'!$D$622:$D$624,'Anlage 1c_Korrekturen_NB'!$A$622:$A$624,'Anlage 3a_Zusammenfassung_KWKG'!$A31)</f>
        <v>0</v>
      </c>
      <c r="I31" s="925">
        <f t="shared" si="1"/>
        <v>0</v>
      </c>
      <c r="J31" s="91" t="s">
        <v>503</v>
      </c>
      <c r="K31" s="12"/>
      <c r="L31" s="12"/>
    </row>
    <row r="32" spans="1:12" hidden="1" outlineLevel="1">
      <c r="A32" s="408" t="s">
        <v>504</v>
      </c>
      <c r="B32" s="1698">
        <f>VLOOKUP($A32,'Anlage 1a_Zuschlagszahlungen_NB'!$A$847:$E$1558,5,0)</f>
        <v>126307.20000000001</v>
      </c>
      <c r="C32" s="667">
        <f>_xlfn.IFNA(VLOOKUP($A32,'Anlage 1b_Abzüge, Pflicht, Boni'!$A$9:$D$67,2,FALSE),0)</f>
        <v>0</v>
      </c>
      <c r="D32" s="667">
        <f>_xlfn.IFNA(VLOOKUP(A32,'Anlage 1b_Abzüge, Pflicht, Boni'!$A$9:$D$67,3,FALSE),0)</f>
        <v>0</v>
      </c>
      <c r="E32" s="667">
        <f>_xlfn.IFNA(VLOOKUP(A32,'Anlage 1b_Abzüge, Pflicht, Boni'!$A$9:$D$67,4,FALSE),0)</f>
        <v>0</v>
      </c>
      <c r="F32" s="88">
        <f t="shared" si="2"/>
        <v>126307.20000000001</v>
      </c>
      <c r="G32" s="88">
        <f>SUMIFS('Anlage 1c_Korrekturen_NB'!$L$11:$L$103,'Anlage 1c_Korrekturen_NB'!$A$11:$A$103,'Anlage 3a_Zusammenfassung_KWKG'!$A32)</f>
        <v>0</v>
      </c>
      <c r="H32" s="134">
        <f>SUMIFS('Anlage 1c_Korrekturen_NB'!$D$622:$D$624,'Anlage 1c_Korrekturen_NB'!$A$622:$A$624,'Anlage 3a_Zusammenfassung_KWKG'!$A32)</f>
        <v>0</v>
      </c>
      <c r="I32" s="925">
        <f t="shared" si="1"/>
        <v>0</v>
      </c>
      <c r="J32" s="91" t="s">
        <v>505</v>
      </c>
      <c r="K32" s="12"/>
      <c r="L32" s="12"/>
    </row>
    <row r="33" spans="1:12" hidden="1" outlineLevel="1">
      <c r="A33" s="408" t="s">
        <v>506</v>
      </c>
      <c r="B33" s="1698">
        <f>VLOOKUP($A33,'Anlage 1a_Zuschlagszahlungen_NB'!$A$847:$E$1558,5,0)</f>
        <v>644756.03000000014</v>
      </c>
      <c r="C33" s="667">
        <f>_xlfn.IFNA(VLOOKUP($A33,'Anlage 1b_Abzüge, Pflicht, Boni'!$A$9:$D$67,2,FALSE),0)</f>
        <v>0</v>
      </c>
      <c r="D33" s="667">
        <f>_xlfn.IFNA(VLOOKUP(A33,'Anlage 1b_Abzüge, Pflicht, Boni'!$A$9:$D$67,3,FALSE),0)</f>
        <v>0</v>
      </c>
      <c r="E33" s="667">
        <f>_xlfn.IFNA(VLOOKUP(A33,'Anlage 1b_Abzüge, Pflicht, Boni'!$A$9:$D$67,4,FALSE),0)</f>
        <v>0</v>
      </c>
      <c r="F33" s="88">
        <f t="shared" si="2"/>
        <v>644756.03000000014</v>
      </c>
      <c r="G33" s="88">
        <f>SUMIFS('Anlage 1c_Korrekturen_NB'!$L$11:$L$103,'Anlage 1c_Korrekturen_NB'!$A$11:$A$103,'Anlage 3a_Zusammenfassung_KWKG'!$A33)</f>
        <v>2865.5499999999956</v>
      </c>
      <c r="H33" s="134">
        <f>SUMIFS('Anlage 1c_Korrekturen_NB'!$D$622:$D$624,'Anlage 1c_Korrekturen_NB'!$A$622:$A$624,'Anlage 3a_Zusammenfassung_KWKG'!$A33)</f>
        <v>-240</v>
      </c>
      <c r="I33" s="925">
        <f t="shared" si="1"/>
        <v>2625.5499999999956</v>
      </c>
      <c r="J33" s="91" t="s">
        <v>507</v>
      </c>
      <c r="K33" s="12"/>
      <c r="L33" s="12"/>
    </row>
    <row r="34" spans="1:12" hidden="1" outlineLevel="1">
      <c r="A34" s="408" t="s">
        <v>508</v>
      </c>
      <c r="B34" s="1698">
        <f>VLOOKUP($A34,'Anlage 1a_Zuschlagszahlungen_NB'!$A$847:$E$1558,5,0)</f>
        <v>110458.25</v>
      </c>
      <c r="C34" s="667">
        <f>_xlfn.IFNA(VLOOKUP($A34,'Anlage 1b_Abzüge, Pflicht, Boni'!$A$9:$D$67,2,FALSE),0)</f>
        <v>0</v>
      </c>
      <c r="D34" s="667">
        <f>_xlfn.IFNA(VLOOKUP(A34,'Anlage 1b_Abzüge, Pflicht, Boni'!$A$9:$D$67,3,FALSE),0)</f>
        <v>0</v>
      </c>
      <c r="E34" s="667">
        <f>_xlfn.IFNA(VLOOKUP(A34,'Anlage 1b_Abzüge, Pflicht, Boni'!$A$9:$D$67,4,FALSE),0)</f>
        <v>0</v>
      </c>
      <c r="F34" s="88">
        <f t="shared" si="2"/>
        <v>110458.25</v>
      </c>
      <c r="G34" s="88">
        <f>SUMIFS('Anlage 1c_Korrekturen_NB'!$L$11:$L$103,'Anlage 1c_Korrekturen_NB'!$A$11:$A$103,'Anlage 3a_Zusammenfassung_KWKG'!$A34)</f>
        <v>0</v>
      </c>
      <c r="H34" s="134">
        <f>SUMIFS('Anlage 1c_Korrekturen_NB'!$D$622:$D$624,'Anlage 1c_Korrekturen_NB'!$A$622:$A$624,'Anlage 3a_Zusammenfassung_KWKG'!$A34)</f>
        <v>0</v>
      </c>
      <c r="I34" s="925">
        <f t="shared" si="1"/>
        <v>0</v>
      </c>
      <c r="J34" s="91" t="s">
        <v>509</v>
      </c>
      <c r="K34" s="12"/>
      <c r="L34" s="12"/>
    </row>
    <row r="35" spans="1:12" hidden="1" outlineLevel="1">
      <c r="A35" s="408" t="s">
        <v>510</v>
      </c>
      <c r="B35" s="1698">
        <f>VLOOKUP($A35,'Anlage 1a_Zuschlagszahlungen_NB'!$A$847:$E$1558,5,0)</f>
        <v>26272.600000000002</v>
      </c>
      <c r="C35" s="667">
        <f>_xlfn.IFNA(VLOOKUP($A35,'Anlage 1b_Abzüge, Pflicht, Boni'!$A$9:$D$67,2,FALSE),0)</f>
        <v>0</v>
      </c>
      <c r="D35" s="667">
        <f>_xlfn.IFNA(VLOOKUP(A35,'Anlage 1b_Abzüge, Pflicht, Boni'!$A$9:$D$67,3,FALSE),0)</f>
        <v>0</v>
      </c>
      <c r="E35" s="667">
        <f>_xlfn.IFNA(VLOOKUP(A35,'Anlage 1b_Abzüge, Pflicht, Boni'!$A$9:$D$67,4,FALSE),0)</f>
        <v>0</v>
      </c>
      <c r="F35" s="88">
        <f t="shared" si="2"/>
        <v>26272.600000000002</v>
      </c>
      <c r="G35" s="88">
        <f>SUMIFS('Anlage 1c_Korrekturen_NB'!$L$11:$L$103,'Anlage 1c_Korrekturen_NB'!$A$11:$A$103,'Anlage 3a_Zusammenfassung_KWKG'!$A35)</f>
        <v>0</v>
      </c>
      <c r="H35" s="134">
        <f>SUMIFS('Anlage 1c_Korrekturen_NB'!$D$622:$D$624,'Anlage 1c_Korrekturen_NB'!$A$622:$A$624,'Anlage 3a_Zusammenfassung_KWKG'!$A35)</f>
        <v>0</v>
      </c>
      <c r="I35" s="925">
        <f t="shared" si="1"/>
        <v>0</v>
      </c>
      <c r="J35" s="91" t="s">
        <v>511</v>
      </c>
      <c r="K35" s="12"/>
      <c r="L35" s="12"/>
    </row>
    <row r="36" spans="1:12" hidden="1" outlineLevel="1">
      <c r="A36" s="408" t="s">
        <v>512</v>
      </c>
      <c r="B36" s="1698">
        <f>VLOOKUP($A36,'Anlage 1a_Zuschlagszahlungen_NB'!$A$847:$E$1558,5,0)</f>
        <v>33926.969999999994</v>
      </c>
      <c r="C36" s="667">
        <f>_xlfn.IFNA(VLOOKUP($A36,'Anlage 1b_Abzüge, Pflicht, Boni'!$A$9:$D$67,2,FALSE),0)</f>
        <v>0</v>
      </c>
      <c r="D36" s="667">
        <f>_xlfn.IFNA(VLOOKUP(A36,'Anlage 1b_Abzüge, Pflicht, Boni'!$A$9:$D$67,3,FALSE),0)</f>
        <v>0</v>
      </c>
      <c r="E36" s="667">
        <f>_xlfn.IFNA(VLOOKUP(A36,'Anlage 1b_Abzüge, Pflicht, Boni'!$A$9:$D$67,4,FALSE),0)</f>
        <v>0</v>
      </c>
      <c r="F36" s="88">
        <f t="shared" si="2"/>
        <v>33926.969999999994</v>
      </c>
      <c r="G36" s="88">
        <f>SUMIFS('Anlage 1c_Korrekturen_NB'!$L$11:$L$103,'Anlage 1c_Korrekturen_NB'!$A$11:$A$103,'Anlage 3a_Zusammenfassung_KWKG'!$A36)</f>
        <v>0</v>
      </c>
      <c r="H36" s="134">
        <f>SUMIFS('Anlage 1c_Korrekturen_NB'!$D$622:$D$624,'Anlage 1c_Korrekturen_NB'!$A$622:$A$624,'Anlage 3a_Zusammenfassung_KWKG'!$A36)</f>
        <v>0</v>
      </c>
      <c r="I36" s="925">
        <f t="shared" si="1"/>
        <v>0</v>
      </c>
      <c r="J36" s="91" t="s">
        <v>513</v>
      </c>
      <c r="K36" s="12"/>
      <c r="L36" s="12"/>
    </row>
    <row r="37" spans="1:12" hidden="1" outlineLevel="1">
      <c r="A37" s="408" t="s">
        <v>514</v>
      </c>
      <c r="B37" s="1698">
        <f>VLOOKUP($A37,'Anlage 1a_Zuschlagszahlungen_NB'!$A$847:$E$1558,5,0)</f>
        <v>166190.05000000002</v>
      </c>
      <c r="C37" s="667">
        <f>_xlfn.IFNA(VLOOKUP($A37,'Anlage 1b_Abzüge, Pflicht, Boni'!$A$9:$D$67,2,FALSE),0)</f>
        <v>0</v>
      </c>
      <c r="D37" s="667">
        <f>_xlfn.IFNA(VLOOKUP(A37,'Anlage 1b_Abzüge, Pflicht, Boni'!$A$9:$D$67,3,FALSE),0)</f>
        <v>0</v>
      </c>
      <c r="E37" s="667">
        <f>_xlfn.IFNA(VLOOKUP(A37,'Anlage 1b_Abzüge, Pflicht, Boni'!$A$9:$D$67,4,FALSE),0)</f>
        <v>0</v>
      </c>
      <c r="F37" s="88">
        <f t="shared" si="2"/>
        <v>166190.05000000002</v>
      </c>
      <c r="G37" s="88">
        <f>SUMIFS('Anlage 1c_Korrekturen_NB'!$L$11:$L$103,'Anlage 1c_Korrekturen_NB'!$A$11:$A$103,'Anlage 3a_Zusammenfassung_KWKG'!$A37)</f>
        <v>-761.36</v>
      </c>
      <c r="H37" s="134">
        <f>SUMIFS('Anlage 1c_Korrekturen_NB'!$D$622:$D$624,'Anlage 1c_Korrekturen_NB'!$A$622:$A$624,'Anlage 3a_Zusammenfassung_KWKG'!$A37)</f>
        <v>0</v>
      </c>
      <c r="I37" s="925">
        <f t="shared" si="1"/>
        <v>-761.36</v>
      </c>
      <c r="J37" s="91" t="s">
        <v>515</v>
      </c>
      <c r="K37" s="12"/>
      <c r="L37" s="12"/>
    </row>
    <row r="38" spans="1:12" hidden="1" outlineLevel="1">
      <c r="A38" s="408" t="s">
        <v>516</v>
      </c>
      <c r="B38" s="1698">
        <f>VLOOKUP($A38,'Anlage 1a_Zuschlagszahlungen_NB'!$A$847:$E$1558,5,0)</f>
        <v>236879.53000000003</v>
      </c>
      <c r="C38" s="667">
        <f>_xlfn.IFNA(VLOOKUP($A38,'Anlage 1b_Abzüge, Pflicht, Boni'!$A$9:$D$67,2,FALSE),0)</f>
        <v>-5950.91</v>
      </c>
      <c r="D38" s="667">
        <f>_xlfn.IFNA(VLOOKUP(A38,'Anlage 1b_Abzüge, Pflicht, Boni'!$A$9:$D$67,3,FALSE),0)</f>
        <v>0</v>
      </c>
      <c r="E38" s="667">
        <f>_xlfn.IFNA(VLOOKUP(A38,'Anlage 1b_Abzüge, Pflicht, Boni'!$A$9:$D$67,4,FALSE),0)</f>
        <v>0</v>
      </c>
      <c r="F38" s="88">
        <f t="shared" si="2"/>
        <v>230928.62000000002</v>
      </c>
      <c r="G38" s="88">
        <f>SUMIFS('Anlage 1c_Korrekturen_NB'!$L$11:$L$103,'Anlage 1c_Korrekturen_NB'!$A$11:$A$103,'Anlage 3a_Zusammenfassung_KWKG'!$A38)</f>
        <v>0</v>
      </c>
      <c r="H38" s="134">
        <f>SUMIFS('Anlage 1c_Korrekturen_NB'!$D$622:$D$624,'Anlage 1c_Korrekturen_NB'!$A$622:$A$624,'Anlage 3a_Zusammenfassung_KWKG'!$A38)</f>
        <v>0</v>
      </c>
      <c r="I38" s="925">
        <f t="shared" si="1"/>
        <v>0</v>
      </c>
      <c r="J38" s="91" t="s">
        <v>517</v>
      </c>
      <c r="K38" s="12"/>
      <c r="L38" s="12"/>
    </row>
    <row r="39" spans="1:12" hidden="1" outlineLevel="1">
      <c r="A39" s="408" t="s">
        <v>518</v>
      </c>
      <c r="B39" s="1698">
        <f>VLOOKUP($A39,'Anlage 1a_Zuschlagszahlungen_NB'!$A$847:$E$1558,5,0)</f>
        <v>141231.44</v>
      </c>
      <c r="C39" s="667">
        <f>_xlfn.IFNA(VLOOKUP($A39,'Anlage 1b_Abzüge, Pflicht, Boni'!$A$9:$D$67,2,FALSE),0)</f>
        <v>0</v>
      </c>
      <c r="D39" s="667">
        <f>_xlfn.IFNA(VLOOKUP(A39,'Anlage 1b_Abzüge, Pflicht, Boni'!$A$9:$D$67,3,FALSE),0)</f>
        <v>0</v>
      </c>
      <c r="E39" s="667">
        <f>_xlfn.IFNA(VLOOKUP(A39,'Anlage 1b_Abzüge, Pflicht, Boni'!$A$9:$D$67,4,FALSE),0)</f>
        <v>0</v>
      </c>
      <c r="F39" s="88">
        <f t="shared" si="2"/>
        <v>141231.44</v>
      </c>
      <c r="G39" s="88">
        <f>SUMIFS('Anlage 1c_Korrekturen_NB'!$L$11:$L$103,'Anlage 1c_Korrekturen_NB'!$A$11:$A$103,'Anlage 3a_Zusammenfassung_KWKG'!$A39)</f>
        <v>1687.96</v>
      </c>
      <c r="H39" s="134">
        <f>SUMIFS('Anlage 1c_Korrekturen_NB'!$D$622:$D$624,'Anlage 1c_Korrekturen_NB'!$A$622:$A$624,'Anlage 3a_Zusammenfassung_KWKG'!$A39)</f>
        <v>0</v>
      </c>
      <c r="I39" s="925">
        <f t="shared" ref="I39:I70" si="3">G39+H39</f>
        <v>1687.96</v>
      </c>
      <c r="J39" s="91" t="s">
        <v>519</v>
      </c>
      <c r="K39" s="12"/>
      <c r="L39" s="12"/>
    </row>
    <row r="40" spans="1:12" hidden="1" outlineLevel="1">
      <c r="A40" s="408" t="s">
        <v>520</v>
      </c>
      <c r="B40" s="1698">
        <f>VLOOKUP($A40,'Anlage 1a_Zuschlagszahlungen_NB'!$A$847:$E$1558,5,0)</f>
        <v>847209.13</v>
      </c>
      <c r="C40" s="667">
        <f>_xlfn.IFNA(VLOOKUP($A40,'Anlage 1b_Abzüge, Pflicht, Boni'!$A$9:$D$67,2,FALSE),0)</f>
        <v>0</v>
      </c>
      <c r="D40" s="667">
        <f>_xlfn.IFNA(VLOOKUP(A40,'Anlage 1b_Abzüge, Pflicht, Boni'!$A$9:$D$67,3,FALSE),0)</f>
        <v>0</v>
      </c>
      <c r="E40" s="667">
        <f>_xlfn.IFNA(VLOOKUP(A40,'Anlage 1b_Abzüge, Pflicht, Boni'!$A$9:$D$67,4,FALSE),0)</f>
        <v>0</v>
      </c>
      <c r="F40" s="88">
        <f t="shared" si="2"/>
        <v>847209.13</v>
      </c>
      <c r="G40" s="88">
        <f>SUMIFS('Anlage 1c_Korrekturen_NB'!$L$11:$L$103,'Anlage 1c_Korrekturen_NB'!$A$11:$A$103,'Anlage 3a_Zusammenfassung_KWKG'!$A40)</f>
        <v>0</v>
      </c>
      <c r="H40" s="134">
        <f>SUMIFS('Anlage 1c_Korrekturen_NB'!$D$622:$D$624,'Anlage 1c_Korrekturen_NB'!$A$622:$A$624,'Anlage 3a_Zusammenfassung_KWKG'!$A40)</f>
        <v>0</v>
      </c>
      <c r="I40" s="925">
        <f t="shared" si="3"/>
        <v>0</v>
      </c>
      <c r="J40" s="91" t="s">
        <v>521</v>
      </c>
      <c r="K40" s="12"/>
      <c r="L40" s="12"/>
    </row>
    <row r="41" spans="1:12" hidden="1" outlineLevel="1">
      <c r="A41" s="408" t="s">
        <v>522</v>
      </c>
      <c r="B41" s="1698">
        <f>VLOOKUP($A41,'Anlage 1a_Zuschlagszahlungen_NB'!$A$847:$E$1558,5,0)</f>
        <v>1949.97</v>
      </c>
      <c r="C41" s="667">
        <f>_xlfn.IFNA(VLOOKUP($A41,'Anlage 1b_Abzüge, Pflicht, Boni'!$A$9:$D$67,2,FALSE),0)</f>
        <v>0</v>
      </c>
      <c r="D41" s="667">
        <f>_xlfn.IFNA(VLOOKUP(A41,'Anlage 1b_Abzüge, Pflicht, Boni'!$A$9:$D$67,3,FALSE),0)</f>
        <v>0</v>
      </c>
      <c r="E41" s="667">
        <f>_xlfn.IFNA(VLOOKUP(A41,'Anlage 1b_Abzüge, Pflicht, Boni'!$A$9:$D$67,4,FALSE),0)</f>
        <v>0</v>
      </c>
      <c r="F41" s="88">
        <f t="shared" ref="F41:F72" si="4">SUM(B41:E41)</f>
        <v>1949.97</v>
      </c>
      <c r="G41" s="88">
        <f>SUMIFS('Anlage 1c_Korrekturen_NB'!$L$11:$L$103,'Anlage 1c_Korrekturen_NB'!$A$11:$A$103,'Anlage 3a_Zusammenfassung_KWKG'!$A41)</f>
        <v>0</v>
      </c>
      <c r="H41" s="134">
        <f>SUMIFS('Anlage 1c_Korrekturen_NB'!$D$622:$D$624,'Anlage 1c_Korrekturen_NB'!$A$622:$A$624,'Anlage 3a_Zusammenfassung_KWKG'!$A41)</f>
        <v>0</v>
      </c>
      <c r="I41" s="925">
        <f t="shared" si="3"/>
        <v>0</v>
      </c>
      <c r="J41" s="91" t="s">
        <v>523</v>
      </c>
      <c r="K41" s="12"/>
      <c r="L41" s="12"/>
    </row>
    <row r="42" spans="1:12" hidden="1" outlineLevel="1">
      <c r="A42" s="408" t="s">
        <v>524</v>
      </c>
      <c r="B42" s="1698">
        <f>VLOOKUP($A42,'Anlage 1a_Zuschlagszahlungen_NB'!$A$847:$E$1558,5,0)</f>
        <v>3829081.54</v>
      </c>
      <c r="C42" s="667">
        <f>_xlfn.IFNA(VLOOKUP($A42,'Anlage 1b_Abzüge, Pflicht, Boni'!$A$9:$D$67,2,FALSE),0)</f>
        <v>0</v>
      </c>
      <c r="D42" s="667">
        <f>_xlfn.IFNA(VLOOKUP(A42,'Anlage 1b_Abzüge, Pflicht, Boni'!$A$9:$D$67,3,FALSE),0)</f>
        <v>0</v>
      </c>
      <c r="E42" s="667">
        <f>_xlfn.IFNA(VLOOKUP(A42,'Anlage 1b_Abzüge, Pflicht, Boni'!$A$9:$D$67,4,FALSE),0)</f>
        <v>0</v>
      </c>
      <c r="F42" s="88">
        <f t="shared" si="4"/>
        <v>3829081.54</v>
      </c>
      <c r="G42" s="88">
        <f>SUMIFS('Anlage 1c_Korrekturen_NB'!$L$11:$L$103,'Anlage 1c_Korrekturen_NB'!$A$11:$A$103,'Anlage 3a_Zusammenfassung_KWKG'!$A42)</f>
        <v>0</v>
      </c>
      <c r="H42" s="134">
        <f>SUMIFS('Anlage 1c_Korrekturen_NB'!$D$622:$D$624,'Anlage 1c_Korrekturen_NB'!$A$622:$A$624,'Anlage 3a_Zusammenfassung_KWKG'!$A42)</f>
        <v>0</v>
      </c>
      <c r="I42" s="925">
        <f t="shared" si="3"/>
        <v>0</v>
      </c>
      <c r="J42" s="91" t="s">
        <v>525</v>
      </c>
      <c r="K42" s="12"/>
      <c r="L42" s="12"/>
    </row>
    <row r="43" spans="1:12" hidden="1" outlineLevel="1">
      <c r="A43" s="408" t="s">
        <v>526</v>
      </c>
      <c r="B43" s="1698">
        <f>VLOOKUP($A43,'Anlage 1a_Zuschlagszahlungen_NB'!$A$847:$E$1558,5,0)</f>
        <v>322743.55999999988</v>
      </c>
      <c r="C43" s="667">
        <f>_xlfn.IFNA(VLOOKUP($A43,'Anlage 1b_Abzüge, Pflicht, Boni'!$A$9:$D$67,2,FALSE),0)</f>
        <v>0</v>
      </c>
      <c r="D43" s="667">
        <f>_xlfn.IFNA(VLOOKUP(A43,'Anlage 1b_Abzüge, Pflicht, Boni'!$A$9:$D$67,3,FALSE),0)</f>
        <v>0</v>
      </c>
      <c r="E43" s="667">
        <f>_xlfn.IFNA(VLOOKUP(A43,'Anlage 1b_Abzüge, Pflicht, Boni'!$A$9:$D$67,4,FALSE),0)</f>
        <v>0</v>
      </c>
      <c r="F43" s="88">
        <f t="shared" si="4"/>
        <v>322743.55999999988</v>
      </c>
      <c r="G43" s="88">
        <f>SUMIFS('Anlage 1c_Korrekturen_NB'!$L$11:$L$103,'Anlage 1c_Korrekturen_NB'!$A$11:$A$103,'Anlage 3a_Zusammenfassung_KWKG'!$A43)</f>
        <v>0</v>
      </c>
      <c r="H43" s="134">
        <f>SUMIFS('Anlage 1c_Korrekturen_NB'!$D$622:$D$624,'Anlage 1c_Korrekturen_NB'!$A$622:$A$624,'Anlage 3a_Zusammenfassung_KWKG'!$A43)</f>
        <v>0</v>
      </c>
      <c r="I43" s="925">
        <f t="shared" si="3"/>
        <v>0</v>
      </c>
      <c r="J43" s="91" t="s">
        <v>527</v>
      </c>
      <c r="K43" s="12"/>
      <c r="L43" s="12"/>
    </row>
    <row r="44" spans="1:12" hidden="1" outlineLevel="1">
      <c r="A44" s="408" t="s">
        <v>528</v>
      </c>
      <c r="B44" s="1698">
        <f>VLOOKUP($A44,'Anlage 1a_Zuschlagszahlungen_NB'!$A$847:$E$1558,5,0)</f>
        <v>637021.52</v>
      </c>
      <c r="C44" s="667">
        <f>_xlfn.IFNA(VLOOKUP($A44,'Anlage 1b_Abzüge, Pflicht, Boni'!$A$9:$D$67,2,FALSE),0)</f>
        <v>0</v>
      </c>
      <c r="D44" s="667">
        <f>_xlfn.IFNA(VLOOKUP(A44,'Anlage 1b_Abzüge, Pflicht, Boni'!$A$9:$D$67,3,FALSE),0)</f>
        <v>0</v>
      </c>
      <c r="E44" s="667">
        <f>_xlfn.IFNA(VLOOKUP(A44,'Anlage 1b_Abzüge, Pflicht, Boni'!$A$9:$D$67,4,FALSE),0)</f>
        <v>0</v>
      </c>
      <c r="F44" s="88">
        <f t="shared" si="4"/>
        <v>637021.52</v>
      </c>
      <c r="G44" s="88">
        <f>SUMIFS('Anlage 1c_Korrekturen_NB'!$L$11:$L$103,'Anlage 1c_Korrekturen_NB'!$A$11:$A$103,'Anlage 3a_Zusammenfassung_KWKG'!$A44)</f>
        <v>0</v>
      </c>
      <c r="H44" s="134">
        <f>SUMIFS('Anlage 1c_Korrekturen_NB'!$D$622:$D$624,'Anlage 1c_Korrekturen_NB'!$A$622:$A$624,'Anlage 3a_Zusammenfassung_KWKG'!$A44)</f>
        <v>0</v>
      </c>
      <c r="I44" s="925">
        <f t="shared" si="3"/>
        <v>0</v>
      </c>
      <c r="J44" s="91" t="s">
        <v>529</v>
      </c>
      <c r="K44" s="12"/>
      <c r="L44" s="12"/>
    </row>
    <row r="45" spans="1:12" hidden="1" outlineLevel="1">
      <c r="A45" s="408" t="s">
        <v>530</v>
      </c>
      <c r="B45" s="1698">
        <f>VLOOKUP($A45,'Anlage 1a_Zuschlagszahlungen_NB'!$A$847:$E$1558,5,0)</f>
        <v>70035.199999999997</v>
      </c>
      <c r="C45" s="667">
        <f>_xlfn.IFNA(VLOOKUP($A45,'Anlage 1b_Abzüge, Pflicht, Boni'!$A$9:$D$67,2,FALSE),0)</f>
        <v>0</v>
      </c>
      <c r="D45" s="667">
        <f>_xlfn.IFNA(VLOOKUP(A45,'Anlage 1b_Abzüge, Pflicht, Boni'!$A$9:$D$67,3,FALSE),0)</f>
        <v>0</v>
      </c>
      <c r="E45" s="667">
        <f>_xlfn.IFNA(VLOOKUP(A45,'Anlage 1b_Abzüge, Pflicht, Boni'!$A$9:$D$67,4,FALSE),0)</f>
        <v>0</v>
      </c>
      <c r="F45" s="88">
        <f t="shared" si="4"/>
        <v>70035.199999999997</v>
      </c>
      <c r="G45" s="88">
        <f>SUMIFS('Anlage 1c_Korrekturen_NB'!$L$11:$L$103,'Anlage 1c_Korrekturen_NB'!$A$11:$A$103,'Anlage 3a_Zusammenfassung_KWKG'!$A45)</f>
        <v>0</v>
      </c>
      <c r="H45" s="134">
        <f>SUMIFS('Anlage 1c_Korrekturen_NB'!$D$622:$D$624,'Anlage 1c_Korrekturen_NB'!$A$622:$A$624,'Anlage 3a_Zusammenfassung_KWKG'!$A45)</f>
        <v>0</v>
      </c>
      <c r="I45" s="925">
        <f t="shared" si="3"/>
        <v>0</v>
      </c>
      <c r="J45" s="91" t="s">
        <v>531</v>
      </c>
      <c r="K45" s="12"/>
      <c r="L45" s="12"/>
    </row>
    <row r="46" spans="1:12" hidden="1" outlineLevel="1">
      <c r="A46" s="408" t="s">
        <v>532</v>
      </c>
      <c r="B46" s="1698">
        <f>VLOOKUP($A46,'Anlage 1a_Zuschlagszahlungen_NB'!$A$847:$E$1558,5,0)</f>
        <v>2534.6</v>
      </c>
      <c r="C46" s="667">
        <f>_xlfn.IFNA(VLOOKUP($A46,'Anlage 1b_Abzüge, Pflicht, Boni'!$A$9:$D$67,2,FALSE),0)</f>
        <v>0</v>
      </c>
      <c r="D46" s="667">
        <f>_xlfn.IFNA(VLOOKUP(A46,'Anlage 1b_Abzüge, Pflicht, Boni'!$A$9:$D$67,3,FALSE),0)</f>
        <v>0</v>
      </c>
      <c r="E46" s="667">
        <f>_xlfn.IFNA(VLOOKUP(A46,'Anlage 1b_Abzüge, Pflicht, Boni'!$A$9:$D$67,4,FALSE),0)</f>
        <v>0</v>
      </c>
      <c r="F46" s="88">
        <f t="shared" si="4"/>
        <v>2534.6</v>
      </c>
      <c r="G46" s="88">
        <f>SUMIFS('Anlage 1c_Korrekturen_NB'!$L$11:$L$103,'Anlage 1c_Korrekturen_NB'!$A$11:$A$103,'Anlage 3a_Zusammenfassung_KWKG'!$A46)</f>
        <v>0</v>
      </c>
      <c r="H46" s="134">
        <f>SUMIFS('Anlage 1c_Korrekturen_NB'!$D$622:$D$624,'Anlage 1c_Korrekturen_NB'!$A$622:$A$624,'Anlage 3a_Zusammenfassung_KWKG'!$A46)</f>
        <v>0</v>
      </c>
      <c r="I46" s="925">
        <f t="shared" si="3"/>
        <v>0</v>
      </c>
      <c r="J46" s="91" t="s">
        <v>533</v>
      </c>
      <c r="K46" s="12"/>
      <c r="L46" s="12"/>
    </row>
    <row r="47" spans="1:12" hidden="1" outlineLevel="1">
      <c r="A47" s="408" t="s">
        <v>534</v>
      </c>
      <c r="B47" s="1698">
        <f>VLOOKUP($A47,'Anlage 1a_Zuschlagszahlungen_NB'!$A$847:$E$1558,5,0)</f>
        <v>68124.41</v>
      </c>
      <c r="C47" s="667">
        <f>_xlfn.IFNA(VLOOKUP($A47,'Anlage 1b_Abzüge, Pflicht, Boni'!$A$9:$D$67,2,FALSE),0)</f>
        <v>0</v>
      </c>
      <c r="D47" s="667">
        <f>_xlfn.IFNA(VLOOKUP(A47,'Anlage 1b_Abzüge, Pflicht, Boni'!$A$9:$D$67,3,FALSE),0)</f>
        <v>0</v>
      </c>
      <c r="E47" s="667">
        <f>_xlfn.IFNA(VLOOKUP(A47,'Anlage 1b_Abzüge, Pflicht, Boni'!$A$9:$D$67,4,FALSE),0)</f>
        <v>0</v>
      </c>
      <c r="F47" s="88">
        <f t="shared" si="4"/>
        <v>68124.41</v>
      </c>
      <c r="G47" s="88">
        <f>SUMIFS('Anlage 1c_Korrekturen_NB'!$L$11:$L$103,'Anlage 1c_Korrekturen_NB'!$A$11:$A$103,'Anlage 3a_Zusammenfassung_KWKG'!$A47)</f>
        <v>0</v>
      </c>
      <c r="H47" s="134">
        <f>SUMIFS('Anlage 1c_Korrekturen_NB'!$D$622:$D$624,'Anlage 1c_Korrekturen_NB'!$A$622:$A$624,'Anlage 3a_Zusammenfassung_KWKG'!$A47)</f>
        <v>0</v>
      </c>
      <c r="I47" s="925">
        <f t="shared" si="3"/>
        <v>0</v>
      </c>
      <c r="J47" s="91" t="s">
        <v>535</v>
      </c>
      <c r="K47" s="12"/>
      <c r="L47" s="12"/>
    </row>
    <row r="48" spans="1:12" hidden="1" outlineLevel="1">
      <c r="A48" s="408" t="s">
        <v>536</v>
      </c>
      <c r="B48" s="1698">
        <f>VLOOKUP($A48,'Anlage 1a_Zuschlagszahlungen_NB'!$A$847:$E$1558,5,0)</f>
        <v>378452.16000000009</v>
      </c>
      <c r="C48" s="667">
        <f>_xlfn.IFNA(VLOOKUP($A48,'Anlage 1b_Abzüge, Pflicht, Boni'!$A$9:$D$67,2,FALSE),0)</f>
        <v>0</v>
      </c>
      <c r="D48" s="667">
        <f>_xlfn.IFNA(VLOOKUP(A48,'Anlage 1b_Abzüge, Pflicht, Boni'!$A$9:$D$67,3,FALSE),0)</f>
        <v>0</v>
      </c>
      <c r="E48" s="667">
        <f>_xlfn.IFNA(VLOOKUP(A48,'Anlage 1b_Abzüge, Pflicht, Boni'!$A$9:$D$67,4,FALSE),0)</f>
        <v>0</v>
      </c>
      <c r="F48" s="88">
        <f t="shared" si="4"/>
        <v>378452.16000000009</v>
      </c>
      <c r="G48" s="88">
        <f>SUMIFS('Anlage 1c_Korrekturen_NB'!$L$11:$L$103,'Anlage 1c_Korrekturen_NB'!$A$11:$A$103,'Anlage 3a_Zusammenfassung_KWKG'!$A48)</f>
        <v>8794.66</v>
      </c>
      <c r="H48" s="134">
        <f>SUMIFS('Anlage 1c_Korrekturen_NB'!$D$622:$D$624,'Anlage 1c_Korrekturen_NB'!$A$622:$A$624,'Anlage 3a_Zusammenfassung_KWKG'!$A48)</f>
        <v>0</v>
      </c>
      <c r="I48" s="925">
        <f t="shared" si="3"/>
        <v>8794.66</v>
      </c>
      <c r="J48" s="91" t="s">
        <v>537</v>
      </c>
      <c r="K48" s="12"/>
      <c r="L48" s="12"/>
    </row>
    <row r="49" spans="1:12" hidden="1" outlineLevel="1">
      <c r="A49" s="408" t="s">
        <v>538</v>
      </c>
      <c r="B49" s="1698">
        <f>VLOOKUP($A49,'Anlage 1a_Zuschlagszahlungen_NB'!$A$847:$E$1558,5,0)</f>
        <v>137639.38</v>
      </c>
      <c r="C49" s="667">
        <f>_xlfn.IFNA(VLOOKUP($A49,'Anlage 1b_Abzüge, Pflicht, Boni'!$A$9:$D$67,2,FALSE),0)</f>
        <v>0</v>
      </c>
      <c r="D49" s="667">
        <f>_xlfn.IFNA(VLOOKUP(A49,'Anlage 1b_Abzüge, Pflicht, Boni'!$A$9:$D$67,3,FALSE),0)</f>
        <v>0</v>
      </c>
      <c r="E49" s="667">
        <f>_xlfn.IFNA(VLOOKUP(A49,'Anlage 1b_Abzüge, Pflicht, Boni'!$A$9:$D$67,4,FALSE),0)</f>
        <v>0</v>
      </c>
      <c r="F49" s="88">
        <f t="shared" si="4"/>
        <v>137639.38</v>
      </c>
      <c r="G49" s="88">
        <f>SUMIFS('Anlage 1c_Korrekturen_NB'!$L$11:$L$103,'Anlage 1c_Korrekturen_NB'!$A$11:$A$103,'Anlage 3a_Zusammenfassung_KWKG'!$A49)</f>
        <v>51468.479999999996</v>
      </c>
      <c r="H49" s="134">
        <f>SUMIFS('Anlage 1c_Korrekturen_NB'!$D$622:$D$624,'Anlage 1c_Korrekturen_NB'!$A$622:$A$624,'Anlage 3a_Zusammenfassung_KWKG'!$A49)</f>
        <v>0</v>
      </c>
      <c r="I49" s="925">
        <f t="shared" si="3"/>
        <v>51468.479999999996</v>
      </c>
      <c r="J49" s="91" t="s">
        <v>539</v>
      </c>
      <c r="K49" s="12"/>
      <c r="L49" s="12"/>
    </row>
    <row r="50" spans="1:12" hidden="1" outlineLevel="1">
      <c r="A50" s="408" t="s">
        <v>540</v>
      </c>
      <c r="B50" s="1698">
        <f>VLOOKUP($A50,'Anlage 1a_Zuschlagszahlungen_NB'!$A$847:$E$1558,5,0)</f>
        <v>67573.679999999993</v>
      </c>
      <c r="C50" s="667">
        <f>_xlfn.IFNA(VLOOKUP($A50,'Anlage 1b_Abzüge, Pflicht, Boni'!$A$9:$D$67,2,FALSE),0)</f>
        <v>0</v>
      </c>
      <c r="D50" s="667">
        <f>_xlfn.IFNA(VLOOKUP(A50,'Anlage 1b_Abzüge, Pflicht, Boni'!$A$9:$D$67,3,FALSE),0)</f>
        <v>0</v>
      </c>
      <c r="E50" s="667">
        <f>_xlfn.IFNA(VLOOKUP(A50,'Anlage 1b_Abzüge, Pflicht, Boni'!$A$9:$D$67,4,FALSE),0)</f>
        <v>0</v>
      </c>
      <c r="F50" s="88">
        <f t="shared" si="4"/>
        <v>67573.679999999993</v>
      </c>
      <c r="G50" s="88">
        <f>SUMIFS('Anlage 1c_Korrekturen_NB'!$L$11:$L$103,'Anlage 1c_Korrekturen_NB'!$A$11:$A$103,'Anlage 3a_Zusammenfassung_KWKG'!$A50)</f>
        <v>0</v>
      </c>
      <c r="H50" s="134">
        <f>SUMIFS('Anlage 1c_Korrekturen_NB'!$D$622:$D$624,'Anlage 1c_Korrekturen_NB'!$A$622:$A$624,'Anlage 3a_Zusammenfassung_KWKG'!$A50)</f>
        <v>0</v>
      </c>
      <c r="I50" s="925">
        <f t="shared" si="3"/>
        <v>0</v>
      </c>
      <c r="J50" s="91" t="s">
        <v>541</v>
      </c>
      <c r="K50" s="12"/>
      <c r="L50" s="12"/>
    </row>
    <row r="51" spans="1:12" hidden="1" outlineLevel="1">
      <c r="A51" s="408" t="s">
        <v>542</v>
      </c>
      <c r="B51" s="1698">
        <f>VLOOKUP($A51,'Anlage 1a_Zuschlagszahlungen_NB'!$A$847:$E$1558,5,0)</f>
        <v>0</v>
      </c>
      <c r="C51" s="667">
        <f>_xlfn.IFNA(VLOOKUP($A51,'Anlage 1b_Abzüge, Pflicht, Boni'!$A$9:$D$67,2,FALSE),0)</f>
        <v>0</v>
      </c>
      <c r="D51" s="667">
        <f>_xlfn.IFNA(VLOOKUP(A51,'Anlage 1b_Abzüge, Pflicht, Boni'!$A$9:$D$67,3,FALSE),0)</f>
        <v>0</v>
      </c>
      <c r="E51" s="667">
        <f>_xlfn.IFNA(VLOOKUP(A51,'Anlage 1b_Abzüge, Pflicht, Boni'!$A$9:$D$67,4,FALSE),0)</f>
        <v>0</v>
      </c>
      <c r="F51" s="88">
        <f t="shared" si="4"/>
        <v>0</v>
      </c>
      <c r="G51" s="88">
        <f>SUMIFS('Anlage 1c_Korrekturen_NB'!$L$11:$L$103,'Anlage 1c_Korrekturen_NB'!$A$11:$A$103,'Anlage 3a_Zusammenfassung_KWKG'!$A51)</f>
        <v>0</v>
      </c>
      <c r="H51" s="134">
        <f>SUMIFS('Anlage 1c_Korrekturen_NB'!$D$622:$D$624,'Anlage 1c_Korrekturen_NB'!$A$622:$A$624,'Anlage 3a_Zusammenfassung_KWKG'!$A51)</f>
        <v>0</v>
      </c>
      <c r="I51" s="925">
        <f t="shared" si="3"/>
        <v>0</v>
      </c>
      <c r="J51" s="91" t="s">
        <v>543</v>
      </c>
      <c r="K51" s="12"/>
      <c r="L51" s="12"/>
    </row>
    <row r="52" spans="1:12" hidden="1" outlineLevel="1">
      <c r="A52" s="408" t="s">
        <v>544</v>
      </c>
      <c r="B52" s="1698">
        <f>VLOOKUP($A52,'Anlage 1a_Zuschlagszahlungen_NB'!$A$847:$E$1558,5,0)</f>
        <v>0</v>
      </c>
      <c r="C52" s="667">
        <f>_xlfn.IFNA(VLOOKUP($A52,'Anlage 1b_Abzüge, Pflicht, Boni'!$A$9:$D$67,2,FALSE),0)</f>
        <v>0</v>
      </c>
      <c r="D52" s="667">
        <f>_xlfn.IFNA(VLOOKUP(A52,'Anlage 1b_Abzüge, Pflicht, Boni'!$A$9:$D$67,3,FALSE),0)</f>
        <v>0</v>
      </c>
      <c r="E52" s="667">
        <f>_xlfn.IFNA(VLOOKUP(A52,'Anlage 1b_Abzüge, Pflicht, Boni'!$A$9:$D$67,4,FALSE),0)</f>
        <v>0</v>
      </c>
      <c r="F52" s="88">
        <f t="shared" si="4"/>
        <v>0</v>
      </c>
      <c r="G52" s="88">
        <f>SUMIFS('Anlage 1c_Korrekturen_NB'!$L$11:$L$103,'Anlage 1c_Korrekturen_NB'!$A$11:$A$103,'Anlage 3a_Zusammenfassung_KWKG'!$A52)</f>
        <v>0</v>
      </c>
      <c r="H52" s="134">
        <f>SUMIFS('Anlage 1c_Korrekturen_NB'!$D$622:$D$624,'Anlage 1c_Korrekturen_NB'!$A$622:$A$624,'Anlage 3a_Zusammenfassung_KWKG'!$A52)</f>
        <v>0</v>
      </c>
      <c r="I52" s="925">
        <f t="shared" si="3"/>
        <v>0</v>
      </c>
      <c r="J52" s="91" t="s">
        <v>545</v>
      </c>
      <c r="K52" s="12"/>
      <c r="L52" s="12"/>
    </row>
    <row r="53" spans="1:12" hidden="1" outlineLevel="1">
      <c r="A53" s="408" t="s">
        <v>546</v>
      </c>
      <c r="B53" s="1698">
        <f>VLOOKUP($A53,'Anlage 1a_Zuschlagszahlungen_NB'!$A$847:$E$1558,5,0)</f>
        <v>5607187.9399999995</v>
      </c>
      <c r="C53" s="667">
        <f>_xlfn.IFNA(VLOOKUP($A53,'Anlage 1b_Abzüge, Pflicht, Boni'!$A$9:$D$67,2,FALSE),0)</f>
        <v>0</v>
      </c>
      <c r="D53" s="667">
        <f>_xlfn.IFNA(VLOOKUP(A53,'Anlage 1b_Abzüge, Pflicht, Boni'!$A$9:$D$67,3,FALSE),0)</f>
        <v>0</v>
      </c>
      <c r="E53" s="667">
        <f>_xlfn.IFNA(VLOOKUP(A53,'Anlage 1b_Abzüge, Pflicht, Boni'!$A$9:$D$67,4,FALSE),0)</f>
        <v>0</v>
      </c>
      <c r="F53" s="88">
        <f t="shared" si="4"/>
        <v>5607187.9399999995</v>
      </c>
      <c r="G53" s="88">
        <f>SUMIFS('Anlage 1c_Korrekturen_NB'!$L$11:$L$103,'Anlage 1c_Korrekturen_NB'!$A$11:$A$103,'Anlage 3a_Zusammenfassung_KWKG'!$A53)</f>
        <v>0</v>
      </c>
      <c r="H53" s="134">
        <f>SUMIFS('Anlage 1c_Korrekturen_NB'!$D$622:$D$624,'Anlage 1c_Korrekturen_NB'!$A$622:$A$624,'Anlage 3a_Zusammenfassung_KWKG'!$A53)</f>
        <v>0</v>
      </c>
      <c r="I53" s="925">
        <f t="shared" si="3"/>
        <v>0</v>
      </c>
      <c r="J53" s="91" t="s">
        <v>547</v>
      </c>
      <c r="K53" s="12"/>
      <c r="L53" s="12"/>
    </row>
    <row r="54" spans="1:12" hidden="1" outlineLevel="1">
      <c r="A54" s="408" t="s">
        <v>548</v>
      </c>
      <c r="B54" s="1698">
        <f>VLOOKUP($A54,'Anlage 1a_Zuschlagszahlungen_NB'!$A$847:$E$1558,5,0)</f>
        <v>330982.92</v>
      </c>
      <c r="C54" s="667">
        <f>_xlfn.IFNA(VLOOKUP($A54,'Anlage 1b_Abzüge, Pflicht, Boni'!$A$9:$D$67,2,FALSE),0)</f>
        <v>0</v>
      </c>
      <c r="D54" s="667">
        <f>_xlfn.IFNA(VLOOKUP(A54,'Anlage 1b_Abzüge, Pflicht, Boni'!$A$9:$D$67,3,FALSE),0)</f>
        <v>0</v>
      </c>
      <c r="E54" s="667">
        <f>_xlfn.IFNA(VLOOKUP(A54,'Anlage 1b_Abzüge, Pflicht, Boni'!$A$9:$D$67,4,FALSE),0)</f>
        <v>0</v>
      </c>
      <c r="F54" s="88">
        <f t="shared" si="4"/>
        <v>330982.92</v>
      </c>
      <c r="G54" s="88">
        <f>SUMIFS('Anlage 1c_Korrekturen_NB'!$L$11:$L$103,'Anlage 1c_Korrekturen_NB'!$A$11:$A$103,'Anlage 3a_Zusammenfassung_KWKG'!$A54)</f>
        <v>-1178.48</v>
      </c>
      <c r="H54" s="134">
        <f>SUMIFS('Anlage 1c_Korrekturen_NB'!$D$622:$D$624,'Anlage 1c_Korrekturen_NB'!$A$622:$A$624,'Anlage 3a_Zusammenfassung_KWKG'!$A54)</f>
        <v>0</v>
      </c>
      <c r="I54" s="925">
        <f t="shared" si="3"/>
        <v>-1178.48</v>
      </c>
      <c r="J54" s="91" t="s">
        <v>549</v>
      </c>
      <c r="K54" s="12"/>
      <c r="L54" s="12"/>
    </row>
    <row r="55" spans="1:12" hidden="1" outlineLevel="1">
      <c r="A55" s="408" t="s">
        <v>550</v>
      </c>
      <c r="B55" s="1698">
        <f>VLOOKUP($A55,'Anlage 1a_Zuschlagszahlungen_NB'!$A$847:$E$1558,5,0)</f>
        <v>1323000</v>
      </c>
      <c r="C55" s="667">
        <f>_xlfn.IFNA(VLOOKUP($A55,'Anlage 1b_Abzüge, Pflicht, Boni'!$A$9:$D$67,2,FALSE),0)</f>
        <v>0</v>
      </c>
      <c r="D55" s="667">
        <f>_xlfn.IFNA(VLOOKUP(A55,'Anlage 1b_Abzüge, Pflicht, Boni'!$A$9:$D$67,3,FALSE),0)</f>
        <v>0</v>
      </c>
      <c r="E55" s="667">
        <f>_xlfn.IFNA(VLOOKUP(A55,'Anlage 1b_Abzüge, Pflicht, Boni'!$A$9:$D$67,4,FALSE),0)</f>
        <v>0</v>
      </c>
      <c r="F55" s="88">
        <f t="shared" si="4"/>
        <v>1323000</v>
      </c>
      <c r="G55" s="88">
        <f>SUMIFS('Anlage 1c_Korrekturen_NB'!$L$11:$L$103,'Anlage 1c_Korrekturen_NB'!$A$11:$A$103,'Anlage 3a_Zusammenfassung_KWKG'!$A55)</f>
        <v>0</v>
      </c>
      <c r="H55" s="134">
        <f>SUMIFS('Anlage 1c_Korrekturen_NB'!$D$622:$D$624,'Anlage 1c_Korrekturen_NB'!$A$622:$A$624,'Anlage 3a_Zusammenfassung_KWKG'!$A55)</f>
        <v>0</v>
      </c>
      <c r="I55" s="925">
        <f t="shared" si="3"/>
        <v>0</v>
      </c>
      <c r="J55" s="91" t="s">
        <v>551</v>
      </c>
      <c r="K55" s="12"/>
      <c r="L55" s="12"/>
    </row>
    <row r="56" spans="1:12" hidden="1" outlineLevel="1">
      <c r="A56" s="408" t="s">
        <v>552</v>
      </c>
      <c r="B56" s="1698">
        <f>VLOOKUP($A56,'Anlage 1a_Zuschlagszahlungen_NB'!$A$847:$E$1558,5,0)</f>
        <v>461765.66</v>
      </c>
      <c r="C56" s="667">
        <f>_xlfn.IFNA(VLOOKUP($A56,'Anlage 1b_Abzüge, Pflicht, Boni'!$A$9:$D$67,2,FALSE),0)</f>
        <v>0</v>
      </c>
      <c r="D56" s="667">
        <f>_xlfn.IFNA(VLOOKUP(A56,'Anlage 1b_Abzüge, Pflicht, Boni'!$A$9:$D$67,3,FALSE),0)</f>
        <v>0</v>
      </c>
      <c r="E56" s="667">
        <f>_xlfn.IFNA(VLOOKUP(A56,'Anlage 1b_Abzüge, Pflicht, Boni'!$A$9:$D$67,4,FALSE),0)</f>
        <v>0</v>
      </c>
      <c r="F56" s="88">
        <f t="shared" si="4"/>
        <v>461765.66</v>
      </c>
      <c r="G56" s="88">
        <f>SUMIFS('Anlage 1c_Korrekturen_NB'!$L$11:$L$103,'Anlage 1c_Korrekturen_NB'!$A$11:$A$103,'Anlage 3a_Zusammenfassung_KWKG'!$A56)</f>
        <v>0</v>
      </c>
      <c r="H56" s="134">
        <f>SUMIFS('Anlage 1c_Korrekturen_NB'!$D$622:$D$624,'Anlage 1c_Korrekturen_NB'!$A$622:$A$624,'Anlage 3a_Zusammenfassung_KWKG'!$A56)</f>
        <v>0</v>
      </c>
      <c r="I56" s="925">
        <f t="shared" si="3"/>
        <v>0</v>
      </c>
      <c r="J56" s="91" t="s">
        <v>553</v>
      </c>
      <c r="K56" s="12"/>
      <c r="L56" s="12"/>
    </row>
    <row r="57" spans="1:12" hidden="1" outlineLevel="1">
      <c r="A57" s="408" t="s">
        <v>554</v>
      </c>
      <c r="B57" s="1698">
        <f>VLOOKUP($A57,'Anlage 1a_Zuschlagszahlungen_NB'!$A$847:$E$1558,5,0)</f>
        <v>11420.399999999998</v>
      </c>
      <c r="C57" s="667">
        <f>_xlfn.IFNA(VLOOKUP($A57,'Anlage 1b_Abzüge, Pflicht, Boni'!$A$9:$D$67,2,FALSE),0)</f>
        <v>0</v>
      </c>
      <c r="D57" s="667">
        <f>_xlfn.IFNA(VLOOKUP(A57,'Anlage 1b_Abzüge, Pflicht, Boni'!$A$9:$D$67,3,FALSE),0)</f>
        <v>0</v>
      </c>
      <c r="E57" s="667">
        <f>_xlfn.IFNA(VLOOKUP(A57,'Anlage 1b_Abzüge, Pflicht, Boni'!$A$9:$D$67,4,FALSE),0)</f>
        <v>0</v>
      </c>
      <c r="F57" s="88">
        <f t="shared" si="4"/>
        <v>11420.399999999998</v>
      </c>
      <c r="G57" s="88">
        <f>SUMIFS('Anlage 1c_Korrekturen_NB'!$L$11:$L$103,'Anlage 1c_Korrekturen_NB'!$A$11:$A$103,'Anlage 3a_Zusammenfassung_KWKG'!$A57)</f>
        <v>0</v>
      </c>
      <c r="H57" s="134">
        <f>SUMIFS('Anlage 1c_Korrekturen_NB'!$D$622:$D$624,'Anlage 1c_Korrekturen_NB'!$A$622:$A$624,'Anlage 3a_Zusammenfassung_KWKG'!$A57)</f>
        <v>0</v>
      </c>
      <c r="I57" s="925">
        <f t="shared" si="3"/>
        <v>0</v>
      </c>
      <c r="J57" s="91" t="s">
        <v>555</v>
      </c>
      <c r="K57" s="12"/>
      <c r="L57" s="12"/>
    </row>
    <row r="58" spans="1:12" hidden="1" outlineLevel="1">
      <c r="A58" s="408" t="s">
        <v>556</v>
      </c>
      <c r="B58" s="1698">
        <f>VLOOKUP($A58,'Anlage 1a_Zuschlagszahlungen_NB'!$A$847:$E$1558,5,0)</f>
        <v>334292.88</v>
      </c>
      <c r="C58" s="667">
        <f>_xlfn.IFNA(VLOOKUP($A58,'Anlage 1b_Abzüge, Pflicht, Boni'!$A$9:$D$67,2,FALSE),0)</f>
        <v>0</v>
      </c>
      <c r="D58" s="667">
        <f>_xlfn.IFNA(VLOOKUP(A58,'Anlage 1b_Abzüge, Pflicht, Boni'!$A$9:$D$67,3,FALSE),0)</f>
        <v>0</v>
      </c>
      <c r="E58" s="667">
        <f>_xlfn.IFNA(VLOOKUP(A58,'Anlage 1b_Abzüge, Pflicht, Boni'!$A$9:$D$67,4,FALSE),0)</f>
        <v>0</v>
      </c>
      <c r="F58" s="88">
        <f t="shared" si="4"/>
        <v>334292.88</v>
      </c>
      <c r="G58" s="88">
        <f>SUMIFS('Anlage 1c_Korrekturen_NB'!$L$11:$L$103,'Anlage 1c_Korrekturen_NB'!$A$11:$A$103,'Anlage 3a_Zusammenfassung_KWKG'!$A58)</f>
        <v>0</v>
      </c>
      <c r="H58" s="134">
        <f>SUMIFS('Anlage 1c_Korrekturen_NB'!$D$622:$D$624,'Anlage 1c_Korrekturen_NB'!$A$622:$A$624,'Anlage 3a_Zusammenfassung_KWKG'!$A58)</f>
        <v>0</v>
      </c>
      <c r="I58" s="925">
        <f t="shared" si="3"/>
        <v>0</v>
      </c>
      <c r="J58" s="91" t="s">
        <v>557</v>
      </c>
      <c r="K58" s="12"/>
      <c r="L58" s="12"/>
    </row>
    <row r="59" spans="1:12" hidden="1" outlineLevel="1">
      <c r="A59" s="408" t="s">
        <v>558</v>
      </c>
      <c r="B59" s="1698">
        <f>VLOOKUP($A59,'Anlage 1a_Zuschlagszahlungen_NB'!$A$847:$E$1558,5,0)</f>
        <v>37430.420000000006</v>
      </c>
      <c r="C59" s="667">
        <f>_xlfn.IFNA(VLOOKUP($A59,'Anlage 1b_Abzüge, Pflicht, Boni'!$A$9:$D$67,2,FALSE),0)</f>
        <v>-112.7</v>
      </c>
      <c r="D59" s="667">
        <f>_xlfn.IFNA(VLOOKUP(A59,'Anlage 1b_Abzüge, Pflicht, Boni'!$A$9:$D$67,3,FALSE),0)</f>
        <v>0</v>
      </c>
      <c r="E59" s="667">
        <f>_xlfn.IFNA(VLOOKUP(A59,'Anlage 1b_Abzüge, Pflicht, Boni'!$A$9:$D$67,4,FALSE),0)</f>
        <v>0</v>
      </c>
      <c r="F59" s="88">
        <f t="shared" si="4"/>
        <v>37317.720000000008</v>
      </c>
      <c r="G59" s="88">
        <f>SUMIFS('Anlage 1c_Korrekturen_NB'!$L$11:$L$103,'Anlage 1c_Korrekturen_NB'!$A$11:$A$103,'Anlage 3a_Zusammenfassung_KWKG'!$A59)</f>
        <v>1357.8899999999999</v>
      </c>
      <c r="H59" s="134">
        <f>SUMIFS('Anlage 1c_Korrekturen_NB'!$D$622:$D$624,'Anlage 1c_Korrekturen_NB'!$A$622:$A$624,'Anlage 3a_Zusammenfassung_KWKG'!$A59)</f>
        <v>0</v>
      </c>
      <c r="I59" s="925">
        <f t="shared" si="3"/>
        <v>1357.8899999999999</v>
      </c>
      <c r="J59" s="91" t="s">
        <v>559</v>
      </c>
      <c r="K59" s="12"/>
      <c r="L59" s="12"/>
    </row>
    <row r="60" spans="1:12" hidden="1" outlineLevel="1">
      <c r="A60" s="408" t="s">
        <v>560</v>
      </c>
      <c r="B60" s="1698">
        <f>VLOOKUP($A60,'Anlage 1a_Zuschlagszahlungen_NB'!$A$847:$E$1558,5,0)</f>
        <v>139063.65</v>
      </c>
      <c r="C60" s="667">
        <f>_xlfn.IFNA(VLOOKUP($A60,'Anlage 1b_Abzüge, Pflicht, Boni'!$A$9:$D$67,2,FALSE),0)</f>
        <v>0</v>
      </c>
      <c r="D60" s="667">
        <f>_xlfn.IFNA(VLOOKUP(A60,'Anlage 1b_Abzüge, Pflicht, Boni'!$A$9:$D$67,3,FALSE),0)</f>
        <v>0</v>
      </c>
      <c r="E60" s="667">
        <f>_xlfn.IFNA(VLOOKUP(A60,'Anlage 1b_Abzüge, Pflicht, Boni'!$A$9:$D$67,4,FALSE),0)</f>
        <v>0</v>
      </c>
      <c r="F60" s="88">
        <f t="shared" si="4"/>
        <v>139063.65</v>
      </c>
      <c r="G60" s="88">
        <f>SUMIFS('Anlage 1c_Korrekturen_NB'!$L$11:$L$103,'Anlage 1c_Korrekturen_NB'!$A$11:$A$103,'Anlage 3a_Zusammenfassung_KWKG'!$A60)</f>
        <v>2102.2800000000002</v>
      </c>
      <c r="H60" s="134">
        <f>SUMIFS('Anlage 1c_Korrekturen_NB'!$D$622:$D$624,'Anlage 1c_Korrekturen_NB'!$A$622:$A$624,'Anlage 3a_Zusammenfassung_KWKG'!$A60)</f>
        <v>0</v>
      </c>
      <c r="I60" s="925">
        <f t="shared" si="3"/>
        <v>2102.2800000000002</v>
      </c>
      <c r="J60" s="91" t="s">
        <v>561</v>
      </c>
      <c r="K60" s="12"/>
      <c r="L60" s="12"/>
    </row>
    <row r="61" spans="1:12" hidden="1" outlineLevel="1">
      <c r="A61" s="408" t="s">
        <v>562</v>
      </c>
      <c r="B61" s="1698">
        <f>VLOOKUP($A61,'Anlage 1a_Zuschlagszahlungen_NB'!$A$847:$E$1558,5,0)</f>
        <v>0</v>
      </c>
      <c r="C61" s="667">
        <f>_xlfn.IFNA(VLOOKUP($A61,'Anlage 1b_Abzüge, Pflicht, Boni'!$A$9:$D$67,2,FALSE),0)</f>
        <v>0</v>
      </c>
      <c r="D61" s="667">
        <f>_xlfn.IFNA(VLOOKUP(A61,'Anlage 1b_Abzüge, Pflicht, Boni'!$A$9:$D$67,3,FALSE),0)</f>
        <v>0</v>
      </c>
      <c r="E61" s="667">
        <f>_xlfn.IFNA(VLOOKUP(A61,'Anlage 1b_Abzüge, Pflicht, Boni'!$A$9:$D$67,4,FALSE),0)</f>
        <v>0</v>
      </c>
      <c r="F61" s="88">
        <f t="shared" si="4"/>
        <v>0</v>
      </c>
      <c r="G61" s="88">
        <f>SUMIFS('Anlage 1c_Korrekturen_NB'!$L$11:$L$103,'Anlage 1c_Korrekturen_NB'!$A$11:$A$103,'Anlage 3a_Zusammenfassung_KWKG'!$A61)</f>
        <v>0</v>
      </c>
      <c r="H61" s="134">
        <f>SUMIFS('Anlage 1c_Korrekturen_NB'!$D$622:$D$624,'Anlage 1c_Korrekturen_NB'!$A$622:$A$624,'Anlage 3a_Zusammenfassung_KWKG'!$A61)</f>
        <v>0</v>
      </c>
      <c r="I61" s="925">
        <f t="shared" si="3"/>
        <v>0</v>
      </c>
      <c r="J61" s="91" t="s">
        <v>563</v>
      </c>
      <c r="K61" s="12"/>
      <c r="L61" s="12"/>
    </row>
    <row r="62" spans="1:12" hidden="1" outlineLevel="1">
      <c r="A62" s="408" t="s">
        <v>564</v>
      </c>
      <c r="B62" s="1698">
        <f>VLOOKUP($A62,'Anlage 1a_Zuschlagszahlungen_NB'!$A$847:$E$1558,5,0)</f>
        <v>0</v>
      </c>
      <c r="C62" s="667">
        <f>_xlfn.IFNA(VLOOKUP($A62,'Anlage 1b_Abzüge, Pflicht, Boni'!$A$9:$D$67,2,FALSE),0)</f>
        <v>0</v>
      </c>
      <c r="D62" s="667">
        <f>_xlfn.IFNA(VLOOKUP(A62,'Anlage 1b_Abzüge, Pflicht, Boni'!$A$9:$D$67,3,FALSE),0)</f>
        <v>0</v>
      </c>
      <c r="E62" s="667">
        <f>_xlfn.IFNA(VLOOKUP(A62,'Anlage 1b_Abzüge, Pflicht, Boni'!$A$9:$D$67,4,FALSE),0)</f>
        <v>0</v>
      </c>
      <c r="F62" s="88">
        <f t="shared" si="4"/>
        <v>0</v>
      </c>
      <c r="G62" s="88">
        <f>SUMIFS('Anlage 1c_Korrekturen_NB'!$L$11:$L$103,'Anlage 1c_Korrekturen_NB'!$A$11:$A$103,'Anlage 3a_Zusammenfassung_KWKG'!$A62)</f>
        <v>0</v>
      </c>
      <c r="H62" s="134">
        <f>SUMIFS('Anlage 1c_Korrekturen_NB'!$D$622:$D$624,'Anlage 1c_Korrekturen_NB'!$A$622:$A$624,'Anlage 3a_Zusammenfassung_KWKG'!$A62)</f>
        <v>0</v>
      </c>
      <c r="I62" s="925">
        <f t="shared" si="3"/>
        <v>0</v>
      </c>
      <c r="J62" s="91" t="s">
        <v>565</v>
      </c>
      <c r="K62" s="12"/>
      <c r="L62" s="12"/>
    </row>
    <row r="63" spans="1:12" hidden="1" outlineLevel="1">
      <c r="A63" s="408" t="s">
        <v>566</v>
      </c>
      <c r="B63" s="1698">
        <f>VLOOKUP($A63,'Anlage 1a_Zuschlagszahlungen_NB'!$A$847:$E$1558,5,0)</f>
        <v>0</v>
      </c>
      <c r="C63" s="667">
        <f>_xlfn.IFNA(VLOOKUP($A63,'Anlage 1b_Abzüge, Pflicht, Boni'!$A$9:$D$67,2,FALSE),0)</f>
        <v>-1447.61</v>
      </c>
      <c r="D63" s="667">
        <f>_xlfn.IFNA(VLOOKUP(A63,'Anlage 1b_Abzüge, Pflicht, Boni'!$A$9:$D$67,3,FALSE),0)</f>
        <v>0</v>
      </c>
      <c r="E63" s="667">
        <f>_xlfn.IFNA(VLOOKUP(A63,'Anlage 1b_Abzüge, Pflicht, Boni'!$A$9:$D$67,4,FALSE),0)</f>
        <v>0</v>
      </c>
      <c r="F63" s="88">
        <f t="shared" si="4"/>
        <v>-1447.61</v>
      </c>
      <c r="G63" s="88">
        <f>SUMIFS('Anlage 1c_Korrekturen_NB'!$L$11:$L$103,'Anlage 1c_Korrekturen_NB'!$A$11:$A$103,'Anlage 3a_Zusammenfassung_KWKG'!$A63)</f>
        <v>0</v>
      </c>
      <c r="H63" s="134">
        <f>SUMIFS('Anlage 1c_Korrekturen_NB'!$D$622:$D$624,'Anlage 1c_Korrekturen_NB'!$A$622:$A$624,'Anlage 3a_Zusammenfassung_KWKG'!$A63)</f>
        <v>0</v>
      </c>
      <c r="I63" s="925">
        <f t="shared" si="3"/>
        <v>0</v>
      </c>
      <c r="J63" s="91" t="s">
        <v>567</v>
      </c>
      <c r="K63" s="12"/>
      <c r="L63" s="12"/>
    </row>
    <row r="64" spans="1:12" hidden="1" outlineLevel="1">
      <c r="A64" s="408" t="s">
        <v>568</v>
      </c>
      <c r="B64" s="1698">
        <f>VLOOKUP($A64,'Anlage 1a_Zuschlagszahlungen_NB'!$A$847:$E$1558,5,0)</f>
        <v>81043.960000000006</v>
      </c>
      <c r="C64" s="667">
        <f>_xlfn.IFNA(VLOOKUP($A64,'Anlage 1b_Abzüge, Pflicht, Boni'!$A$9:$D$67,2,FALSE),0)</f>
        <v>0</v>
      </c>
      <c r="D64" s="667">
        <f>_xlfn.IFNA(VLOOKUP(A64,'Anlage 1b_Abzüge, Pflicht, Boni'!$A$9:$D$67,3,FALSE),0)</f>
        <v>0</v>
      </c>
      <c r="E64" s="667">
        <f>_xlfn.IFNA(VLOOKUP(A64,'Anlage 1b_Abzüge, Pflicht, Boni'!$A$9:$D$67,4,FALSE),0)</f>
        <v>0</v>
      </c>
      <c r="F64" s="88">
        <f t="shared" si="4"/>
        <v>81043.960000000006</v>
      </c>
      <c r="G64" s="88">
        <f>SUMIFS('Anlage 1c_Korrekturen_NB'!$L$11:$L$103,'Anlage 1c_Korrekturen_NB'!$A$11:$A$103,'Anlage 3a_Zusammenfassung_KWKG'!$A64)</f>
        <v>506.48</v>
      </c>
      <c r="H64" s="134">
        <f>SUMIFS('Anlage 1c_Korrekturen_NB'!$D$622:$D$624,'Anlage 1c_Korrekturen_NB'!$A$622:$A$624,'Anlage 3a_Zusammenfassung_KWKG'!$A64)</f>
        <v>0</v>
      </c>
      <c r="I64" s="925">
        <f t="shared" si="3"/>
        <v>506.48</v>
      </c>
      <c r="J64" s="91" t="s">
        <v>569</v>
      </c>
      <c r="K64" s="12"/>
      <c r="L64" s="12"/>
    </row>
    <row r="65" spans="1:12" hidden="1" outlineLevel="1">
      <c r="A65" s="408" t="s">
        <v>570</v>
      </c>
      <c r="B65" s="1698">
        <f>VLOOKUP($A65,'Anlage 1a_Zuschlagszahlungen_NB'!$A$847:$E$1558,5,0)</f>
        <v>417102.99</v>
      </c>
      <c r="C65" s="667">
        <f>_xlfn.IFNA(VLOOKUP($A65,'Anlage 1b_Abzüge, Pflicht, Boni'!$A$9:$D$67,2,FALSE),0)</f>
        <v>0</v>
      </c>
      <c r="D65" s="667">
        <f>_xlfn.IFNA(VLOOKUP(A65,'Anlage 1b_Abzüge, Pflicht, Boni'!$A$9:$D$67,3,FALSE),0)</f>
        <v>0</v>
      </c>
      <c r="E65" s="667">
        <f>_xlfn.IFNA(VLOOKUP(A65,'Anlage 1b_Abzüge, Pflicht, Boni'!$A$9:$D$67,4,FALSE),0)</f>
        <v>0</v>
      </c>
      <c r="F65" s="88">
        <f t="shared" si="4"/>
        <v>417102.99</v>
      </c>
      <c r="G65" s="88">
        <f>SUMIFS('Anlage 1c_Korrekturen_NB'!$L$11:$L$103,'Anlage 1c_Korrekturen_NB'!$A$11:$A$103,'Anlage 3a_Zusammenfassung_KWKG'!$A65)</f>
        <v>0</v>
      </c>
      <c r="H65" s="134">
        <f>SUMIFS('Anlage 1c_Korrekturen_NB'!$D$622:$D$624,'Anlage 1c_Korrekturen_NB'!$A$622:$A$624,'Anlage 3a_Zusammenfassung_KWKG'!$A65)</f>
        <v>0</v>
      </c>
      <c r="I65" s="925">
        <f t="shared" si="3"/>
        <v>0</v>
      </c>
      <c r="J65" s="91" t="s">
        <v>571</v>
      </c>
      <c r="K65" s="12"/>
      <c r="L65" s="12"/>
    </row>
    <row r="66" spans="1:12" hidden="1" outlineLevel="1">
      <c r="A66" s="408" t="s">
        <v>572</v>
      </c>
      <c r="B66" s="1698">
        <f>VLOOKUP($A66,'Anlage 1a_Zuschlagszahlungen_NB'!$A$847:$E$1558,5,0)</f>
        <v>50494.66</v>
      </c>
      <c r="C66" s="667">
        <f>_xlfn.IFNA(VLOOKUP($A66,'Anlage 1b_Abzüge, Pflicht, Boni'!$A$9:$D$67,2,FALSE),0)</f>
        <v>0</v>
      </c>
      <c r="D66" s="667">
        <f>_xlfn.IFNA(VLOOKUP(A66,'Anlage 1b_Abzüge, Pflicht, Boni'!$A$9:$D$67,3,FALSE),0)</f>
        <v>0</v>
      </c>
      <c r="E66" s="667">
        <f>_xlfn.IFNA(VLOOKUP(A66,'Anlage 1b_Abzüge, Pflicht, Boni'!$A$9:$D$67,4,FALSE),0)</f>
        <v>0</v>
      </c>
      <c r="F66" s="88">
        <f t="shared" si="4"/>
        <v>50494.66</v>
      </c>
      <c r="G66" s="88">
        <f>SUMIFS('Anlage 1c_Korrekturen_NB'!$L$11:$L$103,'Anlage 1c_Korrekturen_NB'!$A$11:$A$103,'Anlage 3a_Zusammenfassung_KWKG'!$A66)</f>
        <v>0</v>
      </c>
      <c r="H66" s="134">
        <f>SUMIFS('Anlage 1c_Korrekturen_NB'!$D$622:$D$624,'Anlage 1c_Korrekturen_NB'!$A$622:$A$624,'Anlage 3a_Zusammenfassung_KWKG'!$A66)</f>
        <v>0</v>
      </c>
      <c r="I66" s="925">
        <f t="shared" si="3"/>
        <v>0</v>
      </c>
      <c r="J66" s="91" t="s">
        <v>573</v>
      </c>
      <c r="K66" s="12"/>
      <c r="L66" s="12"/>
    </row>
    <row r="67" spans="1:12" hidden="1" outlineLevel="1">
      <c r="A67" s="408" t="s">
        <v>574</v>
      </c>
      <c r="B67" s="1698">
        <f>VLOOKUP($A67,'Anlage 1a_Zuschlagszahlungen_NB'!$A$847:$E$1558,5,0)</f>
        <v>76565.98</v>
      </c>
      <c r="C67" s="667">
        <f>_xlfn.IFNA(VLOOKUP($A67,'Anlage 1b_Abzüge, Pflicht, Boni'!$A$9:$D$67,2,FALSE),0)</f>
        <v>0</v>
      </c>
      <c r="D67" s="667">
        <f>_xlfn.IFNA(VLOOKUP(A67,'Anlage 1b_Abzüge, Pflicht, Boni'!$A$9:$D$67,3,FALSE),0)</f>
        <v>0</v>
      </c>
      <c r="E67" s="667">
        <f>_xlfn.IFNA(VLOOKUP(A67,'Anlage 1b_Abzüge, Pflicht, Boni'!$A$9:$D$67,4,FALSE),0)</f>
        <v>0</v>
      </c>
      <c r="F67" s="88">
        <f t="shared" si="4"/>
        <v>76565.98</v>
      </c>
      <c r="G67" s="88">
        <f>SUMIFS('Anlage 1c_Korrekturen_NB'!$L$11:$L$103,'Anlage 1c_Korrekturen_NB'!$A$11:$A$103,'Anlage 3a_Zusammenfassung_KWKG'!$A67)</f>
        <v>0</v>
      </c>
      <c r="H67" s="134">
        <f>SUMIFS('Anlage 1c_Korrekturen_NB'!$D$622:$D$624,'Anlage 1c_Korrekturen_NB'!$A$622:$A$624,'Anlage 3a_Zusammenfassung_KWKG'!$A67)</f>
        <v>0</v>
      </c>
      <c r="I67" s="925">
        <f t="shared" si="3"/>
        <v>0</v>
      </c>
      <c r="J67" s="91" t="s">
        <v>575</v>
      </c>
      <c r="K67" s="12"/>
      <c r="L67" s="12"/>
    </row>
    <row r="68" spans="1:12" hidden="1" outlineLevel="1">
      <c r="A68" s="408" t="s">
        <v>576</v>
      </c>
      <c r="B68" s="1698">
        <f>VLOOKUP($A68,'Anlage 1a_Zuschlagszahlungen_NB'!$A$847:$E$1558,5,0)</f>
        <v>0</v>
      </c>
      <c r="C68" s="667">
        <f>_xlfn.IFNA(VLOOKUP($A68,'Anlage 1b_Abzüge, Pflicht, Boni'!$A$9:$D$67,2,FALSE),0)</f>
        <v>0</v>
      </c>
      <c r="D68" s="667">
        <f>_xlfn.IFNA(VLOOKUP(A68,'Anlage 1b_Abzüge, Pflicht, Boni'!$A$9:$D$67,3,FALSE),0)</f>
        <v>0</v>
      </c>
      <c r="E68" s="667">
        <f>_xlfn.IFNA(VLOOKUP(A68,'Anlage 1b_Abzüge, Pflicht, Boni'!$A$9:$D$67,4,FALSE),0)</f>
        <v>0</v>
      </c>
      <c r="F68" s="88">
        <f t="shared" si="4"/>
        <v>0</v>
      </c>
      <c r="G68" s="88">
        <f>SUMIFS('Anlage 1c_Korrekturen_NB'!$L$11:$L$103,'Anlage 1c_Korrekturen_NB'!$A$11:$A$103,'Anlage 3a_Zusammenfassung_KWKG'!$A68)</f>
        <v>0</v>
      </c>
      <c r="H68" s="134">
        <f>SUMIFS('Anlage 1c_Korrekturen_NB'!$D$622:$D$624,'Anlage 1c_Korrekturen_NB'!$A$622:$A$624,'Anlage 3a_Zusammenfassung_KWKG'!$A68)</f>
        <v>0</v>
      </c>
      <c r="I68" s="925">
        <f t="shared" si="3"/>
        <v>0</v>
      </c>
      <c r="J68" s="91" t="s">
        <v>577</v>
      </c>
      <c r="K68" s="12"/>
      <c r="L68" s="12"/>
    </row>
    <row r="69" spans="1:12" hidden="1" outlineLevel="1">
      <c r="A69" s="408" t="s">
        <v>578</v>
      </c>
      <c r="B69" s="1698">
        <f>VLOOKUP($A69,'Anlage 1a_Zuschlagszahlungen_NB'!$A$847:$E$1558,5,0)</f>
        <v>228894.39000000004</v>
      </c>
      <c r="C69" s="667">
        <f>_xlfn.IFNA(VLOOKUP($A69,'Anlage 1b_Abzüge, Pflicht, Boni'!$A$9:$D$67,2,FALSE),0)</f>
        <v>0</v>
      </c>
      <c r="D69" s="667">
        <f>_xlfn.IFNA(VLOOKUP(A69,'Anlage 1b_Abzüge, Pflicht, Boni'!$A$9:$D$67,3,FALSE),0)</f>
        <v>0</v>
      </c>
      <c r="E69" s="667">
        <f>_xlfn.IFNA(VLOOKUP(A69,'Anlage 1b_Abzüge, Pflicht, Boni'!$A$9:$D$67,4,FALSE),0)</f>
        <v>0</v>
      </c>
      <c r="F69" s="88">
        <f t="shared" si="4"/>
        <v>228894.39000000004</v>
      </c>
      <c r="G69" s="88">
        <f>SUMIFS('Anlage 1c_Korrekturen_NB'!$L$11:$L$103,'Anlage 1c_Korrekturen_NB'!$A$11:$A$103,'Anlage 3a_Zusammenfassung_KWKG'!$A69)</f>
        <v>0</v>
      </c>
      <c r="H69" s="134">
        <f>SUMIFS('Anlage 1c_Korrekturen_NB'!$D$622:$D$624,'Anlage 1c_Korrekturen_NB'!$A$622:$A$624,'Anlage 3a_Zusammenfassung_KWKG'!$A69)</f>
        <v>0</v>
      </c>
      <c r="I69" s="925">
        <f t="shared" si="3"/>
        <v>0</v>
      </c>
      <c r="J69" s="91" t="s">
        <v>579</v>
      </c>
      <c r="K69" s="12"/>
      <c r="L69" s="12"/>
    </row>
    <row r="70" spans="1:12" hidden="1" outlineLevel="1">
      <c r="A70" s="408" t="s">
        <v>580</v>
      </c>
      <c r="B70" s="1698">
        <f>VLOOKUP($A70,'Anlage 1a_Zuschlagszahlungen_NB'!$A$847:$E$1558,5,0)</f>
        <v>13262.720000000001</v>
      </c>
      <c r="C70" s="667">
        <f>_xlfn.IFNA(VLOOKUP($A70,'Anlage 1b_Abzüge, Pflicht, Boni'!$A$9:$D$67,2,FALSE),0)</f>
        <v>0</v>
      </c>
      <c r="D70" s="667">
        <f>_xlfn.IFNA(VLOOKUP(A70,'Anlage 1b_Abzüge, Pflicht, Boni'!$A$9:$D$67,3,FALSE),0)</f>
        <v>0</v>
      </c>
      <c r="E70" s="667">
        <f>_xlfn.IFNA(VLOOKUP(A70,'Anlage 1b_Abzüge, Pflicht, Boni'!$A$9:$D$67,4,FALSE),0)</f>
        <v>0</v>
      </c>
      <c r="F70" s="88">
        <f t="shared" si="4"/>
        <v>13262.720000000001</v>
      </c>
      <c r="G70" s="88">
        <f>SUMIFS('Anlage 1c_Korrekturen_NB'!$L$11:$L$103,'Anlage 1c_Korrekturen_NB'!$A$11:$A$103,'Anlage 3a_Zusammenfassung_KWKG'!$A70)</f>
        <v>0</v>
      </c>
      <c r="H70" s="134">
        <f>SUMIFS('Anlage 1c_Korrekturen_NB'!$D$622:$D$624,'Anlage 1c_Korrekturen_NB'!$A$622:$A$624,'Anlage 3a_Zusammenfassung_KWKG'!$A70)</f>
        <v>0</v>
      </c>
      <c r="I70" s="925">
        <f t="shared" si="3"/>
        <v>0</v>
      </c>
      <c r="J70" s="91" t="s">
        <v>581</v>
      </c>
      <c r="K70" s="12"/>
      <c r="L70" s="12"/>
    </row>
    <row r="71" spans="1:12" hidden="1" outlineLevel="1">
      <c r="A71" s="408" t="s">
        <v>582</v>
      </c>
      <c r="B71" s="1698">
        <f>VLOOKUP($A71,'Anlage 1a_Zuschlagszahlungen_NB'!$A$847:$E$1558,5,0)</f>
        <v>214813.45</v>
      </c>
      <c r="C71" s="667">
        <f>_xlfn.IFNA(VLOOKUP($A71,'Anlage 1b_Abzüge, Pflicht, Boni'!$A$9:$D$67,2,FALSE),0)</f>
        <v>0</v>
      </c>
      <c r="D71" s="667">
        <f>_xlfn.IFNA(VLOOKUP(A71,'Anlage 1b_Abzüge, Pflicht, Boni'!$A$9:$D$67,3,FALSE),0)</f>
        <v>0</v>
      </c>
      <c r="E71" s="667">
        <f>_xlfn.IFNA(VLOOKUP(A71,'Anlage 1b_Abzüge, Pflicht, Boni'!$A$9:$D$67,4,FALSE),0)</f>
        <v>0</v>
      </c>
      <c r="F71" s="88">
        <f t="shared" si="4"/>
        <v>214813.45</v>
      </c>
      <c r="G71" s="88">
        <f>SUMIFS('Anlage 1c_Korrekturen_NB'!$L$11:$L$103,'Anlage 1c_Korrekturen_NB'!$A$11:$A$103,'Anlage 3a_Zusammenfassung_KWKG'!$A71)</f>
        <v>0</v>
      </c>
      <c r="H71" s="134">
        <f>SUMIFS('Anlage 1c_Korrekturen_NB'!$D$622:$D$624,'Anlage 1c_Korrekturen_NB'!$A$622:$A$624,'Anlage 3a_Zusammenfassung_KWKG'!$A71)</f>
        <v>0</v>
      </c>
      <c r="I71" s="925">
        <f t="shared" ref="I71:I102" si="5">G71+H71</f>
        <v>0</v>
      </c>
      <c r="J71" s="91" t="s">
        <v>583</v>
      </c>
      <c r="K71" s="12"/>
      <c r="L71" s="12"/>
    </row>
    <row r="72" spans="1:12" hidden="1" outlineLevel="1">
      <c r="A72" s="408" t="s">
        <v>584</v>
      </c>
      <c r="B72" s="1698">
        <f>VLOOKUP($A72,'Anlage 1a_Zuschlagszahlungen_NB'!$A$847:$E$1558,5,0)</f>
        <v>93130.880000000005</v>
      </c>
      <c r="C72" s="667">
        <f>_xlfn.IFNA(VLOOKUP($A72,'Anlage 1b_Abzüge, Pflicht, Boni'!$A$9:$D$67,2,FALSE),0)</f>
        <v>0</v>
      </c>
      <c r="D72" s="667">
        <f>_xlfn.IFNA(VLOOKUP(A72,'Anlage 1b_Abzüge, Pflicht, Boni'!$A$9:$D$67,3,FALSE),0)</f>
        <v>0</v>
      </c>
      <c r="E72" s="667">
        <f>_xlfn.IFNA(VLOOKUP(A72,'Anlage 1b_Abzüge, Pflicht, Boni'!$A$9:$D$67,4,FALSE),0)</f>
        <v>0</v>
      </c>
      <c r="F72" s="88">
        <f t="shared" si="4"/>
        <v>93130.880000000005</v>
      </c>
      <c r="G72" s="88">
        <f>SUMIFS('Anlage 1c_Korrekturen_NB'!$L$11:$L$103,'Anlage 1c_Korrekturen_NB'!$A$11:$A$103,'Anlage 3a_Zusammenfassung_KWKG'!$A72)</f>
        <v>0</v>
      </c>
      <c r="H72" s="134">
        <f>SUMIFS('Anlage 1c_Korrekturen_NB'!$D$622:$D$624,'Anlage 1c_Korrekturen_NB'!$A$622:$A$624,'Anlage 3a_Zusammenfassung_KWKG'!$A72)</f>
        <v>0</v>
      </c>
      <c r="I72" s="925">
        <f t="shared" si="5"/>
        <v>0</v>
      </c>
      <c r="J72" s="91" t="s">
        <v>585</v>
      </c>
      <c r="K72" s="12"/>
      <c r="L72" s="12"/>
    </row>
    <row r="73" spans="1:12" hidden="1" outlineLevel="1">
      <c r="A73" s="408" t="s">
        <v>586</v>
      </c>
      <c r="B73" s="1698">
        <f>VLOOKUP($A73,'Anlage 1a_Zuschlagszahlungen_NB'!$A$847:$E$1558,5,0)</f>
        <v>424083.07999999996</v>
      </c>
      <c r="C73" s="667">
        <f>_xlfn.IFNA(VLOOKUP($A73,'Anlage 1b_Abzüge, Pflicht, Boni'!$A$9:$D$67,2,FALSE),0)</f>
        <v>0</v>
      </c>
      <c r="D73" s="667">
        <f>_xlfn.IFNA(VLOOKUP(A73,'Anlage 1b_Abzüge, Pflicht, Boni'!$A$9:$D$67,3,FALSE),0)</f>
        <v>0</v>
      </c>
      <c r="E73" s="667">
        <f>_xlfn.IFNA(VLOOKUP(A73,'Anlage 1b_Abzüge, Pflicht, Boni'!$A$9:$D$67,4,FALSE),0)</f>
        <v>0</v>
      </c>
      <c r="F73" s="88">
        <f t="shared" ref="F73:F104" si="6">SUM(B73:E73)</f>
        <v>424083.07999999996</v>
      </c>
      <c r="G73" s="88">
        <f>SUMIFS('Anlage 1c_Korrekturen_NB'!$L$11:$L$103,'Anlage 1c_Korrekturen_NB'!$A$11:$A$103,'Anlage 3a_Zusammenfassung_KWKG'!$A73)</f>
        <v>21177.920000000002</v>
      </c>
      <c r="H73" s="134">
        <f>SUMIFS('Anlage 1c_Korrekturen_NB'!$D$622:$D$624,'Anlage 1c_Korrekturen_NB'!$A$622:$A$624,'Anlage 3a_Zusammenfassung_KWKG'!$A73)</f>
        <v>0</v>
      </c>
      <c r="I73" s="925">
        <f t="shared" si="5"/>
        <v>21177.920000000002</v>
      </c>
      <c r="J73" s="91" t="s">
        <v>587</v>
      </c>
      <c r="K73" s="12"/>
      <c r="L73" s="12"/>
    </row>
    <row r="74" spans="1:12" hidden="1" outlineLevel="1">
      <c r="A74" s="408" t="s">
        <v>588</v>
      </c>
      <c r="B74" s="1698">
        <f>VLOOKUP($A74,'Anlage 1a_Zuschlagszahlungen_NB'!$A$847:$E$1558,5,0)</f>
        <v>15895.369999999999</v>
      </c>
      <c r="C74" s="667">
        <f>_xlfn.IFNA(VLOOKUP($A74,'Anlage 1b_Abzüge, Pflicht, Boni'!$A$9:$D$67,2,FALSE),0)</f>
        <v>0</v>
      </c>
      <c r="D74" s="667">
        <f>_xlfn.IFNA(VLOOKUP(A74,'Anlage 1b_Abzüge, Pflicht, Boni'!$A$9:$D$67,3,FALSE),0)</f>
        <v>0</v>
      </c>
      <c r="E74" s="667">
        <f>_xlfn.IFNA(VLOOKUP(A74,'Anlage 1b_Abzüge, Pflicht, Boni'!$A$9:$D$67,4,FALSE),0)</f>
        <v>0</v>
      </c>
      <c r="F74" s="88">
        <f t="shared" si="6"/>
        <v>15895.369999999999</v>
      </c>
      <c r="G74" s="88">
        <f>SUMIFS('Anlage 1c_Korrekturen_NB'!$L$11:$L$103,'Anlage 1c_Korrekturen_NB'!$A$11:$A$103,'Anlage 3a_Zusammenfassung_KWKG'!$A74)</f>
        <v>0</v>
      </c>
      <c r="H74" s="134">
        <f>SUMIFS('Anlage 1c_Korrekturen_NB'!$D$622:$D$624,'Anlage 1c_Korrekturen_NB'!$A$622:$A$624,'Anlage 3a_Zusammenfassung_KWKG'!$A74)</f>
        <v>0</v>
      </c>
      <c r="I74" s="925">
        <f t="shared" si="5"/>
        <v>0</v>
      </c>
      <c r="J74" s="91" t="s">
        <v>589</v>
      </c>
      <c r="K74" s="12"/>
      <c r="L74" s="12"/>
    </row>
    <row r="75" spans="1:12" hidden="1" outlineLevel="1">
      <c r="A75" s="408" t="s">
        <v>590</v>
      </c>
      <c r="B75" s="1698">
        <f>VLOOKUP($A75,'Anlage 1a_Zuschlagszahlungen_NB'!$A$847:$E$1558,5,0)</f>
        <v>57228.33</v>
      </c>
      <c r="C75" s="667">
        <f>_xlfn.IFNA(VLOOKUP($A75,'Anlage 1b_Abzüge, Pflicht, Boni'!$A$9:$D$67,2,FALSE),0)</f>
        <v>0</v>
      </c>
      <c r="D75" s="667">
        <f>_xlfn.IFNA(VLOOKUP(A75,'Anlage 1b_Abzüge, Pflicht, Boni'!$A$9:$D$67,3,FALSE),0)</f>
        <v>0</v>
      </c>
      <c r="E75" s="667">
        <f>_xlfn.IFNA(VLOOKUP(A75,'Anlage 1b_Abzüge, Pflicht, Boni'!$A$9:$D$67,4,FALSE),0)</f>
        <v>0</v>
      </c>
      <c r="F75" s="88">
        <f t="shared" si="6"/>
        <v>57228.33</v>
      </c>
      <c r="G75" s="88">
        <f>SUMIFS('Anlage 1c_Korrekturen_NB'!$L$11:$L$103,'Anlage 1c_Korrekturen_NB'!$A$11:$A$103,'Anlage 3a_Zusammenfassung_KWKG'!$A75)</f>
        <v>0</v>
      </c>
      <c r="H75" s="134">
        <f>SUMIFS('Anlage 1c_Korrekturen_NB'!$D$622:$D$624,'Anlage 1c_Korrekturen_NB'!$A$622:$A$624,'Anlage 3a_Zusammenfassung_KWKG'!$A75)</f>
        <v>0</v>
      </c>
      <c r="I75" s="925">
        <f t="shared" si="5"/>
        <v>0</v>
      </c>
      <c r="J75" s="91" t="s">
        <v>591</v>
      </c>
      <c r="K75" s="12"/>
      <c r="L75" s="12"/>
    </row>
    <row r="76" spans="1:12" hidden="1" outlineLevel="1">
      <c r="A76" s="408" t="s">
        <v>592</v>
      </c>
      <c r="B76" s="1698">
        <f>VLOOKUP($A76,'Anlage 1a_Zuschlagszahlungen_NB'!$A$847:$E$1558,5,0)</f>
        <v>724472.7100000002</v>
      </c>
      <c r="C76" s="667">
        <f>_xlfn.IFNA(VLOOKUP($A76,'Anlage 1b_Abzüge, Pflicht, Boni'!$A$9:$D$67,2,FALSE),0)</f>
        <v>0</v>
      </c>
      <c r="D76" s="667">
        <f>_xlfn.IFNA(VLOOKUP(A76,'Anlage 1b_Abzüge, Pflicht, Boni'!$A$9:$D$67,3,FALSE),0)</f>
        <v>0</v>
      </c>
      <c r="E76" s="667">
        <f>_xlfn.IFNA(VLOOKUP(A76,'Anlage 1b_Abzüge, Pflicht, Boni'!$A$9:$D$67,4,FALSE),0)</f>
        <v>0</v>
      </c>
      <c r="F76" s="88">
        <f t="shared" si="6"/>
        <v>724472.7100000002</v>
      </c>
      <c r="G76" s="88">
        <f>SUMIFS('Anlage 1c_Korrekturen_NB'!$L$11:$L$103,'Anlage 1c_Korrekturen_NB'!$A$11:$A$103,'Anlage 3a_Zusammenfassung_KWKG'!$A76)</f>
        <v>0</v>
      </c>
      <c r="H76" s="134">
        <f>SUMIFS('Anlage 1c_Korrekturen_NB'!$D$622:$D$624,'Anlage 1c_Korrekturen_NB'!$A$622:$A$624,'Anlage 3a_Zusammenfassung_KWKG'!$A76)</f>
        <v>0</v>
      </c>
      <c r="I76" s="925">
        <f t="shared" si="5"/>
        <v>0</v>
      </c>
      <c r="J76" s="91" t="s">
        <v>593</v>
      </c>
      <c r="K76" s="12"/>
      <c r="L76" s="12"/>
    </row>
    <row r="77" spans="1:12" hidden="1" outlineLevel="1">
      <c r="A77" s="408" t="s">
        <v>594</v>
      </c>
      <c r="B77" s="1698">
        <f>VLOOKUP($A77,'Anlage 1a_Zuschlagszahlungen_NB'!$A$847:$E$1558,5,0)</f>
        <v>126066.3</v>
      </c>
      <c r="C77" s="667">
        <f>_xlfn.IFNA(VLOOKUP($A77,'Anlage 1b_Abzüge, Pflicht, Boni'!$A$9:$D$67,2,FALSE),0)</f>
        <v>0</v>
      </c>
      <c r="D77" s="667">
        <f>_xlfn.IFNA(VLOOKUP(A77,'Anlage 1b_Abzüge, Pflicht, Boni'!$A$9:$D$67,3,FALSE),0)</f>
        <v>0</v>
      </c>
      <c r="E77" s="667">
        <f>_xlfn.IFNA(VLOOKUP(A77,'Anlage 1b_Abzüge, Pflicht, Boni'!$A$9:$D$67,4,FALSE),0)</f>
        <v>0</v>
      </c>
      <c r="F77" s="88">
        <f t="shared" si="6"/>
        <v>126066.3</v>
      </c>
      <c r="G77" s="88">
        <f>SUMIFS('Anlage 1c_Korrekturen_NB'!$L$11:$L$103,'Anlage 1c_Korrekturen_NB'!$A$11:$A$103,'Anlage 3a_Zusammenfassung_KWKG'!$A77)</f>
        <v>0</v>
      </c>
      <c r="H77" s="134">
        <f>SUMIFS('Anlage 1c_Korrekturen_NB'!$D$622:$D$624,'Anlage 1c_Korrekturen_NB'!$A$622:$A$624,'Anlage 3a_Zusammenfassung_KWKG'!$A77)</f>
        <v>0</v>
      </c>
      <c r="I77" s="925">
        <f t="shared" si="5"/>
        <v>0</v>
      </c>
      <c r="J77" s="91" t="s">
        <v>595</v>
      </c>
      <c r="K77" s="12"/>
      <c r="L77" s="12"/>
    </row>
    <row r="78" spans="1:12" hidden="1" outlineLevel="1">
      <c r="A78" s="408" t="s">
        <v>596</v>
      </c>
      <c r="B78" s="1698">
        <f>VLOOKUP($A78,'Anlage 1a_Zuschlagszahlungen_NB'!$A$847:$E$1558,5,0)</f>
        <v>27797.050000000003</v>
      </c>
      <c r="C78" s="667">
        <f>_xlfn.IFNA(VLOOKUP($A78,'Anlage 1b_Abzüge, Pflicht, Boni'!$A$9:$D$67,2,FALSE),0)</f>
        <v>0</v>
      </c>
      <c r="D78" s="667">
        <f>_xlfn.IFNA(VLOOKUP(A78,'Anlage 1b_Abzüge, Pflicht, Boni'!$A$9:$D$67,3,FALSE),0)</f>
        <v>0</v>
      </c>
      <c r="E78" s="667">
        <f>_xlfn.IFNA(VLOOKUP(A78,'Anlage 1b_Abzüge, Pflicht, Boni'!$A$9:$D$67,4,FALSE),0)</f>
        <v>0</v>
      </c>
      <c r="F78" s="88">
        <f t="shared" si="6"/>
        <v>27797.050000000003</v>
      </c>
      <c r="G78" s="88">
        <f>SUMIFS('Anlage 1c_Korrekturen_NB'!$L$11:$L$103,'Anlage 1c_Korrekturen_NB'!$A$11:$A$103,'Anlage 3a_Zusammenfassung_KWKG'!$A78)</f>
        <v>0</v>
      </c>
      <c r="H78" s="134">
        <f>SUMIFS('Anlage 1c_Korrekturen_NB'!$D$622:$D$624,'Anlage 1c_Korrekturen_NB'!$A$622:$A$624,'Anlage 3a_Zusammenfassung_KWKG'!$A78)</f>
        <v>0</v>
      </c>
      <c r="I78" s="925">
        <f t="shared" si="5"/>
        <v>0</v>
      </c>
      <c r="J78" s="91" t="s">
        <v>597</v>
      </c>
      <c r="K78" s="12"/>
      <c r="L78" s="12"/>
    </row>
    <row r="79" spans="1:12" hidden="1" outlineLevel="1">
      <c r="A79" s="408" t="s">
        <v>598</v>
      </c>
      <c r="B79" s="1698">
        <f>VLOOKUP($A79,'Anlage 1a_Zuschlagszahlungen_NB'!$A$847:$E$1558,5,0)</f>
        <v>8547318.2299999949</v>
      </c>
      <c r="C79" s="667">
        <f>_xlfn.IFNA(VLOOKUP($A79,'Anlage 1b_Abzüge, Pflicht, Boni'!$A$9:$D$67,2,FALSE),0)</f>
        <v>-1703.89</v>
      </c>
      <c r="D79" s="667">
        <f>_xlfn.IFNA(VLOOKUP(A79,'Anlage 1b_Abzüge, Pflicht, Boni'!$A$9:$D$67,3,FALSE),0)</f>
        <v>-6000</v>
      </c>
      <c r="E79" s="667">
        <f>_xlfn.IFNA(VLOOKUP(A79,'Anlage 1b_Abzüge, Pflicht, Boni'!$A$9:$D$67,4,FALSE),0)</f>
        <v>0</v>
      </c>
      <c r="F79" s="88">
        <f t="shared" si="6"/>
        <v>8539614.3399999943</v>
      </c>
      <c r="G79" s="88">
        <f>SUMIFS('Anlage 1c_Korrekturen_NB'!$L$11:$L$103,'Anlage 1c_Korrekturen_NB'!$A$11:$A$103,'Anlage 3a_Zusammenfassung_KWKG'!$A79)</f>
        <v>6366534.0899999999</v>
      </c>
      <c r="H79" s="134">
        <f>SUMIFS('Anlage 1c_Korrekturen_NB'!$D$622:$D$624,'Anlage 1c_Korrekturen_NB'!$A$622:$A$624,'Anlage 3a_Zusammenfassung_KWKG'!$A79)</f>
        <v>0</v>
      </c>
      <c r="I79" s="925">
        <f t="shared" si="5"/>
        <v>6366534.0899999999</v>
      </c>
      <c r="J79" s="91" t="s">
        <v>599</v>
      </c>
      <c r="K79" s="12"/>
      <c r="L79" s="12"/>
    </row>
    <row r="80" spans="1:12" hidden="1" outlineLevel="1">
      <c r="A80" s="408" t="s">
        <v>600</v>
      </c>
      <c r="B80" s="1698">
        <f>VLOOKUP($A80,'Anlage 1a_Zuschlagszahlungen_NB'!$A$847:$E$1558,5,0)</f>
        <v>219027.12000000002</v>
      </c>
      <c r="C80" s="667">
        <f>_xlfn.IFNA(VLOOKUP($A80,'Anlage 1b_Abzüge, Pflicht, Boni'!$A$9:$D$67,2,FALSE),0)</f>
        <v>0</v>
      </c>
      <c r="D80" s="667">
        <f>_xlfn.IFNA(VLOOKUP(A80,'Anlage 1b_Abzüge, Pflicht, Boni'!$A$9:$D$67,3,FALSE),0)</f>
        <v>0</v>
      </c>
      <c r="E80" s="667">
        <f>_xlfn.IFNA(VLOOKUP(A80,'Anlage 1b_Abzüge, Pflicht, Boni'!$A$9:$D$67,4,FALSE),0)</f>
        <v>0</v>
      </c>
      <c r="F80" s="88">
        <f t="shared" si="6"/>
        <v>219027.12000000002</v>
      </c>
      <c r="G80" s="88">
        <f>SUMIFS('Anlage 1c_Korrekturen_NB'!$L$11:$L$103,'Anlage 1c_Korrekturen_NB'!$A$11:$A$103,'Anlage 3a_Zusammenfassung_KWKG'!$A80)</f>
        <v>0</v>
      </c>
      <c r="H80" s="134">
        <f>SUMIFS('Anlage 1c_Korrekturen_NB'!$D$622:$D$624,'Anlage 1c_Korrekturen_NB'!$A$622:$A$624,'Anlage 3a_Zusammenfassung_KWKG'!$A80)</f>
        <v>0</v>
      </c>
      <c r="I80" s="925">
        <f t="shared" si="5"/>
        <v>0</v>
      </c>
      <c r="J80" s="91" t="s">
        <v>601</v>
      </c>
      <c r="K80" s="12"/>
      <c r="L80" s="12"/>
    </row>
    <row r="81" spans="1:12" hidden="1" outlineLevel="1">
      <c r="A81" s="408" t="s">
        <v>602</v>
      </c>
      <c r="B81" s="1698">
        <f>VLOOKUP($A81,'Anlage 1a_Zuschlagszahlungen_NB'!$A$847:$E$1558,5,0)</f>
        <v>3368.52</v>
      </c>
      <c r="C81" s="667">
        <f>_xlfn.IFNA(VLOOKUP($A81,'Anlage 1b_Abzüge, Pflicht, Boni'!$A$9:$D$67,2,FALSE),0)</f>
        <v>0</v>
      </c>
      <c r="D81" s="667">
        <f>_xlfn.IFNA(VLOOKUP(A81,'Anlage 1b_Abzüge, Pflicht, Boni'!$A$9:$D$67,3,FALSE),0)</f>
        <v>0</v>
      </c>
      <c r="E81" s="667">
        <f>_xlfn.IFNA(VLOOKUP(A81,'Anlage 1b_Abzüge, Pflicht, Boni'!$A$9:$D$67,4,FALSE),0)</f>
        <v>0</v>
      </c>
      <c r="F81" s="88">
        <f t="shared" si="6"/>
        <v>3368.52</v>
      </c>
      <c r="G81" s="88">
        <f>SUMIFS('Anlage 1c_Korrekturen_NB'!$L$11:$L$103,'Anlage 1c_Korrekturen_NB'!$A$11:$A$103,'Anlage 3a_Zusammenfassung_KWKG'!$A81)</f>
        <v>-1403.5200000000002</v>
      </c>
      <c r="H81" s="134">
        <f>SUMIFS('Anlage 1c_Korrekturen_NB'!$D$622:$D$624,'Anlage 1c_Korrekturen_NB'!$A$622:$A$624,'Anlage 3a_Zusammenfassung_KWKG'!$A81)</f>
        <v>0</v>
      </c>
      <c r="I81" s="925">
        <f t="shared" si="5"/>
        <v>-1403.5200000000002</v>
      </c>
      <c r="J81" s="91" t="s">
        <v>603</v>
      </c>
      <c r="K81" s="12"/>
      <c r="L81" s="12"/>
    </row>
    <row r="82" spans="1:12" hidden="1" outlineLevel="1">
      <c r="A82" s="408" t="s">
        <v>604</v>
      </c>
      <c r="B82" s="1698">
        <f>VLOOKUP($A82,'Anlage 1a_Zuschlagszahlungen_NB'!$A$847:$E$1558,5,0)</f>
        <v>101320.01</v>
      </c>
      <c r="C82" s="667">
        <f>_xlfn.IFNA(VLOOKUP($A82,'Anlage 1b_Abzüge, Pflicht, Boni'!$A$9:$D$67,2,FALSE),0)</f>
        <v>0</v>
      </c>
      <c r="D82" s="667">
        <f>_xlfn.IFNA(VLOOKUP(A82,'Anlage 1b_Abzüge, Pflicht, Boni'!$A$9:$D$67,3,FALSE),0)</f>
        <v>0</v>
      </c>
      <c r="E82" s="667">
        <f>_xlfn.IFNA(VLOOKUP(A82,'Anlage 1b_Abzüge, Pflicht, Boni'!$A$9:$D$67,4,FALSE),0)</f>
        <v>0</v>
      </c>
      <c r="F82" s="88">
        <f t="shared" si="6"/>
        <v>101320.01</v>
      </c>
      <c r="G82" s="88">
        <f>SUMIFS('Anlage 1c_Korrekturen_NB'!$L$11:$L$103,'Anlage 1c_Korrekturen_NB'!$A$11:$A$103,'Anlage 3a_Zusammenfassung_KWKG'!$A82)</f>
        <v>0</v>
      </c>
      <c r="H82" s="134">
        <f>SUMIFS('Anlage 1c_Korrekturen_NB'!$D$622:$D$624,'Anlage 1c_Korrekturen_NB'!$A$622:$A$624,'Anlage 3a_Zusammenfassung_KWKG'!$A82)</f>
        <v>0</v>
      </c>
      <c r="I82" s="925">
        <f t="shared" si="5"/>
        <v>0</v>
      </c>
      <c r="J82" s="91" t="s">
        <v>605</v>
      </c>
      <c r="K82" s="12"/>
      <c r="L82" s="12"/>
    </row>
    <row r="83" spans="1:12" hidden="1" outlineLevel="1">
      <c r="A83" s="408" t="s">
        <v>606</v>
      </c>
      <c r="B83" s="1698">
        <f>VLOOKUP($A83,'Anlage 1a_Zuschlagszahlungen_NB'!$A$847:$E$1558,5,0)</f>
        <v>23595.439999999999</v>
      </c>
      <c r="C83" s="667">
        <f>_xlfn.IFNA(VLOOKUP($A83,'Anlage 1b_Abzüge, Pflicht, Boni'!$A$9:$D$67,2,FALSE),0)</f>
        <v>0</v>
      </c>
      <c r="D83" s="667">
        <f>_xlfn.IFNA(VLOOKUP(A83,'Anlage 1b_Abzüge, Pflicht, Boni'!$A$9:$D$67,3,FALSE),0)</f>
        <v>0</v>
      </c>
      <c r="E83" s="667">
        <f>_xlfn.IFNA(VLOOKUP(A83,'Anlage 1b_Abzüge, Pflicht, Boni'!$A$9:$D$67,4,FALSE),0)</f>
        <v>0</v>
      </c>
      <c r="F83" s="88">
        <f t="shared" si="6"/>
        <v>23595.439999999999</v>
      </c>
      <c r="G83" s="88">
        <f>SUMIFS('Anlage 1c_Korrekturen_NB'!$L$11:$L$103,'Anlage 1c_Korrekturen_NB'!$A$11:$A$103,'Anlage 3a_Zusammenfassung_KWKG'!$A83)</f>
        <v>0</v>
      </c>
      <c r="H83" s="134">
        <f>SUMIFS('Anlage 1c_Korrekturen_NB'!$D$622:$D$624,'Anlage 1c_Korrekturen_NB'!$A$622:$A$624,'Anlage 3a_Zusammenfassung_KWKG'!$A83)</f>
        <v>0</v>
      </c>
      <c r="I83" s="925">
        <f t="shared" si="5"/>
        <v>0</v>
      </c>
      <c r="J83" s="91" t="s">
        <v>607</v>
      </c>
      <c r="K83" s="12"/>
      <c r="L83" s="12"/>
    </row>
    <row r="84" spans="1:12" hidden="1" outlineLevel="1">
      <c r="A84" s="408" t="s">
        <v>608</v>
      </c>
      <c r="B84" s="1698">
        <f>VLOOKUP($A84,'Anlage 1a_Zuschlagszahlungen_NB'!$A$847:$E$1558,5,0)</f>
        <v>789253.24</v>
      </c>
      <c r="C84" s="667">
        <f>_xlfn.IFNA(VLOOKUP($A84,'Anlage 1b_Abzüge, Pflicht, Boni'!$A$9:$D$67,2,FALSE),0)</f>
        <v>0</v>
      </c>
      <c r="D84" s="667">
        <f>_xlfn.IFNA(VLOOKUP(A84,'Anlage 1b_Abzüge, Pflicht, Boni'!$A$9:$D$67,3,FALSE),0)</f>
        <v>0</v>
      </c>
      <c r="E84" s="667">
        <f>_xlfn.IFNA(VLOOKUP(A84,'Anlage 1b_Abzüge, Pflicht, Boni'!$A$9:$D$67,4,FALSE),0)</f>
        <v>0</v>
      </c>
      <c r="F84" s="88">
        <f t="shared" si="6"/>
        <v>789253.24</v>
      </c>
      <c r="G84" s="88">
        <f>SUMIFS('Anlage 1c_Korrekturen_NB'!$L$11:$L$103,'Anlage 1c_Korrekturen_NB'!$A$11:$A$103,'Anlage 3a_Zusammenfassung_KWKG'!$A84)</f>
        <v>14606.649999999998</v>
      </c>
      <c r="H84" s="134">
        <f>SUMIFS('Anlage 1c_Korrekturen_NB'!$D$622:$D$624,'Anlage 1c_Korrekturen_NB'!$A$622:$A$624,'Anlage 3a_Zusammenfassung_KWKG'!$A84)</f>
        <v>0</v>
      </c>
      <c r="I84" s="925">
        <f t="shared" si="5"/>
        <v>14606.649999999998</v>
      </c>
      <c r="J84" s="91" t="s">
        <v>609</v>
      </c>
      <c r="K84" s="12"/>
      <c r="L84" s="12"/>
    </row>
    <row r="85" spans="1:12" hidden="1" outlineLevel="1">
      <c r="A85" s="408" t="s">
        <v>610</v>
      </c>
      <c r="B85" s="1698">
        <f>VLOOKUP($A85,'Anlage 1a_Zuschlagszahlungen_NB'!$A$847:$E$1558,5,0)</f>
        <v>116313.4</v>
      </c>
      <c r="C85" s="667">
        <f>_xlfn.IFNA(VLOOKUP($A85,'Anlage 1b_Abzüge, Pflicht, Boni'!$A$9:$D$67,2,FALSE),0)</f>
        <v>0</v>
      </c>
      <c r="D85" s="667">
        <f>_xlfn.IFNA(VLOOKUP(A85,'Anlage 1b_Abzüge, Pflicht, Boni'!$A$9:$D$67,3,FALSE),0)</f>
        <v>0</v>
      </c>
      <c r="E85" s="667">
        <f>_xlfn.IFNA(VLOOKUP(A85,'Anlage 1b_Abzüge, Pflicht, Boni'!$A$9:$D$67,4,FALSE),0)</f>
        <v>0</v>
      </c>
      <c r="F85" s="88">
        <f t="shared" si="6"/>
        <v>116313.4</v>
      </c>
      <c r="G85" s="88">
        <f>SUMIFS('Anlage 1c_Korrekturen_NB'!$L$11:$L$103,'Anlage 1c_Korrekturen_NB'!$A$11:$A$103,'Anlage 3a_Zusammenfassung_KWKG'!$A85)</f>
        <v>1026.24</v>
      </c>
      <c r="H85" s="134">
        <f>SUMIFS('Anlage 1c_Korrekturen_NB'!$D$622:$D$624,'Anlage 1c_Korrekturen_NB'!$A$622:$A$624,'Anlage 3a_Zusammenfassung_KWKG'!$A85)</f>
        <v>0</v>
      </c>
      <c r="I85" s="925">
        <f t="shared" si="5"/>
        <v>1026.24</v>
      </c>
      <c r="J85" s="91" t="s">
        <v>611</v>
      </c>
      <c r="K85" s="12"/>
      <c r="L85" s="12"/>
    </row>
    <row r="86" spans="1:12" hidden="1" outlineLevel="1">
      <c r="A86" s="408" t="s">
        <v>612</v>
      </c>
      <c r="B86" s="1698">
        <f>VLOOKUP($A86,'Anlage 1a_Zuschlagszahlungen_NB'!$A$847:$E$1558,5,0)</f>
        <v>24034</v>
      </c>
      <c r="C86" s="667">
        <f>_xlfn.IFNA(VLOOKUP($A86,'Anlage 1b_Abzüge, Pflicht, Boni'!$A$9:$D$67,2,FALSE),0)</f>
        <v>0</v>
      </c>
      <c r="D86" s="667">
        <f>_xlfn.IFNA(VLOOKUP(A86,'Anlage 1b_Abzüge, Pflicht, Boni'!$A$9:$D$67,3,FALSE),0)</f>
        <v>0</v>
      </c>
      <c r="E86" s="667">
        <f>_xlfn.IFNA(VLOOKUP(A86,'Anlage 1b_Abzüge, Pflicht, Boni'!$A$9:$D$67,4,FALSE),0)</f>
        <v>0</v>
      </c>
      <c r="F86" s="88">
        <f t="shared" si="6"/>
        <v>24034</v>
      </c>
      <c r="G86" s="88">
        <f>SUMIFS('Anlage 1c_Korrekturen_NB'!$L$11:$L$103,'Anlage 1c_Korrekturen_NB'!$A$11:$A$103,'Anlage 3a_Zusammenfassung_KWKG'!$A86)</f>
        <v>0</v>
      </c>
      <c r="H86" s="134">
        <f>SUMIFS('Anlage 1c_Korrekturen_NB'!$D$622:$D$624,'Anlage 1c_Korrekturen_NB'!$A$622:$A$624,'Anlage 3a_Zusammenfassung_KWKG'!$A86)</f>
        <v>0</v>
      </c>
      <c r="I86" s="925">
        <f t="shared" si="5"/>
        <v>0</v>
      </c>
      <c r="J86" s="91" t="s">
        <v>613</v>
      </c>
      <c r="K86" s="12"/>
      <c r="L86" s="12"/>
    </row>
    <row r="87" spans="1:12" hidden="1" outlineLevel="1">
      <c r="A87" s="408" t="s">
        <v>614</v>
      </c>
      <c r="B87" s="1698">
        <f>VLOOKUP($A87,'Anlage 1a_Zuschlagszahlungen_NB'!$A$847:$E$1558,5,0)</f>
        <v>93829.239999999991</v>
      </c>
      <c r="C87" s="667">
        <f>_xlfn.IFNA(VLOOKUP($A87,'Anlage 1b_Abzüge, Pflicht, Boni'!$A$9:$D$67,2,FALSE),0)</f>
        <v>0</v>
      </c>
      <c r="D87" s="667">
        <f>_xlfn.IFNA(VLOOKUP(A87,'Anlage 1b_Abzüge, Pflicht, Boni'!$A$9:$D$67,3,FALSE),0)</f>
        <v>0</v>
      </c>
      <c r="E87" s="667">
        <f>_xlfn.IFNA(VLOOKUP(A87,'Anlage 1b_Abzüge, Pflicht, Boni'!$A$9:$D$67,4,FALSE),0)</f>
        <v>0</v>
      </c>
      <c r="F87" s="88">
        <f t="shared" si="6"/>
        <v>93829.239999999991</v>
      </c>
      <c r="G87" s="88">
        <f>SUMIFS('Anlage 1c_Korrekturen_NB'!$L$11:$L$103,'Anlage 1c_Korrekturen_NB'!$A$11:$A$103,'Anlage 3a_Zusammenfassung_KWKG'!$A87)</f>
        <v>0</v>
      </c>
      <c r="H87" s="134">
        <f>SUMIFS('Anlage 1c_Korrekturen_NB'!$D$622:$D$624,'Anlage 1c_Korrekturen_NB'!$A$622:$A$624,'Anlage 3a_Zusammenfassung_KWKG'!$A87)</f>
        <v>0</v>
      </c>
      <c r="I87" s="925">
        <f t="shared" si="5"/>
        <v>0</v>
      </c>
      <c r="J87" s="91" t="s">
        <v>615</v>
      </c>
      <c r="K87" s="12"/>
      <c r="L87" s="12"/>
    </row>
    <row r="88" spans="1:12" hidden="1" outlineLevel="1">
      <c r="A88" s="408" t="s">
        <v>616</v>
      </c>
      <c r="B88" s="1698">
        <f>VLOOKUP($A88,'Anlage 1a_Zuschlagszahlungen_NB'!$A$847:$E$1558,5,0)</f>
        <v>10810.800000000001</v>
      </c>
      <c r="C88" s="667">
        <f>_xlfn.IFNA(VLOOKUP($A88,'Anlage 1b_Abzüge, Pflicht, Boni'!$A$9:$D$67,2,FALSE),0)</f>
        <v>0</v>
      </c>
      <c r="D88" s="667">
        <f>_xlfn.IFNA(VLOOKUP(A88,'Anlage 1b_Abzüge, Pflicht, Boni'!$A$9:$D$67,3,FALSE),0)</f>
        <v>0</v>
      </c>
      <c r="E88" s="667">
        <f>_xlfn.IFNA(VLOOKUP(A88,'Anlage 1b_Abzüge, Pflicht, Boni'!$A$9:$D$67,4,FALSE),0)</f>
        <v>0</v>
      </c>
      <c r="F88" s="88">
        <f t="shared" si="6"/>
        <v>10810.800000000001</v>
      </c>
      <c r="G88" s="88">
        <f>SUMIFS('Anlage 1c_Korrekturen_NB'!$L$11:$L$103,'Anlage 1c_Korrekturen_NB'!$A$11:$A$103,'Anlage 3a_Zusammenfassung_KWKG'!$A88)</f>
        <v>0</v>
      </c>
      <c r="H88" s="134">
        <f>SUMIFS('Anlage 1c_Korrekturen_NB'!$D$622:$D$624,'Anlage 1c_Korrekturen_NB'!$A$622:$A$624,'Anlage 3a_Zusammenfassung_KWKG'!$A88)</f>
        <v>0</v>
      </c>
      <c r="I88" s="925">
        <f t="shared" si="5"/>
        <v>0</v>
      </c>
      <c r="J88" s="91" t="s">
        <v>617</v>
      </c>
      <c r="K88" s="12"/>
      <c r="L88" s="12"/>
    </row>
    <row r="89" spans="1:12" hidden="1" outlineLevel="1">
      <c r="A89" s="408" t="s">
        <v>618</v>
      </c>
      <c r="B89" s="1698">
        <f>VLOOKUP($A89,'Anlage 1a_Zuschlagszahlungen_NB'!$A$847:$E$1558,5,0)</f>
        <v>4090805.0100000002</v>
      </c>
      <c r="C89" s="667">
        <f>_xlfn.IFNA(VLOOKUP($A89,'Anlage 1b_Abzüge, Pflicht, Boni'!$A$9:$D$67,2,FALSE),0)</f>
        <v>-2167</v>
      </c>
      <c r="D89" s="667">
        <f>_xlfn.IFNA(VLOOKUP(A89,'Anlage 1b_Abzüge, Pflicht, Boni'!$A$9:$D$67,3,FALSE),0)</f>
        <v>0</v>
      </c>
      <c r="E89" s="667">
        <f>_xlfn.IFNA(VLOOKUP(A89,'Anlage 1b_Abzüge, Pflicht, Boni'!$A$9:$D$67,4,FALSE),0)</f>
        <v>0</v>
      </c>
      <c r="F89" s="88">
        <f t="shared" si="6"/>
        <v>4088638.0100000002</v>
      </c>
      <c r="G89" s="88">
        <f>SUMIFS('Anlage 1c_Korrekturen_NB'!$L$11:$L$103,'Anlage 1c_Korrekturen_NB'!$A$11:$A$103,'Anlage 3a_Zusammenfassung_KWKG'!$A89)</f>
        <v>0</v>
      </c>
      <c r="H89" s="134">
        <f>SUMIFS('Anlage 1c_Korrekturen_NB'!$D$622:$D$624,'Anlage 1c_Korrekturen_NB'!$A$622:$A$624,'Anlage 3a_Zusammenfassung_KWKG'!$A89)</f>
        <v>0</v>
      </c>
      <c r="I89" s="925">
        <f t="shared" si="5"/>
        <v>0</v>
      </c>
      <c r="J89" s="91" t="s">
        <v>619</v>
      </c>
      <c r="K89" s="12"/>
      <c r="L89" s="12"/>
    </row>
    <row r="90" spans="1:12" hidden="1" outlineLevel="1">
      <c r="A90" s="408" t="s">
        <v>620</v>
      </c>
      <c r="B90" s="1698">
        <f>VLOOKUP($A90,'Anlage 1a_Zuschlagszahlungen_NB'!$A$847:$E$1558,5,0)</f>
        <v>3243302.9800000004</v>
      </c>
      <c r="C90" s="667">
        <f>_xlfn.IFNA(VLOOKUP($A90,'Anlage 1b_Abzüge, Pflicht, Boni'!$A$9:$D$67,2,FALSE),0)</f>
        <v>0</v>
      </c>
      <c r="D90" s="667">
        <f>_xlfn.IFNA(VLOOKUP(A90,'Anlage 1b_Abzüge, Pflicht, Boni'!$A$9:$D$67,3,FALSE),0)</f>
        <v>0</v>
      </c>
      <c r="E90" s="667">
        <f>_xlfn.IFNA(VLOOKUP(A90,'Anlage 1b_Abzüge, Pflicht, Boni'!$A$9:$D$67,4,FALSE),0)</f>
        <v>0</v>
      </c>
      <c r="F90" s="88">
        <f t="shared" si="6"/>
        <v>3243302.9800000004</v>
      </c>
      <c r="G90" s="88">
        <f>SUMIFS('Anlage 1c_Korrekturen_NB'!$L$11:$L$103,'Anlage 1c_Korrekturen_NB'!$A$11:$A$103,'Anlage 3a_Zusammenfassung_KWKG'!$A90)</f>
        <v>337213.47000000003</v>
      </c>
      <c r="H90" s="134">
        <f>SUMIFS('Anlage 1c_Korrekturen_NB'!$D$622:$D$624,'Anlage 1c_Korrekturen_NB'!$A$622:$A$624,'Anlage 3a_Zusammenfassung_KWKG'!$A90)</f>
        <v>0</v>
      </c>
      <c r="I90" s="925">
        <f t="shared" si="5"/>
        <v>337213.47000000003</v>
      </c>
      <c r="J90" s="91" t="s">
        <v>621</v>
      </c>
      <c r="K90" s="12"/>
      <c r="L90" s="12"/>
    </row>
    <row r="91" spans="1:12" hidden="1" outlineLevel="1">
      <c r="A91" s="408" t="s">
        <v>622</v>
      </c>
      <c r="B91" s="1698">
        <f>VLOOKUP($A91,'Anlage 1a_Zuschlagszahlungen_NB'!$A$847:$E$1558,5,0)</f>
        <v>14362990.809999999</v>
      </c>
      <c r="C91" s="667">
        <f>_xlfn.IFNA(VLOOKUP($A91,'Anlage 1b_Abzüge, Pflicht, Boni'!$A$9:$D$67,2,FALSE),0)</f>
        <v>0</v>
      </c>
      <c r="D91" s="667">
        <f>_xlfn.IFNA(VLOOKUP(A91,'Anlage 1b_Abzüge, Pflicht, Boni'!$A$9:$D$67,3,FALSE),0)</f>
        <v>0</v>
      </c>
      <c r="E91" s="667">
        <f>_xlfn.IFNA(VLOOKUP(A91,'Anlage 1b_Abzüge, Pflicht, Boni'!$A$9:$D$67,4,FALSE),0)</f>
        <v>0</v>
      </c>
      <c r="F91" s="88">
        <f t="shared" si="6"/>
        <v>14362990.809999999</v>
      </c>
      <c r="G91" s="88">
        <f>SUMIFS('Anlage 1c_Korrekturen_NB'!$L$11:$L$103,'Anlage 1c_Korrekturen_NB'!$A$11:$A$103,'Anlage 3a_Zusammenfassung_KWKG'!$A91)</f>
        <v>134872.57</v>
      </c>
      <c r="H91" s="134">
        <f>SUMIFS('Anlage 1c_Korrekturen_NB'!$D$622:$D$624,'Anlage 1c_Korrekturen_NB'!$A$622:$A$624,'Anlage 3a_Zusammenfassung_KWKG'!$A91)</f>
        <v>0</v>
      </c>
      <c r="I91" s="925">
        <f t="shared" si="5"/>
        <v>134872.57</v>
      </c>
      <c r="J91" s="91" t="s">
        <v>623</v>
      </c>
      <c r="K91" s="12"/>
      <c r="L91" s="12"/>
    </row>
    <row r="92" spans="1:12" hidden="1" outlineLevel="1">
      <c r="A92" s="408" t="s">
        <v>624</v>
      </c>
      <c r="B92" s="1698">
        <f>VLOOKUP($A92,'Anlage 1a_Zuschlagszahlungen_NB'!$A$847:$E$1558,5,0)</f>
        <v>749964.08000000007</v>
      </c>
      <c r="C92" s="667">
        <f>_xlfn.IFNA(VLOOKUP($A92,'Anlage 1b_Abzüge, Pflicht, Boni'!$A$9:$D$67,2,FALSE),0)</f>
        <v>0</v>
      </c>
      <c r="D92" s="667">
        <f>_xlfn.IFNA(VLOOKUP(A92,'Anlage 1b_Abzüge, Pflicht, Boni'!$A$9:$D$67,3,FALSE),0)</f>
        <v>0</v>
      </c>
      <c r="E92" s="667">
        <f>_xlfn.IFNA(VLOOKUP(A92,'Anlage 1b_Abzüge, Pflicht, Boni'!$A$9:$D$67,4,FALSE),0)</f>
        <v>0</v>
      </c>
      <c r="F92" s="88">
        <f t="shared" si="6"/>
        <v>749964.08000000007</v>
      </c>
      <c r="G92" s="88">
        <f>SUMIFS('Anlage 1c_Korrekturen_NB'!$L$11:$L$103,'Anlage 1c_Korrekturen_NB'!$A$11:$A$103,'Anlage 3a_Zusammenfassung_KWKG'!$A92)</f>
        <v>4024.64</v>
      </c>
      <c r="H92" s="134">
        <f>SUMIFS('Anlage 1c_Korrekturen_NB'!$D$622:$D$624,'Anlage 1c_Korrekturen_NB'!$A$622:$A$624,'Anlage 3a_Zusammenfassung_KWKG'!$A92)</f>
        <v>0</v>
      </c>
      <c r="I92" s="925">
        <f t="shared" si="5"/>
        <v>4024.64</v>
      </c>
      <c r="J92" s="91" t="s">
        <v>625</v>
      </c>
      <c r="K92" s="12"/>
      <c r="L92" s="12"/>
    </row>
    <row r="93" spans="1:12" hidden="1" outlineLevel="1">
      <c r="A93" s="408" t="s">
        <v>626</v>
      </c>
      <c r="B93" s="1698">
        <f>VLOOKUP($A93,'Anlage 1a_Zuschlagszahlungen_NB'!$A$847:$E$1558,5,0)</f>
        <v>959317.35000000021</v>
      </c>
      <c r="C93" s="667">
        <f>_xlfn.IFNA(VLOOKUP($A93,'Anlage 1b_Abzüge, Pflicht, Boni'!$A$9:$D$67,2,FALSE),0)</f>
        <v>0</v>
      </c>
      <c r="D93" s="667">
        <f>_xlfn.IFNA(VLOOKUP(A93,'Anlage 1b_Abzüge, Pflicht, Boni'!$A$9:$D$67,3,FALSE),0)</f>
        <v>0</v>
      </c>
      <c r="E93" s="667">
        <f>_xlfn.IFNA(VLOOKUP(A93,'Anlage 1b_Abzüge, Pflicht, Boni'!$A$9:$D$67,4,FALSE),0)</f>
        <v>0</v>
      </c>
      <c r="F93" s="88">
        <f t="shared" si="6"/>
        <v>959317.35000000021</v>
      </c>
      <c r="G93" s="88">
        <f>SUMIFS('Anlage 1c_Korrekturen_NB'!$L$11:$L$103,'Anlage 1c_Korrekturen_NB'!$A$11:$A$103,'Anlage 3a_Zusammenfassung_KWKG'!$A93)</f>
        <v>0</v>
      </c>
      <c r="H93" s="134">
        <f>SUMIFS('Anlage 1c_Korrekturen_NB'!$D$622:$D$624,'Anlage 1c_Korrekturen_NB'!$A$622:$A$624,'Anlage 3a_Zusammenfassung_KWKG'!$A93)</f>
        <v>0</v>
      </c>
      <c r="I93" s="925">
        <f t="shared" si="5"/>
        <v>0</v>
      </c>
      <c r="J93" s="91" t="s">
        <v>627</v>
      </c>
      <c r="K93" s="12"/>
      <c r="L93" s="12"/>
    </row>
    <row r="94" spans="1:12" hidden="1" outlineLevel="1">
      <c r="A94" s="408" t="s">
        <v>628</v>
      </c>
      <c r="B94" s="1698">
        <f>VLOOKUP($A94,'Anlage 1a_Zuschlagszahlungen_NB'!$A$847:$E$1558,5,0)</f>
        <v>51235.600000000006</v>
      </c>
      <c r="C94" s="667">
        <f>_xlfn.IFNA(VLOOKUP($A94,'Anlage 1b_Abzüge, Pflicht, Boni'!$A$9:$D$67,2,FALSE),0)</f>
        <v>0</v>
      </c>
      <c r="D94" s="667">
        <f>_xlfn.IFNA(VLOOKUP(A94,'Anlage 1b_Abzüge, Pflicht, Boni'!$A$9:$D$67,3,FALSE),0)</f>
        <v>0</v>
      </c>
      <c r="E94" s="667">
        <f>_xlfn.IFNA(VLOOKUP(A94,'Anlage 1b_Abzüge, Pflicht, Boni'!$A$9:$D$67,4,FALSE),0)</f>
        <v>0</v>
      </c>
      <c r="F94" s="88">
        <f t="shared" si="6"/>
        <v>51235.600000000006</v>
      </c>
      <c r="G94" s="88">
        <f>SUMIFS('Anlage 1c_Korrekturen_NB'!$L$11:$L$103,'Anlage 1c_Korrekturen_NB'!$A$11:$A$103,'Anlage 3a_Zusammenfassung_KWKG'!$A94)</f>
        <v>0</v>
      </c>
      <c r="H94" s="134">
        <f>SUMIFS('Anlage 1c_Korrekturen_NB'!$D$622:$D$624,'Anlage 1c_Korrekturen_NB'!$A$622:$A$624,'Anlage 3a_Zusammenfassung_KWKG'!$A94)</f>
        <v>0</v>
      </c>
      <c r="I94" s="925">
        <f t="shared" si="5"/>
        <v>0</v>
      </c>
      <c r="J94" s="91" t="s">
        <v>629</v>
      </c>
      <c r="K94" s="12"/>
      <c r="L94" s="12"/>
    </row>
    <row r="95" spans="1:12" hidden="1" outlineLevel="1">
      <c r="A95" s="408" t="s">
        <v>630</v>
      </c>
      <c r="B95" s="1698">
        <f>VLOOKUP($A95,'Anlage 1a_Zuschlagszahlungen_NB'!$A$847:$E$1558,5,0)</f>
        <v>9960.59</v>
      </c>
      <c r="C95" s="667">
        <f>_xlfn.IFNA(VLOOKUP($A95,'Anlage 1b_Abzüge, Pflicht, Boni'!$A$9:$D$67,2,FALSE),0)</f>
        <v>0</v>
      </c>
      <c r="D95" s="667">
        <f>_xlfn.IFNA(VLOOKUP(A95,'Anlage 1b_Abzüge, Pflicht, Boni'!$A$9:$D$67,3,FALSE),0)</f>
        <v>0</v>
      </c>
      <c r="E95" s="667">
        <f>_xlfn.IFNA(VLOOKUP(A95,'Anlage 1b_Abzüge, Pflicht, Boni'!$A$9:$D$67,4,FALSE),0)</f>
        <v>0</v>
      </c>
      <c r="F95" s="88">
        <f t="shared" si="6"/>
        <v>9960.59</v>
      </c>
      <c r="G95" s="88">
        <f>SUMIFS('Anlage 1c_Korrekturen_NB'!$L$11:$L$103,'Anlage 1c_Korrekturen_NB'!$A$11:$A$103,'Anlage 3a_Zusammenfassung_KWKG'!$A95)</f>
        <v>0</v>
      </c>
      <c r="H95" s="134">
        <f>SUMIFS('Anlage 1c_Korrekturen_NB'!$D$622:$D$624,'Anlage 1c_Korrekturen_NB'!$A$622:$A$624,'Anlage 3a_Zusammenfassung_KWKG'!$A95)</f>
        <v>0</v>
      </c>
      <c r="I95" s="925">
        <f t="shared" si="5"/>
        <v>0</v>
      </c>
      <c r="J95" s="91" t="s">
        <v>631</v>
      </c>
      <c r="K95" s="12"/>
      <c r="L95" s="12"/>
    </row>
    <row r="96" spans="1:12" hidden="1" outlineLevel="1">
      <c r="A96" s="408" t="s">
        <v>632</v>
      </c>
      <c r="B96" s="1698">
        <f>VLOOKUP($A96,'Anlage 1a_Zuschlagszahlungen_NB'!$A$847:$E$1558,5,0)</f>
        <v>600803.19000000006</v>
      </c>
      <c r="C96" s="667">
        <f>_xlfn.IFNA(VLOOKUP($A96,'Anlage 1b_Abzüge, Pflicht, Boni'!$A$9:$D$67,2,FALSE),0)</f>
        <v>0</v>
      </c>
      <c r="D96" s="667">
        <f>_xlfn.IFNA(VLOOKUP(A96,'Anlage 1b_Abzüge, Pflicht, Boni'!$A$9:$D$67,3,FALSE),0)</f>
        <v>0</v>
      </c>
      <c r="E96" s="667">
        <f>_xlfn.IFNA(VLOOKUP(A96,'Anlage 1b_Abzüge, Pflicht, Boni'!$A$9:$D$67,4,FALSE),0)</f>
        <v>0</v>
      </c>
      <c r="F96" s="88">
        <f t="shared" si="6"/>
        <v>600803.19000000006</v>
      </c>
      <c r="G96" s="88">
        <f>SUMIFS('Anlage 1c_Korrekturen_NB'!$L$11:$L$103,'Anlage 1c_Korrekturen_NB'!$A$11:$A$103,'Anlage 3a_Zusammenfassung_KWKG'!$A96)</f>
        <v>0</v>
      </c>
      <c r="H96" s="134">
        <f>SUMIFS('Anlage 1c_Korrekturen_NB'!$D$622:$D$624,'Anlage 1c_Korrekturen_NB'!$A$622:$A$624,'Anlage 3a_Zusammenfassung_KWKG'!$A96)</f>
        <v>0</v>
      </c>
      <c r="I96" s="925">
        <f t="shared" si="5"/>
        <v>0</v>
      </c>
      <c r="J96" s="91" t="s">
        <v>633</v>
      </c>
      <c r="K96" s="12"/>
      <c r="L96" s="12"/>
    </row>
    <row r="97" spans="1:12" hidden="1" outlineLevel="1">
      <c r="A97" s="408" t="s">
        <v>634</v>
      </c>
      <c r="B97" s="1698">
        <f>VLOOKUP($A97,'Anlage 1a_Zuschlagszahlungen_NB'!$A$847:$E$1558,5,0)</f>
        <v>45998.82</v>
      </c>
      <c r="C97" s="667">
        <f>_xlfn.IFNA(VLOOKUP($A97,'Anlage 1b_Abzüge, Pflicht, Boni'!$A$9:$D$67,2,FALSE),0)</f>
        <v>0</v>
      </c>
      <c r="D97" s="667">
        <f>_xlfn.IFNA(VLOOKUP(A97,'Anlage 1b_Abzüge, Pflicht, Boni'!$A$9:$D$67,3,FALSE),0)</f>
        <v>0</v>
      </c>
      <c r="E97" s="667">
        <f>_xlfn.IFNA(VLOOKUP(A97,'Anlage 1b_Abzüge, Pflicht, Boni'!$A$9:$D$67,4,FALSE),0)</f>
        <v>0</v>
      </c>
      <c r="F97" s="88">
        <f t="shared" si="6"/>
        <v>45998.82</v>
      </c>
      <c r="G97" s="88">
        <f>SUMIFS('Anlage 1c_Korrekturen_NB'!$L$11:$L$103,'Anlage 1c_Korrekturen_NB'!$A$11:$A$103,'Anlage 3a_Zusammenfassung_KWKG'!$A97)</f>
        <v>166.40000000000003</v>
      </c>
      <c r="H97" s="134">
        <f>SUMIFS('Anlage 1c_Korrekturen_NB'!$D$622:$D$624,'Anlage 1c_Korrekturen_NB'!$A$622:$A$624,'Anlage 3a_Zusammenfassung_KWKG'!$A97)</f>
        <v>0</v>
      </c>
      <c r="I97" s="925">
        <f t="shared" si="5"/>
        <v>166.40000000000003</v>
      </c>
      <c r="J97" s="91" t="s">
        <v>635</v>
      </c>
      <c r="K97" s="12"/>
      <c r="L97" s="12"/>
    </row>
    <row r="98" spans="1:12" hidden="1" outlineLevel="1">
      <c r="A98" s="408" t="s">
        <v>636</v>
      </c>
      <c r="B98" s="1698">
        <f>VLOOKUP($A98,'Anlage 1a_Zuschlagszahlungen_NB'!$A$847:$E$1558,5,0)</f>
        <v>6225809.3300000001</v>
      </c>
      <c r="C98" s="667">
        <f>_xlfn.IFNA(VLOOKUP($A98,'Anlage 1b_Abzüge, Pflicht, Boni'!$A$9:$D$67,2,FALSE),0)</f>
        <v>0</v>
      </c>
      <c r="D98" s="667">
        <f>_xlfn.IFNA(VLOOKUP(A98,'Anlage 1b_Abzüge, Pflicht, Boni'!$A$9:$D$67,3,FALSE),0)</f>
        <v>0</v>
      </c>
      <c r="E98" s="667">
        <f>_xlfn.IFNA(VLOOKUP(A98,'Anlage 1b_Abzüge, Pflicht, Boni'!$A$9:$D$67,4,FALSE),0)</f>
        <v>6462300</v>
      </c>
      <c r="F98" s="88">
        <f t="shared" si="6"/>
        <v>12688109.33</v>
      </c>
      <c r="G98" s="88">
        <f>SUMIFS('Anlage 1c_Korrekturen_NB'!$L$11:$L$103,'Anlage 1c_Korrekturen_NB'!$A$11:$A$103,'Anlage 3a_Zusammenfassung_KWKG'!$A98)</f>
        <v>0</v>
      </c>
      <c r="H98" s="134">
        <f>SUMIFS('Anlage 1c_Korrekturen_NB'!$D$622:$D$624,'Anlage 1c_Korrekturen_NB'!$A$622:$A$624,'Anlage 3a_Zusammenfassung_KWKG'!$A98)</f>
        <v>0</v>
      </c>
      <c r="I98" s="925">
        <f t="shared" si="5"/>
        <v>0</v>
      </c>
      <c r="J98" s="91" t="s">
        <v>637</v>
      </c>
      <c r="K98" s="12"/>
      <c r="L98" s="12"/>
    </row>
    <row r="99" spans="1:12" hidden="1" outlineLevel="1">
      <c r="A99" s="408" t="s">
        <v>638</v>
      </c>
      <c r="B99" s="1698">
        <f>VLOOKUP($A99,'Anlage 1a_Zuschlagszahlungen_NB'!$A$847:$E$1558,5,0)</f>
        <v>2044230.6400000001</v>
      </c>
      <c r="C99" s="667">
        <f>_xlfn.IFNA(VLOOKUP($A99,'Anlage 1b_Abzüge, Pflicht, Boni'!$A$9:$D$67,2,FALSE),0)</f>
        <v>0</v>
      </c>
      <c r="D99" s="667">
        <f>_xlfn.IFNA(VLOOKUP(A99,'Anlage 1b_Abzüge, Pflicht, Boni'!$A$9:$D$67,3,FALSE),0)</f>
        <v>0</v>
      </c>
      <c r="E99" s="667">
        <f>_xlfn.IFNA(VLOOKUP(A99,'Anlage 1b_Abzüge, Pflicht, Boni'!$A$9:$D$67,4,FALSE),0)</f>
        <v>0</v>
      </c>
      <c r="F99" s="88">
        <f t="shared" si="6"/>
        <v>2044230.6400000001</v>
      </c>
      <c r="G99" s="88">
        <f>SUMIFS('Anlage 1c_Korrekturen_NB'!$L$11:$L$103,'Anlage 1c_Korrekturen_NB'!$A$11:$A$103,'Anlage 3a_Zusammenfassung_KWKG'!$A99)</f>
        <v>0</v>
      </c>
      <c r="H99" s="134">
        <f>SUMIFS('Anlage 1c_Korrekturen_NB'!$D$622:$D$624,'Anlage 1c_Korrekturen_NB'!$A$622:$A$624,'Anlage 3a_Zusammenfassung_KWKG'!$A99)</f>
        <v>0</v>
      </c>
      <c r="I99" s="925">
        <f t="shared" si="5"/>
        <v>0</v>
      </c>
      <c r="J99" s="91" t="s">
        <v>639</v>
      </c>
      <c r="K99" s="12"/>
      <c r="L99" s="12"/>
    </row>
    <row r="100" spans="1:12" hidden="1" outlineLevel="1">
      <c r="A100" s="408" t="s">
        <v>640</v>
      </c>
      <c r="B100" s="1698">
        <f>VLOOKUP($A100,'Anlage 1a_Zuschlagszahlungen_NB'!$A$847:$E$1558,5,0)</f>
        <v>40392.720000000001</v>
      </c>
      <c r="C100" s="667">
        <f>_xlfn.IFNA(VLOOKUP($A100,'Anlage 1b_Abzüge, Pflicht, Boni'!$A$9:$D$67,2,FALSE),0)</f>
        <v>0</v>
      </c>
      <c r="D100" s="667">
        <f>_xlfn.IFNA(VLOOKUP(A100,'Anlage 1b_Abzüge, Pflicht, Boni'!$A$9:$D$67,3,FALSE),0)</f>
        <v>0</v>
      </c>
      <c r="E100" s="667">
        <f>_xlfn.IFNA(VLOOKUP(A100,'Anlage 1b_Abzüge, Pflicht, Boni'!$A$9:$D$67,4,FALSE),0)</f>
        <v>0</v>
      </c>
      <c r="F100" s="88">
        <f t="shared" si="6"/>
        <v>40392.720000000001</v>
      </c>
      <c r="G100" s="88">
        <f>SUMIFS('Anlage 1c_Korrekturen_NB'!$L$11:$L$103,'Anlage 1c_Korrekturen_NB'!$A$11:$A$103,'Anlage 3a_Zusammenfassung_KWKG'!$A100)</f>
        <v>0</v>
      </c>
      <c r="H100" s="134">
        <f>SUMIFS('Anlage 1c_Korrekturen_NB'!$D$622:$D$624,'Anlage 1c_Korrekturen_NB'!$A$622:$A$624,'Anlage 3a_Zusammenfassung_KWKG'!$A100)</f>
        <v>0</v>
      </c>
      <c r="I100" s="925">
        <f t="shared" si="5"/>
        <v>0</v>
      </c>
      <c r="J100" s="91" t="s">
        <v>641</v>
      </c>
      <c r="K100" s="12"/>
      <c r="L100" s="12"/>
    </row>
    <row r="101" spans="1:12" hidden="1" outlineLevel="1">
      <c r="A101" s="408" t="s">
        <v>642</v>
      </c>
      <c r="B101" s="1698">
        <f>VLOOKUP($A101,'Anlage 1a_Zuschlagszahlungen_NB'!$A$847:$E$1558,5,0)</f>
        <v>31027.200000000001</v>
      </c>
      <c r="C101" s="667">
        <f>_xlfn.IFNA(VLOOKUP($A101,'Anlage 1b_Abzüge, Pflicht, Boni'!$A$9:$D$67,2,FALSE),0)</f>
        <v>0</v>
      </c>
      <c r="D101" s="667">
        <f>_xlfn.IFNA(VLOOKUP(A101,'Anlage 1b_Abzüge, Pflicht, Boni'!$A$9:$D$67,3,FALSE),0)</f>
        <v>0</v>
      </c>
      <c r="E101" s="667">
        <f>_xlfn.IFNA(VLOOKUP(A101,'Anlage 1b_Abzüge, Pflicht, Boni'!$A$9:$D$67,4,FALSE),0)</f>
        <v>0</v>
      </c>
      <c r="F101" s="88">
        <f t="shared" si="6"/>
        <v>31027.200000000001</v>
      </c>
      <c r="G101" s="88">
        <f>SUMIFS('Anlage 1c_Korrekturen_NB'!$L$11:$L$103,'Anlage 1c_Korrekturen_NB'!$A$11:$A$103,'Anlage 3a_Zusammenfassung_KWKG'!$A101)</f>
        <v>0</v>
      </c>
      <c r="H101" s="134">
        <f>SUMIFS('Anlage 1c_Korrekturen_NB'!$D$622:$D$624,'Anlage 1c_Korrekturen_NB'!$A$622:$A$624,'Anlage 3a_Zusammenfassung_KWKG'!$A101)</f>
        <v>0</v>
      </c>
      <c r="I101" s="925">
        <f t="shared" si="5"/>
        <v>0</v>
      </c>
      <c r="J101" s="91" t="s">
        <v>643</v>
      </c>
      <c r="K101" s="12"/>
      <c r="L101" s="12"/>
    </row>
    <row r="102" spans="1:12" hidden="1" outlineLevel="1">
      <c r="A102" s="408" t="s">
        <v>644</v>
      </c>
      <c r="B102" s="1698">
        <f>VLOOKUP($A102,'Anlage 1a_Zuschlagszahlungen_NB'!$A$847:$E$1558,5,0)</f>
        <v>112958.46000000002</v>
      </c>
      <c r="C102" s="667">
        <f>_xlfn.IFNA(VLOOKUP($A102,'Anlage 1b_Abzüge, Pflicht, Boni'!$A$9:$D$67,2,FALSE),0)</f>
        <v>0</v>
      </c>
      <c r="D102" s="667">
        <f>_xlfn.IFNA(VLOOKUP(A102,'Anlage 1b_Abzüge, Pflicht, Boni'!$A$9:$D$67,3,FALSE),0)</f>
        <v>0</v>
      </c>
      <c r="E102" s="667">
        <f>_xlfn.IFNA(VLOOKUP(A102,'Anlage 1b_Abzüge, Pflicht, Boni'!$A$9:$D$67,4,FALSE),0)</f>
        <v>0</v>
      </c>
      <c r="F102" s="88">
        <f t="shared" si="6"/>
        <v>112958.46000000002</v>
      </c>
      <c r="G102" s="88">
        <f>SUMIFS('Anlage 1c_Korrekturen_NB'!$L$11:$L$103,'Anlage 1c_Korrekturen_NB'!$A$11:$A$103,'Anlage 3a_Zusammenfassung_KWKG'!$A102)</f>
        <v>0</v>
      </c>
      <c r="H102" s="134">
        <f>SUMIFS('Anlage 1c_Korrekturen_NB'!$D$622:$D$624,'Anlage 1c_Korrekturen_NB'!$A$622:$A$624,'Anlage 3a_Zusammenfassung_KWKG'!$A102)</f>
        <v>0</v>
      </c>
      <c r="I102" s="925">
        <f t="shared" si="5"/>
        <v>0</v>
      </c>
      <c r="J102" s="91" t="s">
        <v>645</v>
      </c>
      <c r="K102" s="12"/>
      <c r="L102" s="12"/>
    </row>
    <row r="103" spans="1:12" hidden="1" outlineLevel="1">
      <c r="A103" s="408" t="s">
        <v>646</v>
      </c>
      <c r="B103" s="1698">
        <f>VLOOKUP($A103,'Anlage 1a_Zuschlagszahlungen_NB'!$A$847:$E$1558,5,0)</f>
        <v>287187.46000000002</v>
      </c>
      <c r="C103" s="667">
        <f>_xlfn.IFNA(VLOOKUP($A103,'Anlage 1b_Abzüge, Pflicht, Boni'!$A$9:$D$67,2,FALSE),0)</f>
        <v>0</v>
      </c>
      <c r="D103" s="667">
        <f>_xlfn.IFNA(VLOOKUP(A103,'Anlage 1b_Abzüge, Pflicht, Boni'!$A$9:$D$67,3,FALSE),0)</f>
        <v>0</v>
      </c>
      <c r="E103" s="667">
        <f>_xlfn.IFNA(VLOOKUP(A103,'Anlage 1b_Abzüge, Pflicht, Boni'!$A$9:$D$67,4,FALSE),0)</f>
        <v>0</v>
      </c>
      <c r="F103" s="88">
        <f t="shared" si="6"/>
        <v>287187.46000000002</v>
      </c>
      <c r="G103" s="88">
        <f>SUMIFS('Anlage 1c_Korrekturen_NB'!$L$11:$L$103,'Anlage 1c_Korrekturen_NB'!$A$11:$A$103,'Anlage 3a_Zusammenfassung_KWKG'!$A103)</f>
        <v>0</v>
      </c>
      <c r="H103" s="134">
        <f>SUMIFS('Anlage 1c_Korrekturen_NB'!$D$622:$D$624,'Anlage 1c_Korrekturen_NB'!$A$622:$A$624,'Anlage 3a_Zusammenfassung_KWKG'!$A103)</f>
        <v>0</v>
      </c>
      <c r="I103" s="925">
        <f t="shared" ref="I103:I134" si="7">G103+H103</f>
        <v>0</v>
      </c>
      <c r="J103" s="91" t="s">
        <v>647</v>
      </c>
      <c r="K103" s="12"/>
      <c r="L103" s="12"/>
    </row>
    <row r="104" spans="1:12" hidden="1" outlineLevel="1">
      <c r="A104" s="408" t="s">
        <v>648</v>
      </c>
      <c r="B104" s="1698">
        <f>VLOOKUP($A104,'Anlage 1a_Zuschlagszahlungen_NB'!$A$847:$E$1558,5,0)</f>
        <v>196141.90000000002</v>
      </c>
      <c r="C104" s="667">
        <f>_xlfn.IFNA(VLOOKUP($A104,'Anlage 1b_Abzüge, Pflicht, Boni'!$A$9:$D$67,2,FALSE),0)</f>
        <v>0</v>
      </c>
      <c r="D104" s="667">
        <f>_xlfn.IFNA(VLOOKUP(A104,'Anlage 1b_Abzüge, Pflicht, Boni'!$A$9:$D$67,3,FALSE),0)</f>
        <v>0</v>
      </c>
      <c r="E104" s="667">
        <f>_xlfn.IFNA(VLOOKUP(A104,'Anlage 1b_Abzüge, Pflicht, Boni'!$A$9:$D$67,4,FALSE),0)</f>
        <v>0</v>
      </c>
      <c r="F104" s="88">
        <f t="shared" si="6"/>
        <v>196141.90000000002</v>
      </c>
      <c r="G104" s="88">
        <f>SUMIFS('Anlage 1c_Korrekturen_NB'!$L$11:$L$103,'Anlage 1c_Korrekturen_NB'!$A$11:$A$103,'Anlage 3a_Zusammenfassung_KWKG'!$A104)</f>
        <v>0</v>
      </c>
      <c r="H104" s="134">
        <f>SUMIFS('Anlage 1c_Korrekturen_NB'!$D$622:$D$624,'Anlage 1c_Korrekturen_NB'!$A$622:$A$624,'Anlage 3a_Zusammenfassung_KWKG'!$A104)</f>
        <v>0</v>
      </c>
      <c r="I104" s="925">
        <f t="shared" si="7"/>
        <v>0</v>
      </c>
      <c r="J104" s="91" t="s">
        <v>649</v>
      </c>
      <c r="K104" s="12"/>
      <c r="L104" s="12"/>
    </row>
    <row r="105" spans="1:12" hidden="1" outlineLevel="1">
      <c r="A105" s="408" t="s">
        <v>650</v>
      </c>
      <c r="B105" s="1698">
        <f>VLOOKUP($A105,'Anlage 1a_Zuschlagszahlungen_NB'!$A$847:$E$1558,5,0)</f>
        <v>73362.53</v>
      </c>
      <c r="C105" s="667">
        <f>_xlfn.IFNA(VLOOKUP($A105,'Anlage 1b_Abzüge, Pflicht, Boni'!$A$9:$D$67,2,FALSE),0)</f>
        <v>0</v>
      </c>
      <c r="D105" s="667">
        <f>_xlfn.IFNA(VLOOKUP(A105,'Anlage 1b_Abzüge, Pflicht, Boni'!$A$9:$D$67,3,FALSE),0)</f>
        <v>0</v>
      </c>
      <c r="E105" s="667">
        <f>_xlfn.IFNA(VLOOKUP(A105,'Anlage 1b_Abzüge, Pflicht, Boni'!$A$9:$D$67,4,FALSE),0)</f>
        <v>0</v>
      </c>
      <c r="F105" s="88">
        <f t="shared" ref="F105:F136" si="8">SUM(B105:E105)</f>
        <v>73362.53</v>
      </c>
      <c r="G105" s="88">
        <f>SUMIFS('Anlage 1c_Korrekturen_NB'!$L$11:$L$103,'Anlage 1c_Korrekturen_NB'!$A$11:$A$103,'Anlage 3a_Zusammenfassung_KWKG'!$A105)</f>
        <v>0</v>
      </c>
      <c r="H105" s="134">
        <f>SUMIFS('Anlage 1c_Korrekturen_NB'!$D$622:$D$624,'Anlage 1c_Korrekturen_NB'!$A$622:$A$624,'Anlage 3a_Zusammenfassung_KWKG'!$A105)</f>
        <v>0</v>
      </c>
      <c r="I105" s="925">
        <f t="shared" si="7"/>
        <v>0</v>
      </c>
      <c r="J105" s="91" t="s">
        <v>651</v>
      </c>
      <c r="K105" s="12"/>
      <c r="L105" s="12"/>
    </row>
    <row r="106" spans="1:12" hidden="1" outlineLevel="1">
      <c r="A106" s="408" t="s">
        <v>652</v>
      </c>
      <c r="B106" s="1698">
        <f>VLOOKUP($A106,'Anlage 1a_Zuschlagszahlungen_NB'!$A$847:$E$1558,5,0)</f>
        <v>118617.28999999998</v>
      </c>
      <c r="C106" s="667">
        <f>_xlfn.IFNA(VLOOKUP($A106,'Anlage 1b_Abzüge, Pflicht, Boni'!$A$9:$D$67,2,FALSE),0)</f>
        <v>0</v>
      </c>
      <c r="D106" s="667">
        <f>_xlfn.IFNA(VLOOKUP(A106,'Anlage 1b_Abzüge, Pflicht, Boni'!$A$9:$D$67,3,FALSE),0)</f>
        <v>0</v>
      </c>
      <c r="E106" s="667">
        <f>_xlfn.IFNA(VLOOKUP(A106,'Anlage 1b_Abzüge, Pflicht, Boni'!$A$9:$D$67,4,FALSE),0)</f>
        <v>0</v>
      </c>
      <c r="F106" s="88">
        <f t="shared" si="8"/>
        <v>118617.28999999998</v>
      </c>
      <c r="G106" s="88">
        <f>SUMIFS('Anlage 1c_Korrekturen_NB'!$L$11:$L$103,'Anlage 1c_Korrekturen_NB'!$A$11:$A$103,'Anlage 3a_Zusammenfassung_KWKG'!$A106)</f>
        <v>0</v>
      </c>
      <c r="H106" s="134">
        <f>SUMIFS('Anlage 1c_Korrekturen_NB'!$D$622:$D$624,'Anlage 1c_Korrekturen_NB'!$A$622:$A$624,'Anlage 3a_Zusammenfassung_KWKG'!$A106)</f>
        <v>0</v>
      </c>
      <c r="I106" s="925">
        <f t="shared" si="7"/>
        <v>0</v>
      </c>
      <c r="J106" s="91" t="s">
        <v>653</v>
      </c>
      <c r="K106" s="12"/>
      <c r="L106" s="12"/>
    </row>
    <row r="107" spans="1:12" hidden="1" outlineLevel="1">
      <c r="A107" s="408" t="s">
        <v>654</v>
      </c>
      <c r="B107" s="1698">
        <f>VLOOKUP($A107,'Anlage 1a_Zuschlagszahlungen_NB'!$A$847:$E$1558,5,0)</f>
        <v>387261.48</v>
      </c>
      <c r="C107" s="667">
        <f>_xlfn.IFNA(VLOOKUP($A107,'Anlage 1b_Abzüge, Pflicht, Boni'!$A$9:$D$67,2,FALSE),0)</f>
        <v>0</v>
      </c>
      <c r="D107" s="667">
        <f>_xlfn.IFNA(VLOOKUP(A107,'Anlage 1b_Abzüge, Pflicht, Boni'!$A$9:$D$67,3,FALSE),0)</f>
        <v>0</v>
      </c>
      <c r="E107" s="667">
        <f>_xlfn.IFNA(VLOOKUP(A107,'Anlage 1b_Abzüge, Pflicht, Boni'!$A$9:$D$67,4,FALSE),0)</f>
        <v>0</v>
      </c>
      <c r="F107" s="88">
        <f t="shared" si="8"/>
        <v>387261.48</v>
      </c>
      <c r="G107" s="88">
        <f>SUMIFS('Anlage 1c_Korrekturen_NB'!$L$11:$L$103,'Anlage 1c_Korrekturen_NB'!$A$11:$A$103,'Anlage 3a_Zusammenfassung_KWKG'!$A107)</f>
        <v>0</v>
      </c>
      <c r="H107" s="134">
        <f>SUMIFS('Anlage 1c_Korrekturen_NB'!$D$622:$D$624,'Anlage 1c_Korrekturen_NB'!$A$622:$A$624,'Anlage 3a_Zusammenfassung_KWKG'!$A107)</f>
        <v>0</v>
      </c>
      <c r="I107" s="925">
        <f t="shared" si="7"/>
        <v>0</v>
      </c>
      <c r="J107" s="91" t="s">
        <v>655</v>
      </c>
      <c r="K107" s="12"/>
      <c r="L107" s="12"/>
    </row>
    <row r="108" spans="1:12" hidden="1" outlineLevel="1">
      <c r="A108" s="408" t="s">
        <v>656</v>
      </c>
      <c r="B108" s="1698">
        <f>VLOOKUP($A108,'Anlage 1a_Zuschlagszahlungen_NB'!$A$847:$E$1558,5,0)</f>
        <v>0</v>
      </c>
      <c r="C108" s="667">
        <f>_xlfn.IFNA(VLOOKUP($A108,'Anlage 1b_Abzüge, Pflicht, Boni'!$A$9:$D$67,2,FALSE),0)</f>
        <v>0</v>
      </c>
      <c r="D108" s="667">
        <f>_xlfn.IFNA(VLOOKUP(A108,'Anlage 1b_Abzüge, Pflicht, Boni'!$A$9:$D$67,3,FALSE),0)</f>
        <v>0</v>
      </c>
      <c r="E108" s="667">
        <f>_xlfn.IFNA(VLOOKUP(A108,'Anlage 1b_Abzüge, Pflicht, Boni'!$A$9:$D$67,4,FALSE),0)</f>
        <v>0</v>
      </c>
      <c r="F108" s="88">
        <f t="shared" si="8"/>
        <v>0</v>
      </c>
      <c r="G108" s="88">
        <f>SUMIFS('Anlage 1c_Korrekturen_NB'!$L$11:$L$103,'Anlage 1c_Korrekturen_NB'!$A$11:$A$103,'Anlage 3a_Zusammenfassung_KWKG'!$A108)</f>
        <v>0</v>
      </c>
      <c r="H108" s="134">
        <f>SUMIFS('Anlage 1c_Korrekturen_NB'!$D$622:$D$624,'Anlage 1c_Korrekturen_NB'!$A$622:$A$624,'Anlage 3a_Zusammenfassung_KWKG'!$A108)</f>
        <v>0</v>
      </c>
      <c r="I108" s="925">
        <f t="shared" si="7"/>
        <v>0</v>
      </c>
      <c r="J108" s="91" t="s">
        <v>657</v>
      </c>
      <c r="K108" s="12"/>
      <c r="L108" s="12"/>
    </row>
    <row r="109" spans="1:12" hidden="1" outlineLevel="1">
      <c r="A109" s="408" t="s">
        <v>658</v>
      </c>
      <c r="B109" s="1698">
        <f>VLOOKUP($A109,'Anlage 1a_Zuschlagszahlungen_NB'!$A$847:$E$1558,5,0)</f>
        <v>543584.16999999993</v>
      </c>
      <c r="C109" s="667">
        <f>_xlfn.IFNA(VLOOKUP($A109,'Anlage 1b_Abzüge, Pflicht, Boni'!$A$9:$D$67,2,FALSE),0)</f>
        <v>0</v>
      </c>
      <c r="D109" s="667">
        <f>_xlfn.IFNA(VLOOKUP(A109,'Anlage 1b_Abzüge, Pflicht, Boni'!$A$9:$D$67,3,FALSE),0)</f>
        <v>0</v>
      </c>
      <c r="E109" s="667">
        <f>_xlfn.IFNA(VLOOKUP(A109,'Anlage 1b_Abzüge, Pflicht, Boni'!$A$9:$D$67,4,FALSE),0)</f>
        <v>0</v>
      </c>
      <c r="F109" s="88">
        <f t="shared" si="8"/>
        <v>543584.16999999993</v>
      </c>
      <c r="G109" s="88">
        <f>SUMIFS('Anlage 1c_Korrekturen_NB'!$L$11:$L$103,'Anlage 1c_Korrekturen_NB'!$A$11:$A$103,'Anlage 3a_Zusammenfassung_KWKG'!$A109)</f>
        <v>0</v>
      </c>
      <c r="H109" s="134">
        <f>SUMIFS('Anlage 1c_Korrekturen_NB'!$D$622:$D$624,'Anlage 1c_Korrekturen_NB'!$A$622:$A$624,'Anlage 3a_Zusammenfassung_KWKG'!$A109)</f>
        <v>0</v>
      </c>
      <c r="I109" s="925">
        <f t="shared" si="7"/>
        <v>0</v>
      </c>
      <c r="J109" s="91" t="s">
        <v>659</v>
      </c>
      <c r="K109" s="12"/>
      <c r="L109" s="12"/>
    </row>
    <row r="110" spans="1:12" hidden="1" outlineLevel="1">
      <c r="A110" s="408" t="s">
        <v>660</v>
      </c>
      <c r="B110" s="1698">
        <f>VLOOKUP($A110,'Anlage 1a_Zuschlagszahlungen_NB'!$A$847:$E$1558,5,0)</f>
        <v>22538.880000000001</v>
      </c>
      <c r="C110" s="667">
        <f>_xlfn.IFNA(VLOOKUP($A110,'Anlage 1b_Abzüge, Pflicht, Boni'!$A$9:$D$67,2,FALSE),0)</f>
        <v>0</v>
      </c>
      <c r="D110" s="667">
        <f>_xlfn.IFNA(VLOOKUP(A110,'Anlage 1b_Abzüge, Pflicht, Boni'!$A$9:$D$67,3,FALSE),0)</f>
        <v>0</v>
      </c>
      <c r="E110" s="667">
        <f>_xlfn.IFNA(VLOOKUP(A110,'Anlage 1b_Abzüge, Pflicht, Boni'!$A$9:$D$67,4,FALSE),0)</f>
        <v>0</v>
      </c>
      <c r="F110" s="88">
        <f t="shared" si="8"/>
        <v>22538.880000000001</v>
      </c>
      <c r="G110" s="88">
        <f>SUMIFS('Anlage 1c_Korrekturen_NB'!$L$11:$L$103,'Anlage 1c_Korrekturen_NB'!$A$11:$A$103,'Anlage 3a_Zusammenfassung_KWKG'!$A110)</f>
        <v>0</v>
      </c>
      <c r="H110" s="134">
        <f>SUMIFS('Anlage 1c_Korrekturen_NB'!$D$622:$D$624,'Anlage 1c_Korrekturen_NB'!$A$622:$A$624,'Anlage 3a_Zusammenfassung_KWKG'!$A110)</f>
        <v>0</v>
      </c>
      <c r="I110" s="925">
        <f t="shared" si="7"/>
        <v>0</v>
      </c>
      <c r="J110" s="91" t="s">
        <v>661</v>
      </c>
      <c r="K110" s="12"/>
      <c r="L110" s="12"/>
    </row>
    <row r="111" spans="1:12" hidden="1" outlineLevel="1">
      <c r="A111" s="408" t="s">
        <v>662</v>
      </c>
      <c r="B111" s="1698">
        <f>VLOOKUP($A111,'Anlage 1a_Zuschlagszahlungen_NB'!$A$847:$E$1558,5,0)</f>
        <v>11760</v>
      </c>
      <c r="C111" s="667">
        <f>_xlfn.IFNA(VLOOKUP($A111,'Anlage 1b_Abzüge, Pflicht, Boni'!$A$9:$D$67,2,FALSE),0)</f>
        <v>0</v>
      </c>
      <c r="D111" s="667">
        <f>_xlfn.IFNA(VLOOKUP(A111,'Anlage 1b_Abzüge, Pflicht, Boni'!$A$9:$D$67,3,FALSE),0)</f>
        <v>0</v>
      </c>
      <c r="E111" s="667">
        <f>_xlfn.IFNA(VLOOKUP(A111,'Anlage 1b_Abzüge, Pflicht, Boni'!$A$9:$D$67,4,FALSE),0)</f>
        <v>0</v>
      </c>
      <c r="F111" s="88">
        <f t="shared" si="8"/>
        <v>11760</v>
      </c>
      <c r="G111" s="88">
        <f>SUMIFS('Anlage 1c_Korrekturen_NB'!$L$11:$L$103,'Anlage 1c_Korrekturen_NB'!$A$11:$A$103,'Anlage 3a_Zusammenfassung_KWKG'!$A111)</f>
        <v>0</v>
      </c>
      <c r="H111" s="134">
        <f>SUMIFS('Anlage 1c_Korrekturen_NB'!$D$622:$D$624,'Anlage 1c_Korrekturen_NB'!$A$622:$A$624,'Anlage 3a_Zusammenfassung_KWKG'!$A111)</f>
        <v>0</v>
      </c>
      <c r="I111" s="925">
        <f t="shared" si="7"/>
        <v>0</v>
      </c>
      <c r="J111" s="91" t="s">
        <v>663</v>
      </c>
      <c r="K111" s="12"/>
      <c r="L111" s="12"/>
    </row>
    <row r="112" spans="1:12" hidden="1" outlineLevel="1">
      <c r="A112" s="408" t="s">
        <v>664</v>
      </c>
      <c r="B112" s="1698">
        <f>VLOOKUP($A112,'Anlage 1a_Zuschlagszahlungen_NB'!$A$847:$E$1558,5,0)</f>
        <v>10650.76</v>
      </c>
      <c r="C112" s="667">
        <f>_xlfn.IFNA(VLOOKUP($A112,'Anlage 1b_Abzüge, Pflicht, Boni'!$A$9:$D$67,2,FALSE),0)</f>
        <v>0</v>
      </c>
      <c r="D112" s="667">
        <f>_xlfn.IFNA(VLOOKUP(A112,'Anlage 1b_Abzüge, Pflicht, Boni'!$A$9:$D$67,3,FALSE),0)</f>
        <v>0</v>
      </c>
      <c r="E112" s="667">
        <f>_xlfn.IFNA(VLOOKUP(A112,'Anlage 1b_Abzüge, Pflicht, Boni'!$A$9:$D$67,4,FALSE),0)</f>
        <v>0</v>
      </c>
      <c r="F112" s="88">
        <f t="shared" si="8"/>
        <v>10650.76</v>
      </c>
      <c r="G112" s="88">
        <f>SUMIFS('Anlage 1c_Korrekturen_NB'!$L$11:$L$103,'Anlage 1c_Korrekturen_NB'!$A$11:$A$103,'Anlage 3a_Zusammenfassung_KWKG'!$A112)</f>
        <v>0</v>
      </c>
      <c r="H112" s="134">
        <f>SUMIFS('Anlage 1c_Korrekturen_NB'!$D$622:$D$624,'Anlage 1c_Korrekturen_NB'!$A$622:$A$624,'Anlage 3a_Zusammenfassung_KWKG'!$A112)</f>
        <v>0</v>
      </c>
      <c r="I112" s="925">
        <f t="shared" si="7"/>
        <v>0</v>
      </c>
      <c r="J112" s="91" t="s">
        <v>665</v>
      </c>
      <c r="K112" s="12"/>
      <c r="L112" s="12"/>
    </row>
    <row r="113" spans="1:12" hidden="1" outlineLevel="1">
      <c r="A113" s="408" t="s">
        <v>666</v>
      </c>
      <c r="B113" s="1698">
        <f>VLOOKUP($A113,'Anlage 1a_Zuschlagszahlungen_NB'!$A$847:$E$1558,5,0)</f>
        <v>24589.039999999997</v>
      </c>
      <c r="C113" s="667">
        <f>_xlfn.IFNA(VLOOKUP($A113,'Anlage 1b_Abzüge, Pflicht, Boni'!$A$9:$D$67,2,FALSE),0)</f>
        <v>0</v>
      </c>
      <c r="D113" s="667">
        <f>_xlfn.IFNA(VLOOKUP(A113,'Anlage 1b_Abzüge, Pflicht, Boni'!$A$9:$D$67,3,FALSE),0)</f>
        <v>0</v>
      </c>
      <c r="E113" s="667">
        <f>_xlfn.IFNA(VLOOKUP(A113,'Anlage 1b_Abzüge, Pflicht, Boni'!$A$9:$D$67,4,FALSE),0)</f>
        <v>0</v>
      </c>
      <c r="F113" s="88">
        <f t="shared" si="8"/>
        <v>24589.039999999997</v>
      </c>
      <c r="G113" s="88">
        <f>SUMIFS('Anlage 1c_Korrekturen_NB'!$L$11:$L$103,'Anlage 1c_Korrekturen_NB'!$A$11:$A$103,'Anlage 3a_Zusammenfassung_KWKG'!$A113)</f>
        <v>-34502.55999999999</v>
      </c>
      <c r="H113" s="134">
        <f>SUMIFS('Anlage 1c_Korrekturen_NB'!$D$622:$D$624,'Anlage 1c_Korrekturen_NB'!$A$622:$A$624,'Anlage 3a_Zusammenfassung_KWKG'!$A113)</f>
        <v>0</v>
      </c>
      <c r="I113" s="925">
        <f t="shared" si="7"/>
        <v>-34502.55999999999</v>
      </c>
      <c r="J113" s="91" t="s">
        <v>667</v>
      </c>
      <c r="K113" s="12"/>
      <c r="L113" s="12"/>
    </row>
    <row r="114" spans="1:12" hidden="1" outlineLevel="1">
      <c r="A114" s="408" t="s">
        <v>668</v>
      </c>
      <c r="B114" s="1698">
        <f>VLOOKUP($A114,'Anlage 1a_Zuschlagszahlungen_NB'!$A$847:$E$1558,5,0)</f>
        <v>25044.99</v>
      </c>
      <c r="C114" s="667">
        <f>_xlfn.IFNA(VLOOKUP($A114,'Anlage 1b_Abzüge, Pflicht, Boni'!$A$9:$D$67,2,FALSE),0)</f>
        <v>0</v>
      </c>
      <c r="D114" s="667">
        <f>_xlfn.IFNA(VLOOKUP(A114,'Anlage 1b_Abzüge, Pflicht, Boni'!$A$9:$D$67,3,FALSE),0)</f>
        <v>0</v>
      </c>
      <c r="E114" s="667">
        <f>_xlfn.IFNA(VLOOKUP(A114,'Anlage 1b_Abzüge, Pflicht, Boni'!$A$9:$D$67,4,FALSE),0)</f>
        <v>0</v>
      </c>
      <c r="F114" s="88">
        <f t="shared" si="8"/>
        <v>25044.99</v>
      </c>
      <c r="G114" s="88">
        <f>SUMIFS('Anlage 1c_Korrekturen_NB'!$L$11:$L$103,'Anlage 1c_Korrekturen_NB'!$A$11:$A$103,'Anlage 3a_Zusammenfassung_KWKG'!$A114)</f>
        <v>5162.67</v>
      </c>
      <c r="H114" s="134">
        <f>SUMIFS('Anlage 1c_Korrekturen_NB'!$D$622:$D$624,'Anlage 1c_Korrekturen_NB'!$A$622:$A$624,'Anlage 3a_Zusammenfassung_KWKG'!$A114)</f>
        <v>0</v>
      </c>
      <c r="I114" s="925">
        <f t="shared" si="7"/>
        <v>5162.67</v>
      </c>
      <c r="J114" s="91" t="s">
        <v>669</v>
      </c>
      <c r="K114" s="12"/>
      <c r="L114" s="12"/>
    </row>
    <row r="115" spans="1:12" hidden="1" outlineLevel="1">
      <c r="A115" s="408" t="s">
        <v>670</v>
      </c>
      <c r="B115" s="1698">
        <f>VLOOKUP($A115,'Anlage 1a_Zuschlagszahlungen_NB'!$A$847:$E$1558,5,0)</f>
        <v>214527.56</v>
      </c>
      <c r="C115" s="667">
        <f>_xlfn.IFNA(VLOOKUP($A115,'Anlage 1b_Abzüge, Pflicht, Boni'!$A$9:$D$67,2,FALSE),0)</f>
        <v>0</v>
      </c>
      <c r="D115" s="667">
        <f>_xlfn.IFNA(VLOOKUP(A115,'Anlage 1b_Abzüge, Pflicht, Boni'!$A$9:$D$67,3,FALSE),0)</f>
        <v>0</v>
      </c>
      <c r="E115" s="667">
        <f>_xlfn.IFNA(VLOOKUP(A115,'Anlage 1b_Abzüge, Pflicht, Boni'!$A$9:$D$67,4,FALSE),0)</f>
        <v>0</v>
      </c>
      <c r="F115" s="88">
        <f t="shared" si="8"/>
        <v>214527.56</v>
      </c>
      <c r="G115" s="88">
        <f>SUMIFS('Anlage 1c_Korrekturen_NB'!$L$11:$L$103,'Anlage 1c_Korrekturen_NB'!$A$11:$A$103,'Anlage 3a_Zusammenfassung_KWKG'!$A115)</f>
        <v>45421.48</v>
      </c>
      <c r="H115" s="134">
        <f>SUMIFS('Anlage 1c_Korrekturen_NB'!$D$622:$D$624,'Anlage 1c_Korrekturen_NB'!$A$622:$A$624,'Anlage 3a_Zusammenfassung_KWKG'!$A115)</f>
        <v>0</v>
      </c>
      <c r="I115" s="925">
        <f t="shared" si="7"/>
        <v>45421.48</v>
      </c>
      <c r="J115" s="91" t="s">
        <v>671</v>
      </c>
      <c r="K115" s="12"/>
      <c r="L115" s="12"/>
    </row>
    <row r="116" spans="1:12" hidden="1" outlineLevel="1">
      <c r="A116" s="408" t="s">
        <v>672</v>
      </c>
      <c r="B116" s="1698">
        <f>VLOOKUP($A116,'Anlage 1a_Zuschlagszahlungen_NB'!$A$847:$E$1558,5,0)</f>
        <v>372612.96</v>
      </c>
      <c r="C116" s="667">
        <f>_xlfn.IFNA(VLOOKUP($A116,'Anlage 1b_Abzüge, Pflicht, Boni'!$A$9:$D$67,2,FALSE),0)</f>
        <v>0</v>
      </c>
      <c r="D116" s="667">
        <f>_xlfn.IFNA(VLOOKUP(A116,'Anlage 1b_Abzüge, Pflicht, Boni'!$A$9:$D$67,3,FALSE),0)</f>
        <v>0</v>
      </c>
      <c r="E116" s="667">
        <f>_xlfn.IFNA(VLOOKUP(A116,'Anlage 1b_Abzüge, Pflicht, Boni'!$A$9:$D$67,4,FALSE),0)</f>
        <v>0</v>
      </c>
      <c r="F116" s="88">
        <f t="shared" si="8"/>
        <v>372612.96</v>
      </c>
      <c r="G116" s="88">
        <f>SUMIFS('Anlage 1c_Korrekturen_NB'!$L$11:$L$103,'Anlage 1c_Korrekturen_NB'!$A$11:$A$103,'Anlage 3a_Zusammenfassung_KWKG'!$A116)</f>
        <v>0</v>
      </c>
      <c r="H116" s="134">
        <f>SUMIFS('Anlage 1c_Korrekturen_NB'!$D$622:$D$624,'Anlage 1c_Korrekturen_NB'!$A$622:$A$624,'Anlage 3a_Zusammenfassung_KWKG'!$A116)</f>
        <v>0</v>
      </c>
      <c r="I116" s="925">
        <f t="shared" si="7"/>
        <v>0</v>
      </c>
      <c r="J116" s="91" t="s">
        <v>673</v>
      </c>
      <c r="K116" s="12"/>
      <c r="L116" s="12"/>
    </row>
    <row r="117" spans="1:12" hidden="1" outlineLevel="1">
      <c r="A117" s="408" t="s">
        <v>674</v>
      </c>
      <c r="B117" s="1698">
        <f>VLOOKUP($A117,'Anlage 1a_Zuschlagszahlungen_NB'!$A$847:$E$1558,5,0)</f>
        <v>440463.37</v>
      </c>
      <c r="C117" s="667">
        <f>_xlfn.IFNA(VLOOKUP($A117,'Anlage 1b_Abzüge, Pflicht, Boni'!$A$9:$D$67,2,FALSE),0)</f>
        <v>0</v>
      </c>
      <c r="D117" s="667">
        <f>_xlfn.IFNA(VLOOKUP(A117,'Anlage 1b_Abzüge, Pflicht, Boni'!$A$9:$D$67,3,FALSE),0)</f>
        <v>0</v>
      </c>
      <c r="E117" s="667">
        <f>_xlfn.IFNA(VLOOKUP(A117,'Anlage 1b_Abzüge, Pflicht, Boni'!$A$9:$D$67,4,FALSE),0)</f>
        <v>0</v>
      </c>
      <c r="F117" s="88">
        <f t="shared" si="8"/>
        <v>440463.37</v>
      </c>
      <c r="G117" s="88">
        <f>SUMIFS('Anlage 1c_Korrekturen_NB'!$L$11:$L$103,'Anlage 1c_Korrekturen_NB'!$A$11:$A$103,'Anlage 3a_Zusammenfassung_KWKG'!$A117)</f>
        <v>0</v>
      </c>
      <c r="H117" s="134">
        <f>SUMIFS('Anlage 1c_Korrekturen_NB'!$D$622:$D$624,'Anlage 1c_Korrekturen_NB'!$A$622:$A$624,'Anlage 3a_Zusammenfassung_KWKG'!$A117)</f>
        <v>0</v>
      </c>
      <c r="I117" s="925">
        <f t="shared" si="7"/>
        <v>0</v>
      </c>
      <c r="J117" s="91" t="s">
        <v>675</v>
      </c>
      <c r="K117" s="12"/>
      <c r="L117" s="12"/>
    </row>
    <row r="118" spans="1:12" hidden="1" outlineLevel="1">
      <c r="A118" s="408" t="s">
        <v>676</v>
      </c>
      <c r="B118" s="1698">
        <f>VLOOKUP($A118,'Anlage 1a_Zuschlagszahlungen_NB'!$A$847:$E$1558,5,0)</f>
        <v>0</v>
      </c>
      <c r="C118" s="667">
        <f>_xlfn.IFNA(VLOOKUP($A118,'Anlage 1b_Abzüge, Pflicht, Boni'!$A$9:$D$67,2,FALSE),0)</f>
        <v>0</v>
      </c>
      <c r="D118" s="667">
        <f>_xlfn.IFNA(VLOOKUP(A118,'Anlage 1b_Abzüge, Pflicht, Boni'!$A$9:$D$67,3,FALSE),0)</f>
        <v>0</v>
      </c>
      <c r="E118" s="667">
        <f>_xlfn.IFNA(VLOOKUP(A118,'Anlage 1b_Abzüge, Pflicht, Boni'!$A$9:$D$67,4,FALSE),0)</f>
        <v>0</v>
      </c>
      <c r="F118" s="88">
        <f t="shared" si="8"/>
        <v>0</v>
      </c>
      <c r="G118" s="88">
        <f>SUMIFS('Anlage 1c_Korrekturen_NB'!$L$11:$L$103,'Anlage 1c_Korrekturen_NB'!$A$11:$A$103,'Anlage 3a_Zusammenfassung_KWKG'!$A118)</f>
        <v>0</v>
      </c>
      <c r="H118" s="134">
        <f>SUMIFS('Anlage 1c_Korrekturen_NB'!$D$622:$D$624,'Anlage 1c_Korrekturen_NB'!$A$622:$A$624,'Anlage 3a_Zusammenfassung_KWKG'!$A118)</f>
        <v>0</v>
      </c>
      <c r="I118" s="925">
        <f t="shared" si="7"/>
        <v>0</v>
      </c>
      <c r="J118" s="91" t="s">
        <v>677</v>
      </c>
      <c r="K118" s="12"/>
      <c r="L118" s="12"/>
    </row>
    <row r="119" spans="1:12" hidden="1" outlineLevel="1">
      <c r="A119" s="408" t="s">
        <v>678</v>
      </c>
      <c r="B119" s="1698">
        <f>VLOOKUP($A119,'Anlage 1a_Zuschlagszahlungen_NB'!$A$847:$E$1558,5,0)</f>
        <v>5989.32</v>
      </c>
      <c r="C119" s="667">
        <f>_xlfn.IFNA(VLOOKUP($A119,'Anlage 1b_Abzüge, Pflicht, Boni'!$A$9:$D$67,2,FALSE),0)</f>
        <v>0</v>
      </c>
      <c r="D119" s="667">
        <f>_xlfn.IFNA(VLOOKUP(A119,'Anlage 1b_Abzüge, Pflicht, Boni'!$A$9:$D$67,3,FALSE),0)</f>
        <v>0</v>
      </c>
      <c r="E119" s="667">
        <f>_xlfn.IFNA(VLOOKUP(A119,'Anlage 1b_Abzüge, Pflicht, Boni'!$A$9:$D$67,4,FALSE),0)</f>
        <v>0</v>
      </c>
      <c r="F119" s="88">
        <f t="shared" si="8"/>
        <v>5989.32</v>
      </c>
      <c r="G119" s="88">
        <f>SUMIFS('Anlage 1c_Korrekturen_NB'!$L$11:$L$103,'Anlage 1c_Korrekturen_NB'!$A$11:$A$103,'Anlage 3a_Zusammenfassung_KWKG'!$A119)</f>
        <v>0</v>
      </c>
      <c r="H119" s="134">
        <f>SUMIFS('Anlage 1c_Korrekturen_NB'!$D$622:$D$624,'Anlage 1c_Korrekturen_NB'!$A$622:$A$624,'Anlage 3a_Zusammenfassung_KWKG'!$A119)</f>
        <v>0</v>
      </c>
      <c r="I119" s="925">
        <f t="shared" si="7"/>
        <v>0</v>
      </c>
      <c r="J119" s="91" t="s">
        <v>679</v>
      </c>
      <c r="K119" s="12"/>
      <c r="L119" s="12"/>
    </row>
    <row r="120" spans="1:12" hidden="1" outlineLevel="1">
      <c r="A120" s="408" t="s">
        <v>680</v>
      </c>
      <c r="B120" s="1698">
        <f>VLOOKUP($A120,'Anlage 1a_Zuschlagszahlungen_NB'!$A$847:$E$1558,5,0)</f>
        <v>5333708.7500000009</v>
      </c>
      <c r="C120" s="667">
        <f>_xlfn.IFNA(VLOOKUP($A120,'Anlage 1b_Abzüge, Pflicht, Boni'!$A$9:$D$67,2,FALSE),0)</f>
        <v>0</v>
      </c>
      <c r="D120" s="667">
        <f>_xlfn.IFNA(VLOOKUP(A120,'Anlage 1b_Abzüge, Pflicht, Boni'!$A$9:$D$67,3,FALSE),0)</f>
        <v>0</v>
      </c>
      <c r="E120" s="667">
        <f>_xlfn.IFNA(VLOOKUP(A120,'Anlage 1b_Abzüge, Pflicht, Boni'!$A$9:$D$67,4,FALSE),0)</f>
        <v>0</v>
      </c>
      <c r="F120" s="88">
        <f t="shared" si="8"/>
        <v>5333708.7500000009</v>
      </c>
      <c r="G120" s="88">
        <f>SUMIFS('Anlage 1c_Korrekturen_NB'!$L$11:$L$103,'Anlage 1c_Korrekturen_NB'!$A$11:$A$103,'Anlage 3a_Zusammenfassung_KWKG'!$A120)</f>
        <v>2855889.1899999995</v>
      </c>
      <c r="H120" s="134">
        <f>SUMIFS('Anlage 1c_Korrekturen_NB'!$D$622:$D$624,'Anlage 1c_Korrekturen_NB'!$A$622:$A$624,'Anlage 3a_Zusammenfassung_KWKG'!$A120)</f>
        <v>0</v>
      </c>
      <c r="I120" s="925">
        <f t="shared" si="7"/>
        <v>2855889.1899999995</v>
      </c>
      <c r="J120" s="91" t="s">
        <v>681</v>
      </c>
      <c r="K120" s="12"/>
      <c r="L120" s="12"/>
    </row>
    <row r="121" spans="1:12" hidden="1" outlineLevel="1">
      <c r="A121" s="408" t="s">
        <v>682</v>
      </c>
      <c r="B121" s="1698">
        <f>VLOOKUP($A121,'Anlage 1a_Zuschlagszahlungen_NB'!$A$847:$E$1558,5,0)</f>
        <v>2261404.7100000009</v>
      </c>
      <c r="C121" s="667">
        <f>_xlfn.IFNA(VLOOKUP($A121,'Anlage 1b_Abzüge, Pflicht, Boni'!$A$9:$D$67,2,FALSE),0)</f>
        <v>-394.32</v>
      </c>
      <c r="D121" s="667">
        <f>_xlfn.IFNA(VLOOKUP(A121,'Anlage 1b_Abzüge, Pflicht, Boni'!$A$9:$D$67,3,FALSE),0)</f>
        <v>0</v>
      </c>
      <c r="E121" s="667">
        <f>_xlfn.IFNA(VLOOKUP(A121,'Anlage 1b_Abzüge, Pflicht, Boni'!$A$9:$D$67,4,FALSE),0)</f>
        <v>0</v>
      </c>
      <c r="F121" s="88">
        <f t="shared" si="8"/>
        <v>2261010.3900000011</v>
      </c>
      <c r="G121" s="88">
        <f>SUMIFS('Anlage 1c_Korrekturen_NB'!$L$11:$L$103,'Anlage 1c_Korrekturen_NB'!$A$11:$A$103,'Anlage 3a_Zusammenfassung_KWKG'!$A121)</f>
        <v>215963.25999999992</v>
      </c>
      <c r="H121" s="134">
        <f>SUMIFS('Anlage 1c_Korrekturen_NB'!$D$622:$D$624,'Anlage 1c_Korrekturen_NB'!$A$622:$A$624,'Anlage 3a_Zusammenfassung_KWKG'!$A121)</f>
        <v>-10000</v>
      </c>
      <c r="I121" s="925">
        <f t="shared" si="7"/>
        <v>205963.25999999992</v>
      </c>
      <c r="J121" s="91" t="s">
        <v>683</v>
      </c>
      <c r="K121" s="12"/>
      <c r="L121" s="12"/>
    </row>
    <row r="122" spans="1:12" hidden="1" outlineLevel="1">
      <c r="A122" s="408" t="s">
        <v>684</v>
      </c>
      <c r="B122" s="1698">
        <f>VLOOKUP($A122,'Anlage 1a_Zuschlagszahlungen_NB'!$A$847:$E$1558,5,0)</f>
        <v>70098.010000000009</v>
      </c>
      <c r="C122" s="667">
        <f>_xlfn.IFNA(VLOOKUP($A122,'Anlage 1b_Abzüge, Pflicht, Boni'!$A$9:$D$67,2,FALSE),0)</f>
        <v>0</v>
      </c>
      <c r="D122" s="667">
        <f>_xlfn.IFNA(VLOOKUP(A122,'Anlage 1b_Abzüge, Pflicht, Boni'!$A$9:$D$67,3,FALSE),0)</f>
        <v>0</v>
      </c>
      <c r="E122" s="667">
        <f>_xlfn.IFNA(VLOOKUP(A122,'Anlage 1b_Abzüge, Pflicht, Boni'!$A$9:$D$67,4,FALSE),0)</f>
        <v>0</v>
      </c>
      <c r="F122" s="88">
        <f t="shared" si="8"/>
        <v>70098.010000000009</v>
      </c>
      <c r="G122" s="88">
        <f>SUMIFS('Anlage 1c_Korrekturen_NB'!$L$11:$L$103,'Anlage 1c_Korrekturen_NB'!$A$11:$A$103,'Anlage 3a_Zusammenfassung_KWKG'!$A122)</f>
        <v>0</v>
      </c>
      <c r="H122" s="134">
        <f>SUMIFS('Anlage 1c_Korrekturen_NB'!$D$622:$D$624,'Anlage 1c_Korrekturen_NB'!$A$622:$A$624,'Anlage 3a_Zusammenfassung_KWKG'!$A122)</f>
        <v>0</v>
      </c>
      <c r="I122" s="925">
        <f t="shared" si="7"/>
        <v>0</v>
      </c>
      <c r="J122" s="91" t="s">
        <v>685</v>
      </c>
      <c r="K122" s="12"/>
      <c r="L122" s="12"/>
    </row>
    <row r="123" spans="1:12" hidden="1" outlineLevel="1">
      <c r="A123" s="408" t="s">
        <v>686</v>
      </c>
      <c r="B123" s="1698">
        <f>VLOOKUP($A123,'Anlage 1a_Zuschlagszahlungen_NB'!$A$847:$E$1558,5,0)</f>
        <v>1602370.4799999993</v>
      </c>
      <c r="C123" s="667">
        <f>_xlfn.IFNA(VLOOKUP($A123,'Anlage 1b_Abzüge, Pflicht, Boni'!$A$9:$D$67,2,FALSE),0)</f>
        <v>-203.35999999999999</v>
      </c>
      <c r="D123" s="667">
        <f>_xlfn.IFNA(VLOOKUP(A123,'Anlage 1b_Abzüge, Pflicht, Boni'!$A$9:$D$67,3,FALSE),0)</f>
        <v>0</v>
      </c>
      <c r="E123" s="667">
        <f>_xlfn.IFNA(VLOOKUP(A123,'Anlage 1b_Abzüge, Pflicht, Boni'!$A$9:$D$67,4,FALSE),0)</f>
        <v>0</v>
      </c>
      <c r="F123" s="88">
        <f t="shared" si="8"/>
        <v>1602167.1199999992</v>
      </c>
      <c r="G123" s="88">
        <f>SUMIFS('Anlage 1c_Korrekturen_NB'!$L$11:$L$103,'Anlage 1c_Korrekturen_NB'!$A$11:$A$103,'Anlage 3a_Zusammenfassung_KWKG'!$A123)</f>
        <v>556894.1399999999</v>
      </c>
      <c r="H123" s="134">
        <f>SUMIFS('Anlage 1c_Korrekturen_NB'!$D$622:$D$624,'Anlage 1c_Korrekturen_NB'!$A$622:$A$624,'Anlage 3a_Zusammenfassung_KWKG'!$A123)</f>
        <v>0</v>
      </c>
      <c r="I123" s="925">
        <f t="shared" si="7"/>
        <v>556894.1399999999</v>
      </c>
      <c r="J123" s="91" t="s">
        <v>687</v>
      </c>
      <c r="K123" s="12"/>
      <c r="L123" s="12"/>
    </row>
    <row r="124" spans="1:12" hidden="1" outlineLevel="1">
      <c r="A124" s="408" t="s">
        <v>688</v>
      </c>
      <c r="B124" s="1698">
        <f>VLOOKUP($A124,'Anlage 1a_Zuschlagszahlungen_NB'!$A$847:$E$1558,5,0)</f>
        <v>99141.34</v>
      </c>
      <c r="C124" s="667">
        <f>_xlfn.IFNA(VLOOKUP($A124,'Anlage 1b_Abzüge, Pflicht, Boni'!$A$9:$D$67,2,FALSE),0)</f>
        <v>0</v>
      </c>
      <c r="D124" s="667">
        <f>_xlfn.IFNA(VLOOKUP(A124,'Anlage 1b_Abzüge, Pflicht, Boni'!$A$9:$D$67,3,FALSE),0)</f>
        <v>0</v>
      </c>
      <c r="E124" s="667">
        <f>_xlfn.IFNA(VLOOKUP(A124,'Anlage 1b_Abzüge, Pflicht, Boni'!$A$9:$D$67,4,FALSE),0)</f>
        <v>0</v>
      </c>
      <c r="F124" s="88">
        <f t="shared" si="8"/>
        <v>99141.34</v>
      </c>
      <c r="G124" s="88">
        <f>SUMIFS('Anlage 1c_Korrekturen_NB'!$L$11:$L$103,'Anlage 1c_Korrekturen_NB'!$A$11:$A$103,'Anlage 3a_Zusammenfassung_KWKG'!$A124)</f>
        <v>62066.349999999991</v>
      </c>
      <c r="H124" s="134">
        <f>SUMIFS('Anlage 1c_Korrekturen_NB'!$D$622:$D$624,'Anlage 1c_Korrekturen_NB'!$A$622:$A$624,'Anlage 3a_Zusammenfassung_KWKG'!$A124)</f>
        <v>0</v>
      </c>
      <c r="I124" s="925">
        <f t="shared" si="7"/>
        <v>62066.349999999991</v>
      </c>
      <c r="J124" s="91" t="s">
        <v>689</v>
      </c>
      <c r="K124" s="12"/>
      <c r="L124" s="12"/>
    </row>
    <row r="125" spans="1:12" hidden="1" outlineLevel="1">
      <c r="A125" s="408" t="s">
        <v>690</v>
      </c>
      <c r="B125" s="1698">
        <f>VLOOKUP($A125,'Anlage 1a_Zuschlagszahlungen_NB'!$A$847:$E$1558,5,0)</f>
        <v>407359.15</v>
      </c>
      <c r="C125" s="667">
        <f>_xlfn.IFNA(VLOOKUP($A125,'Anlage 1b_Abzüge, Pflicht, Boni'!$A$9:$D$67,2,FALSE),0)</f>
        <v>0</v>
      </c>
      <c r="D125" s="667">
        <f>_xlfn.IFNA(VLOOKUP(A125,'Anlage 1b_Abzüge, Pflicht, Boni'!$A$9:$D$67,3,FALSE),0)</f>
        <v>0</v>
      </c>
      <c r="E125" s="667">
        <f>_xlfn.IFNA(VLOOKUP(A125,'Anlage 1b_Abzüge, Pflicht, Boni'!$A$9:$D$67,4,FALSE),0)</f>
        <v>0</v>
      </c>
      <c r="F125" s="88">
        <f t="shared" si="8"/>
        <v>407359.15</v>
      </c>
      <c r="G125" s="88">
        <f>SUMIFS('Anlage 1c_Korrekturen_NB'!$L$11:$L$103,'Anlage 1c_Korrekturen_NB'!$A$11:$A$103,'Anlage 3a_Zusammenfassung_KWKG'!$A125)</f>
        <v>0</v>
      </c>
      <c r="H125" s="134">
        <f>SUMIFS('Anlage 1c_Korrekturen_NB'!$D$622:$D$624,'Anlage 1c_Korrekturen_NB'!$A$622:$A$624,'Anlage 3a_Zusammenfassung_KWKG'!$A125)</f>
        <v>0</v>
      </c>
      <c r="I125" s="925">
        <f t="shared" si="7"/>
        <v>0</v>
      </c>
      <c r="J125" s="91" t="s">
        <v>691</v>
      </c>
      <c r="K125" s="12"/>
      <c r="L125" s="12"/>
    </row>
    <row r="126" spans="1:12" hidden="1" outlineLevel="1">
      <c r="A126" s="408" t="s">
        <v>692</v>
      </c>
      <c r="B126" s="1698">
        <f>VLOOKUP($A126,'Anlage 1a_Zuschlagszahlungen_NB'!$A$847:$E$1558,5,0)</f>
        <v>39252.639999999999</v>
      </c>
      <c r="C126" s="667">
        <f>_xlfn.IFNA(VLOOKUP($A126,'Anlage 1b_Abzüge, Pflicht, Boni'!$A$9:$D$67,2,FALSE),0)</f>
        <v>0</v>
      </c>
      <c r="D126" s="667">
        <f>_xlfn.IFNA(VLOOKUP(A126,'Anlage 1b_Abzüge, Pflicht, Boni'!$A$9:$D$67,3,FALSE),0)</f>
        <v>0</v>
      </c>
      <c r="E126" s="667">
        <f>_xlfn.IFNA(VLOOKUP(A126,'Anlage 1b_Abzüge, Pflicht, Boni'!$A$9:$D$67,4,FALSE),0)</f>
        <v>0</v>
      </c>
      <c r="F126" s="88">
        <f t="shared" si="8"/>
        <v>39252.639999999999</v>
      </c>
      <c r="G126" s="88">
        <f>SUMIFS('Anlage 1c_Korrekturen_NB'!$L$11:$L$103,'Anlage 1c_Korrekturen_NB'!$A$11:$A$103,'Anlage 3a_Zusammenfassung_KWKG'!$A126)</f>
        <v>-658.48</v>
      </c>
      <c r="H126" s="134">
        <f>SUMIFS('Anlage 1c_Korrekturen_NB'!$D$622:$D$624,'Anlage 1c_Korrekturen_NB'!$A$622:$A$624,'Anlage 3a_Zusammenfassung_KWKG'!$A126)</f>
        <v>0</v>
      </c>
      <c r="I126" s="925">
        <f t="shared" si="7"/>
        <v>-658.48</v>
      </c>
      <c r="J126" s="91" t="s">
        <v>693</v>
      </c>
      <c r="K126" s="12"/>
      <c r="L126" s="12"/>
    </row>
    <row r="127" spans="1:12" hidden="1" outlineLevel="1">
      <c r="A127" s="408" t="s">
        <v>694</v>
      </c>
      <c r="B127" s="1698">
        <f>VLOOKUP($A127,'Anlage 1a_Zuschlagszahlungen_NB'!$A$847:$E$1558,5,0)</f>
        <v>0</v>
      </c>
      <c r="C127" s="667">
        <f>_xlfn.IFNA(VLOOKUP($A127,'Anlage 1b_Abzüge, Pflicht, Boni'!$A$9:$D$67,2,FALSE),0)</f>
        <v>0</v>
      </c>
      <c r="D127" s="667">
        <f>_xlfn.IFNA(VLOOKUP(A127,'Anlage 1b_Abzüge, Pflicht, Boni'!$A$9:$D$67,3,FALSE),0)</f>
        <v>0</v>
      </c>
      <c r="E127" s="667">
        <f>_xlfn.IFNA(VLOOKUP(A127,'Anlage 1b_Abzüge, Pflicht, Boni'!$A$9:$D$67,4,FALSE),0)</f>
        <v>0</v>
      </c>
      <c r="F127" s="88">
        <f t="shared" si="8"/>
        <v>0</v>
      </c>
      <c r="G127" s="88">
        <f>SUMIFS('Anlage 1c_Korrekturen_NB'!$L$11:$L$103,'Anlage 1c_Korrekturen_NB'!$A$11:$A$103,'Anlage 3a_Zusammenfassung_KWKG'!$A127)</f>
        <v>0</v>
      </c>
      <c r="H127" s="134">
        <f>SUMIFS('Anlage 1c_Korrekturen_NB'!$D$622:$D$624,'Anlage 1c_Korrekturen_NB'!$A$622:$A$624,'Anlage 3a_Zusammenfassung_KWKG'!$A127)</f>
        <v>0</v>
      </c>
      <c r="I127" s="925">
        <f t="shared" si="7"/>
        <v>0</v>
      </c>
      <c r="J127" s="91" t="s">
        <v>695</v>
      </c>
      <c r="K127" s="12"/>
      <c r="L127" s="12"/>
    </row>
    <row r="128" spans="1:12" hidden="1" outlineLevel="1">
      <c r="A128" s="408" t="s">
        <v>696</v>
      </c>
      <c r="B128" s="1698">
        <f>VLOOKUP($A128,'Anlage 1a_Zuschlagszahlungen_NB'!$A$847:$E$1558,5,0)</f>
        <v>57956</v>
      </c>
      <c r="C128" s="667">
        <f>_xlfn.IFNA(VLOOKUP($A128,'Anlage 1b_Abzüge, Pflicht, Boni'!$A$9:$D$67,2,FALSE),0)</f>
        <v>-29548.16</v>
      </c>
      <c r="D128" s="667">
        <f>_xlfn.IFNA(VLOOKUP(A128,'Anlage 1b_Abzüge, Pflicht, Boni'!$A$9:$D$67,3,FALSE),0)</f>
        <v>0</v>
      </c>
      <c r="E128" s="667">
        <f>_xlfn.IFNA(VLOOKUP(A128,'Anlage 1b_Abzüge, Pflicht, Boni'!$A$9:$D$67,4,FALSE),0)</f>
        <v>0</v>
      </c>
      <c r="F128" s="88">
        <f t="shared" si="8"/>
        <v>28407.84</v>
      </c>
      <c r="G128" s="88">
        <f>SUMIFS('Anlage 1c_Korrekturen_NB'!$L$11:$L$103,'Anlage 1c_Korrekturen_NB'!$A$11:$A$103,'Anlage 3a_Zusammenfassung_KWKG'!$A128)</f>
        <v>0</v>
      </c>
      <c r="H128" s="134">
        <f>SUMIFS('Anlage 1c_Korrekturen_NB'!$D$622:$D$624,'Anlage 1c_Korrekturen_NB'!$A$622:$A$624,'Anlage 3a_Zusammenfassung_KWKG'!$A128)</f>
        <v>0</v>
      </c>
      <c r="I128" s="925">
        <f t="shared" si="7"/>
        <v>0</v>
      </c>
      <c r="J128" s="91" t="s">
        <v>697</v>
      </c>
      <c r="K128" s="12"/>
      <c r="L128" s="12"/>
    </row>
    <row r="129" spans="1:12" hidden="1" outlineLevel="1">
      <c r="A129" s="408" t="s">
        <v>698</v>
      </c>
      <c r="B129" s="1698">
        <f>VLOOKUP($A129,'Anlage 1a_Zuschlagszahlungen_NB'!$A$847:$E$1558,5,0)</f>
        <v>104928.26000000001</v>
      </c>
      <c r="C129" s="667">
        <f>_xlfn.IFNA(VLOOKUP($A129,'Anlage 1b_Abzüge, Pflicht, Boni'!$A$9:$D$67,2,FALSE),0)</f>
        <v>0</v>
      </c>
      <c r="D129" s="667">
        <f>_xlfn.IFNA(VLOOKUP(A129,'Anlage 1b_Abzüge, Pflicht, Boni'!$A$9:$D$67,3,FALSE),0)</f>
        <v>0</v>
      </c>
      <c r="E129" s="667">
        <f>_xlfn.IFNA(VLOOKUP(A129,'Anlage 1b_Abzüge, Pflicht, Boni'!$A$9:$D$67,4,FALSE),0)</f>
        <v>0</v>
      </c>
      <c r="F129" s="88">
        <f t="shared" si="8"/>
        <v>104928.26000000001</v>
      </c>
      <c r="G129" s="88">
        <f>SUMIFS('Anlage 1c_Korrekturen_NB'!$L$11:$L$103,'Anlage 1c_Korrekturen_NB'!$A$11:$A$103,'Anlage 3a_Zusammenfassung_KWKG'!$A129)</f>
        <v>0</v>
      </c>
      <c r="H129" s="134">
        <f>SUMIFS('Anlage 1c_Korrekturen_NB'!$D$622:$D$624,'Anlage 1c_Korrekturen_NB'!$A$622:$A$624,'Anlage 3a_Zusammenfassung_KWKG'!$A129)</f>
        <v>0</v>
      </c>
      <c r="I129" s="925">
        <f t="shared" si="7"/>
        <v>0</v>
      </c>
      <c r="J129" s="91" t="s">
        <v>699</v>
      </c>
      <c r="K129" s="12"/>
      <c r="L129" s="12"/>
    </row>
    <row r="130" spans="1:12" hidden="1" outlineLevel="1">
      <c r="A130" s="408" t="s">
        <v>700</v>
      </c>
      <c r="B130" s="1698">
        <f>VLOOKUP($A130,'Anlage 1a_Zuschlagszahlungen_NB'!$A$847:$E$1558,5,0)</f>
        <v>36251.99</v>
      </c>
      <c r="C130" s="667">
        <f>_xlfn.IFNA(VLOOKUP($A130,'Anlage 1b_Abzüge, Pflicht, Boni'!$A$9:$D$67,2,FALSE),0)</f>
        <v>0</v>
      </c>
      <c r="D130" s="667">
        <f>_xlfn.IFNA(VLOOKUP(A130,'Anlage 1b_Abzüge, Pflicht, Boni'!$A$9:$D$67,3,FALSE),0)</f>
        <v>0</v>
      </c>
      <c r="E130" s="667">
        <f>_xlfn.IFNA(VLOOKUP(A130,'Anlage 1b_Abzüge, Pflicht, Boni'!$A$9:$D$67,4,FALSE),0)</f>
        <v>0</v>
      </c>
      <c r="F130" s="88">
        <f t="shared" si="8"/>
        <v>36251.99</v>
      </c>
      <c r="G130" s="88">
        <f>SUMIFS('Anlage 1c_Korrekturen_NB'!$L$11:$L$103,'Anlage 1c_Korrekturen_NB'!$A$11:$A$103,'Anlage 3a_Zusammenfassung_KWKG'!$A130)</f>
        <v>0</v>
      </c>
      <c r="H130" s="134">
        <f>SUMIFS('Anlage 1c_Korrekturen_NB'!$D$622:$D$624,'Anlage 1c_Korrekturen_NB'!$A$622:$A$624,'Anlage 3a_Zusammenfassung_KWKG'!$A130)</f>
        <v>0</v>
      </c>
      <c r="I130" s="925">
        <f t="shared" si="7"/>
        <v>0</v>
      </c>
      <c r="J130" s="91" t="s">
        <v>701</v>
      </c>
      <c r="K130" s="12"/>
      <c r="L130" s="12"/>
    </row>
    <row r="131" spans="1:12" hidden="1" outlineLevel="1">
      <c r="A131" s="408" t="s">
        <v>702</v>
      </c>
      <c r="B131" s="1698">
        <f>VLOOKUP($A131,'Anlage 1a_Zuschlagszahlungen_NB'!$A$847:$E$1558,5,0)</f>
        <v>50890.92</v>
      </c>
      <c r="C131" s="667">
        <f>_xlfn.IFNA(VLOOKUP($A131,'Anlage 1b_Abzüge, Pflicht, Boni'!$A$9:$D$67,2,FALSE),0)</f>
        <v>0</v>
      </c>
      <c r="D131" s="667">
        <f>_xlfn.IFNA(VLOOKUP(A131,'Anlage 1b_Abzüge, Pflicht, Boni'!$A$9:$D$67,3,FALSE),0)</f>
        <v>0</v>
      </c>
      <c r="E131" s="667">
        <f>_xlfn.IFNA(VLOOKUP(A131,'Anlage 1b_Abzüge, Pflicht, Boni'!$A$9:$D$67,4,FALSE),0)</f>
        <v>0</v>
      </c>
      <c r="F131" s="88">
        <f t="shared" si="8"/>
        <v>50890.92</v>
      </c>
      <c r="G131" s="88">
        <f>SUMIFS('Anlage 1c_Korrekturen_NB'!$L$11:$L$103,'Anlage 1c_Korrekturen_NB'!$A$11:$A$103,'Anlage 3a_Zusammenfassung_KWKG'!$A131)</f>
        <v>0</v>
      </c>
      <c r="H131" s="134">
        <f>SUMIFS('Anlage 1c_Korrekturen_NB'!$D$622:$D$624,'Anlage 1c_Korrekturen_NB'!$A$622:$A$624,'Anlage 3a_Zusammenfassung_KWKG'!$A131)</f>
        <v>0</v>
      </c>
      <c r="I131" s="925">
        <f t="shared" si="7"/>
        <v>0</v>
      </c>
      <c r="J131" s="91" t="s">
        <v>703</v>
      </c>
      <c r="K131" s="12"/>
      <c r="L131" s="12"/>
    </row>
    <row r="132" spans="1:12" hidden="1" outlineLevel="1">
      <c r="A132" s="408" t="s">
        <v>704</v>
      </c>
      <c r="B132" s="1698">
        <f>VLOOKUP($A132,'Anlage 1a_Zuschlagszahlungen_NB'!$A$847:$E$1558,5,0)</f>
        <v>0</v>
      </c>
      <c r="C132" s="667">
        <f>_xlfn.IFNA(VLOOKUP($A132,'Anlage 1b_Abzüge, Pflicht, Boni'!$A$9:$D$67,2,FALSE),0)</f>
        <v>0</v>
      </c>
      <c r="D132" s="667">
        <f>_xlfn.IFNA(VLOOKUP(A132,'Anlage 1b_Abzüge, Pflicht, Boni'!$A$9:$D$67,3,FALSE),0)</f>
        <v>0</v>
      </c>
      <c r="E132" s="667">
        <f>_xlfn.IFNA(VLOOKUP(A132,'Anlage 1b_Abzüge, Pflicht, Boni'!$A$9:$D$67,4,FALSE),0)</f>
        <v>0</v>
      </c>
      <c r="F132" s="88">
        <f t="shared" si="8"/>
        <v>0</v>
      </c>
      <c r="G132" s="88">
        <f>SUMIFS('Anlage 1c_Korrekturen_NB'!$L$11:$L$103,'Anlage 1c_Korrekturen_NB'!$A$11:$A$103,'Anlage 3a_Zusammenfassung_KWKG'!$A132)</f>
        <v>0</v>
      </c>
      <c r="H132" s="134">
        <f>SUMIFS('Anlage 1c_Korrekturen_NB'!$D$622:$D$624,'Anlage 1c_Korrekturen_NB'!$A$622:$A$624,'Anlage 3a_Zusammenfassung_KWKG'!$A132)</f>
        <v>0</v>
      </c>
      <c r="I132" s="925">
        <f t="shared" si="7"/>
        <v>0</v>
      </c>
      <c r="J132" s="91" t="s">
        <v>705</v>
      </c>
      <c r="K132" s="12"/>
      <c r="L132" s="12"/>
    </row>
    <row r="133" spans="1:12" hidden="1" outlineLevel="1">
      <c r="A133" s="408" t="s">
        <v>706</v>
      </c>
      <c r="B133" s="1698">
        <f>VLOOKUP($A133,'Anlage 1a_Zuschlagszahlungen_NB'!$A$847:$E$1558,5,0)</f>
        <v>947567.32000000007</v>
      </c>
      <c r="C133" s="667">
        <f>_xlfn.IFNA(VLOOKUP($A133,'Anlage 1b_Abzüge, Pflicht, Boni'!$A$9:$D$67,2,FALSE),0)</f>
        <v>0</v>
      </c>
      <c r="D133" s="667">
        <f>_xlfn.IFNA(VLOOKUP(A133,'Anlage 1b_Abzüge, Pflicht, Boni'!$A$9:$D$67,3,FALSE),0)</f>
        <v>0</v>
      </c>
      <c r="E133" s="667">
        <f>_xlfn.IFNA(VLOOKUP(A133,'Anlage 1b_Abzüge, Pflicht, Boni'!$A$9:$D$67,4,FALSE),0)</f>
        <v>0</v>
      </c>
      <c r="F133" s="88">
        <f t="shared" si="8"/>
        <v>947567.32000000007</v>
      </c>
      <c r="G133" s="88">
        <f>SUMIFS('Anlage 1c_Korrekturen_NB'!$L$11:$L$103,'Anlage 1c_Korrekturen_NB'!$A$11:$A$103,'Anlage 3a_Zusammenfassung_KWKG'!$A133)</f>
        <v>0</v>
      </c>
      <c r="H133" s="134">
        <f>SUMIFS('Anlage 1c_Korrekturen_NB'!$D$622:$D$624,'Anlage 1c_Korrekturen_NB'!$A$622:$A$624,'Anlage 3a_Zusammenfassung_KWKG'!$A133)</f>
        <v>0</v>
      </c>
      <c r="I133" s="925">
        <f t="shared" si="7"/>
        <v>0</v>
      </c>
      <c r="J133" s="91" t="s">
        <v>707</v>
      </c>
      <c r="K133" s="12"/>
      <c r="L133" s="12"/>
    </row>
    <row r="134" spans="1:12" hidden="1" outlineLevel="1">
      <c r="A134" s="408" t="s">
        <v>708</v>
      </c>
      <c r="B134" s="1698">
        <f>VLOOKUP($A134,'Anlage 1a_Zuschlagszahlungen_NB'!$A$847:$E$1558,5,0)</f>
        <v>11200</v>
      </c>
      <c r="C134" s="667">
        <f>_xlfn.IFNA(VLOOKUP($A134,'Anlage 1b_Abzüge, Pflicht, Boni'!$A$9:$D$67,2,FALSE),0)</f>
        <v>0</v>
      </c>
      <c r="D134" s="667">
        <f>_xlfn.IFNA(VLOOKUP(A134,'Anlage 1b_Abzüge, Pflicht, Boni'!$A$9:$D$67,3,FALSE),0)</f>
        <v>0</v>
      </c>
      <c r="E134" s="667">
        <f>_xlfn.IFNA(VLOOKUP(A134,'Anlage 1b_Abzüge, Pflicht, Boni'!$A$9:$D$67,4,FALSE),0)</f>
        <v>0</v>
      </c>
      <c r="F134" s="88">
        <f t="shared" si="8"/>
        <v>11200</v>
      </c>
      <c r="G134" s="88">
        <f>SUMIFS('Anlage 1c_Korrekturen_NB'!$L$11:$L$103,'Anlage 1c_Korrekturen_NB'!$A$11:$A$103,'Anlage 3a_Zusammenfassung_KWKG'!$A134)</f>
        <v>0</v>
      </c>
      <c r="H134" s="134">
        <f>SUMIFS('Anlage 1c_Korrekturen_NB'!$D$622:$D$624,'Anlage 1c_Korrekturen_NB'!$A$622:$A$624,'Anlage 3a_Zusammenfassung_KWKG'!$A134)</f>
        <v>0</v>
      </c>
      <c r="I134" s="925">
        <f t="shared" si="7"/>
        <v>0</v>
      </c>
      <c r="J134" s="91" t="s">
        <v>709</v>
      </c>
      <c r="K134" s="12"/>
      <c r="L134" s="12"/>
    </row>
    <row r="135" spans="1:12" hidden="1" outlineLevel="1">
      <c r="A135" s="408" t="s">
        <v>710</v>
      </c>
      <c r="B135" s="1698">
        <f>VLOOKUP($A135,'Anlage 1a_Zuschlagszahlungen_NB'!$A$847:$E$1558,5,0)</f>
        <v>95778.23000000001</v>
      </c>
      <c r="C135" s="667">
        <f>_xlfn.IFNA(VLOOKUP($A135,'Anlage 1b_Abzüge, Pflicht, Boni'!$A$9:$D$67,2,FALSE),0)</f>
        <v>0</v>
      </c>
      <c r="D135" s="667">
        <f>_xlfn.IFNA(VLOOKUP(A135,'Anlage 1b_Abzüge, Pflicht, Boni'!$A$9:$D$67,3,FALSE),0)</f>
        <v>0</v>
      </c>
      <c r="E135" s="667">
        <f>_xlfn.IFNA(VLOOKUP(A135,'Anlage 1b_Abzüge, Pflicht, Boni'!$A$9:$D$67,4,FALSE),0)</f>
        <v>0</v>
      </c>
      <c r="F135" s="88">
        <f t="shared" si="8"/>
        <v>95778.23000000001</v>
      </c>
      <c r="G135" s="88">
        <f>SUMIFS('Anlage 1c_Korrekturen_NB'!$L$11:$L$103,'Anlage 1c_Korrekturen_NB'!$A$11:$A$103,'Anlage 3a_Zusammenfassung_KWKG'!$A135)</f>
        <v>0</v>
      </c>
      <c r="H135" s="134">
        <f>SUMIFS('Anlage 1c_Korrekturen_NB'!$D$622:$D$624,'Anlage 1c_Korrekturen_NB'!$A$622:$A$624,'Anlage 3a_Zusammenfassung_KWKG'!$A135)</f>
        <v>0</v>
      </c>
      <c r="I135" s="925">
        <f t="shared" ref="I135:I166" si="9">G135+H135</f>
        <v>0</v>
      </c>
      <c r="J135" s="91" t="s">
        <v>711</v>
      </c>
      <c r="K135" s="12"/>
      <c r="L135" s="12"/>
    </row>
    <row r="136" spans="1:12" hidden="1" outlineLevel="1">
      <c r="A136" s="408" t="s">
        <v>712</v>
      </c>
      <c r="B136" s="1698">
        <f>VLOOKUP($A136,'Anlage 1a_Zuschlagszahlungen_NB'!$A$847:$E$1558,5,0)</f>
        <v>28007.279999999999</v>
      </c>
      <c r="C136" s="667">
        <f>_xlfn.IFNA(VLOOKUP($A136,'Anlage 1b_Abzüge, Pflicht, Boni'!$A$9:$D$67,2,FALSE),0)</f>
        <v>0</v>
      </c>
      <c r="D136" s="667">
        <f>_xlfn.IFNA(VLOOKUP(A136,'Anlage 1b_Abzüge, Pflicht, Boni'!$A$9:$D$67,3,FALSE),0)</f>
        <v>0</v>
      </c>
      <c r="E136" s="667">
        <f>_xlfn.IFNA(VLOOKUP(A136,'Anlage 1b_Abzüge, Pflicht, Boni'!$A$9:$D$67,4,FALSE),0)</f>
        <v>0</v>
      </c>
      <c r="F136" s="88">
        <f t="shared" si="8"/>
        <v>28007.279999999999</v>
      </c>
      <c r="G136" s="88">
        <f>SUMIFS('Anlage 1c_Korrekturen_NB'!$L$11:$L$103,'Anlage 1c_Korrekturen_NB'!$A$11:$A$103,'Anlage 3a_Zusammenfassung_KWKG'!$A136)</f>
        <v>15991.84</v>
      </c>
      <c r="H136" s="134">
        <f>SUMIFS('Anlage 1c_Korrekturen_NB'!$D$622:$D$624,'Anlage 1c_Korrekturen_NB'!$A$622:$A$624,'Anlage 3a_Zusammenfassung_KWKG'!$A136)</f>
        <v>0</v>
      </c>
      <c r="I136" s="925">
        <f t="shared" si="9"/>
        <v>15991.84</v>
      </c>
      <c r="J136" s="91" t="s">
        <v>713</v>
      </c>
      <c r="K136" s="12"/>
      <c r="L136" s="12"/>
    </row>
    <row r="137" spans="1:12" hidden="1" outlineLevel="1">
      <c r="A137" s="408" t="s">
        <v>714</v>
      </c>
      <c r="B137" s="1698">
        <f>VLOOKUP($A137,'Anlage 1a_Zuschlagszahlungen_NB'!$A$847:$E$1558,5,0)</f>
        <v>383413.42000000004</v>
      </c>
      <c r="C137" s="667">
        <f>_xlfn.IFNA(VLOOKUP($A137,'Anlage 1b_Abzüge, Pflicht, Boni'!$A$9:$D$67,2,FALSE),0)</f>
        <v>0</v>
      </c>
      <c r="D137" s="667">
        <f>_xlfn.IFNA(VLOOKUP(A137,'Anlage 1b_Abzüge, Pflicht, Boni'!$A$9:$D$67,3,FALSE),0)</f>
        <v>0</v>
      </c>
      <c r="E137" s="667">
        <f>_xlfn.IFNA(VLOOKUP(A137,'Anlage 1b_Abzüge, Pflicht, Boni'!$A$9:$D$67,4,FALSE),0)</f>
        <v>0</v>
      </c>
      <c r="F137" s="88">
        <f t="shared" ref="F137:F155" si="10">SUM(B137:E137)</f>
        <v>383413.42000000004</v>
      </c>
      <c r="G137" s="88">
        <f>SUMIFS('Anlage 1c_Korrekturen_NB'!$L$11:$L$103,'Anlage 1c_Korrekturen_NB'!$A$11:$A$103,'Anlage 3a_Zusammenfassung_KWKG'!$A137)</f>
        <v>0</v>
      </c>
      <c r="H137" s="134">
        <f>SUMIFS('Anlage 1c_Korrekturen_NB'!$D$622:$D$624,'Anlage 1c_Korrekturen_NB'!$A$622:$A$624,'Anlage 3a_Zusammenfassung_KWKG'!$A137)</f>
        <v>0</v>
      </c>
      <c r="I137" s="925">
        <f t="shared" si="9"/>
        <v>0</v>
      </c>
      <c r="J137" s="91" t="s">
        <v>715</v>
      </c>
      <c r="K137" s="12"/>
      <c r="L137" s="12"/>
    </row>
    <row r="138" spans="1:12" hidden="1" outlineLevel="1">
      <c r="A138" s="408" t="s">
        <v>716</v>
      </c>
      <c r="B138" s="1698">
        <f>VLOOKUP($A138,'Anlage 1a_Zuschlagszahlungen_NB'!$A$847:$E$1558,5,0)</f>
        <v>76198.720000000001</v>
      </c>
      <c r="C138" s="667">
        <f>_xlfn.IFNA(VLOOKUP($A138,'Anlage 1b_Abzüge, Pflicht, Boni'!$A$9:$D$67,2,FALSE),0)</f>
        <v>0</v>
      </c>
      <c r="D138" s="667">
        <f>_xlfn.IFNA(VLOOKUP(A138,'Anlage 1b_Abzüge, Pflicht, Boni'!$A$9:$D$67,3,FALSE),0)</f>
        <v>0</v>
      </c>
      <c r="E138" s="667">
        <f>_xlfn.IFNA(VLOOKUP(A138,'Anlage 1b_Abzüge, Pflicht, Boni'!$A$9:$D$67,4,FALSE),0)</f>
        <v>0</v>
      </c>
      <c r="F138" s="88">
        <f t="shared" si="10"/>
        <v>76198.720000000001</v>
      </c>
      <c r="G138" s="88">
        <f>SUMIFS('Anlage 1c_Korrekturen_NB'!$L$11:$L$103,'Anlage 1c_Korrekturen_NB'!$A$11:$A$103,'Anlage 3a_Zusammenfassung_KWKG'!$A138)</f>
        <v>0</v>
      </c>
      <c r="H138" s="134">
        <f>SUMIFS('Anlage 1c_Korrekturen_NB'!$D$622:$D$624,'Anlage 1c_Korrekturen_NB'!$A$622:$A$624,'Anlage 3a_Zusammenfassung_KWKG'!$A138)</f>
        <v>0</v>
      </c>
      <c r="I138" s="925">
        <f t="shared" si="9"/>
        <v>0</v>
      </c>
      <c r="J138" s="91" t="s">
        <v>717</v>
      </c>
      <c r="K138" s="12"/>
      <c r="L138" s="12"/>
    </row>
    <row r="139" spans="1:12" hidden="1" outlineLevel="1">
      <c r="A139" s="408" t="s">
        <v>718</v>
      </c>
      <c r="B139" s="1698">
        <f>VLOOKUP($A139,'Anlage 1a_Zuschlagszahlungen_NB'!$A$847:$E$1558,5,0)</f>
        <v>331258.49</v>
      </c>
      <c r="C139" s="667">
        <f>_xlfn.IFNA(VLOOKUP($A139,'Anlage 1b_Abzüge, Pflicht, Boni'!$A$9:$D$67,2,FALSE),0)</f>
        <v>0</v>
      </c>
      <c r="D139" s="667">
        <f>_xlfn.IFNA(VLOOKUP(A139,'Anlage 1b_Abzüge, Pflicht, Boni'!$A$9:$D$67,3,FALSE),0)</f>
        <v>0</v>
      </c>
      <c r="E139" s="667">
        <f>_xlfn.IFNA(VLOOKUP(A139,'Anlage 1b_Abzüge, Pflicht, Boni'!$A$9:$D$67,4,FALSE),0)</f>
        <v>0</v>
      </c>
      <c r="F139" s="88">
        <f t="shared" si="10"/>
        <v>331258.49</v>
      </c>
      <c r="G139" s="88">
        <f>SUMIFS('Anlage 1c_Korrekturen_NB'!$L$11:$L$103,'Anlage 1c_Korrekturen_NB'!$A$11:$A$103,'Anlage 3a_Zusammenfassung_KWKG'!$A139)</f>
        <v>0</v>
      </c>
      <c r="H139" s="134">
        <f>SUMIFS('Anlage 1c_Korrekturen_NB'!$D$622:$D$624,'Anlage 1c_Korrekturen_NB'!$A$622:$A$624,'Anlage 3a_Zusammenfassung_KWKG'!$A139)</f>
        <v>0</v>
      </c>
      <c r="I139" s="925">
        <f t="shared" si="9"/>
        <v>0</v>
      </c>
      <c r="J139" s="91" t="s">
        <v>719</v>
      </c>
      <c r="K139" s="12"/>
      <c r="L139" s="12"/>
    </row>
    <row r="140" spans="1:12" hidden="1" outlineLevel="1">
      <c r="A140" s="408" t="s">
        <v>720</v>
      </c>
      <c r="B140" s="1698">
        <f>VLOOKUP($A140,'Anlage 1a_Zuschlagszahlungen_NB'!$A$847:$E$1558,5,0)</f>
        <v>23048.680000000004</v>
      </c>
      <c r="C140" s="667">
        <f>_xlfn.IFNA(VLOOKUP($A140,'Anlage 1b_Abzüge, Pflicht, Boni'!$A$9:$D$67,2,FALSE),0)</f>
        <v>0</v>
      </c>
      <c r="D140" s="667">
        <f>_xlfn.IFNA(VLOOKUP(A140,'Anlage 1b_Abzüge, Pflicht, Boni'!$A$9:$D$67,3,FALSE),0)</f>
        <v>0</v>
      </c>
      <c r="E140" s="667">
        <f>_xlfn.IFNA(VLOOKUP(A140,'Anlage 1b_Abzüge, Pflicht, Boni'!$A$9:$D$67,4,FALSE),0)</f>
        <v>0</v>
      </c>
      <c r="F140" s="88">
        <f t="shared" si="10"/>
        <v>23048.680000000004</v>
      </c>
      <c r="G140" s="88">
        <f>SUMIFS('Anlage 1c_Korrekturen_NB'!$L$11:$L$103,'Anlage 1c_Korrekturen_NB'!$A$11:$A$103,'Anlage 3a_Zusammenfassung_KWKG'!$A140)</f>
        <v>0</v>
      </c>
      <c r="H140" s="134">
        <f>SUMIFS('Anlage 1c_Korrekturen_NB'!$D$622:$D$624,'Anlage 1c_Korrekturen_NB'!$A$622:$A$624,'Anlage 3a_Zusammenfassung_KWKG'!$A140)</f>
        <v>0</v>
      </c>
      <c r="I140" s="925">
        <f t="shared" si="9"/>
        <v>0</v>
      </c>
      <c r="J140" s="91" t="s">
        <v>721</v>
      </c>
      <c r="K140" s="12"/>
      <c r="L140" s="12"/>
    </row>
    <row r="141" spans="1:12" hidden="1" outlineLevel="1">
      <c r="A141" s="408" t="s">
        <v>722</v>
      </c>
      <c r="B141" s="1698">
        <f>VLOOKUP($A141,'Anlage 1a_Zuschlagszahlungen_NB'!$A$847:$E$1558,5,0)</f>
        <v>63451563.059999995</v>
      </c>
      <c r="C141" s="667">
        <f>_xlfn.IFNA(VLOOKUP($A141,'Anlage 1b_Abzüge, Pflicht, Boni'!$A$9:$D$67,2,FALSE),0)</f>
        <v>-5718.4900000000007</v>
      </c>
      <c r="D141" s="667">
        <f>_xlfn.IFNA(VLOOKUP(A141,'Anlage 1b_Abzüge, Pflicht, Boni'!$A$9:$D$67,3,FALSE),0)</f>
        <v>0</v>
      </c>
      <c r="E141" s="667">
        <f>_xlfn.IFNA(VLOOKUP(A141,'Anlage 1b_Abzüge, Pflicht, Boni'!$A$9:$D$67,4,FALSE),0)</f>
        <v>0</v>
      </c>
      <c r="F141" s="88">
        <f t="shared" si="10"/>
        <v>63445844.569999993</v>
      </c>
      <c r="G141" s="88">
        <f>SUMIFS('Anlage 1c_Korrekturen_NB'!$L$11:$L$103,'Anlage 1c_Korrekturen_NB'!$A$11:$A$103,'Anlage 3a_Zusammenfassung_KWKG'!$A141)</f>
        <v>3453239.2900000014</v>
      </c>
      <c r="H141" s="134">
        <f>SUMIFS('Anlage 1c_Korrekturen_NB'!$D$622:$D$624,'Anlage 1c_Korrekturen_NB'!$A$622:$A$624,'Anlage 3a_Zusammenfassung_KWKG'!$A141)</f>
        <v>0</v>
      </c>
      <c r="I141" s="925">
        <f t="shared" si="9"/>
        <v>3453239.2900000014</v>
      </c>
      <c r="J141" s="91" t="s">
        <v>723</v>
      </c>
      <c r="K141" s="12"/>
      <c r="L141" s="12"/>
    </row>
    <row r="142" spans="1:12" hidden="1" outlineLevel="1">
      <c r="A142" s="408" t="s">
        <v>724</v>
      </c>
      <c r="B142" s="1698">
        <f>VLOOKUP($A142,'Anlage 1a_Zuschlagszahlungen_NB'!$A$847:$E$1558,5,0)</f>
        <v>126616.41</v>
      </c>
      <c r="C142" s="667">
        <f>_xlfn.IFNA(VLOOKUP($A142,'Anlage 1b_Abzüge, Pflicht, Boni'!$A$9:$D$67,2,FALSE),0)</f>
        <v>0</v>
      </c>
      <c r="D142" s="667">
        <f>_xlfn.IFNA(VLOOKUP(A142,'Anlage 1b_Abzüge, Pflicht, Boni'!$A$9:$D$67,3,FALSE),0)</f>
        <v>0</v>
      </c>
      <c r="E142" s="667">
        <f>_xlfn.IFNA(VLOOKUP(A142,'Anlage 1b_Abzüge, Pflicht, Boni'!$A$9:$D$67,4,FALSE),0)</f>
        <v>0</v>
      </c>
      <c r="F142" s="88">
        <f t="shared" si="10"/>
        <v>126616.41</v>
      </c>
      <c r="G142" s="88">
        <f>SUMIFS('Anlage 1c_Korrekturen_NB'!$L$11:$L$103,'Anlage 1c_Korrekturen_NB'!$A$11:$A$103,'Anlage 3a_Zusammenfassung_KWKG'!$A142)</f>
        <v>0</v>
      </c>
      <c r="H142" s="134">
        <f>SUMIFS('Anlage 1c_Korrekturen_NB'!$D$622:$D$624,'Anlage 1c_Korrekturen_NB'!$A$622:$A$624,'Anlage 3a_Zusammenfassung_KWKG'!$A142)</f>
        <v>0</v>
      </c>
      <c r="I142" s="925">
        <f t="shared" si="9"/>
        <v>0</v>
      </c>
      <c r="J142" s="91" t="s">
        <v>725</v>
      </c>
      <c r="K142" s="12"/>
      <c r="L142" s="12"/>
    </row>
    <row r="143" spans="1:12" hidden="1" outlineLevel="1">
      <c r="A143" s="408" t="s">
        <v>726</v>
      </c>
      <c r="B143" s="1698">
        <f>VLOOKUP($A143,'Anlage 1a_Zuschlagszahlungen_NB'!$A$847:$E$1558,5,0)</f>
        <v>0</v>
      </c>
      <c r="C143" s="667">
        <f>_xlfn.IFNA(VLOOKUP($A143,'Anlage 1b_Abzüge, Pflicht, Boni'!$A$9:$D$67,2,FALSE),0)</f>
        <v>0</v>
      </c>
      <c r="D143" s="667">
        <f>_xlfn.IFNA(VLOOKUP(A143,'Anlage 1b_Abzüge, Pflicht, Boni'!$A$9:$D$67,3,FALSE),0)</f>
        <v>0</v>
      </c>
      <c r="E143" s="667">
        <f>_xlfn.IFNA(VLOOKUP(A143,'Anlage 1b_Abzüge, Pflicht, Boni'!$A$9:$D$67,4,FALSE),0)</f>
        <v>0</v>
      </c>
      <c r="F143" s="88">
        <f t="shared" si="10"/>
        <v>0</v>
      </c>
      <c r="G143" s="88">
        <f>SUMIFS('Anlage 1c_Korrekturen_NB'!$L$11:$L$103,'Anlage 1c_Korrekturen_NB'!$A$11:$A$103,'Anlage 3a_Zusammenfassung_KWKG'!$A143)</f>
        <v>0</v>
      </c>
      <c r="H143" s="134">
        <f>SUMIFS('Anlage 1c_Korrekturen_NB'!$D$622:$D$624,'Anlage 1c_Korrekturen_NB'!$A$622:$A$624,'Anlage 3a_Zusammenfassung_KWKG'!$A143)</f>
        <v>0</v>
      </c>
      <c r="I143" s="925">
        <f t="shared" si="9"/>
        <v>0</v>
      </c>
      <c r="J143" s="91" t="s">
        <v>727</v>
      </c>
      <c r="K143" s="12"/>
      <c r="L143" s="12"/>
    </row>
    <row r="144" spans="1:12" hidden="1" outlineLevel="1">
      <c r="A144" s="408" t="s">
        <v>728</v>
      </c>
      <c r="B144" s="1698">
        <f>VLOOKUP($A144,'Anlage 1a_Zuschlagszahlungen_NB'!$A$847:$E$1558,5,0)</f>
        <v>13536921.250000002</v>
      </c>
      <c r="C144" s="667">
        <f>_xlfn.IFNA(VLOOKUP($A144,'Anlage 1b_Abzüge, Pflicht, Boni'!$A$9:$D$67,2,FALSE),0)</f>
        <v>0</v>
      </c>
      <c r="D144" s="667">
        <f>_xlfn.IFNA(VLOOKUP(A144,'Anlage 1b_Abzüge, Pflicht, Boni'!$A$9:$D$67,3,FALSE),0)</f>
        <v>0</v>
      </c>
      <c r="E144" s="667">
        <f>_xlfn.IFNA(VLOOKUP(A144,'Anlage 1b_Abzüge, Pflicht, Boni'!$A$9:$D$67,4,FALSE),0)</f>
        <v>0</v>
      </c>
      <c r="F144" s="88">
        <f t="shared" si="10"/>
        <v>13536921.250000002</v>
      </c>
      <c r="G144" s="88">
        <f>SUMIFS('Anlage 1c_Korrekturen_NB'!$L$11:$L$103,'Anlage 1c_Korrekturen_NB'!$A$11:$A$103,'Anlage 3a_Zusammenfassung_KWKG'!$A144)</f>
        <v>159647.68000000002</v>
      </c>
      <c r="H144" s="134">
        <f>SUMIFS('Anlage 1c_Korrekturen_NB'!$D$622:$D$624,'Anlage 1c_Korrekturen_NB'!$A$622:$A$624,'Anlage 3a_Zusammenfassung_KWKG'!$A144)</f>
        <v>13200</v>
      </c>
      <c r="I144" s="925">
        <f t="shared" si="9"/>
        <v>172847.68000000002</v>
      </c>
      <c r="J144" s="91" t="s">
        <v>729</v>
      </c>
      <c r="K144" s="12"/>
      <c r="L144" s="12"/>
    </row>
    <row r="145" spans="1:12" hidden="1" outlineLevel="1">
      <c r="A145" s="408" t="s">
        <v>730</v>
      </c>
      <c r="B145" s="1698">
        <f>VLOOKUP($A145,'Anlage 1a_Zuschlagszahlungen_NB'!$A$847:$E$1558,5,0)</f>
        <v>0</v>
      </c>
      <c r="C145" s="667">
        <f>_xlfn.IFNA(VLOOKUP($A145,'Anlage 1b_Abzüge, Pflicht, Boni'!$A$9:$D$67,2,FALSE),0)</f>
        <v>0</v>
      </c>
      <c r="D145" s="667">
        <f>_xlfn.IFNA(VLOOKUP(A145,'Anlage 1b_Abzüge, Pflicht, Boni'!$A$9:$D$67,3,FALSE),0)</f>
        <v>0</v>
      </c>
      <c r="E145" s="667">
        <f>_xlfn.IFNA(VLOOKUP(A145,'Anlage 1b_Abzüge, Pflicht, Boni'!$A$9:$D$67,4,FALSE),0)</f>
        <v>0</v>
      </c>
      <c r="F145" s="88">
        <f t="shared" si="10"/>
        <v>0</v>
      </c>
      <c r="G145" s="88">
        <f>SUMIFS('Anlage 1c_Korrekturen_NB'!$L$11:$L$103,'Anlage 1c_Korrekturen_NB'!$A$11:$A$103,'Anlage 3a_Zusammenfassung_KWKG'!$A145)</f>
        <v>0</v>
      </c>
      <c r="H145" s="134">
        <f>SUMIFS('Anlage 1c_Korrekturen_NB'!$D$622:$D$624,'Anlage 1c_Korrekturen_NB'!$A$622:$A$624,'Anlage 3a_Zusammenfassung_KWKG'!$A145)</f>
        <v>0</v>
      </c>
      <c r="I145" s="925">
        <f t="shared" si="9"/>
        <v>0</v>
      </c>
      <c r="J145" s="91" t="s">
        <v>731</v>
      </c>
      <c r="K145" s="12"/>
      <c r="L145" s="12"/>
    </row>
    <row r="146" spans="1:12" hidden="1" outlineLevel="1">
      <c r="A146" s="408" t="s">
        <v>732</v>
      </c>
      <c r="B146" s="1698">
        <f>VLOOKUP($A146,'Anlage 1a_Zuschlagszahlungen_NB'!$A$847:$E$1558,5,0)</f>
        <v>5571.72</v>
      </c>
      <c r="C146" s="667">
        <f>_xlfn.IFNA(VLOOKUP($A146,'Anlage 1b_Abzüge, Pflicht, Boni'!$A$9:$D$67,2,FALSE),0)</f>
        <v>0</v>
      </c>
      <c r="D146" s="667">
        <f>_xlfn.IFNA(VLOOKUP(A146,'Anlage 1b_Abzüge, Pflicht, Boni'!$A$9:$D$67,3,FALSE),0)</f>
        <v>0</v>
      </c>
      <c r="E146" s="667">
        <f>_xlfn.IFNA(VLOOKUP(A146,'Anlage 1b_Abzüge, Pflicht, Boni'!$A$9:$D$67,4,FALSE),0)</f>
        <v>0</v>
      </c>
      <c r="F146" s="88">
        <f t="shared" si="10"/>
        <v>5571.72</v>
      </c>
      <c r="G146" s="88">
        <f>SUMIFS('Anlage 1c_Korrekturen_NB'!$L$11:$L$103,'Anlage 1c_Korrekturen_NB'!$A$11:$A$103,'Anlage 3a_Zusammenfassung_KWKG'!$A146)</f>
        <v>0</v>
      </c>
      <c r="H146" s="134">
        <f>SUMIFS('Anlage 1c_Korrekturen_NB'!$D$622:$D$624,'Anlage 1c_Korrekturen_NB'!$A$622:$A$624,'Anlage 3a_Zusammenfassung_KWKG'!$A146)</f>
        <v>0</v>
      </c>
      <c r="I146" s="925">
        <f t="shared" si="9"/>
        <v>0</v>
      </c>
      <c r="J146" s="91" t="s">
        <v>733</v>
      </c>
      <c r="K146" s="12"/>
      <c r="L146" s="12"/>
    </row>
    <row r="147" spans="1:12" hidden="1" outlineLevel="1">
      <c r="A147" s="408" t="s">
        <v>734</v>
      </c>
      <c r="B147" s="1698">
        <f>VLOOKUP($A147,'Anlage 1a_Zuschlagszahlungen_NB'!$A$847:$E$1558,5,0)</f>
        <v>0</v>
      </c>
      <c r="C147" s="667">
        <f>_xlfn.IFNA(VLOOKUP($A147,'Anlage 1b_Abzüge, Pflicht, Boni'!$A$9:$D$67,2,FALSE),0)</f>
        <v>0</v>
      </c>
      <c r="D147" s="667">
        <f>_xlfn.IFNA(VLOOKUP(A147,'Anlage 1b_Abzüge, Pflicht, Boni'!$A$9:$D$67,3,FALSE),0)</f>
        <v>0</v>
      </c>
      <c r="E147" s="667">
        <f>_xlfn.IFNA(VLOOKUP(A147,'Anlage 1b_Abzüge, Pflicht, Boni'!$A$9:$D$67,4,FALSE),0)</f>
        <v>0</v>
      </c>
      <c r="F147" s="88">
        <f t="shared" si="10"/>
        <v>0</v>
      </c>
      <c r="G147" s="88">
        <f>SUMIFS('Anlage 1c_Korrekturen_NB'!$L$11:$L$103,'Anlage 1c_Korrekturen_NB'!$A$11:$A$103,'Anlage 3a_Zusammenfassung_KWKG'!$A147)</f>
        <v>0</v>
      </c>
      <c r="H147" s="134">
        <f>SUMIFS('Anlage 1c_Korrekturen_NB'!$D$622:$D$624,'Anlage 1c_Korrekturen_NB'!$A$622:$A$624,'Anlage 3a_Zusammenfassung_KWKG'!$A147)</f>
        <v>0</v>
      </c>
      <c r="I147" s="925">
        <f t="shared" si="9"/>
        <v>0</v>
      </c>
      <c r="J147" s="91" t="s">
        <v>735</v>
      </c>
      <c r="K147" s="12"/>
      <c r="L147" s="12"/>
    </row>
    <row r="148" spans="1:12" hidden="1" outlineLevel="1">
      <c r="A148" s="408" t="s">
        <v>736</v>
      </c>
      <c r="B148" s="1698">
        <f>VLOOKUP($A148,'Anlage 1a_Zuschlagszahlungen_NB'!$A$847:$E$1558,5,0)</f>
        <v>387223.69999999995</v>
      </c>
      <c r="C148" s="667">
        <f>_xlfn.IFNA(VLOOKUP($A148,'Anlage 1b_Abzüge, Pflicht, Boni'!$A$9:$D$67,2,FALSE),0)</f>
        <v>0</v>
      </c>
      <c r="D148" s="667">
        <f>_xlfn.IFNA(VLOOKUP(A148,'Anlage 1b_Abzüge, Pflicht, Boni'!$A$9:$D$67,3,FALSE),0)</f>
        <v>0</v>
      </c>
      <c r="E148" s="667">
        <f>_xlfn.IFNA(VLOOKUP(A148,'Anlage 1b_Abzüge, Pflicht, Boni'!$A$9:$D$67,4,FALSE),0)</f>
        <v>0</v>
      </c>
      <c r="F148" s="88">
        <f t="shared" si="10"/>
        <v>387223.69999999995</v>
      </c>
      <c r="G148" s="88">
        <f>SUMIFS('Anlage 1c_Korrekturen_NB'!$L$11:$L$103,'Anlage 1c_Korrekturen_NB'!$A$11:$A$103,'Anlage 3a_Zusammenfassung_KWKG'!$A148)</f>
        <v>0</v>
      </c>
      <c r="H148" s="134">
        <f>SUMIFS('Anlage 1c_Korrekturen_NB'!$D$622:$D$624,'Anlage 1c_Korrekturen_NB'!$A$622:$A$624,'Anlage 3a_Zusammenfassung_KWKG'!$A148)</f>
        <v>0</v>
      </c>
      <c r="I148" s="925">
        <f t="shared" si="9"/>
        <v>0</v>
      </c>
      <c r="J148" s="91" t="s">
        <v>737</v>
      </c>
      <c r="K148" s="12"/>
      <c r="L148" s="12"/>
    </row>
    <row r="149" spans="1:12" hidden="1" outlineLevel="1">
      <c r="A149" s="408" t="s">
        <v>738</v>
      </c>
      <c r="B149" s="1698">
        <f>VLOOKUP($A149,'Anlage 1a_Zuschlagszahlungen_NB'!$A$847:$E$1558,5,0)</f>
        <v>8015995</v>
      </c>
      <c r="C149" s="667">
        <f>_xlfn.IFNA(VLOOKUP($A149,'Anlage 1b_Abzüge, Pflicht, Boni'!$A$9:$D$67,2,FALSE),0)</f>
        <v>0</v>
      </c>
      <c r="D149" s="667">
        <f>_xlfn.IFNA(VLOOKUP(A149,'Anlage 1b_Abzüge, Pflicht, Boni'!$A$9:$D$67,3,FALSE),0)</f>
        <v>0</v>
      </c>
      <c r="E149" s="667">
        <f>_xlfn.IFNA(VLOOKUP(A149,'Anlage 1b_Abzüge, Pflicht, Boni'!$A$9:$D$67,4,FALSE),0)</f>
        <v>0</v>
      </c>
      <c r="F149" s="88">
        <f t="shared" si="10"/>
        <v>8015995</v>
      </c>
      <c r="G149" s="88">
        <f>SUMIFS('Anlage 1c_Korrekturen_NB'!$L$11:$L$103,'Anlage 1c_Korrekturen_NB'!$A$11:$A$103,'Anlage 3a_Zusammenfassung_KWKG'!$A149)</f>
        <v>0</v>
      </c>
      <c r="H149" s="134">
        <f>SUMIFS('Anlage 1c_Korrekturen_NB'!$D$622:$D$624,'Anlage 1c_Korrekturen_NB'!$A$622:$A$624,'Anlage 3a_Zusammenfassung_KWKG'!$A149)</f>
        <v>0</v>
      </c>
      <c r="I149" s="925">
        <f t="shared" si="9"/>
        <v>0</v>
      </c>
      <c r="J149" s="91" t="s">
        <v>739</v>
      </c>
      <c r="K149" s="12"/>
      <c r="L149" s="12"/>
    </row>
    <row r="150" spans="1:12" hidden="1" outlineLevel="1">
      <c r="A150" s="408" t="s">
        <v>740</v>
      </c>
      <c r="B150" s="1698">
        <f>VLOOKUP($A150,'Anlage 1a_Zuschlagszahlungen_NB'!$A$847:$E$1558,5,0)</f>
        <v>13064019.93</v>
      </c>
      <c r="C150" s="667">
        <f>_xlfn.IFNA(VLOOKUP($A150,'Anlage 1b_Abzüge, Pflicht, Boni'!$A$9:$D$67,2,FALSE),0)</f>
        <v>0</v>
      </c>
      <c r="D150" s="667">
        <f>_xlfn.IFNA(VLOOKUP(A150,'Anlage 1b_Abzüge, Pflicht, Boni'!$A$9:$D$67,3,FALSE),0)</f>
        <v>0</v>
      </c>
      <c r="E150" s="667">
        <f>_xlfn.IFNA(VLOOKUP(A150,'Anlage 1b_Abzüge, Pflicht, Boni'!$A$9:$D$67,4,FALSE),0)</f>
        <v>0</v>
      </c>
      <c r="F150" s="88">
        <f t="shared" si="10"/>
        <v>13064019.93</v>
      </c>
      <c r="G150" s="88">
        <f>SUMIFS('Anlage 1c_Korrekturen_NB'!$L$11:$L$103,'Anlage 1c_Korrekturen_NB'!$A$11:$A$103,'Anlage 3a_Zusammenfassung_KWKG'!$A150)</f>
        <v>485406.75000000006</v>
      </c>
      <c r="H150" s="134">
        <f>SUMIFS('Anlage 1c_Korrekturen_NB'!$D$622:$D$624,'Anlage 1c_Korrekturen_NB'!$A$622:$A$624,'Anlage 3a_Zusammenfassung_KWKG'!$A150)</f>
        <v>0</v>
      </c>
      <c r="I150" s="925">
        <f t="shared" si="9"/>
        <v>485406.75000000006</v>
      </c>
      <c r="J150" s="91" t="s">
        <v>741</v>
      </c>
      <c r="K150" s="12"/>
      <c r="L150" s="12"/>
    </row>
    <row r="151" spans="1:12" hidden="1" outlineLevel="1">
      <c r="A151" s="408" t="s">
        <v>742</v>
      </c>
      <c r="B151" s="1698">
        <f>VLOOKUP($A151,'Anlage 1a_Zuschlagszahlungen_NB'!$A$847:$E$1558,5,0)</f>
        <v>8270.7999999999993</v>
      </c>
      <c r="C151" s="667">
        <f>_xlfn.IFNA(VLOOKUP($A151,'Anlage 1b_Abzüge, Pflicht, Boni'!$A$9:$D$67,2,FALSE),0)</f>
        <v>0</v>
      </c>
      <c r="D151" s="667">
        <f>_xlfn.IFNA(VLOOKUP(A151,'Anlage 1b_Abzüge, Pflicht, Boni'!$A$9:$D$67,3,FALSE),0)</f>
        <v>0</v>
      </c>
      <c r="E151" s="667">
        <f>_xlfn.IFNA(VLOOKUP(A151,'Anlage 1b_Abzüge, Pflicht, Boni'!$A$9:$D$67,4,FALSE),0)</f>
        <v>0</v>
      </c>
      <c r="F151" s="88">
        <f t="shared" si="10"/>
        <v>8270.7999999999993</v>
      </c>
      <c r="G151" s="88">
        <f>SUMIFS('Anlage 1c_Korrekturen_NB'!$L$11:$L$103,'Anlage 1c_Korrekturen_NB'!$A$11:$A$103,'Anlage 3a_Zusammenfassung_KWKG'!$A151)</f>
        <v>0</v>
      </c>
      <c r="H151" s="134">
        <f>SUMIFS('Anlage 1c_Korrekturen_NB'!$D$622:$D$624,'Anlage 1c_Korrekturen_NB'!$A$622:$A$624,'Anlage 3a_Zusammenfassung_KWKG'!$A151)</f>
        <v>0</v>
      </c>
      <c r="I151" s="925">
        <f t="shared" si="9"/>
        <v>0</v>
      </c>
      <c r="J151" s="91" t="s">
        <v>743</v>
      </c>
      <c r="K151" s="12"/>
      <c r="L151" s="12"/>
    </row>
    <row r="152" spans="1:12" hidden="1" outlineLevel="1">
      <c r="A152" s="408" t="s">
        <v>744</v>
      </c>
      <c r="B152" s="1698">
        <f>VLOOKUP($A152,'Anlage 1a_Zuschlagszahlungen_NB'!$A$847:$E$1558,5,0)</f>
        <v>102863.51000000001</v>
      </c>
      <c r="C152" s="667">
        <f>_xlfn.IFNA(VLOOKUP($A152,'Anlage 1b_Abzüge, Pflicht, Boni'!$A$9:$D$67,2,FALSE),0)</f>
        <v>0</v>
      </c>
      <c r="D152" s="667">
        <f>_xlfn.IFNA(VLOOKUP(A152,'Anlage 1b_Abzüge, Pflicht, Boni'!$A$9:$D$67,3,FALSE),0)</f>
        <v>0</v>
      </c>
      <c r="E152" s="667">
        <f>_xlfn.IFNA(VLOOKUP(A152,'Anlage 1b_Abzüge, Pflicht, Boni'!$A$9:$D$67,4,FALSE),0)</f>
        <v>0</v>
      </c>
      <c r="F152" s="88">
        <f t="shared" si="10"/>
        <v>102863.51000000001</v>
      </c>
      <c r="G152" s="88">
        <f>SUMIFS('Anlage 1c_Korrekturen_NB'!$L$11:$L$103,'Anlage 1c_Korrekturen_NB'!$A$11:$A$103,'Anlage 3a_Zusammenfassung_KWKG'!$A152)</f>
        <v>0</v>
      </c>
      <c r="H152" s="134">
        <f>SUMIFS('Anlage 1c_Korrekturen_NB'!$D$622:$D$624,'Anlage 1c_Korrekturen_NB'!$A$622:$A$624,'Anlage 3a_Zusammenfassung_KWKG'!$A152)</f>
        <v>0</v>
      </c>
      <c r="I152" s="925">
        <f t="shared" si="9"/>
        <v>0</v>
      </c>
      <c r="J152" s="91" t="s">
        <v>745</v>
      </c>
      <c r="K152" s="12"/>
      <c r="L152" s="12"/>
    </row>
    <row r="153" spans="1:12" hidden="1" outlineLevel="1">
      <c r="A153" s="408" t="s">
        <v>746</v>
      </c>
      <c r="B153" s="1698">
        <f>VLOOKUP($A153,'Anlage 1a_Zuschlagszahlungen_NB'!$A$847:$E$1558,5,0)</f>
        <v>23120.559999999998</v>
      </c>
      <c r="C153" s="667">
        <f>_xlfn.IFNA(VLOOKUP($A153,'Anlage 1b_Abzüge, Pflicht, Boni'!$A$9:$D$67,2,FALSE),0)</f>
        <v>0</v>
      </c>
      <c r="D153" s="667">
        <f>_xlfn.IFNA(VLOOKUP(A153,'Anlage 1b_Abzüge, Pflicht, Boni'!$A$9:$D$67,3,FALSE),0)</f>
        <v>0</v>
      </c>
      <c r="E153" s="667">
        <f>_xlfn.IFNA(VLOOKUP(A153,'Anlage 1b_Abzüge, Pflicht, Boni'!$A$9:$D$67,4,FALSE),0)</f>
        <v>0</v>
      </c>
      <c r="F153" s="88">
        <f t="shared" si="10"/>
        <v>23120.559999999998</v>
      </c>
      <c r="G153" s="88">
        <f>SUMIFS('Anlage 1c_Korrekturen_NB'!$L$11:$L$103,'Anlage 1c_Korrekturen_NB'!$A$11:$A$103,'Anlage 3a_Zusammenfassung_KWKG'!$A153)</f>
        <v>0</v>
      </c>
      <c r="H153" s="134">
        <f>SUMIFS('Anlage 1c_Korrekturen_NB'!$D$622:$D$624,'Anlage 1c_Korrekturen_NB'!$A$622:$A$624,'Anlage 3a_Zusammenfassung_KWKG'!$A153)</f>
        <v>0</v>
      </c>
      <c r="I153" s="925">
        <f t="shared" si="9"/>
        <v>0</v>
      </c>
      <c r="J153" s="91" t="s">
        <v>747</v>
      </c>
      <c r="K153" s="12"/>
      <c r="L153" s="12"/>
    </row>
    <row r="154" spans="1:12" hidden="1" outlineLevel="1">
      <c r="A154" s="408" t="s">
        <v>748</v>
      </c>
      <c r="B154" s="1698">
        <f>VLOOKUP($A154,'Anlage 1a_Zuschlagszahlungen_NB'!$A$847:$E$1558,5,0)</f>
        <v>333006.56</v>
      </c>
      <c r="C154" s="667">
        <f>_xlfn.IFNA(VLOOKUP($A154,'Anlage 1b_Abzüge, Pflicht, Boni'!$A$9:$D$67,2,FALSE),0)</f>
        <v>0</v>
      </c>
      <c r="D154" s="667">
        <f>_xlfn.IFNA(VLOOKUP(A154,'Anlage 1b_Abzüge, Pflicht, Boni'!$A$9:$D$67,3,FALSE),0)</f>
        <v>0</v>
      </c>
      <c r="E154" s="667">
        <f>_xlfn.IFNA(VLOOKUP(A154,'Anlage 1b_Abzüge, Pflicht, Boni'!$A$9:$D$67,4,FALSE),0)</f>
        <v>0</v>
      </c>
      <c r="F154" s="88">
        <f t="shared" si="10"/>
        <v>333006.56</v>
      </c>
      <c r="G154" s="88">
        <f>SUMIFS('Anlage 1c_Korrekturen_NB'!$L$11:$L$103,'Anlage 1c_Korrekturen_NB'!$A$11:$A$103,'Anlage 3a_Zusammenfassung_KWKG'!$A154)</f>
        <v>23629.360000000001</v>
      </c>
      <c r="H154" s="134">
        <f>SUMIFS('Anlage 1c_Korrekturen_NB'!$D$622:$D$624,'Anlage 1c_Korrekturen_NB'!$A$622:$A$624,'Anlage 3a_Zusammenfassung_KWKG'!$A154)</f>
        <v>0</v>
      </c>
      <c r="I154" s="925">
        <f t="shared" si="9"/>
        <v>23629.360000000001</v>
      </c>
      <c r="J154" s="91" t="s">
        <v>749</v>
      </c>
      <c r="K154" s="12"/>
      <c r="L154" s="12"/>
    </row>
    <row r="155" spans="1:12" hidden="1" outlineLevel="1">
      <c r="A155" s="408" t="s">
        <v>750</v>
      </c>
      <c r="B155" s="1698">
        <f>VLOOKUP($A155,'Anlage 1a_Zuschlagszahlungen_NB'!$A$847:$E$1558,5,0)</f>
        <v>10608.36</v>
      </c>
      <c r="C155" s="667">
        <f>_xlfn.IFNA(VLOOKUP($A155,'Anlage 1b_Abzüge, Pflicht, Boni'!$A$9:$D$67,2,FALSE),0)</f>
        <v>0</v>
      </c>
      <c r="D155" s="667">
        <f>_xlfn.IFNA(VLOOKUP(A155,'Anlage 1b_Abzüge, Pflicht, Boni'!$A$9:$D$67,3,FALSE),0)</f>
        <v>0</v>
      </c>
      <c r="E155" s="667">
        <f>_xlfn.IFNA(VLOOKUP(A155,'Anlage 1b_Abzüge, Pflicht, Boni'!$A$9:$D$67,4,FALSE),0)</f>
        <v>0</v>
      </c>
      <c r="F155" s="88">
        <f t="shared" si="10"/>
        <v>10608.36</v>
      </c>
      <c r="G155" s="88">
        <f>SUMIFS('Anlage 1c_Korrekturen_NB'!$L$11:$L$103,'Anlage 1c_Korrekturen_NB'!$A$11:$A$103,'Anlage 3a_Zusammenfassung_KWKG'!$A155)</f>
        <v>16387.240000000002</v>
      </c>
      <c r="H155" s="134">
        <f>SUMIFS('Anlage 1c_Korrekturen_NB'!$D$622:$D$624,'Anlage 1c_Korrekturen_NB'!$A$622:$A$624,'Anlage 3a_Zusammenfassung_KWKG'!$A155)</f>
        <v>0</v>
      </c>
      <c r="I155" s="925">
        <f t="shared" si="9"/>
        <v>16387.240000000002</v>
      </c>
      <c r="J155" s="91" t="s">
        <v>751</v>
      </c>
      <c r="K155" s="12"/>
      <c r="L155" s="12"/>
    </row>
    <row r="156" spans="1:12" hidden="1" outlineLevel="1">
      <c r="A156" s="374" t="s">
        <v>752</v>
      </c>
      <c r="B156" s="1698">
        <f>VLOOKUP($A156,'Anlage 1a_Zuschlagszahlungen_NB'!$A$847:$E$1558,5,0)</f>
        <v>588862.65000000014</v>
      </c>
      <c r="C156" s="667">
        <f>_xlfn.IFNA(VLOOKUP($A156,'Anlage 1b_Abzüge, Pflicht, Boni'!$A$9:$D$67,2,FALSE),0)</f>
        <v>0</v>
      </c>
      <c r="D156" s="667">
        <f>_xlfn.IFNA(VLOOKUP(A156,'Anlage 1b_Abzüge, Pflicht, Boni'!$A$9:$D$67,3,FALSE),0)</f>
        <v>0</v>
      </c>
      <c r="E156" s="667">
        <f>_xlfn.IFNA(VLOOKUP(A156,'Anlage 1b_Abzüge, Pflicht, Boni'!$A$9:$D$67,4,FALSE),0)</f>
        <v>0</v>
      </c>
      <c r="F156" s="87">
        <f t="shared" si="0"/>
        <v>588862.65000000014</v>
      </c>
      <c r="G156" s="88">
        <f>SUMIFS('Anlage 1c_Korrekturen_NB'!$L$11:$L$103,'Anlage 1c_Korrekturen_NB'!$A$11:$A$103,'Anlage 3a_Zusammenfassung_KWKG'!$A156)</f>
        <v>0</v>
      </c>
      <c r="H156" s="134">
        <f>SUMIFS('Anlage 1c_Korrekturen_NB'!$D$622:$D$624,'Anlage 1c_Korrekturen_NB'!$A$622:$A$624,'Anlage 3a_Zusammenfassung_KWKG'!$A156)</f>
        <v>0</v>
      </c>
      <c r="I156" s="925">
        <f t="shared" si="9"/>
        <v>0</v>
      </c>
      <c r="J156" s="20" t="s">
        <v>753</v>
      </c>
      <c r="K156" s="27"/>
      <c r="L156" s="27"/>
    </row>
    <row r="157" spans="1:12" hidden="1" outlineLevel="1">
      <c r="A157" s="408" t="s">
        <v>754</v>
      </c>
      <c r="B157" s="1698">
        <f>VLOOKUP($A157,'Anlage 1a_Zuschlagszahlungen_NB'!$A$847:$E$1558,5,0)</f>
        <v>12210.59</v>
      </c>
      <c r="C157" s="667">
        <f>_xlfn.IFNA(VLOOKUP($A157,'Anlage 1b_Abzüge, Pflicht, Boni'!$A$9:$D$67,2,FALSE),0)</f>
        <v>0</v>
      </c>
      <c r="D157" s="667">
        <f>_xlfn.IFNA(VLOOKUP(A157,'Anlage 1b_Abzüge, Pflicht, Boni'!$A$9:$D$67,3,FALSE),0)</f>
        <v>0</v>
      </c>
      <c r="E157" s="667">
        <f>_xlfn.IFNA(VLOOKUP(A157,'Anlage 1b_Abzüge, Pflicht, Boni'!$A$9:$D$67,4,FALSE),0)</f>
        <v>0</v>
      </c>
      <c r="F157" s="88">
        <f t="shared" ref="F157:F166" si="11">SUM(B157:E157)</f>
        <v>12210.59</v>
      </c>
      <c r="G157" s="88">
        <f>SUMIFS('Anlage 1c_Korrekturen_NB'!$L$11:$L$103,'Anlage 1c_Korrekturen_NB'!$A$11:$A$103,'Anlage 3a_Zusammenfassung_KWKG'!$A157)</f>
        <v>24486.880000000005</v>
      </c>
      <c r="H157" s="134">
        <f>SUMIFS('Anlage 1c_Korrekturen_NB'!$D$622:$D$624,'Anlage 1c_Korrekturen_NB'!$A$622:$A$624,'Anlage 3a_Zusammenfassung_KWKG'!$A157)</f>
        <v>0</v>
      </c>
      <c r="I157" s="925">
        <f t="shared" si="9"/>
        <v>24486.880000000005</v>
      </c>
      <c r="J157" s="91" t="s">
        <v>755</v>
      </c>
      <c r="K157" s="12"/>
      <c r="L157" s="12"/>
    </row>
    <row r="158" spans="1:12" hidden="1" outlineLevel="1">
      <c r="A158" s="408" t="s">
        <v>756</v>
      </c>
      <c r="B158" s="1698">
        <f>VLOOKUP($A158,'Anlage 1a_Zuschlagszahlungen_NB'!$A$847:$E$1558,5,0)</f>
        <v>64867.49</v>
      </c>
      <c r="C158" s="667">
        <f>_xlfn.IFNA(VLOOKUP($A158,'Anlage 1b_Abzüge, Pflicht, Boni'!$A$9:$D$67,2,FALSE),0)</f>
        <v>0</v>
      </c>
      <c r="D158" s="667">
        <f>_xlfn.IFNA(VLOOKUP(A158,'Anlage 1b_Abzüge, Pflicht, Boni'!$A$9:$D$67,3,FALSE),0)</f>
        <v>0</v>
      </c>
      <c r="E158" s="667">
        <f>_xlfn.IFNA(VLOOKUP(A158,'Anlage 1b_Abzüge, Pflicht, Boni'!$A$9:$D$67,4,FALSE),0)</f>
        <v>0</v>
      </c>
      <c r="F158" s="88">
        <f t="shared" si="11"/>
        <v>64867.49</v>
      </c>
      <c r="G158" s="88">
        <f>SUMIFS('Anlage 1c_Korrekturen_NB'!$L$11:$L$103,'Anlage 1c_Korrekturen_NB'!$A$11:$A$103,'Anlage 3a_Zusammenfassung_KWKG'!$A158)</f>
        <v>-22.459999999999997</v>
      </c>
      <c r="H158" s="134">
        <f>SUMIFS('Anlage 1c_Korrekturen_NB'!$D$622:$D$624,'Anlage 1c_Korrekturen_NB'!$A$622:$A$624,'Anlage 3a_Zusammenfassung_KWKG'!$A158)</f>
        <v>0</v>
      </c>
      <c r="I158" s="925">
        <f t="shared" si="9"/>
        <v>-22.459999999999997</v>
      </c>
      <c r="J158" s="91" t="s">
        <v>757</v>
      </c>
      <c r="K158" s="12"/>
      <c r="L158" s="12"/>
    </row>
    <row r="159" spans="1:12" hidden="1" outlineLevel="1">
      <c r="A159" s="408" t="s">
        <v>758</v>
      </c>
      <c r="B159" s="1698">
        <f>VLOOKUP($A159,'Anlage 1a_Zuschlagszahlungen_NB'!$A$847:$E$1558,5,0)</f>
        <v>950788.17000000027</v>
      </c>
      <c r="C159" s="667">
        <f>_xlfn.IFNA(VLOOKUP($A159,'Anlage 1b_Abzüge, Pflicht, Boni'!$A$9:$D$67,2,FALSE),0)</f>
        <v>0</v>
      </c>
      <c r="D159" s="667">
        <f>_xlfn.IFNA(VLOOKUP(A159,'Anlage 1b_Abzüge, Pflicht, Boni'!$A$9:$D$67,3,FALSE),0)</f>
        <v>9300</v>
      </c>
      <c r="E159" s="667">
        <f>_xlfn.IFNA(VLOOKUP(A159,'Anlage 1b_Abzüge, Pflicht, Boni'!$A$9:$D$67,4,FALSE),0)</f>
        <v>0</v>
      </c>
      <c r="F159" s="88">
        <f t="shared" si="11"/>
        <v>960088.17000000027</v>
      </c>
      <c r="G159" s="88">
        <f>SUMIFS('Anlage 1c_Korrekturen_NB'!$L$11:$L$103,'Anlage 1c_Korrekturen_NB'!$A$11:$A$103,'Anlage 3a_Zusammenfassung_KWKG'!$A159)</f>
        <v>150600.63999999998</v>
      </c>
      <c r="H159" s="134">
        <f>SUMIFS('Anlage 1c_Korrekturen_NB'!$D$622:$D$624,'Anlage 1c_Korrekturen_NB'!$A$622:$A$624,'Anlage 3a_Zusammenfassung_KWKG'!$A159)</f>
        <v>0</v>
      </c>
      <c r="I159" s="925">
        <f t="shared" si="9"/>
        <v>150600.63999999998</v>
      </c>
      <c r="J159" s="91" t="s">
        <v>759</v>
      </c>
      <c r="K159" s="12"/>
      <c r="L159" s="12"/>
    </row>
    <row r="160" spans="1:12" hidden="1" outlineLevel="1">
      <c r="A160" s="408" t="s">
        <v>760</v>
      </c>
      <c r="B160" s="1698">
        <f>VLOOKUP($A160,'Anlage 1a_Zuschlagszahlungen_NB'!$A$847:$E$1558,5,0)</f>
        <v>37435.040000000001</v>
      </c>
      <c r="C160" s="667">
        <f>_xlfn.IFNA(VLOOKUP($A160,'Anlage 1b_Abzüge, Pflicht, Boni'!$A$9:$D$67,2,FALSE),0)</f>
        <v>0</v>
      </c>
      <c r="D160" s="667">
        <f>_xlfn.IFNA(VLOOKUP(A160,'Anlage 1b_Abzüge, Pflicht, Boni'!$A$9:$D$67,3,FALSE),0)</f>
        <v>0</v>
      </c>
      <c r="E160" s="667">
        <f>_xlfn.IFNA(VLOOKUP(A160,'Anlage 1b_Abzüge, Pflicht, Boni'!$A$9:$D$67,4,FALSE),0)</f>
        <v>0</v>
      </c>
      <c r="F160" s="88">
        <f t="shared" si="11"/>
        <v>37435.040000000001</v>
      </c>
      <c r="G160" s="88">
        <f>SUMIFS('Anlage 1c_Korrekturen_NB'!$L$11:$L$103,'Anlage 1c_Korrekturen_NB'!$A$11:$A$103,'Anlage 3a_Zusammenfassung_KWKG'!$A160)</f>
        <v>-8276.8799999999992</v>
      </c>
      <c r="H160" s="134">
        <f>SUMIFS('Anlage 1c_Korrekturen_NB'!$D$622:$D$624,'Anlage 1c_Korrekturen_NB'!$A$622:$A$624,'Anlage 3a_Zusammenfassung_KWKG'!$A160)</f>
        <v>0</v>
      </c>
      <c r="I160" s="925">
        <f t="shared" si="9"/>
        <v>-8276.8799999999992</v>
      </c>
      <c r="J160" s="91" t="s">
        <v>761</v>
      </c>
      <c r="K160" s="12"/>
      <c r="L160" s="12"/>
    </row>
    <row r="161" spans="1:12" hidden="1" outlineLevel="1">
      <c r="A161" s="408" t="s">
        <v>762</v>
      </c>
      <c r="B161" s="1698">
        <f>VLOOKUP($A161,'Anlage 1a_Zuschlagszahlungen_NB'!$A$847:$E$1558,5,0)</f>
        <v>23078.880000000001</v>
      </c>
      <c r="C161" s="667">
        <f>_xlfn.IFNA(VLOOKUP($A161,'Anlage 1b_Abzüge, Pflicht, Boni'!$A$9:$D$67,2,FALSE),0)</f>
        <v>0</v>
      </c>
      <c r="D161" s="667">
        <f>_xlfn.IFNA(VLOOKUP(A161,'Anlage 1b_Abzüge, Pflicht, Boni'!$A$9:$D$67,3,FALSE),0)</f>
        <v>0</v>
      </c>
      <c r="E161" s="667">
        <f>_xlfn.IFNA(VLOOKUP(A161,'Anlage 1b_Abzüge, Pflicht, Boni'!$A$9:$D$67,4,FALSE),0)</f>
        <v>0</v>
      </c>
      <c r="F161" s="88">
        <f t="shared" si="11"/>
        <v>23078.880000000001</v>
      </c>
      <c r="G161" s="88">
        <f>SUMIFS('Anlage 1c_Korrekturen_NB'!$L$11:$L$103,'Anlage 1c_Korrekturen_NB'!$A$11:$A$103,'Anlage 3a_Zusammenfassung_KWKG'!$A161)</f>
        <v>193.36</v>
      </c>
      <c r="H161" s="134">
        <f>SUMIFS('Anlage 1c_Korrekturen_NB'!$D$622:$D$624,'Anlage 1c_Korrekturen_NB'!$A$622:$A$624,'Anlage 3a_Zusammenfassung_KWKG'!$A161)</f>
        <v>0</v>
      </c>
      <c r="I161" s="925">
        <f t="shared" si="9"/>
        <v>193.36</v>
      </c>
      <c r="J161" s="91" t="s">
        <v>763</v>
      </c>
      <c r="K161" s="12"/>
      <c r="L161" s="12"/>
    </row>
    <row r="162" spans="1:12" hidden="1" outlineLevel="1">
      <c r="A162" s="408" t="s">
        <v>764</v>
      </c>
      <c r="B162" s="1698">
        <f>VLOOKUP($A162,'Anlage 1a_Zuschlagszahlungen_NB'!$A$847:$E$1558,5,0)</f>
        <v>46542.430000000008</v>
      </c>
      <c r="C162" s="667">
        <f>_xlfn.IFNA(VLOOKUP($A162,'Anlage 1b_Abzüge, Pflicht, Boni'!$A$9:$D$67,2,FALSE),0)</f>
        <v>0</v>
      </c>
      <c r="D162" s="667">
        <f>_xlfn.IFNA(VLOOKUP(A162,'Anlage 1b_Abzüge, Pflicht, Boni'!$A$9:$D$67,3,FALSE),0)</f>
        <v>0</v>
      </c>
      <c r="E162" s="667">
        <f>_xlfn.IFNA(VLOOKUP(A162,'Anlage 1b_Abzüge, Pflicht, Boni'!$A$9:$D$67,4,FALSE),0)</f>
        <v>0</v>
      </c>
      <c r="F162" s="88">
        <f t="shared" si="11"/>
        <v>46542.430000000008</v>
      </c>
      <c r="G162" s="88">
        <f>SUMIFS('Anlage 1c_Korrekturen_NB'!$L$11:$L$103,'Anlage 1c_Korrekturen_NB'!$A$11:$A$103,'Anlage 3a_Zusammenfassung_KWKG'!$A162)</f>
        <v>-133.68</v>
      </c>
      <c r="H162" s="134">
        <f>SUMIFS('Anlage 1c_Korrekturen_NB'!$D$622:$D$624,'Anlage 1c_Korrekturen_NB'!$A$622:$A$624,'Anlage 3a_Zusammenfassung_KWKG'!$A162)</f>
        <v>0</v>
      </c>
      <c r="I162" s="925">
        <f t="shared" si="9"/>
        <v>-133.68</v>
      </c>
      <c r="J162" s="91" t="s">
        <v>765</v>
      </c>
      <c r="K162" s="12"/>
      <c r="L162" s="12"/>
    </row>
    <row r="163" spans="1:12" hidden="1" outlineLevel="1">
      <c r="A163" s="408" t="s">
        <v>766</v>
      </c>
      <c r="B163" s="1698">
        <f>VLOOKUP($A163,'Anlage 1a_Zuschlagszahlungen_NB'!$A$847:$E$1558,5,0)</f>
        <v>29194.52</v>
      </c>
      <c r="C163" s="667">
        <f>_xlfn.IFNA(VLOOKUP($A163,'Anlage 1b_Abzüge, Pflicht, Boni'!$A$9:$D$67,2,FALSE),0)</f>
        <v>0</v>
      </c>
      <c r="D163" s="667">
        <f>_xlfn.IFNA(VLOOKUP(A163,'Anlage 1b_Abzüge, Pflicht, Boni'!$A$9:$D$67,3,FALSE),0)</f>
        <v>0</v>
      </c>
      <c r="E163" s="667">
        <f>_xlfn.IFNA(VLOOKUP(A163,'Anlage 1b_Abzüge, Pflicht, Boni'!$A$9:$D$67,4,FALSE),0)</f>
        <v>0</v>
      </c>
      <c r="F163" s="88">
        <f t="shared" si="11"/>
        <v>29194.52</v>
      </c>
      <c r="G163" s="88">
        <f>SUMIFS('Anlage 1c_Korrekturen_NB'!$L$11:$L$103,'Anlage 1c_Korrekturen_NB'!$A$11:$A$103,'Anlage 3a_Zusammenfassung_KWKG'!$A163)</f>
        <v>0</v>
      </c>
      <c r="H163" s="134">
        <f>SUMIFS('Anlage 1c_Korrekturen_NB'!$D$622:$D$624,'Anlage 1c_Korrekturen_NB'!$A$622:$A$624,'Anlage 3a_Zusammenfassung_KWKG'!$A163)</f>
        <v>0</v>
      </c>
      <c r="I163" s="925">
        <f t="shared" si="9"/>
        <v>0</v>
      </c>
      <c r="J163" s="91" t="s">
        <v>767</v>
      </c>
      <c r="K163" s="12"/>
      <c r="L163" s="12"/>
    </row>
    <row r="164" spans="1:12" hidden="1" outlineLevel="1">
      <c r="A164" s="408" t="s">
        <v>768</v>
      </c>
      <c r="B164" s="1698">
        <f>VLOOKUP($A164,'Anlage 1a_Zuschlagszahlungen_NB'!$A$847:$E$1558,5,0)</f>
        <v>62425.26</v>
      </c>
      <c r="C164" s="667">
        <f>_xlfn.IFNA(VLOOKUP($A164,'Anlage 1b_Abzüge, Pflicht, Boni'!$A$9:$D$67,2,FALSE),0)</f>
        <v>0</v>
      </c>
      <c r="D164" s="667">
        <f>_xlfn.IFNA(VLOOKUP(A164,'Anlage 1b_Abzüge, Pflicht, Boni'!$A$9:$D$67,3,FALSE),0)</f>
        <v>0</v>
      </c>
      <c r="E164" s="667">
        <f>_xlfn.IFNA(VLOOKUP(A164,'Anlage 1b_Abzüge, Pflicht, Boni'!$A$9:$D$67,4,FALSE),0)</f>
        <v>0</v>
      </c>
      <c r="F164" s="88">
        <f t="shared" si="11"/>
        <v>62425.26</v>
      </c>
      <c r="G164" s="88">
        <f>SUMIFS('Anlage 1c_Korrekturen_NB'!$L$11:$L$103,'Anlage 1c_Korrekturen_NB'!$A$11:$A$103,'Anlage 3a_Zusammenfassung_KWKG'!$A164)</f>
        <v>0</v>
      </c>
      <c r="H164" s="134">
        <f>SUMIFS('Anlage 1c_Korrekturen_NB'!$D$622:$D$624,'Anlage 1c_Korrekturen_NB'!$A$622:$A$624,'Anlage 3a_Zusammenfassung_KWKG'!$A164)</f>
        <v>0</v>
      </c>
      <c r="I164" s="925">
        <f t="shared" si="9"/>
        <v>0</v>
      </c>
      <c r="J164" s="91" t="s">
        <v>769</v>
      </c>
      <c r="K164" s="12"/>
      <c r="L164" s="12"/>
    </row>
    <row r="165" spans="1:12" hidden="1" outlineLevel="1">
      <c r="A165" s="408" t="s">
        <v>770</v>
      </c>
      <c r="B165" s="1698">
        <f>VLOOKUP($A165,'Anlage 1a_Zuschlagszahlungen_NB'!$A$847:$E$1558,5,0)</f>
        <v>71047.209999999992</v>
      </c>
      <c r="C165" s="667">
        <f>_xlfn.IFNA(VLOOKUP($A165,'Anlage 1b_Abzüge, Pflicht, Boni'!$A$9:$D$67,2,FALSE),0)</f>
        <v>0</v>
      </c>
      <c r="D165" s="667">
        <f>_xlfn.IFNA(VLOOKUP(A165,'Anlage 1b_Abzüge, Pflicht, Boni'!$A$9:$D$67,3,FALSE),0)</f>
        <v>0</v>
      </c>
      <c r="E165" s="667">
        <f>_xlfn.IFNA(VLOOKUP(A165,'Anlage 1b_Abzüge, Pflicht, Boni'!$A$9:$D$67,4,FALSE),0)</f>
        <v>0</v>
      </c>
      <c r="F165" s="88">
        <f t="shared" si="11"/>
        <v>71047.209999999992</v>
      </c>
      <c r="G165" s="88">
        <f>SUMIFS('Anlage 1c_Korrekturen_NB'!$L$11:$L$103,'Anlage 1c_Korrekturen_NB'!$A$11:$A$103,'Anlage 3a_Zusammenfassung_KWKG'!$A165)</f>
        <v>0</v>
      </c>
      <c r="H165" s="134">
        <f>SUMIFS('Anlage 1c_Korrekturen_NB'!$D$622:$D$624,'Anlage 1c_Korrekturen_NB'!$A$622:$A$624,'Anlage 3a_Zusammenfassung_KWKG'!$A165)</f>
        <v>0</v>
      </c>
      <c r="I165" s="925">
        <f t="shared" si="9"/>
        <v>0</v>
      </c>
      <c r="J165" s="91" t="s">
        <v>771</v>
      </c>
      <c r="K165" s="12"/>
      <c r="L165" s="12"/>
    </row>
    <row r="166" spans="1:12" hidden="1" outlineLevel="1">
      <c r="A166" s="408" t="s">
        <v>772</v>
      </c>
      <c r="B166" s="1698">
        <f>VLOOKUP($A166,'Anlage 1a_Zuschlagszahlungen_NB'!$A$847:$E$1558,5,0)</f>
        <v>0</v>
      </c>
      <c r="C166" s="667">
        <f>_xlfn.IFNA(VLOOKUP($A166,'Anlage 1b_Abzüge, Pflicht, Boni'!$A$9:$D$67,2,FALSE),0)</f>
        <v>0</v>
      </c>
      <c r="D166" s="667">
        <f>_xlfn.IFNA(VLOOKUP(A166,'Anlage 1b_Abzüge, Pflicht, Boni'!$A$9:$D$67,3,FALSE),0)</f>
        <v>0</v>
      </c>
      <c r="E166" s="667">
        <f>_xlfn.IFNA(VLOOKUP(A166,'Anlage 1b_Abzüge, Pflicht, Boni'!$A$9:$D$67,4,FALSE),0)</f>
        <v>0</v>
      </c>
      <c r="F166" s="88">
        <f t="shared" si="11"/>
        <v>0</v>
      </c>
      <c r="G166" s="88">
        <f>SUMIFS('Anlage 1c_Korrekturen_NB'!$L$11:$L$103,'Anlage 1c_Korrekturen_NB'!$A$11:$A$103,'Anlage 3a_Zusammenfassung_KWKG'!$A166)</f>
        <v>0</v>
      </c>
      <c r="H166" s="134">
        <f>SUMIFS('Anlage 1c_Korrekturen_NB'!$D$622:$D$624,'Anlage 1c_Korrekturen_NB'!$A$622:$A$624,'Anlage 3a_Zusammenfassung_KWKG'!$A166)</f>
        <v>0</v>
      </c>
      <c r="I166" s="925">
        <f t="shared" si="9"/>
        <v>0</v>
      </c>
      <c r="J166" s="91" t="s">
        <v>773</v>
      </c>
      <c r="K166" s="12"/>
      <c r="L166" s="12"/>
    </row>
    <row r="167" spans="1:12" collapsed="1">
      <c r="A167" s="374" t="s">
        <v>774</v>
      </c>
      <c r="B167" s="1698">
        <f t="shared" ref="B167:H167" si="12">SUM(B168:B401)</f>
        <v>296041986.88000011</v>
      </c>
      <c r="C167" s="405">
        <f t="shared" si="12"/>
        <v>-172489.42999999996</v>
      </c>
      <c r="D167" s="405">
        <f t="shared" si="12"/>
        <v>-14700</v>
      </c>
      <c r="E167" s="405">
        <f t="shared" si="12"/>
        <v>0</v>
      </c>
      <c r="F167" s="87">
        <f t="shared" si="12"/>
        <v>295854797.45000017</v>
      </c>
      <c r="G167" s="87">
        <f>SUM(G168:G402)</f>
        <v>28083770.230000004</v>
      </c>
      <c r="H167" s="134">
        <f t="shared" si="12"/>
        <v>-16228</v>
      </c>
      <c r="I167" s="669">
        <f>F167+G167+H167</f>
        <v>323922339.68000019</v>
      </c>
      <c r="J167" s="20"/>
    </row>
    <row r="168" spans="1:12" hidden="1" outlineLevel="1">
      <c r="A168" s="374" t="s">
        <v>775</v>
      </c>
      <c r="B168" s="1698">
        <f>_xlfn.IFNA(VLOOKUP($A168,'Anlage 1a_Zuschlagszahlungen_NB'!A1008:E1241,5,FALSE),0)</f>
        <v>44540.98</v>
      </c>
      <c r="C168" s="667">
        <f>_xlfn.IFNA(VLOOKUP($A168,'Anlage 1b_Abzüge, Pflicht, Boni'!$A$26:$D$49,2,FALSE),0)</f>
        <v>0</v>
      </c>
      <c r="D168" s="667">
        <f>_xlfn.IFNA(VLOOKUP(A168,'Anlage 1b_Abzüge, Pflicht, Boni'!$A$9:$D$67,3,FALSE),0)</f>
        <v>0</v>
      </c>
      <c r="E168" s="667">
        <f>_xlfn.IFNA(VLOOKUP(A168,'Anlage 1b_Abzüge, Pflicht, Boni'!$A$26:$D$47,4,FALSE),0)</f>
        <v>0</v>
      </c>
      <c r="F168" s="88">
        <f t="shared" ref="F168" si="13">SUM(B168:E168)</f>
        <v>44540.98</v>
      </c>
      <c r="G168" s="88">
        <f>SUMIFS('Anlage 1c_Korrekturen_NB'!$L$105:$L$295,'Anlage 1c_Korrekturen_NB'!$A$105:$A$295,'Anlage 3a_Zusammenfassung_KWKG'!$A168)</f>
        <v>0</v>
      </c>
      <c r="H168" s="668">
        <f>_xlfn.IFNA(VLOOKUP(A168,'Anlage 1c_Korrekturen_NB'!$A$626:$D$629,4,FALSE),0)</f>
        <v>0</v>
      </c>
      <c r="I168" s="669">
        <f t="shared" ref="I168:I231" si="14">G168+H168</f>
        <v>0</v>
      </c>
      <c r="J168" s="20" t="s">
        <v>776</v>
      </c>
    </row>
    <row r="169" spans="1:12" hidden="1" outlineLevel="1">
      <c r="A169" s="374" t="s">
        <v>456</v>
      </c>
      <c r="B169" s="1698">
        <f>_xlfn.IFNA(VLOOKUP($A169,'Anlage 1a_Zuschlagszahlungen_NB'!A1009:E1242,5,FALSE),0)</f>
        <v>190227.03</v>
      </c>
      <c r="C169" s="667">
        <f>_xlfn.IFNA(VLOOKUP($A169,'Anlage 1b_Abzüge, Pflicht, Boni'!$A$26:$D$49,2,FALSE),0)</f>
        <v>0</v>
      </c>
      <c r="D169" s="667">
        <f>_xlfn.IFNA(VLOOKUP(A169,'Anlage 1b_Abzüge, Pflicht, Boni'!$A$9:$D$67,3,FALSE),0)</f>
        <v>0</v>
      </c>
      <c r="E169" s="667">
        <f>_xlfn.IFNA(VLOOKUP(A169,'Anlage 1b_Abzüge, Pflicht, Boni'!$A$26:$D$47,4,FALSE),0)</f>
        <v>0</v>
      </c>
      <c r="F169" s="88">
        <f t="shared" ref="F169:F232" si="15">SUM(B169:E169)</f>
        <v>190227.03</v>
      </c>
      <c r="G169" s="88">
        <f>SUMIFS('Anlage 1c_Korrekturen_NB'!$L$105:$L$295,'Anlage 1c_Korrekturen_NB'!$A$105:$A$295,'Anlage 3a_Zusammenfassung_KWKG'!$A169)</f>
        <v>0</v>
      </c>
      <c r="H169" s="668">
        <f>_xlfn.IFNA(VLOOKUP(A169,'Anlage 1c_Korrekturen_NB'!$A$626:$D$629,4,FALSE),0)</f>
        <v>0</v>
      </c>
      <c r="I169" s="669">
        <f t="shared" si="14"/>
        <v>0</v>
      </c>
      <c r="J169" s="20" t="s">
        <v>457</v>
      </c>
    </row>
    <row r="170" spans="1:12" hidden="1" outlineLevel="1">
      <c r="A170" s="374" t="s">
        <v>777</v>
      </c>
      <c r="B170" s="1698">
        <f>_xlfn.IFNA(VLOOKUP($A170,'Anlage 1a_Zuschlagszahlungen_NB'!A1010:E1243,5,FALSE),0)</f>
        <v>185662.81</v>
      </c>
      <c r="C170" s="667">
        <f>_xlfn.IFNA(VLOOKUP($A170,'Anlage 1b_Abzüge, Pflicht, Boni'!$A$26:$D$49,2,FALSE),0)</f>
        <v>0</v>
      </c>
      <c r="D170" s="667">
        <f>_xlfn.IFNA(VLOOKUP(A170,'Anlage 1b_Abzüge, Pflicht, Boni'!$A$9:$D$67,3,FALSE),0)</f>
        <v>0</v>
      </c>
      <c r="E170" s="667">
        <f>_xlfn.IFNA(VLOOKUP(A170,'Anlage 1b_Abzüge, Pflicht, Boni'!$A$26:$D$47,4,FALSE),0)</f>
        <v>0</v>
      </c>
      <c r="F170" s="88">
        <f t="shared" si="15"/>
        <v>185662.81</v>
      </c>
      <c r="G170" s="88">
        <f>SUMIFS('Anlage 1c_Korrekturen_NB'!$L$105:$L$295,'Anlage 1c_Korrekturen_NB'!$A$105:$A$295,'Anlage 3a_Zusammenfassung_KWKG'!$A170)</f>
        <v>45566.97</v>
      </c>
      <c r="H170" s="668">
        <f>_xlfn.IFNA(VLOOKUP(A170,'Anlage 1c_Korrekturen_NB'!$A$626:$D$629,4,FALSE),0)</f>
        <v>0</v>
      </c>
      <c r="I170" s="669">
        <f t="shared" si="14"/>
        <v>45566.97</v>
      </c>
      <c r="J170" s="20" t="s">
        <v>778</v>
      </c>
    </row>
    <row r="171" spans="1:12" hidden="1" outlineLevel="1">
      <c r="A171" s="374" t="s">
        <v>779</v>
      </c>
      <c r="B171" s="1698">
        <f>_xlfn.IFNA(VLOOKUP($A171,'Anlage 1a_Zuschlagszahlungen_NB'!A1011:E1244,5,FALSE),0)</f>
        <v>246442.15999999997</v>
      </c>
      <c r="C171" s="667">
        <f>_xlfn.IFNA(VLOOKUP($A171,'Anlage 1b_Abzüge, Pflicht, Boni'!$A$26:$D$49,2,FALSE),0)</f>
        <v>0</v>
      </c>
      <c r="D171" s="667">
        <f>_xlfn.IFNA(VLOOKUP(A171,'Anlage 1b_Abzüge, Pflicht, Boni'!$A$9:$D$67,3,FALSE),0)</f>
        <v>0</v>
      </c>
      <c r="E171" s="667">
        <f>_xlfn.IFNA(VLOOKUP(A171,'Anlage 1b_Abzüge, Pflicht, Boni'!$A$26:$D$47,4,FALSE),0)</f>
        <v>0</v>
      </c>
      <c r="F171" s="88">
        <f t="shared" si="15"/>
        <v>246442.15999999997</v>
      </c>
      <c r="G171" s="88">
        <f>SUMIFS('Anlage 1c_Korrekturen_NB'!$L$105:$L$295,'Anlage 1c_Korrekturen_NB'!$A$105:$A$295,'Anlage 3a_Zusammenfassung_KWKG'!$A171)</f>
        <v>0</v>
      </c>
      <c r="H171" s="668">
        <f>_xlfn.IFNA(VLOOKUP(A171,'Anlage 1c_Korrekturen_NB'!$A$626:$D$629,4,FALSE),0)</f>
        <v>0</v>
      </c>
      <c r="I171" s="669">
        <f t="shared" si="14"/>
        <v>0</v>
      </c>
      <c r="J171" s="20" t="s">
        <v>780</v>
      </c>
    </row>
    <row r="172" spans="1:12" hidden="1" outlineLevel="1">
      <c r="A172" s="374" t="s">
        <v>781</v>
      </c>
      <c r="B172" s="1698">
        <f>_xlfn.IFNA(VLOOKUP($A172,'Anlage 1a_Zuschlagszahlungen_NB'!A1012:E1245,5,FALSE),0)</f>
        <v>1191721.71</v>
      </c>
      <c r="C172" s="667">
        <f>_xlfn.IFNA(VLOOKUP($A172,'Anlage 1b_Abzüge, Pflicht, Boni'!$A$26:$D$49,2,FALSE),0)</f>
        <v>-195.91</v>
      </c>
      <c r="D172" s="667">
        <f>_xlfn.IFNA(VLOOKUP(A172,'Anlage 1b_Abzüge, Pflicht, Boni'!$A$9:$D$67,3,FALSE),0)</f>
        <v>0</v>
      </c>
      <c r="E172" s="667">
        <f>_xlfn.IFNA(VLOOKUP(A172,'Anlage 1b_Abzüge, Pflicht, Boni'!$A$26:$D$47,4,FALSE),0)</f>
        <v>0</v>
      </c>
      <c r="F172" s="88">
        <f t="shared" si="15"/>
        <v>1191525.8</v>
      </c>
      <c r="G172" s="88">
        <f>SUMIFS('Anlage 1c_Korrekturen_NB'!$L$105:$L$295,'Anlage 1c_Korrekturen_NB'!$A$105:$A$295,'Anlage 3a_Zusammenfassung_KWKG'!$A172)</f>
        <v>49284.36</v>
      </c>
      <c r="H172" s="668">
        <f>_xlfn.IFNA(VLOOKUP(A172,'Anlage 1c_Korrekturen_NB'!$A$626:$D$629,4,FALSE),0)</f>
        <v>0</v>
      </c>
      <c r="I172" s="669">
        <f t="shared" si="14"/>
        <v>49284.36</v>
      </c>
      <c r="J172" s="20" t="s">
        <v>782</v>
      </c>
    </row>
    <row r="173" spans="1:12" hidden="1" outlineLevel="1">
      <c r="A173" s="374" t="s">
        <v>783</v>
      </c>
      <c r="B173" s="1698">
        <f>_xlfn.IFNA(VLOOKUP($A173,'Anlage 1a_Zuschlagszahlungen_NB'!A1013:E1246,5,FALSE),0)</f>
        <v>473912.58</v>
      </c>
      <c r="C173" s="667">
        <f>_xlfn.IFNA(VLOOKUP($A173,'Anlage 1b_Abzüge, Pflicht, Boni'!$A$26:$D$49,2,FALSE),0)</f>
        <v>-98.26</v>
      </c>
      <c r="D173" s="667">
        <f>_xlfn.IFNA(VLOOKUP(A173,'Anlage 1b_Abzüge, Pflicht, Boni'!$A$9:$D$67,3,FALSE),0)</f>
        <v>0</v>
      </c>
      <c r="E173" s="667">
        <f>_xlfn.IFNA(VLOOKUP(A173,'Anlage 1b_Abzüge, Pflicht, Boni'!$A$26:$D$47,4,FALSE),0)</f>
        <v>0</v>
      </c>
      <c r="F173" s="88">
        <f t="shared" si="15"/>
        <v>473814.32</v>
      </c>
      <c r="G173" s="88">
        <f>SUMIFS('Anlage 1c_Korrekturen_NB'!$L$105:$L$295,'Anlage 1c_Korrekturen_NB'!$A$105:$A$295,'Anlage 3a_Zusammenfassung_KWKG'!$A173)</f>
        <v>69658.679999999993</v>
      </c>
      <c r="H173" s="668">
        <f>_xlfn.IFNA(VLOOKUP(A173,'Anlage 1c_Korrekturen_NB'!$A$626:$D$629,4,FALSE),0)</f>
        <v>0</v>
      </c>
      <c r="I173" s="669">
        <f t="shared" si="14"/>
        <v>69658.679999999993</v>
      </c>
      <c r="J173" s="20" t="s">
        <v>784</v>
      </c>
    </row>
    <row r="174" spans="1:12" hidden="1" outlineLevel="1">
      <c r="A174" s="374" t="s">
        <v>785</v>
      </c>
      <c r="B174" s="1698">
        <f>_xlfn.IFNA(VLOOKUP($A174,'Anlage 1a_Zuschlagszahlungen_NB'!A1014:E1247,5,FALSE),0)</f>
        <v>169617.43</v>
      </c>
      <c r="C174" s="667">
        <f>_xlfn.IFNA(VLOOKUP($A174,'Anlage 1b_Abzüge, Pflicht, Boni'!$A$26:$D$49,2,FALSE),0)</f>
        <v>0</v>
      </c>
      <c r="D174" s="667">
        <f>_xlfn.IFNA(VLOOKUP(A174,'Anlage 1b_Abzüge, Pflicht, Boni'!$A$9:$D$67,3,FALSE),0)</f>
        <v>0</v>
      </c>
      <c r="E174" s="667">
        <f>_xlfn.IFNA(VLOOKUP(A174,'Anlage 1b_Abzüge, Pflicht, Boni'!$A$26:$D$47,4,FALSE),0)</f>
        <v>0</v>
      </c>
      <c r="F174" s="88">
        <f t="shared" si="15"/>
        <v>169617.43</v>
      </c>
      <c r="G174" s="88">
        <f>SUMIFS('Anlage 1c_Korrekturen_NB'!$L$105:$L$295,'Anlage 1c_Korrekturen_NB'!$A$105:$A$295,'Anlage 3a_Zusammenfassung_KWKG'!$A174)</f>
        <v>114988.15</v>
      </c>
      <c r="H174" s="668">
        <f>_xlfn.IFNA(VLOOKUP(A174,'Anlage 1c_Korrekturen_NB'!$A$626:$D$629,4,FALSE),0)</f>
        <v>0</v>
      </c>
      <c r="I174" s="669">
        <f t="shared" si="14"/>
        <v>114988.15</v>
      </c>
      <c r="J174" s="20" t="s">
        <v>786</v>
      </c>
    </row>
    <row r="175" spans="1:12" hidden="1" outlineLevel="1">
      <c r="A175" s="374" t="s">
        <v>787</v>
      </c>
      <c r="B175" s="1698">
        <f>_xlfn.IFNA(VLOOKUP($A175,'Anlage 1a_Zuschlagszahlungen_NB'!A1015:E1248,5,FALSE),0)</f>
        <v>4811114.16</v>
      </c>
      <c r="C175" s="667">
        <f>_xlfn.IFNA(VLOOKUP($A175,'Anlage 1b_Abzüge, Pflicht, Boni'!$A$26:$D$49,2,FALSE),0)</f>
        <v>0</v>
      </c>
      <c r="D175" s="667">
        <f>_xlfn.IFNA(VLOOKUP(A175,'Anlage 1b_Abzüge, Pflicht, Boni'!$A$9:$D$67,3,FALSE),0)</f>
        <v>0</v>
      </c>
      <c r="E175" s="667">
        <f>_xlfn.IFNA(VLOOKUP(A175,'Anlage 1b_Abzüge, Pflicht, Boni'!$A$26:$D$47,4,FALSE),0)</f>
        <v>0</v>
      </c>
      <c r="F175" s="88">
        <f t="shared" si="15"/>
        <v>4811114.16</v>
      </c>
      <c r="G175" s="88">
        <f>SUMIFS('Anlage 1c_Korrekturen_NB'!$L$105:$L$295,'Anlage 1c_Korrekturen_NB'!$A$105:$A$295,'Anlage 3a_Zusammenfassung_KWKG'!$A175)</f>
        <v>457316.4</v>
      </c>
      <c r="H175" s="668">
        <f>_xlfn.IFNA(VLOOKUP(A175,'Anlage 1c_Korrekturen_NB'!$A$626:$D$629,4,FALSE),0)</f>
        <v>0</v>
      </c>
      <c r="I175" s="669">
        <f t="shared" si="14"/>
        <v>457316.4</v>
      </c>
      <c r="J175" s="20" t="s">
        <v>788</v>
      </c>
    </row>
    <row r="176" spans="1:12" hidden="1" outlineLevel="1">
      <c r="A176" s="374" t="s">
        <v>789</v>
      </c>
      <c r="B176" s="1698">
        <f>_xlfn.IFNA(VLOOKUP($A176,'Anlage 1a_Zuschlagszahlungen_NB'!A1016:E1249,5,FALSE),0)</f>
        <v>3508593.75</v>
      </c>
      <c r="C176" s="667">
        <f>_xlfn.IFNA(VLOOKUP($A176,'Anlage 1b_Abzüge, Pflicht, Boni'!$A$26:$D$49,2,FALSE),0)</f>
        <v>-56316.23</v>
      </c>
      <c r="D176" s="667">
        <f>_xlfn.IFNA(VLOOKUP(A176,'Anlage 1b_Abzüge, Pflicht, Boni'!$A$9:$D$67,3,FALSE),0)</f>
        <v>0</v>
      </c>
      <c r="E176" s="667">
        <f>_xlfn.IFNA(VLOOKUP(A176,'Anlage 1b_Abzüge, Pflicht, Boni'!$A$26:$D$47,4,FALSE),0)</f>
        <v>0</v>
      </c>
      <c r="F176" s="88">
        <f t="shared" si="15"/>
        <v>3452277.52</v>
      </c>
      <c r="G176" s="88">
        <f>SUMIFS('Anlage 1c_Korrekturen_NB'!$L$105:$L$295,'Anlage 1c_Korrekturen_NB'!$A$105:$A$295,'Anlage 3a_Zusammenfassung_KWKG'!$A176)</f>
        <v>131332.22999999998</v>
      </c>
      <c r="H176" s="668">
        <f>_xlfn.IFNA(VLOOKUP(A176,'Anlage 1c_Korrekturen_NB'!$A$626:$D$629,4,FALSE),0)</f>
        <v>0</v>
      </c>
      <c r="I176" s="669">
        <f t="shared" si="14"/>
        <v>131332.22999999998</v>
      </c>
      <c r="J176" s="20" t="s">
        <v>790</v>
      </c>
    </row>
    <row r="177" spans="1:10" hidden="1" outlineLevel="1">
      <c r="A177" s="374" t="s">
        <v>791</v>
      </c>
      <c r="B177" s="1698">
        <f>_xlfn.IFNA(VLOOKUP($A177,'Anlage 1a_Zuschlagszahlungen_NB'!A1017:E1250,5,FALSE),0)</f>
        <v>27665.77</v>
      </c>
      <c r="C177" s="667">
        <f>_xlfn.IFNA(VLOOKUP($A177,'Anlage 1b_Abzüge, Pflicht, Boni'!$A$26:$D$49,2,FALSE),0)</f>
        <v>0</v>
      </c>
      <c r="D177" s="667">
        <f>_xlfn.IFNA(VLOOKUP(A177,'Anlage 1b_Abzüge, Pflicht, Boni'!$A$9:$D$67,3,FALSE),0)</f>
        <v>0</v>
      </c>
      <c r="E177" s="667">
        <f>_xlfn.IFNA(VLOOKUP(A177,'Anlage 1b_Abzüge, Pflicht, Boni'!$A$26:$D$47,4,FALSE),0)</f>
        <v>0</v>
      </c>
      <c r="F177" s="88">
        <f t="shared" si="15"/>
        <v>27665.77</v>
      </c>
      <c r="G177" s="88">
        <f>SUMIFS('Anlage 1c_Korrekturen_NB'!$L$105:$L$295,'Anlage 1c_Korrekturen_NB'!$A$105:$A$295,'Anlage 3a_Zusammenfassung_KWKG'!$A177)</f>
        <v>0</v>
      </c>
      <c r="H177" s="668">
        <f>_xlfn.IFNA(VLOOKUP(A177,'Anlage 1c_Korrekturen_NB'!$A$626:$D$629,4,FALSE),0)</f>
        <v>0</v>
      </c>
      <c r="I177" s="669">
        <f t="shared" si="14"/>
        <v>0</v>
      </c>
      <c r="J177" s="20" t="s">
        <v>792</v>
      </c>
    </row>
    <row r="178" spans="1:10" hidden="1" outlineLevel="1">
      <c r="A178" s="374" t="s">
        <v>793</v>
      </c>
      <c r="B178" s="1698">
        <f>_xlfn.IFNA(VLOOKUP($A178,'Anlage 1a_Zuschlagszahlungen_NB'!A1018:E1251,5,FALSE),0)</f>
        <v>283339.11000000004</v>
      </c>
      <c r="C178" s="667">
        <f>_xlfn.IFNA(VLOOKUP($A178,'Anlage 1b_Abzüge, Pflicht, Boni'!$A$26:$D$49,2,FALSE),0)</f>
        <v>0</v>
      </c>
      <c r="D178" s="667">
        <f>_xlfn.IFNA(VLOOKUP(A178,'Anlage 1b_Abzüge, Pflicht, Boni'!$A$9:$D$67,3,FALSE),0)</f>
        <v>0</v>
      </c>
      <c r="E178" s="667">
        <f>_xlfn.IFNA(VLOOKUP(A178,'Anlage 1b_Abzüge, Pflicht, Boni'!$A$26:$D$47,4,FALSE),0)</f>
        <v>0</v>
      </c>
      <c r="F178" s="88">
        <f t="shared" si="15"/>
        <v>283339.11000000004</v>
      </c>
      <c r="G178" s="88">
        <f>SUMIFS('Anlage 1c_Korrekturen_NB'!$L$105:$L$295,'Anlage 1c_Korrekturen_NB'!$A$105:$A$295,'Anlage 3a_Zusammenfassung_KWKG'!$A178)</f>
        <v>0</v>
      </c>
      <c r="H178" s="668">
        <f>_xlfn.IFNA(VLOOKUP(A178,'Anlage 1c_Korrekturen_NB'!$A$626:$D$629,4,FALSE),0)</f>
        <v>0</v>
      </c>
      <c r="I178" s="669">
        <f t="shared" si="14"/>
        <v>0</v>
      </c>
      <c r="J178" s="20" t="s">
        <v>794</v>
      </c>
    </row>
    <row r="179" spans="1:10" hidden="1" outlineLevel="1">
      <c r="A179" s="374" t="s">
        <v>795</v>
      </c>
      <c r="B179" s="1698">
        <f>_xlfn.IFNA(VLOOKUP($A179,'Anlage 1a_Zuschlagszahlungen_NB'!A1019:E1252,5,FALSE),0)</f>
        <v>475506.24</v>
      </c>
      <c r="C179" s="667">
        <f>_xlfn.IFNA(VLOOKUP($A179,'Anlage 1b_Abzüge, Pflicht, Boni'!$A$26:$D$49,2,FALSE),0)</f>
        <v>0</v>
      </c>
      <c r="D179" s="667">
        <f>_xlfn.IFNA(VLOOKUP(A179,'Anlage 1b_Abzüge, Pflicht, Boni'!$A$9:$D$67,3,FALSE),0)</f>
        <v>0</v>
      </c>
      <c r="E179" s="667">
        <f>_xlfn.IFNA(VLOOKUP(A179,'Anlage 1b_Abzüge, Pflicht, Boni'!$A$26:$D$47,4,FALSE),0)</f>
        <v>0</v>
      </c>
      <c r="F179" s="88">
        <f t="shared" si="15"/>
        <v>475506.24</v>
      </c>
      <c r="G179" s="88">
        <f>SUMIFS('Anlage 1c_Korrekturen_NB'!$L$105:$L$295,'Anlage 1c_Korrekturen_NB'!$A$105:$A$295,'Anlage 3a_Zusammenfassung_KWKG'!$A179)</f>
        <v>12455.28</v>
      </c>
      <c r="H179" s="668">
        <f>_xlfn.IFNA(VLOOKUP(A179,'Anlage 1c_Korrekturen_NB'!$A$626:$D$629,4,FALSE),0)</f>
        <v>0</v>
      </c>
      <c r="I179" s="669">
        <f t="shared" si="14"/>
        <v>12455.28</v>
      </c>
      <c r="J179" s="20" t="s">
        <v>796</v>
      </c>
    </row>
    <row r="180" spans="1:10" hidden="1" outlineLevel="1">
      <c r="A180" s="374" t="s">
        <v>797</v>
      </c>
      <c r="B180" s="1698">
        <f>_xlfn.IFNA(VLOOKUP($A180,'Anlage 1a_Zuschlagszahlungen_NB'!A1020:E1253,5,FALSE),0)</f>
        <v>77391.03</v>
      </c>
      <c r="C180" s="667">
        <f>_xlfn.IFNA(VLOOKUP($A180,'Anlage 1b_Abzüge, Pflicht, Boni'!$A$26:$D$49,2,FALSE),0)</f>
        <v>0</v>
      </c>
      <c r="D180" s="667">
        <f>_xlfn.IFNA(VLOOKUP(A180,'Anlage 1b_Abzüge, Pflicht, Boni'!$A$9:$D$67,3,FALSE),0)</f>
        <v>0</v>
      </c>
      <c r="E180" s="667">
        <f>_xlfn.IFNA(VLOOKUP(A180,'Anlage 1b_Abzüge, Pflicht, Boni'!$A$26:$D$47,4,FALSE),0)</f>
        <v>0</v>
      </c>
      <c r="F180" s="88">
        <f t="shared" si="15"/>
        <v>77391.03</v>
      </c>
      <c r="G180" s="88">
        <f>SUMIFS('Anlage 1c_Korrekturen_NB'!$L$105:$L$295,'Anlage 1c_Korrekturen_NB'!$A$105:$A$295,'Anlage 3a_Zusammenfassung_KWKG'!$A180)</f>
        <v>0</v>
      </c>
      <c r="H180" s="668">
        <f>_xlfn.IFNA(VLOOKUP(A180,'Anlage 1c_Korrekturen_NB'!$A$626:$D$629,4,FALSE),0)</f>
        <v>0</v>
      </c>
      <c r="I180" s="669">
        <f t="shared" si="14"/>
        <v>0</v>
      </c>
      <c r="J180" s="20" t="s">
        <v>798</v>
      </c>
    </row>
    <row r="181" spans="1:10" hidden="1" outlineLevel="1">
      <c r="A181" s="374" t="s">
        <v>799</v>
      </c>
      <c r="B181" s="1698">
        <f>_xlfn.IFNA(VLOOKUP($A181,'Anlage 1a_Zuschlagszahlungen_NB'!A1021:E1254,5,FALSE),0)</f>
        <v>48191.69</v>
      </c>
      <c r="C181" s="667">
        <f>_xlfn.IFNA(VLOOKUP($A181,'Anlage 1b_Abzüge, Pflicht, Boni'!$A$26:$D$49,2,FALSE),0)</f>
        <v>0</v>
      </c>
      <c r="D181" s="667">
        <f>_xlfn.IFNA(VLOOKUP(A181,'Anlage 1b_Abzüge, Pflicht, Boni'!$A$9:$D$67,3,FALSE),0)</f>
        <v>0</v>
      </c>
      <c r="E181" s="667">
        <f>_xlfn.IFNA(VLOOKUP(A181,'Anlage 1b_Abzüge, Pflicht, Boni'!$A$26:$D$47,4,FALSE),0)</f>
        <v>0</v>
      </c>
      <c r="F181" s="88">
        <f t="shared" si="15"/>
        <v>48191.69</v>
      </c>
      <c r="G181" s="88">
        <f>SUMIFS('Anlage 1c_Korrekturen_NB'!$L$105:$L$295,'Anlage 1c_Korrekturen_NB'!$A$105:$A$295,'Anlage 3a_Zusammenfassung_KWKG'!$A181)</f>
        <v>0</v>
      </c>
      <c r="H181" s="668">
        <f>_xlfn.IFNA(VLOOKUP(A181,'Anlage 1c_Korrekturen_NB'!$A$626:$D$629,4,FALSE),0)</f>
        <v>0</v>
      </c>
      <c r="I181" s="669">
        <f t="shared" si="14"/>
        <v>0</v>
      </c>
      <c r="J181" s="20" t="s">
        <v>800</v>
      </c>
    </row>
    <row r="182" spans="1:10" hidden="1" outlineLevel="1">
      <c r="A182" s="374" t="s">
        <v>801</v>
      </c>
      <c r="B182" s="1698">
        <f>_xlfn.IFNA(VLOOKUP($A182,'Anlage 1a_Zuschlagszahlungen_NB'!A1022:E1255,5,FALSE),0)</f>
        <v>1584.32</v>
      </c>
      <c r="C182" s="667">
        <f>_xlfn.IFNA(VLOOKUP($A182,'Anlage 1b_Abzüge, Pflicht, Boni'!$A$26:$D$49,2,FALSE),0)</f>
        <v>0</v>
      </c>
      <c r="D182" s="667">
        <f>_xlfn.IFNA(VLOOKUP(A182,'Anlage 1b_Abzüge, Pflicht, Boni'!$A$9:$D$67,3,FALSE),0)</f>
        <v>0</v>
      </c>
      <c r="E182" s="667">
        <f>_xlfn.IFNA(VLOOKUP(A182,'Anlage 1b_Abzüge, Pflicht, Boni'!$A$26:$D$47,4,FALSE),0)</f>
        <v>0</v>
      </c>
      <c r="F182" s="88">
        <f t="shared" si="15"/>
        <v>1584.32</v>
      </c>
      <c r="G182" s="88">
        <f>SUMIFS('Anlage 1c_Korrekturen_NB'!$L$105:$L$295,'Anlage 1c_Korrekturen_NB'!$A$105:$A$295,'Anlage 3a_Zusammenfassung_KWKG'!$A182)</f>
        <v>0</v>
      </c>
      <c r="H182" s="668">
        <f>_xlfn.IFNA(VLOOKUP(A182,'Anlage 1c_Korrekturen_NB'!$A$626:$D$629,4,FALSE),0)</f>
        <v>0</v>
      </c>
      <c r="I182" s="669">
        <f t="shared" si="14"/>
        <v>0</v>
      </c>
      <c r="J182" s="20" t="s">
        <v>802</v>
      </c>
    </row>
    <row r="183" spans="1:10" hidden="1" outlineLevel="1">
      <c r="A183" s="374" t="s">
        <v>803</v>
      </c>
      <c r="B183" s="1698">
        <f>_xlfn.IFNA(VLOOKUP($A183,'Anlage 1a_Zuschlagszahlungen_NB'!A1023:E1256,5,FALSE),0)</f>
        <v>905331.35</v>
      </c>
      <c r="C183" s="667">
        <f>_xlfn.IFNA(VLOOKUP($A183,'Anlage 1b_Abzüge, Pflicht, Boni'!$A$26:$D$49,2,FALSE),0)</f>
        <v>0</v>
      </c>
      <c r="D183" s="667">
        <f>_xlfn.IFNA(VLOOKUP(A183,'Anlage 1b_Abzüge, Pflicht, Boni'!$A$9:$D$67,3,FALSE),0)</f>
        <v>0</v>
      </c>
      <c r="E183" s="667">
        <f>_xlfn.IFNA(VLOOKUP(A183,'Anlage 1b_Abzüge, Pflicht, Boni'!$A$26:$D$47,4,FALSE),0)</f>
        <v>0</v>
      </c>
      <c r="F183" s="88">
        <f t="shared" si="15"/>
        <v>905331.35</v>
      </c>
      <c r="G183" s="88">
        <f>SUMIFS('Anlage 1c_Korrekturen_NB'!$L$105:$L$295,'Anlage 1c_Korrekturen_NB'!$A$105:$A$295,'Anlage 3a_Zusammenfassung_KWKG'!$A183)</f>
        <v>111049.94</v>
      </c>
      <c r="H183" s="668">
        <f>_xlfn.IFNA(VLOOKUP(A183,'Anlage 1c_Korrekturen_NB'!$A$626:$D$629,4,FALSE),0)</f>
        <v>0</v>
      </c>
      <c r="I183" s="669">
        <f t="shared" si="14"/>
        <v>111049.94</v>
      </c>
      <c r="J183" s="20" t="s">
        <v>804</v>
      </c>
    </row>
    <row r="184" spans="1:10" hidden="1" outlineLevel="1">
      <c r="A184" s="374" t="s">
        <v>805</v>
      </c>
      <c r="B184" s="1698">
        <f>_xlfn.IFNA(VLOOKUP($A184,'Anlage 1a_Zuschlagszahlungen_NB'!A1024:E1257,5,FALSE),0)</f>
        <v>127858.25</v>
      </c>
      <c r="C184" s="667">
        <f>_xlfn.IFNA(VLOOKUP($A184,'Anlage 1b_Abzüge, Pflicht, Boni'!$A$26:$D$49,2,FALSE),0)</f>
        <v>0</v>
      </c>
      <c r="D184" s="667">
        <f>_xlfn.IFNA(VLOOKUP(A184,'Anlage 1b_Abzüge, Pflicht, Boni'!$A$9:$D$67,3,FALSE),0)</f>
        <v>0</v>
      </c>
      <c r="E184" s="667">
        <f>_xlfn.IFNA(VLOOKUP(A184,'Anlage 1b_Abzüge, Pflicht, Boni'!$A$26:$D$47,4,FALSE),0)</f>
        <v>0</v>
      </c>
      <c r="F184" s="88">
        <f t="shared" si="15"/>
        <v>127858.25</v>
      </c>
      <c r="G184" s="88">
        <f>SUMIFS('Anlage 1c_Korrekturen_NB'!$L$105:$L$295,'Anlage 1c_Korrekturen_NB'!$A$105:$A$295,'Anlage 3a_Zusammenfassung_KWKG'!$A184)</f>
        <v>-7991.5299999999988</v>
      </c>
      <c r="H184" s="668">
        <f>_xlfn.IFNA(VLOOKUP(A184,'Anlage 1c_Korrekturen_NB'!$A$626:$D$629,4,FALSE),0)</f>
        <v>0</v>
      </c>
      <c r="I184" s="669">
        <f t="shared" si="14"/>
        <v>-7991.5299999999988</v>
      </c>
      <c r="J184" s="20" t="s">
        <v>806</v>
      </c>
    </row>
    <row r="185" spans="1:10" hidden="1" outlineLevel="1">
      <c r="A185" s="374" t="s">
        <v>807</v>
      </c>
      <c r="B185" s="1698">
        <f>_xlfn.IFNA(VLOOKUP($A185,'Anlage 1a_Zuschlagszahlungen_NB'!A1025:E1258,5,FALSE),0)</f>
        <v>173006.03</v>
      </c>
      <c r="C185" s="667">
        <f>_xlfn.IFNA(VLOOKUP($A185,'Anlage 1b_Abzüge, Pflicht, Boni'!$A$26:$D$49,2,FALSE),0)</f>
        <v>0</v>
      </c>
      <c r="D185" s="667">
        <f>_xlfn.IFNA(VLOOKUP(A185,'Anlage 1b_Abzüge, Pflicht, Boni'!$A$9:$D$67,3,FALSE),0)</f>
        <v>0</v>
      </c>
      <c r="E185" s="667">
        <f>_xlfn.IFNA(VLOOKUP(A185,'Anlage 1b_Abzüge, Pflicht, Boni'!$A$26:$D$47,4,FALSE),0)</f>
        <v>0</v>
      </c>
      <c r="F185" s="88">
        <f t="shared" si="15"/>
        <v>173006.03</v>
      </c>
      <c r="G185" s="88">
        <f>SUMIFS('Anlage 1c_Korrekturen_NB'!$L$105:$L$295,'Anlage 1c_Korrekturen_NB'!$A$105:$A$295,'Anlage 3a_Zusammenfassung_KWKG'!$A185)</f>
        <v>0</v>
      </c>
      <c r="H185" s="668">
        <f>_xlfn.IFNA(VLOOKUP(A185,'Anlage 1c_Korrekturen_NB'!$A$626:$D$629,4,FALSE),0)</f>
        <v>0</v>
      </c>
      <c r="I185" s="669">
        <f t="shared" si="14"/>
        <v>0</v>
      </c>
      <c r="J185" s="20" t="s">
        <v>808</v>
      </c>
    </row>
    <row r="186" spans="1:10" hidden="1" outlineLevel="1">
      <c r="A186" s="374" t="s">
        <v>809</v>
      </c>
      <c r="B186" s="1698">
        <f>_xlfn.IFNA(VLOOKUP($A186,'Anlage 1a_Zuschlagszahlungen_NB'!A1026:E1259,5,FALSE),0)</f>
        <v>0</v>
      </c>
      <c r="C186" s="667">
        <f>_xlfn.IFNA(VLOOKUP($A186,'Anlage 1b_Abzüge, Pflicht, Boni'!$A$26:$D$49,2,FALSE),0)</f>
        <v>0</v>
      </c>
      <c r="D186" s="667">
        <f>_xlfn.IFNA(VLOOKUP(A186,'Anlage 1b_Abzüge, Pflicht, Boni'!$A$9:$D$67,3,FALSE),0)</f>
        <v>0</v>
      </c>
      <c r="E186" s="667">
        <f>_xlfn.IFNA(VLOOKUP(A186,'Anlage 1b_Abzüge, Pflicht, Boni'!$A$26:$D$47,4,FALSE),0)</f>
        <v>0</v>
      </c>
      <c r="F186" s="88">
        <f t="shared" si="15"/>
        <v>0</v>
      </c>
      <c r="G186" s="88">
        <f>SUMIFS('Anlage 1c_Korrekturen_NB'!$L$105:$L$295,'Anlage 1c_Korrekturen_NB'!$A$105:$A$295,'Anlage 3a_Zusammenfassung_KWKG'!$A186)</f>
        <v>0</v>
      </c>
      <c r="H186" s="668">
        <f>_xlfn.IFNA(VLOOKUP(A186,'Anlage 1c_Korrekturen_NB'!$A$626:$D$629,4,FALSE),0)</f>
        <v>0</v>
      </c>
      <c r="I186" s="669">
        <f t="shared" si="14"/>
        <v>0</v>
      </c>
      <c r="J186" s="20" t="s">
        <v>810</v>
      </c>
    </row>
    <row r="187" spans="1:10" hidden="1" outlineLevel="1">
      <c r="A187" s="374" t="s">
        <v>811</v>
      </c>
      <c r="B187" s="1698">
        <f>_xlfn.IFNA(VLOOKUP($A187,'Anlage 1a_Zuschlagszahlungen_NB'!A1027:E1260,5,FALSE),0)</f>
        <v>4971806.68</v>
      </c>
      <c r="C187" s="667">
        <f>_xlfn.IFNA(VLOOKUP($A187,'Anlage 1b_Abzüge, Pflicht, Boni'!$A$26:$D$49,2,FALSE),0)</f>
        <v>0</v>
      </c>
      <c r="D187" s="667">
        <f>_xlfn.IFNA(VLOOKUP(A187,'Anlage 1b_Abzüge, Pflicht, Boni'!$A$9:$D$67,3,FALSE),0)</f>
        <v>0</v>
      </c>
      <c r="E187" s="667">
        <f>_xlfn.IFNA(VLOOKUP(A187,'Anlage 1b_Abzüge, Pflicht, Boni'!$A$26:$D$47,4,FALSE),0)</f>
        <v>0</v>
      </c>
      <c r="F187" s="88">
        <f t="shared" si="15"/>
        <v>4971806.68</v>
      </c>
      <c r="G187" s="88">
        <f>SUMIFS('Anlage 1c_Korrekturen_NB'!$L$105:$L$295,'Anlage 1c_Korrekturen_NB'!$A$105:$A$295,'Anlage 3a_Zusammenfassung_KWKG'!$A187)</f>
        <v>165197.70000000001</v>
      </c>
      <c r="H187" s="668">
        <f>_xlfn.IFNA(VLOOKUP(A187,'Anlage 1c_Korrekturen_NB'!$A$626:$D$629,4,FALSE),0)</f>
        <v>0</v>
      </c>
      <c r="I187" s="669">
        <f t="shared" si="14"/>
        <v>165197.70000000001</v>
      </c>
      <c r="J187" s="20" t="s">
        <v>812</v>
      </c>
    </row>
    <row r="188" spans="1:10" hidden="1" outlineLevel="1">
      <c r="A188" s="374" t="s">
        <v>813</v>
      </c>
      <c r="B188" s="1698">
        <f>_xlfn.IFNA(VLOOKUP($A188,'Anlage 1a_Zuschlagszahlungen_NB'!A1028:E1261,5,FALSE),0)</f>
        <v>4895.3999999999996</v>
      </c>
      <c r="C188" s="667">
        <f>_xlfn.IFNA(VLOOKUP($A188,'Anlage 1b_Abzüge, Pflicht, Boni'!$A$26:$D$49,2,FALSE),0)</f>
        <v>0</v>
      </c>
      <c r="D188" s="667">
        <f>_xlfn.IFNA(VLOOKUP(A188,'Anlage 1b_Abzüge, Pflicht, Boni'!$A$9:$D$67,3,FALSE),0)</f>
        <v>0</v>
      </c>
      <c r="E188" s="667">
        <f>_xlfn.IFNA(VLOOKUP(A188,'Anlage 1b_Abzüge, Pflicht, Boni'!$A$26:$D$47,4,FALSE),0)</f>
        <v>0</v>
      </c>
      <c r="F188" s="88">
        <f t="shared" si="15"/>
        <v>4895.3999999999996</v>
      </c>
      <c r="G188" s="88">
        <f>SUMIFS('Anlage 1c_Korrekturen_NB'!$L$105:$L$295,'Anlage 1c_Korrekturen_NB'!$A$105:$A$295,'Anlage 3a_Zusammenfassung_KWKG'!$A188)</f>
        <v>0</v>
      </c>
      <c r="H188" s="668">
        <f>_xlfn.IFNA(VLOOKUP(A188,'Anlage 1c_Korrekturen_NB'!$A$626:$D$629,4,FALSE),0)</f>
        <v>0</v>
      </c>
      <c r="I188" s="669">
        <f t="shared" si="14"/>
        <v>0</v>
      </c>
      <c r="J188" s="20" t="s">
        <v>814</v>
      </c>
    </row>
    <row r="189" spans="1:10" hidden="1" outlineLevel="1">
      <c r="A189" s="374" t="s">
        <v>815</v>
      </c>
      <c r="B189" s="1698">
        <f>_xlfn.IFNA(VLOOKUP($A189,'Anlage 1a_Zuschlagszahlungen_NB'!A1029:E1262,5,FALSE),0)</f>
        <v>57841.11</v>
      </c>
      <c r="C189" s="667">
        <f>_xlfn.IFNA(VLOOKUP($A189,'Anlage 1b_Abzüge, Pflicht, Boni'!$A$26:$D$49,2,FALSE),0)</f>
        <v>0</v>
      </c>
      <c r="D189" s="667">
        <f>_xlfn.IFNA(VLOOKUP(A189,'Anlage 1b_Abzüge, Pflicht, Boni'!$A$9:$D$67,3,FALSE),0)</f>
        <v>0</v>
      </c>
      <c r="E189" s="667">
        <f>_xlfn.IFNA(VLOOKUP(A189,'Anlage 1b_Abzüge, Pflicht, Boni'!$A$26:$D$47,4,FALSE),0)</f>
        <v>0</v>
      </c>
      <c r="F189" s="88">
        <f t="shared" si="15"/>
        <v>57841.11</v>
      </c>
      <c r="G189" s="88">
        <f>SUMIFS('Anlage 1c_Korrekturen_NB'!$L$105:$L$295,'Anlage 1c_Korrekturen_NB'!$A$105:$A$295,'Anlage 3a_Zusammenfassung_KWKG'!$A189)</f>
        <v>56.64</v>
      </c>
      <c r="H189" s="668">
        <f>_xlfn.IFNA(VLOOKUP(A189,'Anlage 1c_Korrekturen_NB'!$A$626:$D$629,4,FALSE),0)</f>
        <v>0</v>
      </c>
      <c r="I189" s="669">
        <f t="shared" si="14"/>
        <v>56.64</v>
      </c>
      <c r="J189" s="20" t="s">
        <v>816</v>
      </c>
    </row>
    <row r="190" spans="1:10" hidden="1" outlineLevel="1">
      <c r="A190" s="374" t="s">
        <v>817</v>
      </c>
      <c r="B190" s="1698">
        <f>_xlfn.IFNA(VLOOKUP($A190,'Anlage 1a_Zuschlagszahlungen_NB'!A1030:E1263,5,FALSE),0)</f>
        <v>39695.839999999997</v>
      </c>
      <c r="C190" s="667">
        <f>_xlfn.IFNA(VLOOKUP($A190,'Anlage 1b_Abzüge, Pflicht, Boni'!$A$26:$D$49,2,FALSE),0)</f>
        <v>0</v>
      </c>
      <c r="D190" s="667">
        <f>_xlfn.IFNA(VLOOKUP(A190,'Anlage 1b_Abzüge, Pflicht, Boni'!$A$9:$D$67,3,FALSE),0)</f>
        <v>0</v>
      </c>
      <c r="E190" s="667">
        <f>_xlfn.IFNA(VLOOKUP(A190,'Anlage 1b_Abzüge, Pflicht, Boni'!$A$26:$D$47,4,FALSE),0)</f>
        <v>0</v>
      </c>
      <c r="F190" s="88">
        <f t="shared" si="15"/>
        <v>39695.839999999997</v>
      </c>
      <c r="G190" s="88">
        <f>SUMIFS('Anlage 1c_Korrekturen_NB'!$L$105:$L$295,'Anlage 1c_Korrekturen_NB'!$A$105:$A$295,'Anlage 3a_Zusammenfassung_KWKG'!$A190)</f>
        <v>0</v>
      </c>
      <c r="H190" s="668">
        <f>_xlfn.IFNA(VLOOKUP(A190,'Anlage 1c_Korrekturen_NB'!$A$626:$D$629,4,FALSE),0)</f>
        <v>0</v>
      </c>
      <c r="I190" s="669">
        <f t="shared" si="14"/>
        <v>0</v>
      </c>
      <c r="J190" s="20" t="s">
        <v>818</v>
      </c>
    </row>
    <row r="191" spans="1:10" hidden="1" outlineLevel="1">
      <c r="A191" s="374" t="s">
        <v>819</v>
      </c>
      <c r="B191" s="1698">
        <f>_xlfn.IFNA(VLOOKUP($A191,'Anlage 1a_Zuschlagszahlungen_NB'!A1031:E1264,5,FALSE),0)</f>
        <v>32691985.77</v>
      </c>
      <c r="C191" s="667">
        <f>_xlfn.IFNA(VLOOKUP($A191,'Anlage 1b_Abzüge, Pflicht, Boni'!$A$26:$D$49,2,FALSE),0)</f>
        <v>-4282.68</v>
      </c>
      <c r="D191" s="667">
        <f>_xlfn.IFNA(VLOOKUP(A191,'Anlage 1b_Abzüge, Pflicht, Boni'!$A$9:$D$67,3,FALSE),0)</f>
        <v>0</v>
      </c>
      <c r="E191" s="667">
        <f>_xlfn.IFNA(VLOOKUP(A191,'Anlage 1b_Abzüge, Pflicht, Boni'!$A$26:$D$47,4,FALSE),0)</f>
        <v>0</v>
      </c>
      <c r="F191" s="88">
        <f t="shared" si="15"/>
        <v>32687703.09</v>
      </c>
      <c r="G191" s="88">
        <f>SUMIFS('Anlage 1c_Korrekturen_NB'!$L$105:$L$295,'Anlage 1c_Korrekturen_NB'!$A$105:$A$295,'Anlage 3a_Zusammenfassung_KWKG'!$A191)</f>
        <v>1301098.4100000001</v>
      </c>
      <c r="H191" s="668">
        <f>_xlfn.IFNA(VLOOKUP(A191,'Anlage 1c_Korrekturen_NB'!$A$626:$D$629,4,FALSE),0)</f>
        <v>-3360</v>
      </c>
      <c r="I191" s="669">
        <f t="shared" si="14"/>
        <v>1297738.4100000001</v>
      </c>
      <c r="J191" s="20" t="s">
        <v>820</v>
      </c>
    </row>
    <row r="192" spans="1:10" hidden="1" outlineLevel="1">
      <c r="A192" s="374" t="s">
        <v>821</v>
      </c>
      <c r="B192" s="1698">
        <f>_xlfn.IFNA(VLOOKUP($A192,'Anlage 1a_Zuschlagszahlungen_NB'!A1032:E1265,5,FALSE),0)</f>
        <v>72120.87000000001</v>
      </c>
      <c r="C192" s="667">
        <f>_xlfn.IFNA(VLOOKUP($A192,'Anlage 1b_Abzüge, Pflicht, Boni'!$A$26:$D$49,2,FALSE),0)</f>
        <v>0</v>
      </c>
      <c r="D192" s="667">
        <f>_xlfn.IFNA(VLOOKUP(A192,'Anlage 1b_Abzüge, Pflicht, Boni'!$A$9:$D$67,3,FALSE),0)</f>
        <v>0</v>
      </c>
      <c r="E192" s="667">
        <f>_xlfn.IFNA(VLOOKUP(A192,'Anlage 1b_Abzüge, Pflicht, Boni'!$A$26:$D$47,4,FALSE),0)</f>
        <v>0</v>
      </c>
      <c r="F192" s="88">
        <f t="shared" si="15"/>
        <v>72120.87000000001</v>
      </c>
      <c r="G192" s="88">
        <f>SUMIFS('Anlage 1c_Korrekturen_NB'!$L$105:$L$295,'Anlage 1c_Korrekturen_NB'!$A$105:$A$295,'Anlage 3a_Zusammenfassung_KWKG'!$A192)</f>
        <v>0</v>
      </c>
      <c r="H192" s="668">
        <f>_xlfn.IFNA(VLOOKUP(A192,'Anlage 1c_Korrekturen_NB'!$A$626:$D$629,4,FALSE),0)</f>
        <v>0</v>
      </c>
      <c r="I192" s="669">
        <f t="shared" si="14"/>
        <v>0</v>
      </c>
      <c r="J192" s="20" t="s">
        <v>822</v>
      </c>
    </row>
    <row r="193" spans="1:10" hidden="1" outlineLevel="1">
      <c r="A193" s="374" t="s">
        <v>823</v>
      </c>
      <c r="B193" s="1698">
        <f>_xlfn.IFNA(VLOOKUP($A193,'Anlage 1a_Zuschlagszahlungen_NB'!A1033:E1266,5,FALSE),0)</f>
        <v>174844.62</v>
      </c>
      <c r="C193" s="667">
        <f>_xlfn.IFNA(VLOOKUP($A193,'Anlage 1b_Abzüge, Pflicht, Boni'!$A$26:$D$49,2,FALSE),0)</f>
        <v>0</v>
      </c>
      <c r="D193" s="667">
        <f>_xlfn.IFNA(VLOOKUP(A193,'Anlage 1b_Abzüge, Pflicht, Boni'!$A$9:$D$67,3,FALSE),0)</f>
        <v>-1200</v>
      </c>
      <c r="E193" s="667">
        <f>_xlfn.IFNA(VLOOKUP(A193,'Anlage 1b_Abzüge, Pflicht, Boni'!$A$26:$D$47,4,FALSE),0)</f>
        <v>0</v>
      </c>
      <c r="F193" s="88">
        <f t="shared" si="15"/>
        <v>173644.62</v>
      </c>
      <c r="G193" s="88">
        <f>SUMIFS('Anlage 1c_Korrekturen_NB'!$L$105:$L$295,'Anlage 1c_Korrekturen_NB'!$A$105:$A$295,'Anlage 3a_Zusammenfassung_KWKG'!$A193)</f>
        <v>0</v>
      </c>
      <c r="H193" s="668">
        <f>_xlfn.IFNA(VLOOKUP(A193,'Anlage 1c_Korrekturen_NB'!$A$626:$D$629,4,FALSE),0)</f>
        <v>0</v>
      </c>
      <c r="I193" s="669">
        <f t="shared" si="14"/>
        <v>0</v>
      </c>
      <c r="J193" s="20" t="s">
        <v>824</v>
      </c>
    </row>
    <row r="194" spans="1:10" hidden="1" outlineLevel="1">
      <c r="A194" s="374" t="s">
        <v>825</v>
      </c>
      <c r="B194" s="1698">
        <f>_xlfn.IFNA(VLOOKUP($A194,'Anlage 1a_Zuschlagszahlungen_NB'!A1034:E1267,5,FALSE),0)</f>
        <v>164921.81</v>
      </c>
      <c r="C194" s="667">
        <f>_xlfn.IFNA(VLOOKUP($A194,'Anlage 1b_Abzüge, Pflicht, Boni'!$A$26:$D$49,2,FALSE),0)</f>
        <v>0</v>
      </c>
      <c r="D194" s="667">
        <f>_xlfn.IFNA(VLOOKUP(A194,'Anlage 1b_Abzüge, Pflicht, Boni'!$A$9:$D$67,3,FALSE),0)</f>
        <v>0</v>
      </c>
      <c r="E194" s="667">
        <f>_xlfn.IFNA(VLOOKUP(A194,'Anlage 1b_Abzüge, Pflicht, Boni'!$A$26:$D$47,4,FALSE),0)</f>
        <v>0</v>
      </c>
      <c r="F194" s="88">
        <f t="shared" si="15"/>
        <v>164921.81</v>
      </c>
      <c r="G194" s="88">
        <f>SUMIFS('Anlage 1c_Korrekturen_NB'!$L$105:$L$295,'Anlage 1c_Korrekturen_NB'!$A$105:$A$295,'Anlage 3a_Zusammenfassung_KWKG'!$A194)</f>
        <v>0</v>
      </c>
      <c r="H194" s="668">
        <f>_xlfn.IFNA(VLOOKUP(A194,'Anlage 1c_Korrekturen_NB'!$A$626:$D$629,4,FALSE),0)</f>
        <v>0</v>
      </c>
      <c r="I194" s="669">
        <f t="shared" si="14"/>
        <v>0</v>
      </c>
      <c r="J194" s="20" t="s">
        <v>826</v>
      </c>
    </row>
    <row r="195" spans="1:10" hidden="1" outlineLevel="1">
      <c r="A195" s="374" t="s">
        <v>827</v>
      </c>
      <c r="B195" s="1698">
        <f>_xlfn.IFNA(VLOOKUP($A195,'Anlage 1a_Zuschlagszahlungen_NB'!A1035:E1268,5,FALSE),0)</f>
        <v>0</v>
      </c>
      <c r="C195" s="667">
        <f>_xlfn.IFNA(VLOOKUP($A195,'Anlage 1b_Abzüge, Pflicht, Boni'!$A$26:$D$49,2,FALSE),0)</f>
        <v>0</v>
      </c>
      <c r="D195" s="667">
        <f>_xlfn.IFNA(VLOOKUP(A195,'Anlage 1b_Abzüge, Pflicht, Boni'!$A$9:$D$67,3,FALSE),0)</f>
        <v>0</v>
      </c>
      <c r="E195" s="667">
        <f>_xlfn.IFNA(VLOOKUP(A195,'Anlage 1b_Abzüge, Pflicht, Boni'!$A$26:$D$47,4,FALSE),0)</f>
        <v>0</v>
      </c>
      <c r="F195" s="88">
        <f t="shared" si="15"/>
        <v>0</v>
      </c>
      <c r="G195" s="88">
        <f>SUMIFS('Anlage 1c_Korrekturen_NB'!$L$105:$L$295,'Anlage 1c_Korrekturen_NB'!$A$105:$A$295,'Anlage 3a_Zusammenfassung_KWKG'!$A195)</f>
        <v>0</v>
      </c>
      <c r="H195" s="668">
        <f>_xlfn.IFNA(VLOOKUP(A195,'Anlage 1c_Korrekturen_NB'!$A$626:$D$629,4,FALSE),0)</f>
        <v>0</v>
      </c>
      <c r="I195" s="669">
        <f t="shared" si="14"/>
        <v>0</v>
      </c>
      <c r="J195" s="20" t="s">
        <v>828</v>
      </c>
    </row>
    <row r="196" spans="1:10" hidden="1" outlineLevel="1">
      <c r="A196" s="374" t="s">
        <v>829</v>
      </c>
      <c r="B196" s="1698">
        <f>_xlfn.IFNA(VLOOKUP($A196,'Anlage 1a_Zuschlagszahlungen_NB'!A1036:E1269,5,FALSE),0)</f>
        <v>113023.4</v>
      </c>
      <c r="C196" s="667">
        <f>_xlfn.IFNA(VLOOKUP($A196,'Anlage 1b_Abzüge, Pflicht, Boni'!$A$26:$D$49,2,FALSE),0)</f>
        <v>0</v>
      </c>
      <c r="D196" s="667">
        <f>_xlfn.IFNA(VLOOKUP(A196,'Anlage 1b_Abzüge, Pflicht, Boni'!$A$9:$D$67,3,FALSE),0)</f>
        <v>0</v>
      </c>
      <c r="E196" s="667">
        <f>_xlfn.IFNA(VLOOKUP(A196,'Anlage 1b_Abzüge, Pflicht, Boni'!$A$26:$D$47,4,FALSE),0)</f>
        <v>0</v>
      </c>
      <c r="F196" s="88">
        <f t="shared" si="15"/>
        <v>113023.4</v>
      </c>
      <c r="G196" s="88">
        <f>SUMIFS('Anlage 1c_Korrekturen_NB'!$L$105:$L$295,'Anlage 1c_Korrekturen_NB'!$A$105:$A$295,'Anlage 3a_Zusammenfassung_KWKG'!$A196)</f>
        <v>20992.02</v>
      </c>
      <c r="H196" s="668">
        <f>_xlfn.IFNA(VLOOKUP(A196,'Anlage 1c_Korrekturen_NB'!$A$626:$D$629,4,FALSE),0)</f>
        <v>0</v>
      </c>
      <c r="I196" s="669">
        <f t="shared" si="14"/>
        <v>20992.02</v>
      </c>
      <c r="J196" s="20" t="s">
        <v>830</v>
      </c>
    </row>
    <row r="197" spans="1:10" hidden="1" outlineLevel="1">
      <c r="A197" s="374" t="s">
        <v>831</v>
      </c>
      <c r="B197" s="1698">
        <f>_xlfn.IFNA(VLOOKUP($A197,'Anlage 1a_Zuschlagszahlungen_NB'!A1037:E1270,5,FALSE),0)</f>
        <v>30678.870000000003</v>
      </c>
      <c r="C197" s="667">
        <f>_xlfn.IFNA(VLOOKUP($A197,'Anlage 1b_Abzüge, Pflicht, Boni'!$A$26:$D$49,2,FALSE),0)</f>
        <v>0</v>
      </c>
      <c r="D197" s="667">
        <f>_xlfn.IFNA(VLOOKUP(A197,'Anlage 1b_Abzüge, Pflicht, Boni'!$A$9:$D$67,3,FALSE),0)</f>
        <v>0</v>
      </c>
      <c r="E197" s="667">
        <f>_xlfn.IFNA(VLOOKUP(A197,'Anlage 1b_Abzüge, Pflicht, Boni'!$A$26:$D$47,4,FALSE),0)</f>
        <v>0</v>
      </c>
      <c r="F197" s="88">
        <f t="shared" si="15"/>
        <v>30678.870000000003</v>
      </c>
      <c r="G197" s="88">
        <f>SUMIFS('Anlage 1c_Korrekturen_NB'!$L$105:$L$295,'Anlage 1c_Korrekturen_NB'!$A$105:$A$295,'Anlage 3a_Zusammenfassung_KWKG'!$A197)</f>
        <v>0</v>
      </c>
      <c r="H197" s="668">
        <f>_xlfn.IFNA(VLOOKUP(A197,'Anlage 1c_Korrekturen_NB'!$A$626:$D$629,4,FALSE),0)</f>
        <v>0</v>
      </c>
      <c r="I197" s="669">
        <f t="shared" si="14"/>
        <v>0</v>
      </c>
      <c r="J197" s="20" t="s">
        <v>832</v>
      </c>
    </row>
    <row r="198" spans="1:10" hidden="1" outlineLevel="1">
      <c r="A198" s="374" t="s">
        <v>833</v>
      </c>
      <c r="B198" s="1698">
        <f>_xlfn.IFNA(VLOOKUP($A198,'Anlage 1a_Zuschlagszahlungen_NB'!A1038:E1271,5,FALSE),0)</f>
        <v>381508.48</v>
      </c>
      <c r="C198" s="667">
        <f>_xlfn.IFNA(VLOOKUP($A198,'Anlage 1b_Abzüge, Pflicht, Boni'!$A$26:$D$49,2,FALSE),0)</f>
        <v>0</v>
      </c>
      <c r="D198" s="667">
        <f>_xlfn.IFNA(VLOOKUP(A198,'Anlage 1b_Abzüge, Pflicht, Boni'!$A$9:$D$67,3,FALSE),0)</f>
        <v>0</v>
      </c>
      <c r="E198" s="667">
        <f>_xlfn.IFNA(VLOOKUP(A198,'Anlage 1b_Abzüge, Pflicht, Boni'!$A$26:$D$47,4,FALSE),0)</f>
        <v>0</v>
      </c>
      <c r="F198" s="88">
        <f t="shared" si="15"/>
        <v>381508.48</v>
      </c>
      <c r="G198" s="88">
        <f>SUMIFS('Anlage 1c_Korrekturen_NB'!$L$105:$L$295,'Anlage 1c_Korrekturen_NB'!$A$105:$A$295,'Anlage 3a_Zusammenfassung_KWKG'!$A198)</f>
        <v>172743.7</v>
      </c>
      <c r="H198" s="668">
        <f>_xlfn.IFNA(VLOOKUP(A198,'Anlage 1c_Korrekturen_NB'!$A$626:$D$629,4,FALSE),0)</f>
        <v>0</v>
      </c>
      <c r="I198" s="669">
        <f t="shared" si="14"/>
        <v>172743.7</v>
      </c>
      <c r="J198" s="20" t="s">
        <v>834</v>
      </c>
    </row>
    <row r="199" spans="1:10" hidden="1" outlineLevel="1">
      <c r="A199" s="374" t="s">
        <v>835</v>
      </c>
      <c r="B199" s="1698">
        <f>_xlfn.IFNA(VLOOKUP($A199,'Anlage 1a_Zuschlagszahlungen_NB'!A1039:E1272,5,FALSE),0)</f>
        <v>30.08</v>
      </c>
      <c r="C199" s="667">
        <f>_xlfn.IFNA(VLOOKUP($A199,'Anlage 1b_Abzüge, Pflicht, Boni'!$A$26:$D$49,2,FALSE),0)</f>
        <v>0</v>
      </c>
      <c r="D199" s="667">
        <f>_xlfn.IFNA(VLOOKUP(A199,'Anlage 1b_Abzüge, Pflicht, Boni'!$A$9:$D$67,3,FALSE),0)</f>
        <v>0</v>
      </c>
      <c r="E199" s="667">
        <f>_xlfn.IFNA(VLOOKUP(A199,'Anlage 1b_Abzüge, Pflicht, Boni'!$A$26:$D$47,4,FALSE),0)</f>
        <v>0</v>
      </c>
      <c r="F199" s="88">
        <f t="shared" si="15"/>
        <v>30.08</v>
      </c>
      <c r="G199" s="88">
        <f>SUMIFS('Anlage 1c_Korrekturen_NB'!$L$105:$L$295,'Anlage 1c_Korrekturen_NB'!$A$105:$A$295,'Anlage 3a_Zusammenfassung_KWKG'!$A199)</f>
        <v>0</v>
      </c>
      <c r="H199" s="668">
        <f>_xlfn.IFNA(VLOOKUP(A199,'Anlage 1c_Korrekturen_NB'!$A$626:$D$629,4,FALSE),0)</f>
        <v>0</v>
      </c>
      <c r="I199" s="669">
        <f t="shared" si="14"/>
        <v>0</v>
      </c>
      <c r="J199" s="20" t="s">
        <v>836</v>
      </c>
    </row>
    <row r="200" spans="1:10" hidden="1" outlineLevel="1">
      <c r="A200" s="374" t="s">
        <v>837</v>
      </c>
      <c r="B200" s="1698">
        <f>_xlfn.IFNA(VLOOKUP($A200,'Anlage 1a_Zuschlagszahlungen_NB'!A1040:E1273,5,FALSE),0)</f>
        <v>27808.14</v>
      </c>
      <c r="C200" s="667">
        <f>_xlfn.IFNA(VLOOKUP($A200,'Anlage 1b_Abzüge, Pflicht, Boni'!$A$26:$D$49,2,FALSE),0)</f>
        <v>0</v>
      </c>
      <c r="D200" s="667">
        <f>_xlfn.IFNA(VLOOKUP(A200,'Anlage 1b_Abzüge, Pflicht, Boni'!$A$9:$D$67,3,FALSE),0)</f>
        <v>0</v>
      </c>
      <c r="E200" s="667">
        <f>_xlfn.IFNA(VLOOKUP(A200,'Anlage 1b_Abzüge, Pflicht, Boni'!$A$26:$D$47,4,FALSE),0)</f>
        <v>0</v>
      </c>
      <c r="F200" s="88">
        <f t="shared" si="15"/>
        <v>27808.14</v>
      </c>
      <c r="G200" s="88">
        <f>SUMIFS('Anlage 1c_Korrekturen_NB'!$L$105:$L$295,'Anlage 1c_Korrekturen_NB'!$A$105:$A$295,'Anlage 3a_Zusammenfassung_KWKG'!$A200)</f>
        <v>0</v>
      </c>
      <c r="H200" s="668">
        <f>_xlfn.IFNA(VLOOKUP(A200,'Anlage 1c_Korrekturen_NB'!$A$626:$D$629,4,FALSE),0)</f>
        <v>0</v>
      </c>
      <c r="I200" s="669">
        <f t="shared" si="14"/>
        <v>0</v>
      </c>
      <c r="J200" s="20" t="s">
        <v>838</v>
      </c>
    </row>
    <row r="201" spans="1:10" hidden="1" outlineLevel="1">
      <c r="A201" s="374" t="s">
        <v>839</v>
      </c>
      <c r="B201" s="1698">
        <f>_xlfn.IFNA(VLOOKUP($A201,'Anlage 1a_Zuschlagszahlungen_NB'!A1041:E1274,5,FALSE),0)</f>
        <v>11429968.52</v>
      </c>
      <c r="C201" s="667">
        <f>_xlfn.IFNA(VLOOKUP($A201,'Anlage 1b_Abzüge, Pflicht, Boni'!$A$26:$D$49,2,FALSE),0)</f>
        <v>-1461.6</v>
      </c>
      <c r="D201" s="667">
        <f>_xlfn.IFNA(VLOOKUP(A201,'Anlage 1b_Abzüge, Pflicht, Boni'!$A$9:$D$67,3,FALSE),0)</f>
        <v>0</v>
      </c>
      <c r="E201" s="667">
        <f>_xlfn.IFNA(VLOOKUP(A201,'Anlage 1b_Abzüge, Pflicht, Boni'!$A$26:$D$47,4,FALSE),0)</f>
        <v>0</v>
      </c>
      <c r="F201" s="88">
        <f t="shared" si="15"/>
        <v>11428506.92</v>
      </c>
      <c r="G201" s="88">
        <f>SUMIFS('Anlage 1c_Korrekturen_NB'!$L$105:$L$295,'Anlage 1c_Korrekturen_NB'!$A$105:$A$295,'Anlage 3a_Zusammenfassung_KWKG'!$A201)</f>
        <v>3068913.95</v>
      </c>
      <c r="H201" s="1649">
        <v>-12868</v>
      </c>
      <c r="I201" s="669">
        <f t="shared" si="14"/>
        <v>3056045.95</v>
      </c>
      <c r="J201" s="20" t="s">
        <v>840</v>
      </c>
    </row>
    <row r="202" spans="1:10" hidden="1" outlineLevel="1">
      <c r="A202" s="374" t="s">
        <v>841</v>
      </c>
      <c r="B202" s="1698">
        <f>_xlfn.IFNA(VLOOKUP($A202,'Anlage 1a_Zuschlagszahlungen_NB'!A1042:E1275,5,FALSE),0)</f>
        <v>235536.04</v>
      </c>
      <c r="C202" s="667">
        <f>_xlfn.IFNA(VLOOKUP($A202,'Anlage 1b_Abzüge, Pflicht, Boni'!$A$26:$D$49,2,FALSE),0)</f>
        <v>0</v>
      </c>
      <c r="D202" s="667">
        <f>_xlfn.IFNA(VLOOKUP(A202,'Anlage 1b_Abzüge, Pflicht, Boni'!$A$9:$D$67,3,FALSE),0)</f>
        <v>0</v>
      </c>
      <c r="E202" s="667">
        <f>_xlfn.IFNA(VLOOKUP(A202,'Anlage 1b_Abzüge, Pflicht, Boni'!$A$26:$D$47,4,FALSE),0)</f>
        <v>0</v>
      </c>
      <c r="F202" s="88">
        <f t="shared" si="15"/>
        <v>235536.04</v>
      </c>
      <c r="G202" s="88">
        <f>SUMIFS('Anlage 1c_Korrekturen_NB'!$L$105:$L$295,'Anlage 1c_Korrekturen_NB'!$A$105:$A$295,'Anlage 3a_Zusammenfassung_KWKG'!$A202)</f>
        <v>98927.28</v>
      </c>
      <c r="H202" s="668">
        <f>_xlfn.IFNA(VLOOKUP(A202,'Anlage 1c_Korrekturen_NB'!$A$626:$D$629,4,FALSE),0)</f>
        <v>0</v>
      </c>
      <c r="I202" s="669">
        <f t="shared" si="14"/>
        <v>98927.28</v>
      </c>
      <c r="J202" s="20" t="s">
        <v>842</v>
      </c>
    </row>
    <row r="203" spans="1:10" hidden="1" outlineLevel="1">
      <c r="A203" s="374" t="s">
        <v>843</v>
      </c>
      <c r="B203" s="1698">
        <f>_xlfn.IFNA(VLOOKUP($A203,'Anlage 1a_Zuschlagszahlungen_NB'!A1043:E1276,5,FALSE),0)</f>
        <v>94756.44</v>
      </c>
      <c r="C203" s="667">
        <f>_xlfn.IFNA(VLOOKUP($A203,'Anlage 1b_Abzüge, Pflicht, Boni'!$A$26:$D$49,2,FALSE),0)</f>
        <v>0</v>
      </c>
      <c r="D203" s="667">
        <f>_xlfn.IFNA(VLOOKUP(A203,'Anlage 1b_Abzüge, Pflicht, Boni'!$A$9:$D$67,3,FALSE),0)</f>
        <v>0</v>
      </c>
      <c r="E203" s="667">
        <f>_xlfn.IFNA(VLOOKUP(A203,'Anlage 1b_Abzüge, Pflicht, Boni'!$A$26:$D$47,4,FALSE),0)</f>
        <v>0</v>
      </c>
      <c r="F203" s="88">
        <f t="shared" si="15"/>
        <v>94756.44</v>
      </c>
      <c r="G203" s="88">
        <f>SUMIFS('Anlage 1c_Korrekturen_NB'!$L$105:$L$295,'Anlage 1c_Korrekturen_NB'!$A$105:$A$295,'Anlage 3a_Zusammenfassung_KWKG'!$A203)</f>
        <v>0</v>
      </c>
      <c r="H203" s="668">
        <f>_xlfn.IFNA(VLOOKUP(A203,'Anlage 1c_Korrekturen_NB'!$A$626:$D$629,4,FALSE),0)</f>
        <v>0</v>
      </c>
      <c r="I203" s="669">
        <f t="shared" si="14"/>
        <v>0</v>
      </c>
      <c r="J203" s="20" t="s">
        <v>844</v>
      </c>
    </row>
    <row r="204" spans="1:10" hidden="1" outlineLevel="1">
      <c r="A204" s="374" t="s">
        <v>845</v>
      </c>
      <c r="B204" s="1698">
        <f>_xlfn.IFNA(VLOOKUP($A204,'Anlage 1a_Zuschlagszahlungen_NB'!A1044:E1277,5,FALSE),0)</f>
        <v>8220.26</v>
      </c>
      <c r="C204" s="667">
        <f>_xlfn.IFNA(VLOOKUP($A204,'Anlage 1b_Abzüge, Pflicht, Boni'!$A$26:$D$49,2,FALSE),0)</f>
        <v>0</v>
      </c>
      <c r="D204" s="667">
        <f>_xlfn.IFNA(VLOOKUP(A204,'Anlage 1b_Abzüge, Pflicht, Boni'!$A$9:$D$67,3,FALSE),0)</f>
        <v>0</v>
      </c>
      <c r="E204" s="667">
        <f>_xlfn.IFNA(VLOOKUP(A204,'Anlage 1b_Abzüge, Pflicht, Boni'!$A$26:$D$47,4,FALSE),0)</f>
        <v>0</v>
      </c>
      <c r="F204" s="88">
        <f t="shared" si="15"/>
        <v>8220.26</v>
      </c>
      <c r="G204" s="88">
        <f>SUMIFS('Anlage 1c_Korrekturen_NB'!$L$105:$L$295,'Anlage 1c_Korrekturen_NB'!$A$105:$A$295,'Anlage 3a_Zusammenfassung_KWKG'!$A204)</f>
        <v>0</v>
      </c>
      <c r="H204" s="668">
        <f>_xlfn.IFNA(VLOOKUP(A204,'Anlage 1c_Korrekturen_NB'!$A$626:$D$629,4,FALSE),0)</f>
        <v>0</v>
      </c>
      <c r="I204" s="669">
        <f t="shared" si="14"/>
        <v>0</v>
      </c>
      <c r="J204" s="20" t="s">
        <v>846</v>
      </c>
    </row>
    <row r="205" spans="1:10" hidden="1" outlineLevel="1">
      <c r="A205" s="374" t="s">
        <v>847</v>
      </c>
      <c r="B205" s="1698">
        <f>_xlfn.IFNA(VLOOKUP($A205,'Anlage 1a_Zuschlagszahlungen_NB'!A1045:E1278,5,FALSE),0)</f>
        <v>5129719.58</v>
      </c>
      <c r="C205" s="667">
        <f>_xlfn.IFNA(VLOOKUP($A205,'Anlage 1b_Abzüge, Pflicht, Boni'!$A$26:$D$49,2,FALSE),0)</f>
        <v>0</v>
      </c>
      <c r="D205" s="667">
        <f>_xlfn.IFNA(VLOOKUP(A205,'Anlage 1b_Abzüge, Pflicht, Boni'!$A$9:$D$67,3,FALSE),0)</f>
        <v>0</v>
      </c>
      <c r="E205" s="667">
        <f>_xlfn.IFNA(VLOOKUP(A205,'Anlage 1b_Abzüge, Pflicht, Boni'!$A$26:$D$47,4,FALSE),0)</f>
        <v>0</v>
      </c>
      <c r="F205" s="88">
        <f t="shared" si="15"/>
        <v>5129719.58</v>
      </c>
      <c r="G205" s="88">
        <f>SUMIFS('Anlage 1c_Korrekturen_NB'!$L$105:$L$295,'Anlage 1c_Korrekturen_NB'!$A$105:$A$295,'Anlage 3a_Zusammenfassung_KWKG'!$A205)</f>
        <v>367352.13</v>
      </c>
      <c r="H205" s="668">
        <f>_xlfn.IFNA(VLOOKUP(A205,'Anlage 1c_Korrekturen_NB'!$A$626:$D$629,4,FALSE),0)</f>
        <v>0</v>
      </c>
      <c r="I205" s="669">
        <f t="shared" si="14"/>
        <v>367352.13</v>
      </c>
      <c r="J205" s="20" t="s">
        <v>848</v>
      </c>
    </row>
    <row r="206" spans="1:10" hidden="1" outlineLevel="1">
      <c r="A206" s="374" t="s">
        <v>849</v>
      </c>
      <c r="B206" s="1698">
        <f>_xlfn.IFNA(VLOOKUP($A206,'Anlage 1a_Zuschlagszahlungen_NB'!A1046:E1279,5,FALSE),0)</f>
        <v>55843.69</v>
      </c>
      <c r="C206" s="667">
        <f>_xlfn.IFNA(VLOOKUP($A206,'Anlage 1b_Abzüge, Pflicht, Boni'!$A$26:$D$49,2,FALSE),0)</f>
        <v>0</v>
      </c>
      <c r="D206" s="667">
        <f>_xlfn.IFNA(VLOOKUP(A206,'Anlage 1b_Abzüge, Pflicht, Boni'!$A$9:$D$67,3,FALSE),0)</f>
        <v>0</v>
      </c>
      <c r="E206" s="667">
        <f>_xlfn.IFNA(VLOOKUP(A206,'Anlage 1b_Abzüge, Pflicht, Boni'!$A$26:$D$47,4,FALSE),0)</f>
        <v>0</v>
      </c>
      <c r="F206" s="88">
        <f t="shared" si="15"/>
        <v>55843.69</v>
      </c>
      <c r="G206" s="88">
        <f>SUMIFS('Anlage 1c_Korrekturen_NB'!$L$105:$L$295,'Anlage 1c_Korrekturen_NB'!$A$105:$A$295,'Anlage 3a_Zusammenfassung_KWKG'!$A206)</f>
        <v>0</v>
      </c>
      <c r="H206" s="668">
        <f>_xlfn.IFNA(VLOOKUP(A206,'Anlage 1c_Korrekturen_NB'!$A$626:$D$629,4,FALSE),0)</f>
        <v>0</v>
      </c>
      <c r="I206" s="669">
        <f t="shared" si="14"/>
        <v>0</v>
      </c>
      <c r="J206" s="20" t="s">
        <v>850</v>
      </c>
    </row>
    <row r="207" spans="1:10" hidden="1" outlineLevel="1">
      <c r="A207" s="374" t="s">
        <v>851</v>
      </c>
      <c r="B207" s="1698">
        <f>_xlfn.IFNA(VLOOKUP($A207,'Anlage 1a_Zuschlagszahlungen_NB'!A1047:E1280,5,FALSE),0)</f>
        <v>335997.98000000004</v>
      </c>
      <c r="C207" s="667">
        <f>_xlfn.IFNA(VLOOKUP($A207,'Anlage 1b_Abzüge, Pflicht, Boni'!$A$26:$D$49,2,FALSE),0)</f>
        <v>0</v>
      </c>
      <c r="D207" s="667">
        <f>_xlfn.IFNA(VLOOKUP(A207,'Anlage 1b_Abzüge, Pflicht, Boni'!$A$9:$D$67,3,FALSE),0)</f>
        <v>0</v>
      </c>
      <c r="E207" s="667">
        <f>_xlfn.IFNA(VLOOKUP(A207,'Anlage 1b_Abzüge, Pflicht, Boni'!$A$26:$D$47,4,FALSE),0)</f>
        <v>0</v>
      </c>
      <c r="F207" s="88">
        <f t="shared" si="15"/>
        <v>335997.98000000004</v>
      </c>
      <c r="G207" s="88">
        <f>SUMIFS('Anlage 1c_Korrekturen_NB'!$L$105:$L$295,'Anlage 1c_Korrekturen_NB'!$A$105:$A$295,'Anlage 3a_Zusammenfassung_KWKG'!$A207)</f>
        <v>0</v>
      </c>
      <c r="H207" s="668">
        <f>_xlfn.IFNA(VLOOKUP(A207,'Anlage 1c_Korrekturen_NB'!$A$626:$D$629,4,FALSE),0)</f>
        <v>0</v>
      </c>
      <c r="I207" s="669">
        <f t="shared" si="14"/>
        <v>0</v>
      </c>
      <c r="J207" s="20" t="s">
        <v>852</v>
      </c>
    </row>
    <row r="208" spans="1:10" hidden="1" outlineLevel="1">
      <c r="A208" s="374" t="s">
        <v>853</v>
      </c>
      <c r="B208" s="1698">
        <f>_xlfn.IFNA(VLOOKUP($A208,'Anlage 1a_Zuschlagszahlungen_NB'!A1048:E1281,5,FALSE),0)</f>
        <v>37368099.960000001</v>
      </c>
      <c r="C208" s="667">
        <f>_xlfn.IFNA(VLOOKUP($A208,'Anlage 1b_Abzüge, Pflicht, Boni'!$A$26:$D$49,2,FALSE),0)</f>
        <v>0</v>
      </c>
      <c r="D208" s="667">
        <f>_xlfn.IFNA(VLOOKUP(A208,'Anlage 1b_Abzüge, Pflicht, Boni'!$A$9:$D$67,3,FALSE),0)</f>
        <v>0</v>
      </c>
      <c r="E208" s="667">
        <f>_xlfn.IFNA(VLOOKUP(A208,'Anlage 1b_Abzüge, Pflicht, Boni'!$A$26:$D$47,4,FALSE),0)</f>
        <v>0</v>
      </c>
      <c r="F208" s="88">
        <f t="shared" si="15"/>
        <v>37368099.960000001</v>
      </c>
      <c r="G208" s="88">
        <f>SUMIFS('Anlage 1c_Korrekturen_NB'!$L$105:$L$295,'Anlage 1c_Korrekturen_NB'!$A$105:$A$295,'Anlage 3a_Zusammenfassung_KWKG'!$A208)</f>
        <v>1149511.54</v>
      </c>
      <c r="H208" s="668">
        <f>_xlfn.IFNA(VLOOKUP(A208,'Anlage 1c_Korrekturen_NB'!$A$626:$D$629,4,FALSE),0)</f>
        <v>0</v>
      </c>
      <c r="I208" s="669">
        <f t="shared" si="14"/>
        <v>1149511.54</v>
      </c>
      <c r="J208" s="20" t="s">
        <v>854</v>
      </c>
    </row>
    <row r="209" spans="1:10" hidden="1" outlineLevel="1">
      <c r="A209" s="374" t="s">
        <v>855</v>
      </c>
      <c r="B209" s="1698">
        <f>_xlfn.IFNA(VLOOKUP($A209,'Anlage 1a_Zuschlagszahlungen_NB'!A1049:E1282,5,FALSE),0)</f>
        <v>124562.78</v>
      </c>
      <c r="C209" s="667">
        <f>_xlfn.IFNA(VLOOKUP($A209,'Anlage 1b_Abzüge, Pflicht, Boni'!$A$26:$D$49,2,FALSE),0)</f>
        <v>0</v>
      </c>
      <c r="D209" s="667">
        <f>_xlfn.IFNA(VLOOKUP(A209,'Anlage 1b_Abzüge, Pflicht, Boni'!$A$9:$D$67,3,FALSE),0)</f>
        <v>0</v>
      </c>
      <c r="E209" s="667">
        <f>_xlfn.IFNA(VLOOKUP(A209,'Anlage 1b_Abzüge, Pflicht, Boni'!$A$26:$D$47,4,FALSE),0)</f>
        <v>0</v>
      </c>
      <c r="F209" s="88">
        <f t="shared" si="15"/>
        <v>124562.78</v>
      </c>
      <c r="G209" s="88">
        <f>SUMIFS('Anlage 1c_Korrekturen_NB'!$L$105:$L$295,'Anlage 1c_Korrekturen_NB'!$A$105:$A$295,'Anlage 3a_Zusammenfassung_KWKG'!$A209)</f>
        <v>0</v>
      </c>
      <c r="H209" s="668">
        <f>_xlfn.IFNA(VLOOKUP(A209,'Anlage 1c_Korrekturen_NB'!$A$626:$D$629,4,FALSE),0)</f>
        <v>0</v>
      </c>
      <c r="I209" s="669">
        <f t="shared" si="14"/>
        <v>0</v>
      </c>
      <c r="J209" s="20" t="s">
        <v>856</v>
      </c>
    </row>
    <row r="210" spans="1:10" hidden="1" outlineLevel="1">
      <c r="A210" s="374" t="s">
        <v>857</v>
      </c>
      <c r="B210" s="1698">
        <f>_xlfn.IFNA(VLOOKUP($A210,'Anlage 1a_Zuschlagszahlungen_NB'!A1050:E1283,5,FALSE),0)</f>
        <v>20299.84</v>
      </c>
      <c r="C210" s="667">
        <f>_xlfn.IFNA(VLOOKUP($A210,'Anlage 1b_Abzüge, Pflicht, Boni'!$A$26:$D$49,2,FALSE),0)</f>
        <v>0</v>
      </c>
      <c r="D210" s="667">
        <f>_xlfn.IFNA(VLOOKUP(A210,'Anlage 1b_Abzüge, Pflicht, Boni'!$A$9:$D$67,3,FALSE),0)</f>
        <v>0</v>
      </c>
      <c r="E210" s="667">
        <f>_xlfn.IFNA(VLOOKUP(A210,'Anlage 1b_Abzüge, Pflicht, Boni'!$A$26:$D$47,4,FALSE),0)</f>
        <v>0</v>
      </c>
      <c r="F210" s="88">
        <f t="shared" si="15"/>
        <v>20299.84</v>
      </c>
      <c r="G210" s="88">
        <f>SUMIFS('Anlage 1c_Korrekturen_NB'!$L$105:$L$295,'Anlage 1c_Korrekturen_NB'!$A$105:$A$295,'Anlage 3a_Zusammenfassung_KWKG'!$A210)</f>
        <v>0</v>
      </c>
      <c r="H210" s="668">
        <f>_xlfn.IFNA(VLOOKUP(A210,'Anlage 1c_Korrekturen_NB'!$A$626:$D$629,4,FALSE),0)</f>
        <v>0</v>
      </c>
      <c r="I210" s="669">
        <f t="shared" si="14"/>
        <v>0</v>
      </c>
      <c r="J210" s="20" t="s">
        <v>858</v>
      </c>
    </row>
    <row r="211" spans="1:10" hidden="1" outlineLevel="1">
      <c r="A211" s="374" t="s">
        <v>859</v>
      </c>
      <c r="B211" s="1698">
        <f>_xlfn.IFNA(VLOOKUP($A211,'Anlage 1a_Zuschlagszahlungen_NB'!A1051:E1284,5,FALSE),0)</f>
        <v>325301.03000000003</v>
      </c>
      <c r="C211" s="667">
        <f>_xlfn.IFNA(VLOOKUP($A211,'Anlage 1b_Abzüge, Pflicht, Boni'!$A$26:$D$49,2,FALSE),0)</f>
        <v>0</v>
      </c>
      <c r="D211" s="667">
        <f>_xlfn.IFNA(VLOOKUP(A211,'Anlage 1b_Abzüge, Pflicht, Boni'!$A$9:$D$67,3,FALSE),0)</f>
        <v>0</v>
      </c>
      <c r="E211" s="667">
        <f>_xlfn.IFNA(VLOOKUP(A211,'Anlage 1b_Abzüge, Pflicht, Boni'!$A$26:$D$47,4,FALSE),0)</f>
        <v>0</v>
      </c>
      <c r="F211" s="88">
        <f t="shared" si="15"/>
        <v>325301.03000000003</v>
      </c>
      <c r="G211" s="88">
        <f>SUMIFS('Anlage 1c_Korrekturen_NB'!$L$105:$L$295,'Anlage 1c_Korrekturen_NB'!$A$105:$A$295,'Anlage 3a_Zusammenfassung_KWKG'!$A211)</f>
        <v>0</v>
      </c>
      <c r="H211" s="668">
        <f>_xlfn.IFNA(VLOOKUP(A211,'Anlage 1c_Korrekturen_NB'!$A$626:$D$629,4,FALSE),0)</f>
        <v>0</v>
      </c>
      <c r="I211" s="669">
        <f t="shared" si="14"/>
        <v>0</v>
      </c>
      <c r="J211" s="20" t="s">
        <v>860</v>
      </c>
    </row>
    <row r="212" spans="1:10" hidden="1" outlineLevel="1">
      <c r="A212" s="374" t="s">
        <v>861</v>
      </c>
      <c r="B212" s="1698">
        <f>_xlfn.IFNA(VLOOKUP($A212,'Anlage 1a_Zuschlagszahlungen_NB'!A1052:E1285,5,FALSE),0)</f>
        <v>55332.86</v>
      </c>
      <c r="C212" s="667">
        <f>_xlfn.IFNA(VLOOKUP($A212,'Anlage 1b_Abzüge, Pflicht, Boni'!$A$26:$D$49,2,FALSE),0)</f>
        <v>0</v>
      </c>
      <c r="D212" s="667">
        <f>_xlfn.IFNA(VLOOKUP(A212,'Anlage 1b_Abzüge, Pflicht, Boni'!$A$9:$D$67,3,FALSE),0)</f>
        <v>0</v>
      </c>
      <c r="E212" s="667">
        <f>_xlfn.IFNA(VLOOKUP(A212,'Anlage 1b_Abzüge, Pflicht, Boni'!$A$26:$D$47,4,FALSE),0)</f>
        <v>0</v>
      </c>
      <c r="F212" s="88">
        <f t="shared" si="15"/>
        <v>55332.86</v>
      </c>
      <c r="G212" s="88">
        <f>SUMIFS('Anlage 1c_Korrekturen_NB'!$L$105:$L$295,'Anlage 1c_Korrekturen_NB'!$A$105:$A$295,'Anlage 3a_Zusammenfassung_KWKG'!$A212)</f>
        <v>0</v>
      </c>
      <c r="H212" s="668">
        <f>_xlfn.IFNA(VLOOKUP(A212,'Anlage 1c_Korrekturen_NB'!$A$626:$D$629,4,FALSE),0)</f>
        <v>0</v>
      </c>
      <c r="I212" s="669">
        <f t="shared" si="14"/>
        <v>0</v>
      </c>
      <c r="J212" s="20" t="s">
        <v>862</v>
      </c>
    </row>
    <row r="213" spans="1:10" hidden="1" outlineLevel="1">
      <c r="A213" s="374" t="s">
        <v>863</v>
      </c>
      <c r="B213" s="1698">
        <f>_xlfn.IFNA(VLOOKUP($A213,'Anlage 1a_Zuschlagszahlungen_NB'!A1053:E1286,5,FALSE),0)</f>
        <v>460571.61</v>
      </c>
      <c r="C213" s="667">
        <f>_xlfn.IFNA(VLOOKUP($A213,'Anlage 1b_Abzüge, Pflicht, Boni'!$A$26:$D$49,2,FALSE),0)</f>
        <v>0</v>
      </c>
      <c r="D213" s="667">
        <f>_xlfn.IFNA(VLOOKUP(A213,'Anlage 1b_Abzüge, Pflicht, Boni'!$A$9:$D$67,3,FALSE),0)</f>
        <v>0</v>
      </c>
      <c r="E213" s="667">
        <f>_xlfn.IFNA(VLOOKUP(A213,'Anlage 1b_Abzüge, Pflicht, Boni'!$A$26:$D$47,4,FALSE),0)</f>
        <v>0</v>
      </c>
      <c r="F213" s="88">
        <f t="shared" si="15"/>
        <v>460571.61</v>
      </c>
      <c r="G213" s="88">
        <f>SUMIFS('Anlage 1c_Korrekturen_NB'!$L$105:$L$295,'Anlage 1c_Korrekturen_NB'!$A$105:$A$295,'Anlage 3a_Zusammenfassung_KWKG'!$A213)</f>
        <v>284.8</v>
      </c>
      <c r="H213" s="668">
        <f>_xlfn.IFNA(VLOOKUP(A213,'Anlage 1c_Korrekturen_NB'!$A$626:$D$629,4,FALSE),0)</f>
        <v>0</v>
      </c>
      <c r="I213" s="669">
        <f t="shared" si="14"/>
        <v>284.8</v>
      </c>
      <c r="J213" s="20" t="s">
        <v>864</v>
      </c>
    </row>
    <row r="214" spans="1:10" hidden="1" outlineLevel="1">
      <c r="A214" s="374" t="s">
        <v>865</v>
      </c>
      <c r="B214" s="1698">
        <f>_xlfn.IFNA(VLOOKUP($A214,'Anlage 1a_Zuschlagszahlungen_NB'!A1054:E1287,5,FALSE),0)</f>
        <v>369359.92</v>
      </c>
      <c r="C214" s="667">
        <f>_xlfn.IFNA(VLOOKUP($A214,'Anlage 1b_Abzüge, Pflicht, Boni'!$A$26:$D$49,2,FALSE),0)</f>
        <v>0</v>
      </c>
      <c r="D214" s="667">
        <f>_xlfn.IFNA(VLOOKUP(A214,'Anlage 1b_Abzüge, Pflicht, Boni'!$A$9:$D$67,3,FALSE),0)</f>
        <v>0</v>
      </c>
      <c r="E214" s="667">
        <f>_xlfn.IFNA(VLOOKUP(A214,'Anlage 1b_Abzüge, Pflicht, Boni'!$A$26:$D$47,4,FALSE),0)</f>
        <v>0</v>
      </c>
      <c r="F214" s="88">
        <f t="shared" si="15"/>
        <v>369359.92</v>
      </c>
      <c r="G214" s="88">
        <f>SUMIFS('Anlage 1c_Korrekturen_NB'!$L$105:$L$295,'Anlage 1c_Korrekturen_NB'!$A$105:$A$295,'Anlage 3a_Zusammenfassung_KWKG'!$A214)</f>
        <v>92292.96</v>
      </c>
      <c r="H214" s="668">
        <f>_xlfn.IFNA(VLOOKUP(A214,'Anlage 1c_Korrekturen_NB'!$A$626:$D$629,4,FALSE),0)</f>
        <v>0</v>
      </c>
      <c r="I214" s="669">
        <f t="shared" si="14"/>
        <v>92292.96</v>
      </c>
      <c r="J214" s="20" t="s">
        <v>866</v>
      </c>
    </row>
    <row r="215" spans="1:10" hidden="1" outlineLevel="1">
      <c r="A215" s="374" t="s">
        <v>867</v>
      </c>
      <c r="B215" s="1698">
        <f>_xlfn.IFNA(VLOOKUP($A215,'Anlage 1a_Zuschlagszahlungen_NB'!A1055:E1288,5,FALSE),0)</f>
        <v>20557.32</v>
      </c>
      <c r="C215" s="667">
        <f>_xlfn.IFNA(VLOOKUP($A215,'Anlage 1b_Abzüge, Pflicht, Boni'!$A$26:$D$49,2,FALSE),0)</f>
        <v>0</v>
      </c>
      <c r="D215" s="667">
        <f>_xlfn.IFNA(VLOOKUP(A215,'Anlage 1b_Abzüge, Pflicht, Boni'!$A$9:$D$67,3,FALSE),0)</f>
        <v>0</v>
      </c>
      <c r="E215" s="667">
        <f>_xlfn.IFNA(VLOOKUP(A215,'Anlage 1b_Abzüge, Pflicht, Boni'!$A$26:$D$47,4,FALSE),0)</f>
        <v>0</v>
      </c>
      <c r="F215" s="88">
        <f t="shared" si="15"/>
        <v>20557.32</v>
      </c>
      <c r="G215" s="88">
        <f>SUMIFS('Anlage 1c_Korrekturen_NB'!$L$105:$L$295,'Anlage 1c_Korrekturen_NB'!$A$105:$A$295,'Anlage 3a_Zusammenfassung_KWKG'!$A215)</f>
        <v>0</v>
      </c>
      <c r="H215" s="668">
        <f>_xlfn.IFNA(VLOOKUP(A215,'Anlage 1c_Korrekturen_NB'!$A$626:$D$629,4,FALSE),0)</f>
        <v>0</v>
      </c>
      <c r="I215" s="669">
        <f t="shared" si="14"/>
        <v>0</v>
      </c>
      <c r="J215" s="20" t="s">
        <v>868</v>
      </c>
    </row>
    <row r="216" spans="1:10" hidden="1" outlineLevel="1">
      <c r="A216" s="374" t="s">
        <v>869</v>
      </c>
      <c r="B216" s="1698">
        <f>_xlfn.IFNA(VLOOKUP($A216,'Anlage 1a_Zuschlagszahlungen_NB'!A1056:E1289,5,FALSE),0)</f>
        <v>0</v>
      </c>
      <c r="C216" s="667">
        <f>_xlfn.IFNA(VLOOKUP($A216,'Anlage 1b_Abzüge, Pflicht, Boni'!$A$26:$D$49,2,FALSE),0)</f>
        <v>0</v>
      </c>
      <c r="D216" s="667">
        <f>_xlfn.IFNA(VLOOKUP(A216,'Anlage 1b_Abzüge, Pflicht, Boni'!$A$9:$D$67,3,FALSE),0)</f>
        <v>0</v>
      </c>
      <c r="E216" s="667">
        <f>_xlfn.IFNA(VLOOKUP(A216,'Anlage 1b_Abzüge, Pflicht, Boni'!$A$26:$D$47,4,FALSE),0)</f>
        <v>0</v>
      </c>
      <c r="F216" s="88">
        <f t="shared" si="15"/>
        <v>0</v>
      </c>
      <c r="G216" s="88">
        <f>SUMIFS('Anlage 1c_Korrekturen_NB'!$L$105:$L$295,'Anlage 1c_Korrekturen_NB'!$A$105:$A$295,'Anlage 3a_Zusammenfassung_KWKG'!$A216)</f>
        <v>0</v>
      </c>
      <c r="H216" s="668">
        <f>_xlfn.IFNA(VLOOKUP(A216,'Anlage 1c_Korrekturen_NB'!$A$626:$D$629,4,FALSE),0)</f>
        <v>0</v>
      </c>
      <c r="I216" s="669">
        <f t="shared" si="14"/>
        <v>0</v>
      </c>
      <c r="J216" s="20" t="s">
        <v>870</v>
      </c>
    </row>
    <row r="217" spans="1:10" hidden="1" outlineLevel="1">
      <c r="A217" s="374" t="s">
        <v>871</v>
      </c>
      <c r="B217" s="1698">
        <f>_xlfn.IFNA(VLOOKUP($A217,'Anlage 1a_Zuschlagszahlungen_NB'!A1057:E1290,5,FALSE),0)</f>
        <v>94164.38</v>
      </c>
      <c r="C217" s="667">
        <f>_xlfn.IFNA(VLOOKUP($A217,'Anlage 1b_Abzüge, Pflicht, Boni'!$A$26:$D$49,2,FALSE),0)</f>
        <v>0</v>
      </c>
      <c r="D217" s="667">
        <f>_xlfn.IFNA(VLOOKUP(A217,'Anlage 1b_Abzüge, Pflicht, Boni'!$A$9:$D$67,3,FALSE),0)</f>
        <v>0</v>
      </c>
      <c r="E217" s="667">
        <f>_xlfn.IFNA(VLOOKUP(A217,'Anlage 1b_Abzüge, Pflicht, Boni'!$A$26:$D$47,4,FALSE),0)</f>
        <v>0</v>
      </c>
      <c r="F217" s="88">
        <f t="shared" si="15"/>
        <v>94164.38</v>
      </c>
      <c r="G217" s="88">
        <f>SUMIFS('Anlage 1c_Korrekturen_NB'!$L$105:$L$295,'Anlage 1c_Korrekturen_NB'!$A$105:$A$295,'Anlage 3a_Zusammenfassung_KWKG'!$A217)</f>
        <v>0</v>
      </c>
      <c r="H217" s="668">
        <f>_xlfn.IFNA(VLOOKUP(A217,'Anlage 1c_Korrekturen_NB'!$A$626:$D$629,4,FALSE),0)</f>
        <v>0</v>
      </c>
      <c r="I217" s="669">
        <f t="shared" si="14"/>
        <v>0</v>
      </c>
      <c r="J217" s="20" t="s">
        <v>872</v>
      </c>
    </row>
    <row r="218" spans="1:10" hidden="1" outlineLevel="1">
      <c r="A218" s="374" t="s">
        <v>873</v>
      </c>
      <c r="B218" s="1698">
        <f>_xlfn.IFNA(VLOOKUP($A218,'Anlage 1a_Zuschlagszahlungen_NB'!A1058:E1291,5,FALSE),0)</f>
        <v>214070.00999999998</v>
      </c>
      <c r="C218" s="667">
        <f>_xlfn.IFNA(VLOOKUP($A218,'Anlage 1b_Abzüge, Pflicht, Boni'!$A$26:$D$49,2,FALSE),0)</f>
        <v>-2345.16</v>
      </c>
      <c r="D218" s="667">
        <f>_xlfn.IFNA(VLOOKUP(A218,'Anlage 1b_Abzüge, Pflicht, Boni'!$A$9:$D$67,3,FALSE),0)</f>
        <v>0</v>
      </c>
      <c r="E218" s="667">
        <f>_xlfn.IFNA(VLOOKUP(A218,'Anlage 1b_Abzüge, Pflicht, Boni'!$A$26:$D$47,4,FALSE),0)</f>
        <v>0</v>
      </c>
      <c r="F218" s="88">
        <f t="shared" si="15"/>
        <v>211724.84999999998</v>
      </c>
      <c r="G218" s="88">
        <f>SUMIFS('Anlage 1c_Korrekturen_NB'!$L$105:$L$295,'Anlage 1c_Korrekturen_NB'!$A$105:$A$295,'Anlage 3a_Zusammenfassung_KWKG'!$A218)</f>
        <v>63948.570000000007</v>
      </c>
      <c r="H218" s="668">
        <f>_xlfn.IFNA(VLOOKUP(A218,'Anlage 1c_Korrekturen_NB'!$A$626:$D$629,4,FALSE),0)</f>
        <v>0</v>
      </c>
      <c r="I218" s="669">
        <f t="shared" si="14"/>
        <v>63948.570000000007</v>
      </c>
      <c r="J218" s="20" t="s">
        <v>874</v>
      </c>
    </row>
    <row r="219" spans="1:10" hidden="1" outlineLevel="1">
      <c r="A219" s="374" t="s">
        <v>875</v>
      </c>
      <c r="B219" s="1698">
        <f>_xlfn.IFNA(VLOOKUP($A219,'Anlage 1a_Zuschlagszahlungen_NB'!A1059:E1292,5,FALSE),0)</f>
        <v>126043.29000000001</v>
      </c>
      <c r="C219" s="667">
        <f>_xlfn.IFNA(VLOOKUP($A219,'Anlage 1b_Abzüge, Pflicht, Boni'!$A$26:$D$49,2,FALSE),0)</f>
        <v>-24.32</v>
      </c>
      <c r="D219" s="667">
        <f>_xlfn.IFNA(VLOOKUP(A219,'Anlage 1b_Abzüge, Pflicht, Boni'!$A$9:$D$67,3,FALSE),0)</f>
        <v>0</v>
      </c>
      <c r="E219" s="667">
        <f>_xlfn.IFNA(VLOOKUP(A219,'Anlage 1b_Abzüge, Pflicht, Boni'!$A$26:$D$47,4,FALSE),0)</f>
        <v>0</v>
      </c>
      <c r="F219" s="88">
        <f t="shared" si="15"/>
        <v>126018.97</v>
      </c>
      <c r="G219" s="88">
        <f>SUMIFS('Anlage 1c_Korrekturen_NB'!$L$105:$L$295,'Anlage 1c_Korrekturen_NB'!$A$105:$A$295,'Anlage 3a_Zusammenfassung_KWKG'!$A219)</f>
        <v>0</v>
      </c>
      <c r="H219" s="668">
        <f>_xlfn.IFNA(VLOOKUP(A219,'Anlage 1c_Korrekturen_NB'!$A$626:$D$629,4,FALSE),0)</f>
        <v>0</v>
      </c>
      <c r="I219" s="669">
        <f t="shared" si="14"/>
        <v>0</v>
      </c>
      <c r="J219" s="20" t="s">
        <v>876</v>
      </c>
    </row>
    <row r="220" spans="1:10" hidden="1" outlineLevel="1">
      <c r="A220" s="374" t="s">
        <v>877</v>
      </c>
      <c r="B220" s="1698">
        <f>_xlfn.IFNA(VLOOKUP($A220,'Anlage 1a_Zuschlagszahlungen_NB'!A1060:E1293,5,FALSE),0)</f>
        <v>68435.820000000007</v>
      </c>
      <c r="C220" s="667">
        <f>_xlfn.IFNA(VLOOKUP($A220,'Anlage 1b_Abzüge, Pflicht, Boni'!$A$26:$D$49,2,FALSE),0)</f>
        <v>0</v>
      </c>
      <c r="D220" s="667">
        <f>_xlfn.IFNA(VLOOKUP(A220,'Anlage 1b_Abzüge, Pflicht, Boni'!$A$9:$D$67,3,FALSE),0)</f>
        <v>0</v>
      </c>
      <c r="E220" s="667">
        <f>_xlfn.IFNA(VLOOKUP(A220,'Anlage 1b_Abzüge, Pflicht, Boni'!$A$26:$D$47,4,FALSE),0)</f>
        <v>0</v>
      </c>
      <c r="F220" s="88">
        <f t="shared" si="15"/>
        <v>68435.820000000007</v>
      </c>
      <c r="G220" s="88">
        <f>SUMIFS('Anlage 1c_Korrekturen_NB'!$L$105:$L$295,'Anlage 1c_Korrekturen_NB'!$A$105:$A$295,'Anlage 3a_Zusammenfassung_KWKG'!$A220)</f>
        <v>0</v>
      </c>
      <c r="H220" s="668">
        <f>_xlfn.IFNA(VLOOKUP(A220,'Anlage 1c_Korrekturen_NB'!$A$626:$D$629,4,FALSE),0)</f>
        <v>0</v>
      </c>
      <c r="I220" s="669">
        <f t="shared" si="14"/>
        <v>0</v>
      </c>
      <c r="J220" s="20" t="s">
        <v>878</v>
      </c>
    </row>
    <row r="221" spans="1:10" hidden="1" outlineLevel="1">
      <c r="A221" s="374" t="s">
        <v>879</v>
      </c>
      <c r="B221" s="1698">
        <f>_xlfn.IFNA(VLOOKUP($A221,'Anlage 1a_Zuschlagszahlungen_NB'!A1061:E1294,5,FALSE),0)</f>
        <v>13997.849999999999</v>
      </c>
      <c r="C221" s="667">
        <f>_xlfn.IFNA(VLOOKUP($A221,'Anlage 1b_Abzüge, Pflicht, Boni'!$A$26:$D$49,2,FALSE),0)</f>
        <v>0</v>
      </c>
      <c r="D221" s="667">
        <f>_xlfn.IFNA(VLOOKUP(A221,'Anlage 1b_Abzüge, Pflicht, Boni'!$A$9:$D$67,3,FALSE),0)</f>
        <v>0</v>
      </c>
      <c r="E221" s="667">
        <f>_xlfn.IFNA(VLOOKUP(A221,'Anlage 1b_Abzüge, Pflicht, Boni'!$A$26:$D$47,4,FALSE),0)</f>
        <v>0</v>
      </c>
      <c r="F221" s="88">
        <f t="shared" si="15"/>
        <v>13997.849999999999</v>
      </c>
      <c r="G221" s="88">
        <f>SUMIFS('Anlage 1c_Korrekturen_NB'!$L$105:$L$295,'Anlage 1c_Korrekturen_NB'!$A$105:$A$295,'Anlage 3a_Zusammenfassung_KWKG'!$A221)</f>
        <v>6384.01</v>
      </c>
      <c r="H221" s="668">
        <f>_xlfn.IFNA(VLOOKUP(A221,'Anlage 1c_Korrekturen_NB'!$A$626:$D$629,4,FALSE),0)</f>
        <v>0</v>
      </c>
      <c r="I221" s="669">
        <f t="shared" si="14"/>
        <v>6384.01</v>
      </c>
      <c r="J221" s="20" t="s">
        <v>880</v>
      </c>
    </row>
    <row r="222" spans="1:10" hidden="1" outlineLevel="1">
      <c r="A222" s="374" t="s">
        <v>881</v>
      </c>
      <c r="B222" s="1698">
        <f>_xlfn.IFNA(VLOOKUP($A222,'Anlage 1a_Zuschlagszahlungen_NB'!A1062:E1295,5,FALSE),0)</f>
        <v>0</v>
      </c>
      <c r="C222" s="667">
        <f>_xlfn.IFNA(VLOOKUP($A222,'Anlage 1b_Abzüge, Pflicht, Boni'!$A$26:$D$49,2,FALSE),0)</f>
        <v>0</v>
      </c>
      <c r="D222" s="667">
        <f>_xlfn.IFNA(VLOOKUP(A222,'Anlage 1b_Abzüge, Pflicht, Boni'!$A$9:$D$67,3,FALSE),0)</f>
        <v>0</v>
      </c>
      <c r="E222" s="667">
        <f>_xlfn.IFNA(VLOOKUP(A222,'Anlage 1b_Abzüge, Pflicht, Boni'!$A$26:$D$47,4,FALSE),0)</f>
        <v>0</v>
      </c>
      <c r="F222" s="88">
        <f t="shared" si="15"/>
        <v>0</v>
      </c>
      <c r="G222" s="88">
        <f>SUMIFS('Anlage 1c_Korrekturen_NB'!$L$105:$L$295,'Anlage 1c_Korrekturen_NB'!$A$105:$A$295,'Anlage 3a_Zusammenfassung_KWKG'!$A222)</f>
        <v>0</v>
      </c>
      <c r="H222" s="668">
        <f>_xlfn.IFNA(VLOOKUP(A222,'Anlage 1c_Korrekturen_NB'!$A$626:$D$629,4,FALSE),0)</f>
        <v>0</v>
      </c>
      <c r="I222" s="669">
        <f t="shared" si="14"/>
        <v>0</v>
      </c>
      <c r="J222" s="20" t="s">
        <v>882</v>
      </c>
    </row>
    <row r="223" spans="1:10" hidden="1" outlineLevel="1">
      <c r="A223" s="374" t="s">
        <v>542</v>
      </c>
      <c r="B223" s="1698">
        <f>_xlfn.IFNA(VLOOKUP($A223,'Anlage 1a_Zuschlagszahlungen_NB'!A1063:E1296,5,FALSE),0)</f>
        <v>0</v>
      </c>
      <c r="C223" s="667">
        <f>_xlfn.IFNA(VLOOKUP($A223,'Anlage 1b_Abzüge, Pflicht, Boni'!$A$26:$D$49,2,FALSE),0)</f>
        <v>0</v>
      </c>
      <c r="D223" s="667">
        <f>_xlfn.IFNA(VLOOKUP(A223,'Anlage 1b_Abzüge, Pflicht, Boni'!$A$9:$D$67,3,FALSE),0)</f>
        <v>0</v>
      </c>
      <c r="E223" s="667">
        <f>_xlfn.IFNA(VLOOKUP(A223,'Anlage 1b_Abzüge, Pflicht, Boni'!$A$26:$D$47,4,FALSE),0)</f>
        <v>0</v>
      </c>
      <c r="F223" s="88">
        <f t="shared" si="15"/>
        <v>0</v>
      </c>
      <c r="G223" s="88">
        <f>SUMIFS('Anlage 1c_Korrekturen_NB'!$L$105:$L$295,'Anlage 1c_Korrekturen_NB'!$A$105:$A$295,'Anlage 3a_Zusammenfassung_KWKG'!$A223)</f>
        <v>0</v>
      </c>
      <c r="H223" s="668">
        <f>_xlfn.IFNA(VLOOKUP(A223,'Anlage 1c_Korrekturen_NB'!$A$626:$D$629,4,FALSE),0)</f>
        <v>0</v>
      </c>
      <c r="I223" s="669">
        <f t="shared" si="14"/>
        <v>0</v>
      </c>
      <c r="J223" s="20" t="s">
        <v>543</v>
      </c>
    </row>
    <row r="224" spans="1:10" hidden="1" outlineLevel="1">
      <c r="A224" s="374" t="s">
        <v>883</v>
      </c>
      <c r="B224" s="1698">
        <f>_xlfn.IFNA(VLOOKUP($A224,'Anlage 1a_Zuschlagszahlungen_NB'!A1064:E1297,5,FALSE),0)</f>
        <v>103568.17</v>
      </c>
      <c r="C224" s="667">
        <f>_xlfn.IFNA(VLOOKUP($A224,'Anlage 1b_Abzüge, Pflicht, Boni'!$A$26:$D$49,2,FALSE),0)</f>
        <v>0</v>
      </c>
      <c r="D224" s="667">
        <f>_xlfn.IFNA(VLOOKUP(A224,'Anlage 1b_Abzüge, Pflicht, Boni'!$A$9:$D$67,3,FALSE),0)</f>
        <v>0</v>
      </c>
      <c r="E224" s="667">
        <f>_xlfn.IFNA(VLOOKUP(A224,'Anlage 1b_Abzüge, Pflicht, Boni'!$A$26:$D$47,4,FALSE),0)</f>
        <v>0</v>
      </c>
      <c r="F224" s="88">
        <f t="shared" si="15"/>
        <v>103568.17</v>
      </c>
      <c r="G224" s="88">
        <f>SUMIFS('Anlage 1c_Korrekturen_NB'!$L$105:$L$295,'Anlage 1c_Korrekturen_NB'!$A$105:$A$295,'Anlage 3a_Zusammenfassung_KWKG'!$A224)</f>
        <v>28109.019999999997</v>
      </c>
      <c r="H224" s="668">
        <f>_xlfn.IFNA(VLOOKUP(A224,'Anlage 1c_Korrekturen_NB'!$A$626:$D$629,4,FALSE),0)</f>
        <v>0</v>
      </c>
      <c r="I224" s="669">
        <f t="shared" si="14"/>
        <v>28109.019999999997</v>
      </c>
      <c r="J224" s="20" t="s">
        <v>884</v>
      </c>
    </row>
    <row r="225" spans="1:10" hidden="1" outlineLevel="1">
      <c r="A225" s="374" t="s">
        <v>885</v>
      </c>
      <c r="B225" s="1698">
        <f>_xlfn.IFNA(VLOOKUP($A225,'Anlage 1a_Zuschlagszahlungen_NB'!A1065:E1298,5,FALSE),0)</f>
        <v>2271.1999999999998</v>
      </c>
      <c r="C225" s="667">
        <f>_xlfn.IFNA(VLOOKUP($A225,'Anlage 1b_Abzüge, Pflicht, Boni'!$A$26:$D$49,2,FALSE),0)</f>
        <v>0</v>
      </c>
      <c r="D225" s="667">
        <f>_xlfn.IFNA(VLOOKUP(A225,'Anlage 1b_Abzüge, Pflicht, Boni'!$A$9:$D$67,3,FALSE),0)</f>
        <v>0</v>
      </c>
      <c r="E225" s="667">
        <f>_xlfn.IFNA(VLOOKUP(A225,'Anlage 1b_Abzüge, Pflicht, Boni'!$A$26:$D$47,4,FALSE),0)</f>
        <v>0</v>
      </c>
      <c r="F225" s="88">
        <f t="shared" si="15"/>
        <v>2271.1999999999998</v>
      </c>
      <c r="G225" s="88">
        <f>SUMIFS('Anlage 1c_Korrekturen_NB'!$L$105:$L$295,'Anlage 1c_Korrekturen_NB'!$A$105:$A$295,'Anlage 3a_Zusammenfassung_KWKG'!$A225)</f>
        <v>0</v>
      </c>
      <c r="H225" s="668">
        <f>_xlfn.IFNA(VLOOKUP(A225,'Anlage 1c_Korrekturen_NB'!$A$626:$D$629,4,FALSE),0)</f>
        <v>0</v>
      </c>
      <c r="I225" s="669">
        <f t="shared" si="14"/>
        <v>0</v>
      </c>
      <c r="J225" s="20" t="s">
        <v>886</v>
      </c>
    </row>
    <row r="226" spans="1:10" hidden="1" outlineLevel="1">
      <c r="A226" s="374" t="s">
        <v>887</v>
      </c>
      <c r="B226" s="1698">
        <f>_xlfn.IFNA(VLOOKUP($A226,'Anlage 1a_Zuschlagszahlungen_NB'!A1066:E1299,5,FALSE),0)</f>
        <v>37201.599999999999</v>
      </c>
      <c r="C226" s="667">
        <f>_xlfn.IFNA(VLOOKUP($A226,'Anlage 1b_Abzüge, Pflicht, Boni'!$A$26:$D$49,2,FALSE),0)</f>
        <v>0</v>
      </c>
      <c r="D226" s="667">
        <f>_xlfn.IFNA(VLOOKUP(A226,'Anlage 1b_Abzüge, Pflicht, Boni'!$A$9:$D$67,3,FALSE),0)</f>
        <v>0</v>
      </c>
      <c r="E226" s="667">
        <f>_xlfn.IFNA(VLOOKUP(A226,'Anlage 1b_Abzüge, Pflicht, Boni'!$A$26:$D$47,4,FALSE),0)</f>
        <v>0</v>
      </c>
      <c r="F226" s="88">
        <f t="shared" si="15"/>
        <v>37201.599999999999</v>
      </c>
      <c r="G226" s="88">
        <f>SUMIFS('Anlage 1c_Korrekturen_NB'!$L$105:$L$295,'Anlage 1c_Korrekturen_NB'!$A$105:$A$295,'Anlage 3a_Zusammenfassung_KWKG'!$A226)</f>
        <v>-208.93</v>
      </c>
      <c r="H226" s="668">
        <f>_xlfn.IFNA(VLOOKUP(A226,'Anlage 1c_Korrekturen_NB'!$A$626:$D$629,4,FALSE),0)</f>
        <v>0</v>
      </c>
      <c r="I226" s="669">
        <f t="shared" si="14"/>
        <v>-208.93</v>
      </c>
      <c r="J226" s="20" t="s">
        <v>888</v>
      </c>
    </row>
    <row r="227" spans="1:10" hidden="1" outlineLevel="1">
      <c r="A227" s="374" t="s">
        <v>889</v>
      </c>
      <c r="B227" s="1698">
        <f>_xlfn.IFNA(VLOOKUP($A227,'Anlage 1a_Zuschlagszahlungen_NB'!A1067:E1300,5,FALSE),0)</f>
        <v>38714.79</v>
      </c>
      <c r="C227" s="667">
        <f>_xlfn.IFNA(VLOOKUP($A227,'Anlage 1b_Abzüge, Pflicht, Boni'!$A$26:$D$49,2,FALSE),0)</f>
        <v>0</v>
      </c>
      <c r="D227" s="667">
        <f>_xlfn.IFNA(VLOOKUP(A227,'Anlage 1b_Abzüge, Pflicht, Boni'!$A$9:$D$67,3,FALSE),0)</f>
        <v>0</v>
      </c>
      <c r="E227" s="667">
        <f>_xlfn.IFNA(VLOOKUP(A227,'Anlage 1b_Abzüge, Pflicht, Boni'!$A$26:$D$47,4,FALSE),0)</f>
        <v>0</v>
      </c>
      <c r="F227" s="88">
        <f t="shared" si="15"/>
        <v>38714.79</v>
      </c>
      <c r="G227" s="88">
        <f>SUMIFS('Anlage 1c_Korrekturen_NB'!$L$105:$L$295,'Anlage 1c_Korrekturen_NB'!$A$105:$A$295,'Anlage 3a_Zusammenfassung_KWKG'!$A227)</f>
        <v>-4731.2800000000007</v>
      </c>
      <c r="H227" s="668">
        <f>_xlfn.IFNA(VLOOKUP(A227,'Anlage 1c_Korrekturen_NB'!$A$626:$D$629,4,FALSE),0)</f>
        <v>0</v>
      </c>
      <c r="I227" s="669">
        <f t="shared" si="14"/>
        <v>-4731.2800000000007</v>
      </c>
      <c r="J227" s="20" t="s">
        <v>890</v>
      </c>
    </row>
    <row r="228" spans="1:10" hidden="1" outlineLevel="1">
      <c r="A228" s="374" t="s">
        <v>891</v>
      </c>
      <c r="B228" s="1698">
        <f>_xlfn.IFNA(VLOOKUP($A228,'Anlage 1a_Zuschlagszahlungen_NB'!A1068:E1301,5,FALSE),0)</f>
        <v>86762.72</v>
      </c>
      <c r="C228" s="667">
        <f>_xlfn.IFNA(VLOOKUP($A228,'Anlage 1b_Abzüge, Pflicht, Boni'!$A$26:$D$49,2,FALSE),0)</f>
        <v>0</v>
      </c>
      <c r="D228" s="667">
        <f>_xlfn.IFNA(VLOOKUP(A228,'Anlage 1b_Abzüge, Pflicht, Boni'!$A$9:$D$67,3,FALSE),0)</f>
        <v>0</v>
      </c>
      <c r="E228" s="667">
        <f>_xlfn.IFNA(VLOOKUP(A228,'Anlage 1b_Abzüge, Pflicht, Boni'!$A$26:$D$47,4,FALSE),0)</f>
        <v>0</v>
      </c>
      <c r="F228" s="88">
        <f t="shared" si="15"/>
        <v>86762.72</v>
      </c>
      <c r="G228" s="88">
        <f>SUMIFS('Anlage 1c_Korrekturen_NB'!$L$105:$L$295,'Anlage 1c_Korrekturen_NB'!$A$105:$A$295,'Anlage 3a_Zusammenfassung_KWKG'!$A228)</f>
        <v>11042.99</v>
      </c>
      <c r="H228" s="668">
        <f>_xlfn.IFNA(VLOOKUP(A228,'Anlage 1c_Korrekturen_NB'!$A$626:$D$629,4,FALSE),0)</f>
        <v>0</v>
      </c>
      <c r="I228" s="669">
        <f t="shared" si="14"/>
        <v>11042.99</v>
      </c>
      <c r="J228" s="20" t="s">
        <v>892</v>
      </c>
    </row>
    <row r="229" spans="1:10" hidden="1" outlineLevel="1">
      <c r="A229" s="374" t="s">
        <v>893</v>
      </c>
      <c r="B229" s="1698">
        <f>_xlfn.IFNA(VLOOKUP($A229,'Anlage 1a_Zuschlagszahlungen_NB'!A1069:E1302,5,FALSE),0)</f>
        <v>0</v>
      </c>
      <c r="C229" s="667">
        <f>_xlfn.IFNA(VLOOKUP($A229,'Anlage 1b_Abzüge, Pflicht, Boni'!$A$26:$D$49,2,FALSE),0)</f>
        <v>0</v>
      </c>
      <c r="D229" s="667">
        <f>_xlfn.IFNA(VLOOKUP(A229,'Anlage 1b_Abzüge, Pflicht, Boni'!$A$9:$D$67,3,FALSE),0)</f>
        <v>0</v>
      </c>
      <c r="E229" s="667">
        <f>_xlfn.IFNA(VLOOKUP(A229,'Anlage 1b_Abzüge, Pflicht, Boni'!$A$26:$D$47,4,FALSE),0)</f>
        <v>0</v>
      </c>
      <c r="F229" s="88">
        <f t="shared" si="15"/>
        <v>0</v>
      </c>
      <c r="G229" s="88">
        <f>SUMIFS('Anlage 1c_Korrekturen_NB'!$L$105:$L$295,'Anlage 1c_Korrekturen_NB'!$A$105:$A$295,'Anlage 3a_Zusammenfassung_KWKG'!$A229)</f>
        <v>0</v>
      </c>
      <c r="H229" s="668">
        <f>_xlfn.IFNA(VLOOKUP(A229,'Anlage 1c_Korrekturen_NB'!$A$626:$D$629,4,FALSE),0)</f>
        <v>0</v>
      </c>
      <c r="I229" s="669">
        <f t="shared" si="14"/>
        <v>0</v>
      </c>
      <c r="J229" s="20" t="s">
        <v>894</v>
      </c>
    </row>
    <row r="230" spans="1:10" hidden="1" outlineLevel="1">
      <c r="A230" s="374" t="s">
        <v>895</v>
      </c>
      <c r="B230" s="1698">
        <f>_xlfn.IFNA(VLOOKUP($A230,'Anlage 1a_Zuschlagszahlungen_NB'!A1070:E1303,5,FALSE),0)</f>
        <v>108795.03</v>
      </c>
      <c r="C230" s="667">
        <f>_xlfn.IFNA(VLOOKUP($A230,'Anlage 1b_Abzüge, Pflicht, Boni'!$A$26:$D$49,2,FALSE),0)</f>
        <v>0</v>
      </c>
      <c r="D230" s="667">
        <f>_xlfn.IFNA(VLOOKUP(A230,'Anlage 1b_Abzüge, Pflicht, Boni'!$A$9:$D$67,3,FALSE),0)</f>
        <v>0</v>
      </c>
      <c r="E230" s="667">
        <f>_xlfn.IFNA(VLOOKUP(A230,'Anlage 1b_Abzüge, Pflicht, Boni'!$A$26:$D$47,4,FALSE),0)</f>
        <v>0</v>
      </c>
      <c r="F230" s="88">
        <f t="shared" si="15"/>
        <v>108795.03</v>
      </c>
      <c r="G230" s="88">
        <f>SUMIFS('Anlage 1c_Korrekturen_NB'!$L$105:$L$295,'Anlage 1c_Korrekturen_NB'!$A$105:$A$295,'Anlage 3a_Zusammenfassung_KWKG'!$A230)</f>
        <v>0</v>
      </c>
      <c r="H230" s="668">
        <f>_xlfn.IFNA(VLOOKUP(A230,'Anlage 1c_Korrekturen_NB'!$A$626:$D$629,4,FALSE),0)</f>
        <v>0</v>
      </c>
      <c r="I230" s="669">
        <f t="shared" si="14"/>
        <v>0</v>
      </c>
      <c r="J230" s="20" t="s">
        <v>896</v>
      </c>
    </row>
    <row r="231" spans="1:10" hidden="1" outlineLevel="1">
      <c r="A231" s="374" t="s">
        <v>897</v>
      </c>
      <c r="B231" s="1698">
        <f>_xlfn.IFNA(VLOOKUP($A231,'Anlage 1a_Zuschlagszahlungen_NB'!A1071:E1304,5,FALSE),0)</f>
        <v>0</v>
      </c>
      <c r="C231" s="667">
        <f>_xlfn.IFNA(VLOOKUP($A231,'Anlage 1b_Abzüge, Pflicht, Boni'!$A$26:$D$49,2,FALSE),0)</f>
        <v>0</v>
      </c>
      <c r="D231" s="667">
        <f>_xlfn.IFNA(VLOOKUP(A231,'Anlage 1b_Abzüge, Pflicht, Boni'!$A$9:$D$67,3,FALSE),0)</f>
        <v>0</v>
      </c>
      <c r="E231" s="667">
        <f>_xlfn.IFNA(VLOOKUP(A231,'Anlage 1b_Abzüge, Pflicht, Boni'!$A$26:$D$47,4,FALSE),0)</f>
        <v>0</v>
      </c>
      <c r="F231" s="88">
        <f t="shared" si="15"/>
        <v>0</v>
      </c>
      <c r="G231" s="88">
        <f>SUMIFS('Anlage 1c_Korrekturen_NB'!$L$105:$L$295,'Anlage 1c_Korrekturen_NB'!$A$105:$A$295,'Anlage 3a_Zusammenfassung_KWKG'!$A231)</f>
        <v>0</v>
      </c>
      <c r="H231" s="668">
        <f>_xlfn.IFNA(VLOOKUP(A231,'Anlage 1c_Korrekturen_NB'!$A$626:$D$629,4,FALSE),0)</f>
        <v>0</v>
      </c>
      <c r="I231" s="669">
        <f t="shared" si="14"/>
        <v>0</v>
      </c>
      <c r="J231" s="20" t="s">
        <v>898</v>
      </c>
    </row>
    <row r="232" spans="1:10" hidden="1" outlineLevel="1">
      <c r="A232" s="374" t="s">
        <v>899</v>
      </c>
      <c r="B232" s="1698">
        <f>_xlfn.IFNA(VLOOKUP($A232,'Anlage 1a_Zuschlagszahlungen_NB'!A1072:E1305,5,FALSE),0)</f>
        <v>115573.5</v>
      </c>
      <c r="C232" s="667">
        <f>_xlfn.IFNA(VLOOKUP($A232,'Anlage 1b_Abzüge, Pflicht, Boni'!$A$26:$D$49,2,FALSE),0)</f>
        <v>0</v>
      </c>
      <c r="D232" s="667">
        <f>_xlfn.IFNA(VLOOKUP(A232,'Anlage 1b_Abzüge, Pflicht, Boni'!$A$9:$D$67,3,FALSE),0)</f>
        <v>0</v>
      </c>
      <c r="E232" s="667">
        <f>_xlfn.IFNA(VLOOKUP(A232,'Anlage 1b_Abzüge, Pflicht, Boni'!$A$26:$D$47,4,FALSE),0)</f>
        <v>0</v>
      </c>
      <c r="F232" s="88">
        <f t="shared" si="15"/>
        <v>115573.5</v>
      </c>
      <c r="G232" s="88">
        <f>SUMIFS('Anlage 1c_Korrekturen_NB'!$L$105:$L$295,'Anlage 1c_Korrekturen_NB'!$A$105:$A$295,'Anlage 3a_Zusammenfassung_KWKG'!$A232)</f>
        <v>29237.25</v>
      </c>
      <c r="H232" s="668">
        <f>_xlfn.IFNA(VLOOKUP(A232,'Anlage 1c_Korrekturen_NB'!$A$626:$D$629,4,FALSE),0)</f>
        <v>0</v>
      </c>
      <c r="I232" s="669">
        <f t="shared" ref="I232:I295" si="16">G232+H232</f>
        <v>29237.25</v>
      </c>
      <c r="J232" s="20" t="s">
        <v>900</v>
      </c>
    </row>
    <row r="233" spans="1:10" hidden="1" outlineLevel="1">
      <c r="A233" s="374" t="s">
        <v>901</v>
      </c>
      <c r="B233" s="1698">
        <f>_xlfn.IFNA(VLOOKUP($A233,'Anlage 1a_Zuschlagszahlungen_NB'!A1073:E1306,5,FALSE),0)</f>
        <v>254558.97</v>
      </c>
      <c r="C233" s="667">
        <f>_xlfn.IFNA(VLOOKUP($A233,'Anlage 1b_Abzüge, Pflicht, Boni'!$A$26:$D$49,2,FALSE),0)</f>
        <v>0</v>
      </c>
      <c r="D233" s="667">
        <f>_xlfn.IFNA(VLOOKUP(A233,'Anlage 1b_Abzüge, Pflicht, Boni'!$A$9:$D$67,3,FALSE),0)</f>
        <v>0</v>
      </c>
      <c r="E233" s="667">
        <f>_xlfn.IFNA(VLOOKUP(A233,'Anlage 1b_Abzüge, Pflicht, Boni'!$A$26:$D$47,4,FALSE),0)</f>
        <v>0</v>
      </c>
      <c r="F233" s="88">
        <f t="shared" ref="F233:F296" si="17">SUM(B233:E233)</f>
        <v>254558.97</v>
      </c>
      <c r="G233" s="88">
        <f>SUMIFS('Anlage 1c_Korrekturen_NB'!$L$105:$L$295,'Anlage 1c_Korrekturen_NB'!$A$105:$A$295,'Anlage 3a_Zusammenfassung_KWKG'!$A233)</f>
        <v>0</v>
      </c>
      <c r="H233" s="668">
        <f>_xlfn.IFNA(VLOOKUP(A233,'Anlage 1c_Korrekturen_NB'!$A$626:$D$629,4,FALSE),0)</f>
        <v>0</v>
      </c>
      <c r="I233" s="669">
        <f t="shared" si="16"/>
        <v>0</v>
      </c>
      <c r="J233" s="20" t="s">
        <v>902</v>
      </c>
    </row>
    <row r="234" spans="1:10" hidden="1" outlineLevel="1">
      <c r="A234" s="374" t="s">
        <v>903</v>
      </c>
      <c r="B234" s="1698">
        <f>_xlfn.IFNA(VLOOKUP($A234,'Anlage 1a_Zuschlagszahlungen_NB'!A1074:E1307,5,FALSE),0)</f>
        <v>82902.89</v>
      </c>
      <c r="C234" s="667">
        <f>_xlfn.IFNA(VLOOKUP($A234,'Anlage 1b_Abzüge, Pflicht, Boni'!$A$26:$D$49,2,FALSE),0)</f>
        <v>0</v>
      </c>
      <c r="D234" s="667">
        <f>_xlfn.IFNA(VLOOKUP(A234,'Anlage 1b_Abzüge, Pflicht, Boni'!$A$9:$D$67,3,FALSE),0)</f>
        <v>0</v>
      </c>
      <c r="E234" s="667">
        <f>_xlfn.IFNA(VLOOKUP(A234,'Anlage 1b_Abzüge, Pflicht, Boni'!$A$26:$D$47,4,FALSE),0)</f>
        <v>0</v>
      </c>
      <c r="F234" s="88">
        <f t="shared" si="17"/>
        <v>82902.89</v>
      </c>
      <c r="G234" s="88">
        <f>SUMIFS('Anlage 1c_Korrekturen_NB'!$L$105:$L$295,'Anlage 1c_Korrekturen_NB'!$A$105:$A$295,'Anlage 3a_Zusammenfassung_KWKG'!$A234)</f>
        <v>10842.960000000001</v>
      </c>
      <c r="H234" s="668">
        <f>_xlfn.IFNA(VLOOKUP(A234,'Anlage 1c_Korrekturen_NB'!$A$626:$D$629,4,FALSE),0)</f>
        <v>0</v>
      </c>
      <c r="I234" s="669">
        <f t="shared" si="16"/>
        <v>10842.960000000001</v>
      </c>
      <c r="J234" s="20" t="s">
        <v>904</v>
      </c>
    </row>
    <row r="235" spans="1:10" hidden="1" outlineLevel="1">
      <c r="A235" s="374" t="s">
        <v>905</v>
      </c>
      <c r="B235" s="1698">
        <f>_xlfn.IFNA(VLOOKUP($A235,'Anlage 1a_Zuschlagszahlungen_NB'!A1075:E1308,5,FALSE),0)</f>
        <v>0</v>
      </c>
      <c r="C235" s="667">
        <f>_xlfn.IFNA(VLOOKUP($A235,'Anlage 1b_Abzüge, Pflicht, Boni'!$A$26:$D$49,2,FALSE),0)</f>
        <v>0</v>
      </c>
      <c r="D235" s="667">
        <f>_xlfn.IFNA(VLOOKUP(A235,'Anlage 1b_Abzüge, Pflicht, Boni'!$A$9:$D$67,3,FALSE),0)</f>
        <v>0</v>
      </c>
      <c r="E235" s="667">
        <f>_xlfn.IFNA(VLOOKUP(A235,'Anlage 1b_Abzüge, Pflicht, Boni'!$A$26:$D$47,4,FALSE),0)</f>
        <v>0</v>
      </c>
      <c r="F235" s="88">
        <f t="shared" si="17"/>
        <v>0</v>
      </c>
      <c r="G235" s="88">
        <f>SUMIFS('Anlage 1c_Korrekturen_NB'!$L$105:$L$295,'Anlage 1c_Korrekturen_NB'!$A$105:$A$295,'Anlage 3a_Zusammenfassung_KWKG'!$A235)</f>
        <v>0</v>
      </c>
      <c r="H235" s="668">
        <f>_xlfn.IFNA(VLOOKUP(A235,'Anlage 1c_Korrekturen_NB'!$A$626:$D$629,4,FALSE),0)</f>
        <v>0</v>
      </c>
      <c r="I235" s="669">
        <f t="shared" si="16"/>
        <v>0</v>
      </c>
      <c r="J235" s="20" t="s">
        <v>906</v>
      </c>
    </row>
    <row r="236" spans="1:10" hidden="1" outlineLevel="1">
      <c r="A236" s="374" t="s">
        <v>907</v>
      </c>
      <c r="B236" s="1698">
        <f>_xlfn.IFNA(VLOOKUP($A236,'Anlage 1a_Zuschlagszahlungen_NB'!A1076:E1309,5,FALSE),0)</f>
        <v>141731.1</v>
      </c>
      <c r="C236" s="667">
        <f>_xlfn.IFNA(VLOOKUP($A236,'Anlage 1b_Abzüge, Pflicht, Boni'!$A$26:$D$49,2,FALSE),0)</f>
        <v>0</v>
      </c>
      <c r="D236" s="667">
        <f>_xlfn.IFNA(VLOOKUP(A236,'Anlage 1b_Abzüge, Pflicht, Boni'!$A$9:$D$67,3,FALSE),0)</f>
        <v>0</v>
      </c>
      <c r="E236" s="667">
        <f>_xlfn.IFNA(VLOOKUP(A236,'Anlage 1b_Abzüge, Pflicht, Boni'!$A$26:$D$47,4,FALSE),0)</f>
        <v>0</v>
      </c>
      <c r="F236" s="88">
        <f t="shared" si="17"/>
        <v>141731.1</v>
      </c>
      <c r="G236" s="88">
        <f>SUMIFS('Anlage 1c_Korrekturen_NB'!$L$105:$L$295,'Anlage 1c_Korrekturen_NB'!$A$105:$A$295,'Anlage 3a_Zusammenfassung_KWKG'!$A236)</f>
        <v>0</v>
      </c>
      <c r="H236" s="668">
        <f>_xlfn.IFNA(VLOOKUP(A236,'Anlage 1c_Korrekturen_NB'!$A$626:$D$629,4,FALSE),0)</f>
        <v>0</v>
      </c>
      <c r="I236" s="669">
        <f t="shared" si="16"/>
        <v>0</v>
      </c>
      <c r="J236" s="20" t="s">
        <v>908</v>
      </c>
    </row>
    <row r="237" spans="1:10" hidden="1" outlineLevel="1">
      <c r="A237" s="374" t="s">
        <v>909</v>
      </c>
      <c r="B237" s="1698">
        <f>_xlfn.IFNA(VLOOKUP($A237,'Anlage 1a_Zuschlagszahlungen_NB'!A1077:E1310,5,FALSE),0)</f>
        <v>33979097.870000005</v>
      </c>
      <c r="C237" s="667">
        <f>_xlfn.IFNA(VLOOKUP($A237,'Anlage 1b_Abzüge, Pflicht, Boni'!$A$26:$D$49,2,FALSE),0)</f>
        <v>0</v>
      </c>
      <c r="D237" s="667">
        <f>_xlfn.IFNA(VLOOKUP(A237,'Anlage 1b_Abzüge, Pflicht, Boni'!$A$9:$D$67,3,FALSE),0)</f>
        <v>0</v>
      </c>
      <c r="E237" s="667">
        <f>_xlfn.IFNA(VLOOKUP(A237,'Anlage 1b_Abzüge, Pflicht, Boni'!$A$26:$D$47,4,FALSE),0)</f>
        <v>0</v>
      </c>
      <c r="F237" s="88">
        <f t="shared" si="17"/>
        <v>33979097.870000005</v>
      </c>
      <c r="G237" s="88">
        <f>SUMIFS('Anlage 1c_Korrekturen_NB'!$L$105:$L$295,'Anlage 1c_Korrekturen_NB'!$A$105:$A$295,'Anlage 3a_Zusammenfassung_KWKG'!$A237)</f>
        <v>226526</v>
      </c>
      <c r="H237" s="668">
        <f>_xlfn.IFNA(VLOOKUP(A237,'Anlage 1c_Korrekturen_NB'!$A$626:$D$629,4,FALSE),0)</f>
        <v>0</v>
      </c>
      <c r="I237" s="669">
        <f t="shared" si="16"/>
        <v>226526</v>
      </c>
      <c r="J237" s="20" t="s">
        <v>910</v>
      </c>
    </row>
    <row r="238" spans="1:10" hidden="1" outlineLevel="1">
      <c r="A238" s="374" t="s">
        <v>911</v>
      </c>
      <c r="B238" s="1698">
        <f>_xlfn.IFNA(VLOOKUP($A238,'Anlage 1a_Zuschlagszahlungen_NB'!A1078:E1311,5,FALSE),0)</f>
        <v>1897474.28</v>
      </c>
      <c r="C238" s="667">
        <f>_xlfn.IFNA(VLOOKUP($A238,'Anlage 1b_Abzüge, Pflicht, Boni'!$A$26:$D$49,2,FALSE),0)</f>
        <v>0</v>
      </c>
      <c r="D238" s="667">
        <f>_xlfn.IFNA(VLOOKUP(A238,'Anlage 1b_Abzüge, Pflicht, Boni'!$A$9:$D$67,3,FALSE),0)</f>
        <v>0</v>
      </c>
      <c r="E238" s="667">
        <f>_xlfn.IFNA(VLOOKUP(A238,'Anlage 1b_Abzüge, Pflicht, Boni'!$A$26:$D$47,4,FALSE),0)</f>
        <v>0</v>
      </c>
      <c r="F238" s="88">
        <f t="shared" si="17"/>
        <v>1897474.28</v>
      </c>
      <c r="G238" s="88">
        <f>SUMIFS('Anlage 1c_Korrekturen_NB'!$L$105:$L$295,'Anlage 1c_Korrekturen_NB'!$A$105:$A$295,'Anlage 3a_Zusammenfassung_KWKG'!$A238)</f>
        <v>0</v>
      </c>
      <c r="H238" s="668">
        <f>_xlfn.IFNA(VLOOKUP(A238,'Anlage 1c_Korrekturen_NB'!$A$626:$D$629,4,FALSE),0)</f>
        <v>0</v>
      </c>
      <c r="I238" s="669">
        <f t="shared" si="16"/>
        <v>0</v>
      </c>
      <c r="J238" s="20" t="s">
        <v>912</v>
      </c>
    </row>
    <row r="239" spans="1:10" hidden="1" outlineLevel="1">
      <c r="A239" s="374" t="s">
        <v>913</v>
      </c>
      <c r="B239" s="1698">
        <f>_xlfn.IFNA(VLOOKUP($A239,'Anlage 1a_Zuschlagszahlungen_NB'!A1079:E1312,5,FALSE),0)</f>
        <v>6766.7699999999995</v>
      </c>
      <c r="C239" s="667">
        <f>_xlfn.IFNA(VLOOKUP($A239,'Anlage 1b_Abzüge, Pflicht, Boni'!$A$26:$D$49,2,FALSE),0)</f>
        <v>0</v>
      </c>
      <c r="D239" s="667">
        <f>_xlfn.IFNA(VLOOKUP(A239,'Anlage 1b_Abzüge, Pflicht, Boni'!$A$9:$D$67,3,FALSE),0)</f>
        <v>0</v>
      </c>
      <c r="E239" s="667">
        <f>_xlfn.IFNA(VLOOKUP(A239,'Anlage 1b_Abzüge, Pflicht, Boni'!$A$26:$D$47,4,FALSE),0)</f>
        <v>0</v>
      </c>
      <c r="F239" s="88">
        <f t="shared" si="17"/>
        <v>6766.7699999999995</v>
      </c>
      <c r="G239" s="88">
        <f>SUMIFS('Anlage 1c_Korrekturen_NB'!$L$105:$L$295,'Anlage 1c_Korrekturen_NB'!$A$105:$A$295,'Anlage 3a_Zusammenfassung_KWKG'!$A239)</f>
        <v>0</v>
      </c>
      <c r="H239" s="668">
        <f>_xlfn.IFNA(VLOOKUP(A239,'Anlage 1c_Korrekturen_NB'!$A$626:$D$629,4,FALSE),0)</f>
        <v>0</v>
      </c>
      <c r="I239" s="669">
        <f t="shared" si="16"/>
        <v>0</v>
      </c>
      <c r="J239" s="20" t="s">
        <v>914</v>
      </c>
    </row>
    <row r="240" spans="1:10" hidden="1" outlineLevel="1">
      <c r="A240" s="374" t="s">
        <v>915</v>
      </c>
      <c r="B240" s="1698">
        <f>_xlfn.IFNA(VLOOKUP($A240,'Anlage 1a_Zuschlagszahlungen_NB'!A1080:E1313,5,FALSE),0)</f>
        <v>282996.89</v>
      </c>
      <c r="C240" s="667">
        <f>_xlfn.IFNA(VLOOKUP($A240,'Anlage 1b_Abzüge, Pflicht, Boni'!$A$26:$D$49,2,FALSE),0)</f>
        <v>0</v>
      </c>
      <c r="D240" s="667">
        <f>_xlfn.IFNA(VLOOKUP(A240,'Anlage 1b_Abzüge, Pflicht, Boni'!$A$9:$D$67,3,FALSE),0)</f>
        <v>0</v>
      </c>
      <c r="E240" s="667">
        <f>_xlfn.IFNA(VLOOKUP(A240,'Anlage 1b_Abzüge, Pflicht, Boni'!$A$26:$D$47,4,FALSE),0)</f>
        <v>0</v>
      </c>
      <c r="F240" s="88">
        <f t="shared" si="17"/>
        <v>282996.89</v>
      </c>
      <c r="G240" s="88">
        <f>SUMIFS('Anlage 1c_Korrekturen_NB'!$L$105:$L$295,'Anlage 1c_Korrekturen_NB'!$A$105:$A$295,'Anlage 3a_Zusammenfassung_KWKG'!$A240)</f>
        <v>0</v>
      </c>
      <c r="H240" s="668">
        <f>_xlfn.IFNA(VLOOKUP(A240,'Anlage 1c_Korrekturen_NB'!$A$626:$D$629,4,FALSE),0)</f>
        <v>0</v>
      </c>
      <c r="I240" s="669">
        <f t="shared" si="16"/>
        <v>0</v>
      </c>
      <c r="J240" s="20" t="s">
        <v>916</v>
      </c>
    </row>
    <row r="241" spans="1:10" hidden="1" outlineLevel="1">
      <c r="A241" s="374" t="s">
        <v>917</v>
      </c>
      <c r="B241" s="1698">
        <f>_xlfn.IFNA(VLOOKUP($A241,'Anlage 1a_Zuschlagszahlungen_NB'!A1081:E1314,5,FALSE),0)</f>
        <v>127330.43000000001</v>
      </c>
      <c r="C241" s="667">
        <f>_xlfn.IFNA(VLOOKUP($A241,'Anlage 1b_Abzüge, Pflicht, Boni'!$A$26:$D$49,2,FALSE),0)</f>
        <v>0</v>
      </c>
      <c r="D241" s="667">
        <f>_xlfn.IFNA(VLOOKUP(A241,'Anlage 1b_Abzüge, Pflicht, Boni'!$A$9:$D$67,3,FALSE),0)</f>
        <v>0</v>
      </c>
      <c r="E241" s="667">
        <f>_xlfn.IFNA(VLOOKUP(A241,'Anlage 1b_Abzüge, Pflicht, Boni'!$A$26:$D$47,4,FALSE),0)</f>
        <v>0</v>
      </c>
      <c r="F241" s="88">
        <f t="shared" si="17"/>
        <v>127330.43000000001</v>
      </c>
      <c r="G241" s="88">
        <f>SUMIFS('Anlage 1c_Korrekturen_NB'!$L$105:$L$295,'Anlage 1c_Korrekturen_NB'!$A$105:$A$295,'Anlage 3a_Zusammenfassung_KWKG'!$A241)</f>
        <v>0</v>
      </c>
      <c r="H241" s="668">
        <f>_xlfn.IFNA(VLOOKUP(A241,'Anlage 1c_Korrekturen_NB'!$A$626:$D$629,4,FALSE),0)</f>
        <v>0</v>
      </c>
      <c r="I241" s="669">
        <f t="shared" si="16"/>
        <v>0</v>
      </c>
      <c r="J241" s="20" t="s">
        <v>918</v>
      </c>
    </row>
    <row r="242" spans="1:10" hidden="1" outlineLevel="1">
      <c r="A242" s="374" t="s">
        <v>919</v>
      </c>
      <c r="B242" s="1698">
        <f>_xlfn.IFNA(VLOOKUP($A242,'Anlage 1a_Zuschlagszahlungen_NB'!A1082:E1315,5,FALSE),0)</f>
        <v>197622.78</v>
      </c>
      <c r="C242" s="667">
        <f>_xlfn.IFNA(VLOOKUP($A242,'Anlage 1b_Abzüge, Pflicht, Boni'!$A$26:$D$49,2,FALSE),0)</f>
        <v>0</v>
      </c>
      <c r="D242" s="667">
        <f>_xlfn.IFNA(VLOOKUP(A242,'Anlage 1b_Abzüge, Pflicht, Boni'!$A$9:$D$67,3,FALSE),0)</f>
        <v>0</v>
      </c>
      <c r="E242" s="667">
        <f>_xlfn.IFNA(VLOOKUP(A242,'Anlage 1b_Abzüge, Pflicht, Boni'!$A$26:$D$47,4,FALSE),0)</f>
        <v>0</v>
      </c>
      <c r="F242" s="88">
        <f t="shared" si="17"/>
        <v>197622.78</v>
      </c>
      <c r="G242" s="88">
        <f>SUMIFS('Anlage 1c_Korrekturen_NB'!$L$105:$L$295,'Anlage 1c_Korrekturen_NB'!$A$105:$A$295,'Anlage 3a_Zusammenfassung_KWKG'!$A242)</f>
        <v>-21921.359999999997</v>
      </c>
      <c r="H242" s="668">
        <f>_xlfn.IFNA(VLOOKUP(A242,'Anlage 1c_Korrekturen_NB'!$A$626:$D$629,4,FALSE),0)</f>
        <v>0</v>
      </c>
      <c r="I242" s="669">
        <f t="shared" si="16"/>
        <v>-21921.359999999997</v>
      </c>
      <c r="J242" s="20" t="s">
        <v>920</v>
      </c>
    </row>
    <row r="243" spans="1:10" hidden="1" outlineLevel="1">
      <c r="A243" s="374" t="s">
        <v>921</v>
      </c>
      <c r="B243" s="1698">
        <f>_xlfn.IFNA(VLOOKUP($A243,'Anlage 1a_Zuschlagszahlungen_NB'!A1083:E1316,5,FALSE),0)</f>
        <v>68635.959999999992</v>
      </c>
      <c r="C243" s="667">
        <f>_xlfn.IFNA(VLOOKUP($A243,'Anlage 1b_Abzüge, Pflicht, Boni'!$A$26:$D$49,2,FALSE),0)</f>
        <v>0</v>
      </c>
      <c r="D243" s="667">
        <f>_xlfn.IFNA(VLOOKUP(A243,'Anlage 1b_Abzüge, Pflicht, Boni'!$A$9:$D$67,3,FALSE),0)</f>
        <v>0</v>
      </c>
      <c r="E243" s="667">
        <f>_xlfn.IFNA(VLOOKUP(A243,'Anlage 1b_Abzüge, Pflicht, Boni'!$A$26:$D$47,4,FALSE),0)</f>
        <v>0</v>
      </c>
      <c r="F243" s="88">
        <f t="shared" si="17"/>
        <v>68635.959999999992</v>
      </c>
      <c r="G243" s="88">
        <f>SUMIFS('Anlage 1c_Korrekturen_NB'!$L$105:$L$295,'Anlage 1c_Korrekturen_NB'!$A$105:$A$295,'Anlage 3a_Zusammenfassung_KWKG'!$A243)</f>
        <v>0</v>
      </c>
      <c r="H243" s="668">
        <f>_xlfn.IFNA(VLOOKUP(A243,'Anlage 1c_Korrekturen_NB'!$A$626:$D$629,4,FALSE),0)</f>
        <v>0</v>
      </c>
      <c r="I243" s="669">
        <f t="shared" si="16"/>
        <v>0</v>
      </c>
      <c r="J243" s="20" t="s">
        <v>922</v>
      </c>
    </row>
    <row r="244" spans="1:10" hidden="1" outlineLevel="1">
      <c r="A244" s="374" t="s">
        <v>923</v>
      </c>
      <c r="B244" s="1698">
        <f>_xlfn.IFNA(VLOOKUP($A244,'Anlage 1a_Zuschlagszahlungen_NB'!A1084:E1317,5,FALSE),0)</f>
        <v>24112.959999999999</v>
      </c>
      <c r="C244" s="667">
        <f>_xlfn.IFNA(VLOOKUP($A244,'Anlage 1b_Abzüge, Pflicht, Boni'!$A$26:$D$49,2,FALSE),0)</f>
        <v>0</v>
      </c>
      <c r="D244" s="667">
        <f>_xlfn.IFNA(VLOOKUP(A244,'Anlage 1b_Abzüge, Pflicht, Boni'!$A$9:$D$67,3,FALSE),0)</f>
        <v>0</v>
      </c>
      <c r="E244" s="667">
        <f>_xlfn.IFNA(VLOOKUP(A244,'Anlage 1b_Abzüge, Pflicht, Boni'!$A$26:$D$47,4,FALSE),0)</f>
        <v>0</v>
      </c>
      <c r="F244" s="88">
        <f t="shared" si="17"/>
        <v>24112.959999999999</v>
      </c>
      <c r="G244" s="88">
        <f>SUMIFS('Anlage 1c_Korrekturen_NB'!$L$105:$L$295,'Anlage 1c_Korrekturen_NB'!$A$105:$A$295,'Anlage 3a_Zusammenfassung_KWKG'!$A244)</f>
        <v>0</v>
      </c>
      <c r="H244" s="668">
        <f>_xlfn.IFNA(VLOOKUP(A244,'Anlage 1c_Korrekturen_NB'!$A$626:$D$629,4,FALSE),0)</f>
        <v>0</v>
      </c>
      <c r="I244" s="669">
        <f t="shared" si="16"/>
        <v>0</v>
      </c>
      <c r="J244" s="20" t="s">
        <v>924</v>
      </c>
    </row>
    <row r="245" spans="1:10" hidden="1" outlineLevel="1">
      <c r="A245" s="374" t="s">
        <v>925</v>
      </c>
      <c r="B245" s="1698">
        <f>_xlfn.IFNA(VLOOKUP($A245,'Anlage 1a_Zuschlagszahlungen_NB'!A1085:E1318,5,FALSE),0)</f>
        <v>0</v>
      </c>
      <c r="C245" s="667">
        <f>_xlfn.IFNA(VLOOKUP($A245,'Anlage 1b_Abzüge, Pflicht, Boni'!$A$26:$D$49,2,FALSE),0)</f>
        <v>0</v>
      </c>
      <c r="D245" s="667">
        <f>_xlfn.IFNA(VLOOKUP(A245,'Anlage 1b_Abzüge, Pflicht, Boni'!$A$9:$D$67,3,FALSE),0)</f>
        <v>0</v>
      </c>
      <c r="E245" s="667">
        <f>_xlfn.IFNA(VLOOKUP(A245,'Anlage 1b_Abzüge, Pflicht, Boni'!$A$26:$D$47,4,FALSE),0)</f>
        <v>0</v>
      </c>
      <c r="F245" s="88">
        <f t="shared" si="17"/>
        <v>0</v>
      </c>
      <c r="G245" s="88">
        <f>SUMIFS('Anlage 1c_Korrekturen_NB'!$L$105:$L$295,'Anlage 1c_Korrekturen_NB'!$A$105:$A$295,'Anlage 3a_Zusammenfassung_KWKG'!$A245)</f>
        <v>0</v>
      </c>
      <c r="H245" s="668">
        <f>_xlfn.IFNA(VLOOKUP(A245,'Anlage 1c_Korrekturen_NB'!$A$626:$D$629,4,FALSE),0)</f>
        <v>0</v>
      </c>
      <c r="I245" s="669">
        <f t="shared" si="16"/>
        <v>0</v>
      </c>
      <c r="J245" s="20" t="s">
        <v>926</v>
      </c>
    </row>
    <row r="246" spans="1:10" hidden="1" outlineLevel="1">
      <c r="A246" s="374" t="s">
        <v>927</v>
      </c>
      <c r="B246" s="1698">
        <f>_xlfn.IFNA(VLOOKUP($A246,'Anlage 1a_Zuschlagszahlungen_NB'!A1086:E1319,5,FALSE),0)</f>
        <v>0</v>
      </c>
      <c r="C246" s="667">
        <f>_xlfn.IFNA(VLOOKUP($A246,'Anlage 1b_Abzüge, Pflicht, Boni'!$A$26:$D$49,2,FALSE),0)</f>
        <v>0</v>
      </c>
      <c r="D246" s="667">
        <f>_xlfn.IFNA(VLOOKUP(A246,'Anlage 1b_Abzüge, Pflicht, Boni'!$A$9:$D$67,3,FALSE),0)</f>
        <v>0</v>
      </c>
      <c r="E246" s="667">
        <f>_xlfn.IFNA(VLOOKUP(A246,'Anlage 1b_Abzüge, Pflicht, Boni'!$A$26:$D$47,4,FALSE),0)</f>
        <v>0</v>
      </c>
      <c r="F246" s="88">
        <f t="shared" si="17"/>
        <v>0</v>
      </c>
      <c r="G246" s="88">
        <f>SUMIFS('Anlage 1c_Korrekturen_NB'!$L$105:$L$295,'Anlage 1c_Korrekturen_NB'!$A$105:$A$295,'Anlage 3a_Zusammenfassung_KWKG'!$A246)</f>
        <v>7183.5</v>
      </c>
      <c r="H246" s="668">
        <f>_xlfn.IFNA(VLOOKUP(A246,'Anlage 1c_Korrekturen_NB'!$A$626:$D$629,4,FALSE),0)</f>
        <v>0</v>
      </c>
      <c r="I246" s="669">
        <f t="shared" si="16"/>
        <v>7183.5</v>
      </c>
      <c r="J246" s="20" t="s">
        <v>928</v>
      </c>
    </row>
    <row r="247" spans="1:10" hidden="1" outlineLevel="1">
      <c r="A247" s="374" t="s">
        <v>929</v>
      </c>
      <c r="B247" s="1698">
        <f>_xlfn.IFNA(VLOOKUP($A247,'Anlage 1a_Zuschlagszahlungen_NB'!A1087:E1320,5,FALSE),0)</f>
        <v>21116.04</v>
      </c>
      <c r="C247" s="667">
        <f>_xlfn.IFNA(VLOOKUP($A247,'Anlage 1b_Abzüge, Pflicht, Boni'!$A$26:$D$49,2,FALSE),0)</f>
        <v>-82.08</v>
      </c>
      <c r="D247" s="667">
        <f>_xlfn.IFNA(VLOOKUP(A247,'Anlage 1b_Abzüge, Pflicht, Boni'!$A$9:$D$67,3,FALSE),0)</f>
        <v>0</v>
      </c>
      <c r="E247" s="667">
        <f>_xlfn.IFNA(VLOOKUP(A247,'Anlage 1b_Abzüge, Pflicht, Boni'!$A$26:$D$47,4,FALSE),0)</f>
        <v>0</v>
      </c>
      <c r="F247" s="88">
        <f t="shared" si="17"/>
        <v>21033.96</v>
      </c>
      <c r="G247" s="88">
        <f>SUMIFS('Anlage 1c_Korrekturen_NB'!$L$105:$L$295,'Anlage 1c_Korrekturen_NB'!$A$105:$A$295,'Anlage 3a_Zusammenfassung_KWKG'!$A247)</f>
        <v>164.38999999999987</v>
      </c>
      <c r="H247" s="668">
        <f>_xlfn.IFNA(VLOOKUP(A247,'Anlage 1c_Korrekturen_NB'!$A$626:$D$629,4,FALSE),0)</f>
        <v>0</v>
      </c>
      <c r="I247" s="669">
        <f t="shared" si="16"/>
        <v>164.38999999999987</v>
      </c>
      <c r="J247" s="20" t="s">
        <v>930</v>
      </c>
    </row>
    <row r="248" spans="1:10" hidden="1" outlineLevel="1">
      <c r="A248" s="374" t="s">
        <v>931</v>
      </c>
      <c r="B248" s="1698">
        <f>_xlfn.IFNA(VLOOKUP($A248,'Anlage 1a_Zuschlagszahlungen_NB'!A1088:E1321,5,FALSE),0)</f>
        <v>5337010.58</v>
      </c>
      <c r="C248" s="667">
        <f>_xlfn.IFNA(VLOOKUP($A248,'Anlage 1b_Abzüge, Pflicht, Boni'!$A$26:$D$49,2,FALSE),0)</f>
        <v>0</v>
      </c>
      <c r="D248" s="667">
        <f>_xlfn.IFNA(VLOOKUP(A248,'Anlage 1b_Abzüge, Pflicht, Boni'!$A$9:$D$67,3,FALSE),0)</f>
        <v>0</v>
      </c>
      <c r="E248" s="667">
        <f>_xlfn.IFNA(VLOOKUP(A248,'Anlage 1b_Abzüge, Pflicht, Boni'!$A$26:$D$47,4,FALSE),0)</f>
        <v>0</v>
      </c>
      <c r="F248" s="88">
        <f t="shared" si="17"/>
        <v>5337010.58</v>
      </c>
      <c r="G248" s="88">
        <f>SUMIFS('Anlage 1c_Korrekturen_NB'!$L$105:$L$295,'Anlage 1c_Korrekturen_NB'!$A$105:$A$295,'Anlage 3a_Zusammenfassung_KWKG'!$A248)</f>
        <v>0</v>
      </c>
      <c r="H248" s="668">
        <f>_xlfn.IFNA(VLOOKUP(A248,'Anlage 1c_Korrekturen_NB'!$A$626:$D$629,4,FALSE),0)</f>
        <v>0</v>
      </c>
      <c r="I248" s="669">
        <f t="shared" si="16"/>
        <v>0</v>
      </c>
      <c r="J248" s="20" t="s">
        <v>932</v>
      </c>
    </row>
    <row r="249" spans="1:10" hidden="1" outlineLevel="1">
      <c r="A249" s="374" t="s">
        <v>933</v>
      </c>
      <c r="B249" s="1698">
        <f>_xlfn.IFNA(VLOOKUP($A249,'Anlage 1a_Zuschlagszahlungen_NB'!A1089:E1322,5,FALSE),0)</f>
        <v>539393.6</v>
      </c>
      <c r="C249" s="667">
        <f>_xlfn.IFNA(VLOOKUP($A249,'Anlage 1b_Abzüge, Pflicht, Boni'!$A$26:$D$49,2,FALSE),0)</f>
        <v>0</v>
      </c>
      <c r="D249" s="667">
        <f>_xlfn.IFNA(VLOOKUP(A249,'Anlage 1b_Abzüge, Pflicht, Boni'!$A$9:$D$67,3,FALSE),0)</f>
        <v>0</v>
      </c>
      <c r="E249" s="667">
        <f>_xlfn.IFNA(VLOOKUP(A249,'Anlage 1b_Abzüge, Pflicht, Boni'!$A$26:$D$47,4,FALSE),0)</f>
        <v>0</v>
      </c>
      <c r="F249" s="88">
        <f t="shared" si="17"/>
        <v>539393.6</v>
      </c>
      <c r="G249" s="88">
        <f>SUMIFS('Anlage 1c_Korrekturen_NB'!$L$105:$L$295,'Anlage 1c_Korrekturen_NB'!$A$105:$A$295,'Anlage 3a_Zusammenfassung_KWKG'!$A249)</f>
        <v>339850.02</v>
      </c>
      <c r="H249" s="668">
        <f>_xlfn.IFNA(VLOOKUP(A249,'Anlage 1c_Korrekturen_NB'!$A$626:$D$629,4,FALSE),0)</f>
        <v>0</v>
      </c>
      <c r="I249" s="669">
        <f t="shared" si="16"/>
        <v>339850.02</v>
      </c>
      <c r="J249" s="20" t="s">
        <v>934</v>
      </c>
    </row>
    <row r="250" spans="1:10" hidden="1" outlineLevel="1">
      <c r="A250" s="374" t="s">
        <v>935</v>
      </c>
      <c r="B250" s="1698">
        <f>_xlfn.IFNA(VLOOKUP($A250,'Anlage 1a_Zuschlagszahlungen_NB'!A1090:E1323,5,FALSE),0)</f>
        <v>50160.81</v>
      </c>
      <c r="C250" s="667">
        <f>_xlfn.IFNA(VLOOKUP($A250,'Anlage 1b_Abzüge, Pflicht, Boni'!$A$26:$D$49,2,FALSE),0)</f>
        <v>0</v>
      </c>
      <c r="D250" s="667">
        <f>_xlfn.IFNA(VLOOKUP(A250,'Anlage 1b_Abzüge, Pflicht, Boni'!$A$9:$D$67,3,FALSE),0)</f>
        <v>0</v>
      </c>
      <c r="E250" s="667">
        <f>_xlfn.IFNA(VLOOKUP(A250,'Anlage 1b_Abzüge, Pflicht, Boni'!$A$26:$D$47,4,FALSE),0)</f>
        <v>0</v>
      </c>
      <c r="F250" s="88">
        <f t="shared" si="17"/>
        <v>50160.81</v>
      </c>
      <c r="G250" s="88">
        <f>SUMIFS('Anlage 1c_Korrekturen_NB'!$L$105:$L$295,'Anlage 1c_Korrekturen_NB'!$A$105:$A$295,'Anlage 3a_Zusammenfassung_KWKG'!$A250)</f>
        <v>0</v>
      </c>
      <c r="H250" s="668">
        <f>_xlfn.IFNA(VLOOKUP(A250,'Anlage 1c_Korrekturen_NB'!$A$626:$D$629,4,FALSE),0)</f>
        <v>0</v>
      </c>
      <c r="I250" s="669">
        <f t="shared" si="16"/>
        <v>0</v>
      </c>
      <c r="J250" s="20" t="s">
        <v>936</v>
      </c>
    </row>
    <row r="251" spans="1:10" hidden="1" outlineLevel="1">
      <c r="A251" s="374" t="s">
        <v>937</v>
      </c>
      <c r="B251" s="1698">
        <f>_xlfn.IFNA(VLOOKUP($A251,'Anlage 1a_Zuschlagszahlungen_NB'!A1091:E1324,5,FALSE),0)</f>
        <v>0</v>
      </c>
      <c r="C251" s="667">
        <f>_xlfn.IFNA(VLOOKUP($A251,'Anlage 1b_Abzüge, Pflicht, Boni'!$A$26:$D$49,2,FALSE),0)</f>
        <v>0</v>
      </c>
      <c r="D251" s="667">
        <f>_xlfn.IFNA(VLOOKUP(A251,'Anlage 1b_Abzüge, Pflicht, Boni'!$A$9:$D$67,3,FALSE),0)</f>
        <v>0</v>
      </c>
      <c r="E251" s="667">
        <f>_xlfn.IFNA(VLOOKUP(A251,'Anlage 1b_Abzüge, Pflicht, Boni'!$A$26:$D$47,4,FALSE),0)</f>
        <v>0</v>
      </c>
      <c r="F251" s="88">
        <f t="shared" si="17"/>
        <v>0</v>
      </c>
      <c r="G251" s="88">
        <f>SUMIFS('Anlage 1c_Korrekturen_NB'!$L$105:$L$295,'Anlage 1c_Korrekturen_NB'!$A$105:$A$295,'Anlage 3a_Zusammenfassung_KWKG'!$A251)</f>
        <v>0</v>
      </c>
      <c r="H251" s="668">
        <f>_xlfn.IFNA(VLOOKUP(A251,'Anlage 1c_Korrekturen_NB'!$A$626:$D$629,4,FALSE),0)</f>
        <v>0</v>
      </c>
      <c r="I251" s="669">
        <f t="shared" si="16"/>
        <v>0</v>
      </c>
      <c r="J251" s="20" t="s">
        <v>938</v>
      </c>
    </row>
    <row r="252" spans="1:10" hidden="1" outlineLevel="1">
      <c r="A252" s="374" t="s">
        <v>939</v>
      </c>
      <c r="B252" s="1698">
        <f>_xlfn.IFNA(VLOOKUP($A252,'Anlage 1a_Zuschlagszahlungen_NB'!A1092:E1325,5,FALSE),0)</f>
        <v>119578.28</v>
      </c>
      <c r="C252" s="667">
        <f>_xlfn.IFNA(VLOOKUP($A252,'Anlage 1b_Abzüge, Pflicht, Boni'!$A$26:$D$49,2,FALSE),0)</f>
        <v>-388.68</v>
      </c>
      <c r="D252" s="667">
        <f>_xlfn.IFNA(VLOOKUP(A252,'Anlage 1b_Abzüge, Pflicht, Boni'!$A$9:$D$67,3,FALSE),0)</f>
        <v>0</v>
      </c>
      <c r="E252" s="667">
        <f>_xlfn.IFNA(VLOOKUP(A252,'Anlage 1b_Abzüge, Pflicht, Boni'!$A$26:$D$47,4,FALSE),0)</f>
        <v>0</v>
      </c>
      <c r="F252" s="88">
        <f t="shared" si="17"/>
        <v>119189.6</v>
      </c>
      <c r="G252" s="88">
        <f>SUMIFS('Anlage 1c_Korrekturen_NB'!$L$105:$L$295,'Anlage 1c_Korrekturen_NB'!$A$105:$A$295,'Anlage 3a_Zusammenfassung_KWKG'!$A252)</f>
        <v>-1126.79</v>
      </c>
      <c r="H252" s="668">
        <f>_xlfn.IFNA(VLOOKUP(A252,'Anlage 1c_Korrekturen_NB'!$A$626:$D$629,4,FALSE),0)</f>
        <v>0</v>
      </c>
      <c r="I252" s="669">
        <f t="shared" si="16"/>
        <v>-1126.79</v>
      </c>
      <c r="J252" s="20" t="s">
        <v>940</v>
      </c>
    </row>
    <row r="253" spans="1:10" hidden="1" outlineLevel="1">
      <c r="A253" s="374" t="s">
        <v>941</v>
      </c>
      <c r="B253" s="1698">
        <f>_xlfn.IFNA(VLOOKUP($A253,'Anlage 1a_Zuschlagszahlungen_NB'!A1093:E1326,5,FALSE),0)</f>
        <v>118424.75</v>
      </c>
      <c r="C253" s="667">
        <f>_xlfn.IFNA(VLOOKUP($A253,'Anlage 1b_Abzüge, Pflicht, Boni'!$A$26:$D$49,2,FALSE),0)</f>
        <v>0</v>
      </c>
      <c r="D253" s="667">
        <f>_xlfn.IFNA(VLOOKUP(A253,'Anlage 1b_Abzüge, Pflicht, Boni'!$A$9:$D$67,3,FALSE),0)</f>
        <v>0</v>
      </c>
      <c r="E253" s="667">
        <f>_xlfn.IFNA(VLOOKUP(A253,'Anlage 1b_Abzüge, Pflicht, Boni'!$A$26:$D$47,4,FALSE),0)</f>
        <v>0</v>
      </c>
      <c r="F253" s="88">
        <f t="shared" si="17"/>
        <v>118424.75</v>
      </c>
      <c r="G253" s="88">
        <f>SUMIFS('Anlage 1c_Korrekturen_NB'!$L$105:$L$295,'Anlage 1c_Korrekturen_NB'!$A$105:$A$295,'Anlage 3a_Zusammenfassung_KWKG'!$A253)</f>
        <v>0</v>
      </c>
      <c r="H253" s="668">
        <f>_xlfn.IFNA(VLOOKUP(A253,'Anlage 1c_Korrekturen_NB'!$A$626:$D$629,4,FALSE),0)</f>
        <v>0</v>
      </c>
      <c r="I253" s="669">
        <f t="shared" si="16"/>
        <v>0</v>
      </c>
      <c r="J253" s="20" t="s">
        <v>942</v>
      </c>
    </row>
    <row r="254" spans="1:10" hidden="1" outlineLevel="1">
      <c r="A254" s="374" t="s">
        <v>943</v>
      </c>
      <c r="B254" s="1698">
        <f>_xlfn.IFNA(VLOOKUP($A254,'Anlage 1a_Zuschlagszahlungen_NB'!A1094:E1327,5,FALSE),0)</f>
        <v>0</v>
      </c>
      <c r="C254" s="667">
        <f>_xlfn.IFNA(VLOOKUP($A254,'Anlage 1b_Abzüge, Pflicht, Boni'!$A$26:$D$49,2,FALSE),0)</f>
        <v>0</v>
      </c>
      <c r="D254" s="667">
        <f>_xlfn.IFNA(VLOOKUP(A254,'Anlage 1b_Abzüge, Pflicht, Boni'!$A$9:$D$67,3,FALSE),0)</f>
        <v>0</v>
      </c>
      <c r="E254" s="667">
        <f>_xlfn.IFNA(VLOOKUP(A254,'Anlage 1b_Abzüge, Pflicht, Boni'!$A$26:$D$47,4,FALSE),0)</f>
        <v>0</v>
      </c>
      <c r="F254" s="88">
        <f t="shared" si="17"/>
        <v>0</v>
      </c>
      <c r="G254" s="88">
        <f>SUMIFS('Anlage 1c_Korrekturen_NB'!$L$105:$L$295,'Anlage 1c_Korrekturen_NB'!$A$105:$A$295,'Anlage 3a_Zusammenfassung_KWKG'!$A254)</f>
        <v>0</v>
      </c>
      <c r="H254" s="668">
        <f>_xlfn.IFNA(VLOOKUP(A254,'Anlage 1c_Korrekturen_NB'!$A$626:$D$629,4,FALSE),0)</f>
        <v>0</v>
      </c>
      <c r="I254" s="669">
        <f t="shared" si="16"/>
        <v>0</v>
      </c>
      <c r="J254" s="20" t="s">
        <v>944</v>
      </c>
    </row>
    <row r="255" spans="1:10" hidden="1" outlineLevel="1">
      <c r="A255" s="374" t="s">
        <v>945</v>
      </c>
      <c r="B255" s="1698">
        <f>_xlfn.IFNA(VLOOKUP($A255,'Anlage 1a_Zuschlagszahlungen_NB'!A1095:E1328,5,FALSE),0)</f>
        <v>593300.83000000007</v>
      </c>
      <c r="C255" s="667">
        <f>_xlfn.IFNA(VLOOKUP($A255,'Anlage 1b_Abzüge, Pflicht, Boni'!$A$26:$D$49,2,FALSE),0)</f>
        <v>0</v>
      </c>
      <c r="D255" s="667">
        <f>_xlfn.IFNA(VLOOKUP(A255,'Anlage 1b_Abzüge, Pflicht, Boni'!$A$9:$D$67,3,FALSE),0)</f>
        <v>0</v>
      </c>
      <c r="E255" s="667">
        <f>_xlfn.IFNA(VLOOKUP(A255,'Anlage 1b_Abzüge, Pflicht, Boni'!$A$26:$D$47,4,FALSE),0)</f>
        <v>0</v>
      </c>
      <c r="F255" s="88">
        <f t="shared" si="17"/>
        <v>593300.83000000007</v>
      </c>
      <c r="G255" s="88">
        <f>SUMIFS('Anlage 1c_Korrekturen_NB'!$L$105:$L$295,'Anlage 1c_Korrekturen_NB'!$A$105:$A$295,'Anlage 3a_Zusammenfassung_KWKG'!$A255)</f>
        <v>1564.09</v>
      </c>
      <c r="H255" s="668">
        <f>_xlfn.IFNA(VLOOKUP(A255,'Anlage 1c_Korrekturen_NB'!$A$626:$D$629,4,FALSE),0)</f>
        <v>0</v>
      </c>
      <c r="I255" s="669">
        <f t="shared" si="16"/>
        <v>1564.09</v>
      </c>
      <c r="J255" s="20" t="s">
        <v>946</v>
      </c>
    </row>
    <row r="256" spans="1:10" hidden="1" outlineLevel="1">
      <c r="A256" s="374" t="s">
        <v>947</v>
      </c>
      <c r="B256" s="1698">
        <f>_xlfn.IFNA(VLOOKUP($A256,'Anlage 1a_Zuschlagszahlungen_NB'!A1096:E1329,5,FALSE),0)</f>
        <v>16318.8</v>
      </c>
      <c r="C256" s="667">
        <f>_xlfn.IFNA(VLOOKUP($A256,'Anlage 1b_Abzüge, Pflicht, Boni'!$A$26:$D$49,2,FALSE),0)</f>
        <v>0</v>
      </c>
      <c r="D256" s="667">
        <f>_xlfn.IFNA(VLOOKUP(A256,'Anlage 1b_Abzüge, Pflicht, Boni'!$A$9:$D$67,3,FALSE),0)</f>
        <v>0</v>
      </c>
      <c r="E256" s="667">
        <f>_xlfn.IFNA(VLOOKUP(A256,'Anlage 1b_Abzüge, Pflicht, Boni'!$A$26:$D$47,4,FALSE),0)</f>
        <v>0</v>
      </c>
      <c r="F256" s="88">
        <f t="shared" si="17"/>
        <v>16318.8</v>
      </c>
      <c r="G256" s="88">
        <f>SUMIFS('Anlage 1c_Korrekturen_NB'!$L$105:$L$295,'Anlage 1c_Korrekturen_NB'!$A$105:$A$295,'Anlage 3a_Zusammenfassung_KWKG'!$A256)</f>
        <v>0</v>
      </c>
      <c r="H256" s="668">
        <f>_xlfn.IFNA(VLOOKUP(A256,'Anlage 1c_Korrekturen_NB'!$A$626:$D$629,4,FALSE),0)</f>
        <v>0</v>
      </c>
      <c r="I256" s="669">
        <f t="shared" si="16"/>
        <v>0</v>
      </c>
      <c r="J256" s="20" t="s">
        <v>948</v>
      </c>
    </row>
    <row r="257" spans="1:10" hidden="1" outlineLevel="1">
      <c r="A257" s="374" t="s">
        <v>949</v>
      </c>
      <c r="B257" s="1698">
        <f>_xlfn.IFNA(VLOOKUP($A257,'Anlage 1a_Zuschlagszahlungen_NB'!A1097:E1330,5,FALSE),0)</f>
        <v>2425712.79</v>
      </c>
      <c r="C257" s="667">
        <f>_xlfn.IFNA(VLOOKUP($A257,'Anlage 1b_Abzüge, Pflicht, Boni'!$A$26:$D$49,2,FALSE),0)</f>
        <v>0</v>
      </c>
      <c r="D257" s="667">
        <f>_xlfn.IFNA(VLOOKUP(A257,'Anlage 1b_Abzüge, Pflicht, Boni'!$A$9:$D$67,3,FALSE),0)</f>
        <v>0</v>
      </c>
      <c r="E257" s="667">
        <f>_xlfn.IFNA(VLOOKUP(A257,'Anlage 1b_Abzüge, Pflicht, Boni'!$A$26:$D$47,4,FALSE),0)</f>
        <v>0</v>
      </c>
      <c r="F257" s="88">
        <f t="shared" si="17"/>
        <v>2425712.79</v>
      </c>
      <c r="G257" s="88">
        <f>SUMIFS('Anlage 1c_Korrekturen_NB'!$L$105:$L$295,'Anlage 1c_Korrekturen_NB'!$A$105:$A$295,'Anlage 3a_Zusammenfassung_KWKG'!$A257)</f>
        <v>984301.41</v>
      </c>
      <c r="H257" s="668">
        <f>_xlfn.IFNA(VLOOKUP(A257,'Anlage 1c_Korrekturen_NB'!$A$626:$D$629,4,FALSE),0)</f>
        <v>0</v>
      </c>
      <c r="I257" s="669">
        <f t="shared" si="16"/>
        <v>984301.41</v>
      </c>
      <c r="J257" s="20" t="s">
        <v>950</v>
      </c>
    </row>
    <row r="258" spans="1:10" hidden="1" outlineLevel="1">
      <c r="A258" s="374" t="s">
        <v>951</v>
      </c>
      <c r="B258" s="1698">
        <f>_xlfn.IFNA(VLOOKUP($A258,'Anlage 1a_Zuschlagszahlungen_NB'!A1098:E1331,5,FALSE),0)</f>
        <v>0</v>
      </c>
      <c r="C258" s="667">
        <f>_xlfn.IFNA(VLOOKUP($A258,'Anlage 1b_Abzüge, Pflicht, Boni'!$A$26:$D$49,2,FALSE),0)</f>
        <v>0</v>
      </c>
      <c r="D258" s="667">
        <f>_xlfn.IFNA(VLOOKUP(A258,'Anlage 1b_Abzüge, Pflicht, Boni'!$A$9:$D$67,3,FALSE),0)</f>
        <v>0</v>
      </c>
      <c r="E258" s="667">
        <f>_xlfn.IFNA(VLOOKUP(A258,'Anlage 1b_Abzüge, Pflicht, Boni'!$A$26:$D$47,4,FALSE),0)</f>
        <v>0</v>
      </c>
      <c r="F258" s="88">
        <f t="shared" si="17"/>
        <v>0</v>
      </c>
      <c r="G258" s="88">
        <f>SUMIFS('Anlage 1c_Korrekturen_NB'!$L$105:$L$295,'Anlage 1c_Korrekturen_NB'!$A$105:$A$295,'Anlage 3a_Zusammenfassung_KWKG'!$A258)</f>
        <v>0</v>
      </c>
      <c r="H258" s="668">
        <f>_xlfn.IFNA(VLOOKUP(A258,'Anlage 1c_Korrekturen_NB'!$A$626:$D$629,4,FALSE),0)</f>
        <v>0</v>
      </c>
      <c r="I258" s="669">
        <f t="shared" si="16"/>
        <v>0</v>
      </c>
      <c r="J258" s="20" t="s">
        <v>952</v>
      </c>
    </row>
    <row r="259" spans="1:10" hidden="1" outlineLevel="1">
      <c r="A259" s="374" t="s">
        <v>951</v>
      </c>
      <c r="B259" s="1698">
        <f>_xlfn.IFNA(VLOOKUP($A259,'Anlage 1a_Zuschlagszahlungen_NB'!A1099:E1332,5,FALSE),0)</f>
        <v>0</v>
      </c>
      <c r="C259" s="667">
        <f>_xlfn.IFNA(VLOOKUP($A259,'Anlage 1b_Abzüge, Pflicht, Boni'!$A$26:$D$49,2,FALSE),0)</f>
        <v>0</v>
      </c>
      <c r="D259" s="667">
        <f>_xlfn.IFNA(VLOOKUP(A259,'Anlage 1b_Abzüge, Pflicht, Boni'!$A$9:$D$67,3,FALSE),0)</f>
        <v>0</v>
      </c>
      <c r="E259" s="667">
        <f>_xlfn.IFNA(VLOOKUP(A259,'Anlage 1b_Abzüge, Pflicht, Boni'!$A$26:$D$47,4,FALSE),0)</f>
        <v>0</v>
      </c>
      <c r="F259" s="88">
        <f t="shared" si="17"/>
        <v>0</v>
      </c>
      <c r="G259" s="88">
        <f>SUMIFS('Anlage 1c_Korrekturen_NB'!$L$105:$L$295,'Anlage 1c_Korrekturen_NB'!$A$105:$A$295,'Anlage 3a_Zusammenfassung_KWKG'!$A259)</f>
        <v>0</v>
      </c>
      <c r="H259" s="668">
        <f>_xlfn.IFNA(VLOOKUP(A259,'Anlage 1c_Korrekturen_NB'!$A$626:$D$629,4,FALSE),0)</f>
        <v>0</v>
      </c>
      <c r="I259" s="669">
        <f t="shared" si="16"/>
        <v>0</v>
      </c>
      <c r="J259" s="20" t="s">
        <v>952</v>
      </c>
    </row>
    <row r="260" spans="1:10" hidden="1" outlineLevel="1">
      <c r="A260" s="374" t="s">
        <v>953</v>
      </c>
      <c r="B260" s="1698">
        <f>_xlfn.IFNA(VLOOKUP($A260,'Anlage 1a_Zuschlagszahlungen_NB'!A1100:E1333,5,FALSE),0)</f>
        <v>152990.1</v>
      </c>
      <c r="C260" s="667">
        <f>_xlfn.IFNA(VLOOKUP($A260,'Anlage 1b_Abzüge, Pflicht, Boni'!$A$26:$D$49,2,FALSE),0)</f>
        <v>0</v>
      </c>
      <c r="D260" s="667">
        <f>_xlfn.IFNA(VLOOKUP(A260,'Anlage 1b_Abzüge, Pflicht, Boni'!$A$9:$D$67,3,FALSE),0)</f>
        <v>0</v>
      </c>
      <c r="E260" s="667">
        <f>_xlfn.IFNA(VLOOKUP(A260,'Anlage 1b_Abzüge, Pflicht, Boni'!$A$26:$D$47,4,FALSE),0)</f>
        <v>0</v>
      </c>
      <c r="F260" s="88">
        <f t="shared" si="17"/>
        <v>152990.1</v>
      </c>
      <c r="G260" s="88">
        <f>SUMIFS('Anlage 1c_Korrekturen_NB'!$L$105:$L$295,'Anlage 1c_Korrekturen_NB'!$A$105:$A$295,'Anlage 3a_Zusammenfassung_KWKG'!$A260)</f>
        <v>0</v>
      </c>
      <c r="H260" s="668">
        <f>_xlfn.IFNA(VLOOKUP(A260,'Anlage 1c_Korrekturen_NB'!$A$626:$D$629,4,FALSE),0)</f>
        <v>0</v>
      </c>
      <c r="I260" s="669">
        <f t="shared" si="16"/>
        <v>0</v>
      </c>
      <c r="J260" s="20" t="s">
        <v>954</v>
      </c>
    </row>
    <row r="261" spans="1:10" hidden="1" outlineLevel="1">
      <c r="A261" s="374" t="s">
        <v>955</v>
      </c>
      <c r="B261" s="1698">
        <f>_xlfn.IFNA(VLOOKUP($A261,'Anlage 1a_Zuschlagszahlungen_NB'!A1101:E1334,5,FALSE),0)</f>
        <v>70391.490000000005</v>
      </c>
      <c r="C261" s="667">
        <f>_xlfn.IFNA(VLOOKUP($A261,'Anlage 1b_Abzüge, Pflicht, Boni'!$A$26:$D$49,2,FALSE),0)</f>
        <v>-2491</v>
      </c>
      <c r="D261" s="667">
        <f>_xlfn.IFNA(VLOOKUP(A261,'Anlage 1b_Abzüge, Pflicht, Boni'!$A$9:$D$67,3,FALSE),0)</f>
        <v>0</v>
      </c>
      <c r="E261" s="667">
        <f>_xlfn.IFNA(VLOOKUP(A261,'Anlage 1b_Abzüge, Pflicht, Boni'!$A$26:$D$47,4,FALSE),0)</f>
        <v>0</v>
      </c>
      <c r="F261" s="88">
        <f t="shared" si="17"/>
        <v>67900.490000000005</v>
      </c>
      <c r="G261" s="88">
        <f>SUMIFS('Anlage 1c_Korrekturen_NB'!$L$105:$L$295,'Anlage 1c_Korrekturen_NB'!$A$105:$A$295,'Anlage 3a_Zusammenfassung_KWKG'!$A261)</f>
        <v>12589.32</v>
      </c>
      <c r="H261" s="668">
        <f>_xlfn.IFNA(VLOOKUP(A261,'Anlage 1c_Korrekturen_NB'!$A$626:$D$629,4,FALSE),0)</f>
        <v>0</v>
      </c>
      <c r="I261" s="669">
        <f t="shared" si="16"/>
        <v>12589.32</v>
      </c>
      <c r="J261" s="20" t="s">
        <v>956</v>
      </c>
    </row>
    <row r="262" spans="1:10" hidden="1" outlineLevel="1">
      <c r="A262" s="374" t="s">
        <v>957</v>
      </c>
      <c r="B262" s="1698">
        <f>_xlfn.IFNA(VLOOKUP($A262,'Anlage 1a_Zuschlagszahlungen_NB'!A1102:E1335,5,FALSE),0)</f>
        <v>763645.46</v>
      </c>
      <c r="C262" s="667">
        <f>_xlfn.IFNA(VLOOKUP($A262,'Anlage 1b_Abzüge, Pflicht, Boni'!$A$26:$D$49,2,FALSE),0)</f>
        <v>0</v>
      </c>
      <c r="D262" s="667">
        <f>_xlfn.IFNA(VLOOKUP(A262,'Anlage 1b_Abzüge, Pflicht, Boni'!$A$9:$D$67,3,FALSE),0)</f>
        <v>0</v>
      </c>
      <c r="E262" s="667">
        <f>_xlfn.IFNA(VLOOKUP(A262,'Anlage 1b_Abzüge, Pflicht, Boni'!$A$26:$D$47,4,FALSE),0)</f>
        <v>0</v>
      </c>
      <c r="F262" s="88">
        <f t="shared" si="17"/>
        <v>763645.46</v>
      </c>
      <c r="G262" s="88">
        <f>SUMIFS('Anlage 1c_Korrekturen_NB'!$L$105:$L$295,'Anlage 1c_Korrekturen_NB'!$A$105:$A$295,'Anlage 3a_Zusammenfassung_KWKG'!$A262)</f>
        <v>0</v>
      </c>
      <c r="H262" s="668">
        <f>_xlfn.IFNA(VLOOKUP(A262,'Anlage 1c_Korrekturen_NB'!$A$626:$D$629,4,FALSE),0)</f>
        <v>0</v>
      </c>
      <c r="I262" s="669">
        <f t="shared" si="16"/>
        <v>0</v>
      </c>
      <c r="J262" s="20" t="s">
        <v>958</v>
      </c>
    </row>
    <row r="263" spans="1:10" hidden="1" outlineLevel="1">
      <c r="A263" s="374" t="s">
        <v>959</v>
      </c>
      <c r="B263" s="1698">
        <f>_xlfn.IFNA(VLOOKUP($A263,'Anlage 1a_Zuschlagszahlungen_NB'!A1103:E1336,5,FALSE),0)</f>
        <v>31550.42</v>
      </c>
      <c r="C263" s="667">
        <f>_xlfn.IFNA(VLOOKUP($A263,'Anlage 1b_Abzüge, Pflicht, Boni'!$A$26:$D$49,2,FALSE),0)</f>
        <v>0</v>
      </c>
      <c r="D263" s="667">
        <f>_xlfn.IFNA(VLOOKUP(A263,'Anlage 1b_Abzüge, Pflicht, Boni'!$A$9:$D$67,3,FALSE),0)</f>
        <v>0</v>
      </c>
      <c r="E263" s="667">
        <f>_xlfn.IFNA(VLOOKUP(A263,'Anlage 1b_Abzüge, Pflicht, Boni'!$A$26:$D$47,4,FALSE),0)</f>
        <v>0</v>
      </c>
      <c r="F263" s="88">
        <f t="shared" si="17"/>
        <v>31550.42</v>
      </c>
      <c r="G263" s="88">
        <f>SUMIFS('Anlage 1c_Korrekturen_NB'!$L$105:$L$295,'Anlage 1c_Korrekturen_NB'!$A$105:$A$295,'Anlage 3a_Zusammenfassung_KWKG'!$A263)</f>
        <v>0</v>
      </c>
      <c r="H263" s="668">
        <f>_xlfn.IFNA(VLOOKUP(A263,'Anlage 1c_Korrekturen_NB'!$A$626:$D$629,4,FALSE),0)</f>
        <v>0</v>
      </c>
      <c r="I263" s="669">
        <f t="shared" si="16"/>
        <v>0</v>
      </c>
      <c r="J263" s="20" t="s">
        <v>960</v>
      </c>
    </row>
    <row r="264" spans="1:10" hidden="1" outlineLevel="1">
      <c r="A264" s="374" t="s">
        <v>961</v>
      </c>
      <c r="B264" s="1698">
        <f>_xlfn.IFNA(VLOOKUP($A264,'Anlage 1a_Zuschlagszahlungen_NB'!A1104:E1337,5,FALSE),0)</f>
        <v>10017.49</v>
      </c>
      <c r="C264" s="667">
        <f>_xlfn.IFNA(VLOOKUP($A264,'Anlage 1b_Abzüge, Pflicht, Boni'!$A$26:$D$49,2,FALSE),0)</f>
        <v>0</v>
      </c>
      <c r="D264" s="667">
        <f>_xlfn.IFNA(VLOOKUP(A264,'Anlage 1b_Abzüge, Pflicht, Boni'!$A$9:$D$67,3,FALSE),0)</f>
        <v>0</v>
      </c>
      <c r="E264" s="667">
        <f>_xlfn.IFNA(VLOOKUP(A264,'Anlage 1b_Abzüge, Pflicht, Boni'!$A$26:$D$47,4,FALSE),0)</f>
        <v>0</v>
      </c>
      <c r="F264" s="88">
        <f t="shared" si="17"/>
        <v>10017.49</v>
      </c>
      <c r="G264" s="88">
        <f>SUMIFS('Anlage 1c_Korrekturen_NB'!$L$105:$L$295,'Anlage 1c_Korrekturen_NB'!$A$105:$A$295,'Anlage 3a_Zusammenfassung_KWKG'!$A264)</f>
        <v>0</v>
      </c>
      <c r="H264" s="668">
        <f>_xlfn.IFNA(VLOOKUP(A264,'Anlage 1c_Korrekturen_NB'!$A$626:$D$629,4,FALSE),0)</f>
        <v>0</v>
      </c>
      <c r="I264" s="669">
        <f t="shared" si="16"/>
        <v>0</v>
      </c>
      <c r="J264" s="20" t="s">
        <v>962</v>
      </c>
    </row>
    <row r="265" spans="1:10" hidden="1" outlineLevel="1">
      <c r="A265" s="374" t="s">
        <v>963</v>
      </c>
      <c r="B265" s="1698">
        <f>_xlfn.IFNA(VLOOKUP($A265,'Anlage 1a_Zuschlagszahlungen_NB'!A1105:E1338,5,FALSE),0)</f>
        <v>16297.92</v>
      </c>
      <c r="C265" s="667">
        <f>_xlfn.IFNA(VLOOKUP($A265,'Anlage 1b_Abzüge, Pflicht, Boni'!$A$26:$D$49,2,FALSE),0)</f>
        <v>0</v>
      </c>
      <c r="D265" s="667">
        <f>_xlfn.IFNA(VLOOKUP(A265,'Anlage 1b_Abzüge, Pflicht, Boni'!$A$9:$D$67,3,FALSE),0)</f>
        <v>0</v>
      </c>
      <c r="E265" s="667">
        <f>_xlfn.IFNA(VLOOKUP(A265,'Anlage 1b_Abzüge, Pflicht, Boni'!$A$26:$D$47,4,FALSE),0)</f>
        <v>0</v>
      </c>
      <c r="F265" s="88">
        <f t="shared" si="17"/>
        <v>16297.92</v>
      </c>
      <c r="G265" s="88">
        <f>SUMIFS('Anlage 1c_Korrekturen_NB'!$L$105:$L$295,'Anlage 1c_Korrekturen_NB'!$A$105:$A$295,'Anlage 3a_Zusammenfassung_KWKG'!$A265)</f>
        <v>0</v>
      </c>
      <c r="H265" s="668">
        <f>_xlfn.IFNA(VLOOKUP(A265,'Anlage 1c_Korrekturen_NB'!$A$626:$D$629,4,FALSE),0)</f>
        <v>0</v>
      </c>
      <c r="I265" s="669">
        <f t="shared" si="16"/>
        <v>0</v>
      </c>
      <c r="J265" s="20" t="s">
        <v>964</v>
      </c>
    </row>
    <row r="266" spans="1:10" hidden="1" outlineLevel="1">
      <c r="A266" s="374" t="s">
        <v>965</v>
      </c>
      <c r="B266" s="1698">
        <f>_xlfn.IFNA(VLOOKUP($A266,'Anlage 1a_Zuschlagszahlungen_NB'!A1106:E1339,5,FALSE),0)</f>
        <v>64309.770000000004</v>
      </c>
      <c r="C266" s="667">
        <f>_xlfn.IFNA(VLOOKUP($A266,'Anlage 1b_Abzüge, Pflicht, Boni'!$A$26:$D$49,2,FALSE),0)</f>
        <v>0</v>
      </c>
      <c r="D266" s="667">
        <f>_xlfn.IFNA(VLOOKUP(A266,'Anlage 1b_Abzüge, Pflicht, Boni'!$A$9:$D$67,3,FALSE),0)</f>
        <v>0</v>
      </c>
      <c r="E266" s="667">
        <f>_xlfn.IFNA(VLOOKUP(A266,'Anlage 1b_Abzüge, Pflicht, Boni'!$A$26:$D$47,4,FALSE),0)</f>
        <v>0</v>
      </c>
      <c r="F266" s="88">
        <f t="shared" si="17"/>
        <v>64309.770000000004</v>
      </c>
      <c r="G266" s="88">
        <f>SUMIFS('Anlage 1c_Korrekturen_NB'!$L$105:$L$295,'Anlage 1c_Korrekturen_NB'!$A$105:$A$295,'Anlage 3a_Zusammenfassung_KWKG'!$A266)</f>
        <v>0</v>
      </c>
      <c r="H266" s="668">
        <f>_xlfn.IFNA(VLOOKUP(A266,'Anlage 1c_Korrekturen_NB'!$A$626:$D$629,4,FALSE),0)</f>
        <v>0</v>
      </c>
      <c r="I266" s="669">
        <f t="shared" si="16"/>
        <v>0</v>
      </c>
      <c r="J266" s="20" t="s">
        <v>966</v>
      </c>
    </row>
    <row r="267" spans="1:10" hidden="1" outlineLevel="1">
      <c r="A267" s="374" t="s">
        <v>967</v>
      </c>
      <c r="B267" s="1698">
        <f>_xlfn.IFNA(VLOOKUP($A267,'Anlage 1a_Zuschlagszahlungen_NB'!A1107:E1340,5,FALSE),0)</f>
        <v>71205.63</v>
      </c>
      <c r="C267" s="667">
        <f>_xlfn.IFNA(VLOOKUP($A267,'Anlage 1b_Abzüge, Pflicht, Boni'!$A$26:$D$49,2,FALSE),0)</f>
        <v>0</v>
      </c>
      <c r="D267" s="667">
        <f>_xlfn.IFNA(VLOOKUP(A267,'Anlage 1b_Abzüge, Pflicht, Boni'!$A$9:$D$67,3,FALSE),0)</f>
        <v>0</v>
      </c>
      <c r="E267" s="667">
        <f>_xlfn.IFNA(VLOOKUP(A267,'Anlage 1b_Abzüge, Pflicht, Boni'!$A$26:$D$47,4,FALSE),0)</f>
        <v>0</v>
      </c>
      <c r="F267" s="88">
        <f t="shared" si="17"/>
        <v>71205.63</v>
      </c>
      <c r="G267" s="88">
        <f>SUMIFS('Anlage 1c_Korrekturen_NB'!$L$105:$L$295,'Anlage 1c_Korrekturen_NB'!$A$105:$A$295,'Anlage 3a_Zusammenfassung_KWKG'!$A267)</f>
        <v>0</v>
      </c>
      <c r="H267" s="668">
        <f>_xlfn.IFNA(VLOOKUP(A267,'Anlage 1c_Korrekturen_NB'!$A$626:$D$629,4,FALSE),0)</f>
        <v>0</v>
      </c>
      <c r="I267" s="669">
        <f t="shared" si="16"/>
        <v>0</v>
      </c>
      <c r="J267" s="20" t="s">
        <v>968</v>
      </c>
    </row>
    <row r="268" spans="1:10" hidden="1" outlineLevel="1">
      <c r="A268" s="374" t="s">
        <v>969</v>
      </c>
      <c r="B268" s="1698">
        <f>_xlfn.IFNA(VLOOKUP($A268,'Anlage 1a_Zuschlagszahlungen_NB'!A1108:E1341,5,FALSE),0)</f>
        <v>27738.35</v>
      </c>
      <c r="C268" s="667">
        <f>_xlfn.IFNA(VLOOKUP($A268,'Anlage 1b_Abzüge, Pflicht, Boni'!$A$26:$D$49,2,FALSE),0)</f>
        <v>0</v>
      </c>
      <c r="D268" s="667">
        <f>_xlfn.IFNA(VLOOKUP(A268,'Anlage 1b_Abzüge, Pflicht, Boni'!$A$9:$D$67,3,FALSE),0)</f>
        <v>0</v>
      </c>
      <c r="E268" s="667">
        <f>_xlfn.IFNA(VLOOKUP(A268,'Anlage 1b_Abzüge, Pflicht, Boni'!$A$26:$D$47,4,FALSE),0)</f>
        <v>0</v>
      </c>
      <c r="F268" s="88">
        <f t="shared" si="17"/>
        <v>27738.35</v>
      </c>
      <c r="G268" s="88">
        <f>SUMIFS('Anlage 1c_Korrekturen_NB'!$L$105:$L$295,'Anlage 1c_Korrekturen_NB'!$A$105:$A$295,'Anlage 3a_Zusammenfassung_KWKG'!$A268)</f>
        <v>0</v>
      </c>
      <c r="H268" s="668">
        <f>_xlfn.IFNA(VLOOKUP(A268,'Anlage 1c_Korrekturen_NB'!$A$626:$D$629,4,FALSE),0)</f>
        <v>0</v>
      </c>
      <c r="I268" s="669">
        <f t="shared" si="16"/>
        <v>0</v>
      </c>
      <c r="J268" s="20" t="s">
        <v>970</v>
      </c>
    </row>
    <row r="269" spans="1:10" hidden="1" outlineLevel="1">
      <c r="A269" s="374" t="s">
        <v>971</v>
      </c>
      <c r="B269" s="1698">
        <f>_xlfn.IFNA(VLOOKUP($A269,'Anlage 1a_Zuschlagszahlungen_NB'!A1109:E1342,5,FALSE),0)</f>
        <v>250727.38999999998</v>
      </c>
      <c r="C269" s="667">
        <f>_xlfn.IFNA(VLOOKUP($A269,'Anlage 1b_Abzüge, Pflicht, Boni'!$A$26:$D$49,2,FALSE),0)</f>
        <v>0</v>
      </c>
      <c r="D269" s="667">
        <f>_xlfn.IFNA(VLOOKUP(A269,'Anlage 1b_Abzüge, Pflicht, Boni'!$A$9:$D$67,3,FALSE),0)</f>
        <v>0</v>
      </c>
      <c r="E269" s="667">
        <f>_xlfn.IFNA(VLOOKUP(A269,'Anlage 1b_Abzüge, Pflicht, Boni'!$A$26:$D$47,4,FALSE),0)</f>
        <v>0</v>
      </c>
      <c r="F269" s="88">
        <f t="shared" si="17"/>
        <v>250727.38999999998</v>
      </c>
      <c r="G269" s="88">
        <f>SUMIFS('Anlage 1c_Korrekturen_NB'!$L$105:$L$295,'Anlage 1c_Korrekturen_NB'!$A$105:$A$295,'Anlage 3a_Zusammenfassung_KWKG'!$A269)</f>
        <v>147355.79999999999</v>
      </c>
      <c r="H269" s="668">
        <f>_xlfn.IFNA(VLOOKUP(A269,'Anlage 1c_Korrekturen_NB'!$A$626:$D$629,4,FALSE),0)</f>
        <v>0</v>
      </c>
      <c r="I269" s="669">
        <f t="shared" si="16"/>
        <v>147355.79999999999</v>
      </c>
      <c r="J269" s="20" t="s">
        <v>972</v>
      </c>
    </row>
    <row r="270" spans="1:10" hidden="1" outlineLevel="1">
      <c r="A270" s="374" t="s">
        <v>973</v>
      </c>
      <c r="B270" s="1698">
        <f>_xlfn.IFNA(VLOOKUP($A270,'Anlage 1a_Zuschlagszahlungen_NB'!A1110:E1343,5,FALSE),0)</f>
        <v>0</v>
      </c>
      <c r="C270" s="667">
        <f>_xlfn.IFNA(VLOOKUP($A270,'Anlage 1b_Abzüge, Pflicht, Boni'!$A$26:$D$49,2,FALSE),0)</f>
        <v>0</v>
      </c>
      <c r="D270" s="667">
        <f>_xlfn.IFNA(VLOOKUP(A270,'Anlage 1b_Abzüge, Pflicht, Boni'!$A$9:$D$67,3,FALSE),0)</f>
        <v>0</v>
      </c>
      <c r="E270" s="667">
        <f>_xlfn.IFNA(VLOOKUP(A270,'Anlage 1b_Abzüge, Pflicht, Boni'!$A$26:$D$47,4,FALSE),0)</f>
        <v>0</v>
      </c>
      <c r="F270" s="88">
        <f t="shared" si="17"/>
        <v>0</v>
      </c>
      <c r="G270" s="88">
        <f>SUMIFS('Anlage 1c_Korrekturen_NB'!$L$105:$L$295,'Anlage 1c_Korrekturen_NB'!$A$105:$A$295,'Anlage 3a_Zusammenfassung_KWKG'!$A270)</f>
        <v>0</v>
      </c>
      <c r="H270" s="668">
        <f>_xlfn.IFNA(VLOOKUP(A270,'Anlage 1c_Korrekturen_NB'!$A$626:$D$629,4,FALSE),0)</f>
        <v>0</v>
      </c>
      <c r="I270" s="669">
        <f t="shared" si="16"/>
        <v>0</v>
      </c>
      <c r="J270" s="20" t="s">
        <v>974</v>
      </c>
    </row>
    <row r="271" spans="1:10" hidden="1" outlineLevel="1">
      <c r="A271" s="374" t="s">
        <v>975</v>
      </c>
      <c r="B271" s="1698">
        <f>_xlfn.IFNA(VLOOKUP($A271,'Anlage 1a_Zuschlagszahlungen_NB'!A1111:E1344,5,FALSE),0)</f>
        <v>71680.39</v>
      </c>
      <c r="C271" s="667">
        <f>_xlfn.IFNA(VLOOKUP($A271,'Anlage 1b_Abzüge, Pflicht, Boni'!$A$26:$D$49,2,FALSE),0)</f>
        <v>0</v>
      </c>
      <c r="D271" s="667">
        <f>_xlfn.IFNA(VLOOKUP(A271,'Anlage 1b_Abzüge, Pflicht, Boni'!$A$9:$D$67,3,FALSE),0)</f>
        <v>0</v>
      </c>
      <c r="E271" s="667">
        <f>_xlfn.IFNA(VLOOKUP(A271,'Anlage 1b_Abzüge, Pflicht, Boni'!$A$26:$D$47,4,FALSE),0)</f>
        <v>0</v>
      </c>
      <c r="F271" s="88">
        <f t="shared" si="17"/>
        <v>71680.39</v>
      </c>
      <c r="G271" s="88">
        <f>SUMIFS('Anlage 1c_Korrekturen_NB'!$L$105:$L$295,'Anlage 1c_Korrekturen_NB'!$A$105:$A$295,'Anlage 3a_Zusammenfassung_KWKG'!$A271)</f>
        <v>-2756.2799999999997</v>
      </c>
      <c r="H271" s="668">
        <f>_xlfn.IFNA(VLOOKUP(A271,'Anlage 1c_Korrekturen_NB'!$A$626:$D$629,4,FALSE),0)</f>
        <v>0</v>
      </c>
      <c r="I271" s="669">
        <f t="shared" si="16"/>
        <v>-2756.2799999999997</v>
      </c>
      <c r="J271" s="20" t="s">
        <v>976</v>
      </c>
    </row>
    <row r="272" spans="1:10" hidden="1" outlineLevel="1">
      <c r="A272" s="374" t="s">
        <v>977</v>
      </c>
      <c r="B272" s="1698">
        <f>_xlfn.IFNA(VLOOKUP($A272,'Anlage 1a_Zuschlagszahlungen_NB'!A1112:E1345,5,FALSE),0)</f>
        <v>0</v>
      </c>
      <c r="C272" s="667">
        <f>_xlfn.IFNA(VLOOKUP($A272,'Anlage 1b_Abzüge, Pflicht, Boni'!$A$26:$D$49,2,FALSE),0)</f>
        <v>0</v>
      </c>
      <c r="D272" s="667">
        <f>_xlfn.IFNA(VLOOKUP(A272,'Anlage 1b_Abzüge, Pflicht, Boni'!$A$9:$D$67,3,FALSE),0)</f>
        <v>0</v>
      </c>
      <c r="E272" s="667">
        <f>_xlfn.IFNA(VLOOKUP(A272,'Anlage 1b_Abzüge, Pflicht, Boni'!$A$26:$D$47,4,FALSE),0)</f>
        <v>0</v>
      </c>
      <c r="F272" s="88">
        <f t="shared" si="17"/>
        <v>0</v>
      </c>
      <c r="G272" s="88">
        <f>SUMIFS('Anlage 1c_Korrekturen_NB'!$L$105:$L$295,'Anlage 1c_Korrekturen_NB'!$A$105:$A$295,'Anlage 3a_Zusammenfassung_KWKG'!$A272)</f>
        <v>0</v>
      </c>
      <c r="H272" s="668">
        <f>_xlfn.IFNA(VLOOKUP(A272,'Anlage 1c_Korrekturen_NB'!$A$626:$D$629,4,FALSE),0)</f>
        <v>0</v>
      </c>
      <c r="I272" s="669">
        <f t="shared" si="16"/>
        <v>0</v>
      </c>
      <c r="J272" s="20" t="s">
        <v>978</v>
      </c>
    </row>
    <row r="273" spans="1:10" hidden="1" outlineLevel="1">
      <c r="A273" s="374" t="s">
        <v>979</v>
      </c>
      <c r="B273" s="1698">
        <f>_xlfn.IFNA(VLOOKUP($A273,'Anlage 1a_Zuschlagszahlungen_NB'!A1113:E1346,5,FALSE),0)</f>
        <v>0</v>
      </c>
      <c r="C273" s="667">
        <f>_xlfn.IFNA(VLOOKUP($A273,'Anlage 1b_Abzüge, Pflicht, Boni'!$A$26:$D$49,2,FALSE),0)</f>
        <v>0</v>
      </c>
      <c r="D273" s="667">
        <f>_xlfn.IFNA(VLOOKUP(A273,'Anlage 1b_Abzüge, Pflicht, Boni'!$A$9:$D$67,3,FALSE),0)</f>
        <v>0</v>
      </c>
      <c r="E273" s="667">
        <f>_xlfn.IFNA(VLOOKUP(A273,'Anlage 1b_Abzüge, Pflicht, Boni'!$A$26:$D$47,4,FALSE),0)</f>
        <v>0</v>
      </c>
      <c r="F273" s="88">
        <f t="shared" si="17"/>
        <v>0</v>
      </c>
      <c r="G273" s="88">
        <f>SUMIFS('Anlage 1c_Korrekturen_NB'!$L$105:$L$295,'Anlage 1c_Korrekturen_NB'!$A$105:$A$295,'Anlage 3a_Zusammenfassung_KWKG'!$A273)</f>
        <v>0</v>
      </c>
      <c r="H273" s="668">
        <f>_xlfn.IFNA(VLOOKUP(A273,'Anlage 1c_Korrekturen_NB'!$A$626:$D$629,4,FALSE),0)</f>
        <v>0</v>
      </c>
      <c r="I273" s="669">
        <f t="shared" si="16"/>
        <v>0</v>
      </c>
      <c r="J273" s="20" t="s">
        <v>980</v>
      </c>
    </row>
    <row r="274" spans="1:10" hidden="1" outlineLevel="1">
      <c r="A274" s="374" t="s">
        <v>981</v>
      </c>
      <c r="B274" s="1698">
        <f>_xlfn.IFNA(VLOOKUP($A274,'Anlage 1a_Zuschlagszahlungen_NB'!A1114:E1347,5,FALSE),0)</f>
        <v>64559.6</v>
      </c>
      <c r="C274" s="667">
        <f>_xlfn.IFNA(VLOOKUP($A274,'Anlage 1b_Abzüge, Pflicht, Boni'!$A$26:$D$49,2,FALSE),0)</f>
        <v>0</v>
      </c>
      <c r="D274" s="667">
        <f>_xlfn.IFNA(VLOOKUP(A274,'Anlage 1b_Abzüge, Pflicht, Boni'!$A$9:$D$67,3,FALSE),0)</f>
        <v>0</v>
      </c>
      <c r="E274" s="667">
        <f>_xlfn.IFNA(VLOOKUP(A274,'Anlage 1b_Abzüge, Pflicht, Boni'!$A$26:$D$47,4,FALSE),0)</f>
        <v>0</v>
      </c>
      <c r="F274" s="88">
        <f t="shared" si="17"/>
        <v>64559.6</v>
      </c>
      <c r="G274" s="88">
        <f>SUMIFS('Anlage 1c_Korrekturen_NB'!$L$105:$L$295,'Anlage 1c_Korrekturen_NB'!$A$105:$A$295,'Anlage 3a_Zusammenfassung_KWKG'!$A274)</f>
        <v>0</v>
      </c>
      <c r="H274" s="668">
        <f>_xlfn.IFNA(VLOOKUP(A274,'Anlage 1c_Korrekturen_NB'!$A$626:$D$629,4,FALSE),0)</f>
        <v>0</v>
      </c>
      <c r="I274" s="669">
        <f t="shared" si="16"/>
        <v>0</v>
      </c>
      <c r="J274" s="20" t="s">
        <v>982</v>
      </c>
    </row>
    <row r="275" spans="1:10" hidden="1" outlineLevel="1">
      <c r="A275" s="374" t="s">
        <v>983</v>
      </c>
      <c r="B275" s="1698">
        <f>_xlfn.IFNA(VLOOKUP($A275,'Anlage 1a_Zuschlagszahlungen_NB'!A1115:E1348,5,FALSE),0)</f>
        <v>214907.09</v>
      </c>
      <c r="C275" s="667">
        <f>_xlfn.IFNA(VLOOKUP($A275,'Anlage 1b_Abzüge, Pflicht, Boni'!$A$26:$D$49,2,FALSE),0)</f>
        <v>0</v>
      </c>
      <c r="D275" s="667">
        <f>_xlfn.IFNA(VLOOKUP(A275,'Anlage 1b_Abzüge, Pflicht, Boni'!$A$9:$D$67,3,FALSE),0)</f>
        <v>0</v>
      </c>
      <c r="E275" s="667">
        <f>_xlfn.IFNA(VLOOKUP(A275,'Anlage 1b_Abzüge, Pflicht, Boni'!$A$26:$D$47,4,FALSE),0)</f>
        <v>0</v>
      </c>
      <c r="F275" s="88">
        <f t="shared" si="17"/>
        <v>214907.09</v>
      </c>
      <c r="G275" s="88">
        <f>SUMIFS('Anlage 1c_Korrekturen_NB'!$L$105:$L$295,'Anlage 1c_Korrekturen_NB'!$A$105:$A$295,'Anlage 3a_Zusammenfassung_KWKG'!$A275)</f>
        <v>0</v>
      </c>
      <c r="H275" s="668">
        <f>_xlfn.IFNA(VLOOKUP(A275,'Anlage 1c_Korrekturen_NB'!$A$626:$D$629,4,FALSE),0)</f>
        <v>0</v>
      </c>
      <c r="I275" s="669">
        <f t="shared" si="16"/>
        <v>0</v>
      </c>
      <c r="J275" s="20" t="s">
        <v>984</v>
      </c>
    </row>
    <row r="276" spans="1:10" hidden="1" outlineLevel="1">
      <c r="A276" s="374" t="s">
        <v>985</v>
      </c>
      <c r="B276" s="1698">
        <f>_xlfn.IFNA(VLOOKUP($A276,'Anlage 1a_Zuschlagszahlungen_NB'!A1116:E1349,5,FALSE),0)</f>
        <v>450597.55</v>
      </c>
      <c r="C276" s="667">
        <f>_xlfn.IFNA(VLOOKUP($A276,'Anlage 1b_Abzüge, Pflicht, Boni'!$A$26:$D$49,2,FALSE),0)</f>
        <v>0</v>
      </c>
      <c r="D276" s="667">
        <f>_xlfn.IFNA(VLOOKUP(A276,'Anlage 1b_Abzüge, Pflicht, Boni'!$A$9:$D$67,3,FALSE),0)</f>
        <v>0</v>
      </c>
      <c r="E276" s="667">
        <f>_xlfn.IFNA(VLOOKUP(A276,'Anlage 1b_Abzüge, Pflicht, Boni'!$A$26:$D$47,4,FALSE),0)</f>
        <v>0</v>
      </c>
      <c r="F276" s="88">
        <f t="shared" si="17"/>
        <v>450597.55</v>
      </c>
      <c r="G276" s="88">
        <f>SUMIFS('Anlage 1c_Korrekturen_NB'!$L$105:$L$295,'Anlage 1c_Korrekturen_NB'!$A$105:$A$295,'Anlage 3a_Zusammenfassung_KWKG'!$A276)</f>
        <v>263442.11</v>
      </c>
      <c r="H276" s="668">
        <f>_xlfn.IFNA(VLOOKUP(A276,'Anlage 1c_Korrekturen_NB'!$A$626:$D$629,4,FALSE),0)</f>
        <v>0</v>
      </c>
      <c r="I276" s="669">
        <f t="shared" si="16"/>
        <v>263442.11</v>
      </c>
      <c r="J276" s="20" t="s">
        <v>986</v>
      </c>
    </row>
    <row r="277" spans="1:10" hidden="1" outlineLevel="1">
      <c r="A277" s="374" t="s">
        <v>987</v>
      </c>
      <c r="B277" s="1698">
        <f>_xlfn.IFNA(VLOOKUP($A277,'Anlage 1a_Zuschlagszahlungen_NB'!A1117:E1350,5,FALSE),0)</f>
        <v>5147.79</v>
      </c>
      <c r="C277" s="667">
        <f>_xlfn.IFNA(VLOOKUP($A277,'Anlage 1b_Abzüge, Pflicht, Boni'!$A$26:$D$49,2,FALSE),0)</f>
        <v>0</v>
      </c>
      <c r="D277" s="667">
        <f>_xlfn.IFNA(VLOOKUP(A277,'Anlage 1b_Abzüge, Pflicht, Boni'!$A$9:$D$67,3,FALSE),0)</f>
        <v>0</v>
      </c>
      <c r="E277" s="667">
        <f>_xlfn.IFNA(VLOOKUP(A277,'Anlage 1b_Abzüge, Pflicht, Boni'!$A$26:$D$47,4,FALSE),0)</f>
        <v>0</v>
      </c>
      <c r="F277" s="88">
        <f t="shared" si="17"/>
        <v>5147.79</v>
      </c>
      <c r="G277" s="88">
        <f>SUMIFS('Anlage 1c_Korrekturen_NB'!$L$105:$L$295,'Anlage 1c_Korrekturen_NB'!$A$105:$A$295,'Anlage 3a_Zusammenfassung_KWKG'!$A277)</f>
        <v>0</v>
      </c>
      <c r="H277" s="668">
        <f>_xlfn.IFNA(VLOOKUP(A277,'Anlage 1c_Korrekturen_NB'!$A$626:$D$629,4,FALSE),0)</f>
        <v>0</v>
      </c>
      <c r="I277" s="669">
        <f t="shared" si="16"/>
        <v>0</v>
      </c>
      <c r="J277" s="20" t="s">
        <v>988</v>
      </c>
    </row>
    <row r="278" spans="1:10" hidden="1" outlineLevel="1">
      <c r="A278" s="374" t="s">
        <v>989</v>
      </c>
      <c r="B278" s="1698">
        <f>_xlfn.IFNA(VLOOKUP($A278,'Anlage 1a_Zuschlagszahlungen_NB'!A1118:E1351,5,FALSE),0)</f>
        <v>0</v>
      </c>
      <c r="C278" s="667">
        <f>_xlfn.IFNA(VLOOKUP($A278,'Anlage 1b_Abzüge, Pflicht, Boni'!$A$26:$D$49,2,FALSE),0)</f>
        <v>0</v>
      </c>
      <c r="D278" s="667">
        <f>_xlfn.IFNA(VLOOKUP(A278,'Anlage 1b_Abzüge, Pflicht, Boni'!$A$9:$D$67,3,FALSE),0)</f>
        <v>0</v>
      </c>
      <c r="E278" s="667">
        <f>_xlfn.IFNA(VLOOKUP(A278,'Anlage 1b_Abzüge, Pflicht, Boni'!$A$26:$D$47,4,FALSE),0)</f>
        <v>0</v>
      </c>
      <c r="F278" s="88">
        <f t="shared" si="17"/>
        <v>0</v>
      </c>
      <c r="G278" s="88">
        <f>SUMIFS('Anlage 1c_Korrekturen_NB'!$L$105:$L$295,'Anlage 1c_Korrekturen_NB'!$A$105:$A$295,'Anlage 3a_Zusammenfassung_KWKG'!$A278)</f>
        <v>0</v>
      </c>
      <c r="H278" s="668">
        <f>_xlfn.IFNA(VLOOKUP(A278,'Anlage 1c_Korrekturen_NB'!$A$626:$D$629,4,FALSE),0)</f>
        <v>0</v>
      </c>
      <c r="I278" s="669">
        <f t="shared" si="16"/>
        <v>0</v>
      </c>
      <c r="J278" s="20" t="s">
        <v>990</v>
      </c>
    </row>
    <row r="279" spans="1:10" hidden="1" outlineLevel="1">
      <c r="A279" s="374" t="s">
        <v>991</v>
      </c>
      <c r="B279" s="1698">
        <f>_xlfn.IFNA(VLOOKUP($A279,'Anlage 1a_Zuschlagszahlungen_NB'!A1119:E1352,5,FALSE),0)</f>
        <v>26321.279999999999</v>
      </c>
      <c r="C279" s="667">
        <f>_xlfn.IFNA(VLOOKUP($A279,'Anlage 1b_Abzüge, Pflicht, Boni'!$A$26:$D$49,2,FALSE),0)</f>
        <v>0</v>
      </c>
      <c r="D279" s="667">
        <f>_xlfn.IFNA(VLOOKUP(A279,'Anlage 1b_Abzüge, Pflicht, Boni'!$A$9:$D$67,3,FALSE),0)</f>
        <v>0</v>
      </c>
      <c r="E279" s="667">
        <f>_xlfn.IFNA(VLOOKUP(A279,'Anlage 1b_Abzüge, Pflicht, Boni'!$A$26:$D$47,4,FALSE),0)</f>
        <v>0</v>
      </c>
      <c r="F279" s="88">
        <f t="shared" si="17"/>
        <v>26321.279999999999</v>
      </c>
      <c r="G279" s="88">
        <f>SUMIFS('Anlage 1c_Korrekturen_NB'!$L$105:$L$295,'Anlage 1c_Korrekturen_NB'!$A$105:$A$295,'Anlage 3a_Zusammenfassung_KWKG'!$A279)</f>
        <v>0</v>
      </c>
      <c r="H279" s="668">
        <f>_xlfn.IFNA(VLOOKUP(A279,'Anlage 1c_Korrekturen_NB'!$A$626:$D$629,4,FALSE),0)</f>
        <v>0</v>
      </c>
      <c r="I279" s="669">
        <f t="shared" si="16"/>
        <v>0</v>
      </c>
      <c r="J279" s="20" t="s">
        <v>992</v>
      </c>
    </row>
    <row r="280" spans="1:10" hidden="1" outlineLevel="1">
      <c r="A280" s="374" t="s">
        <v>993</v>
      </c>
      <c r="B280" s="1698">
        <f>_xlfn.IFNA(VLOOKUP($A280,'Anlage 1a_Zuschlagszahlungen_NB'!A1120:E1353,5,FALSE),0)</f>
        <v>525659.43999999994</v>
      </c>
      <c r="C280" s="667">
        <f>_xlfn.IFNA(VLOOKUP($A280,'Anlage 1b_Abzüge, Pflicht, Boni'!$A$26:$D$49,2,FALSE),0)</f>
        <v>0</v>
      </c>
      <c r="D280" s="667">
        <f>_xlfn.IFNA(VLOOKUP(A280,'Anlage 1b_Abzüge, Pflicht, Boni'!$A$9:$D$67,3,FALSE),0)</f>
        <v>0</v>
      </c>
      <c r="E280" s="667">
        <f>_xlfn.IFNA(VLOOKUP(A280,'Anlage 1b_Abzüge, Pflicht, Boni'!$A$26:$D$47,4,FALSE),0)</f>
        <v>0</v>
      </c>
      <c r="F280" s="88">
        <f t="shared" si="17"/>
        <v>525659.43999999994</v>
      </c>
      <c r="G280" s="88">
        <f>SUMIFS('Anlage 1c_Korrekturen_NB'!$L$105:$L$295,'Anlage 1c_Korrekturen_NB'!$A$105:$A$295,'Anlage 3a_Zusammenfassung_KWKG'!$A280)</f>
        <v>6368.62</v>
      </c>
      <c r="H280" s="668">
        <f>_xlfn.IFNA(VLOOKUP(A280,'Anlage 1c_Korrekturen_NB'!$A$626:$D$629,4,FALSE),0)</f>
        <v>0</v>
      </c>
      <c r="I280" s="669">
        <f t="shared" si="16"/>
        <v>6368.62</v>
      </c>
      <c r="J280" s="20" t="s">
        <v>994</v>
      </c>
    </row>
    <row r="281" spans="1:10" hidden="1" outlineLevel="1">
      <c r="A281" s="374" t="s">
        <v>995</v>
      </c>
      <c r="B281" s="1698">
        <f>_xlfn.IFNA(VLOOKUP($A281,'Anlage 1a_Zuschlagszahlungen_NB'!A1121:E1354,5,FALSE),0)</f>
        <v>32800.769999999997</v>
      </c>
      <c r="C281" s="667">
        <f>_xlfn.IFNA(VLOOKUP($A281,'Anlage 1b_Abzüge, Pflicht, Boni'!$A$26:$D$49,2,FALSE),0)</f>
        <v>0</v>
      </c>
      <c r="D281" s="667">
        <f>_xlfn.IFNA(VLOOKUP(A281,'Anlage 1b_Abzüge, Pflicht, Boni'!$A$9:$D$67,3,FALSE),0)</f>
        <v>0</v>
      </c>
      <c r="E281" s="667">
        <f>_xlfn.IFNA(VLOOKUP(A281,'Anlage 1b_Abzüge, Pflicht, Boni'!$A$26:$D$47,4,FALSE),0)</f>
        <v>0</v>
      </c>
      <c r="F281" s="88">
        <f t="shared" si="17"/>
        <v>32800.769999999997</v>
      </c>
      <c r="G281" s="88">
        <f>SUMIFS('Anlage 1c_Korrekturen_NB'!$L$105:$L$295,'Anlage 1c_Korrekturen_NB'!$A$105:$A$295,'Anlage 3a_Zusammenfassung_KWKG'!$A281)</f>
        <v>30413.95</v>
      </c>
      <c r="H281" s="668">
        <f>_xlfn.IFNA(VLOOKUP(A281,'Anlage 1c_Korrekturen_NB'!$A$626:$D$629,4,FALSE),0)</f>
        <v>0</v>
      </c>
      <c r="I281" s="669">
        <f t="shared" si="16"/>
        <v>30413.95</v>
      </c>
      <c r="J281" s="20" t="s">
        <v>996</v>
      </c>
    </row>
    <row r="282" spans="1:10" hidden="1" outlineLevel="1">
      <c r="A282" s="374" t="s">
        <v>997</v>
      </c>
      <c r="B282" s="1698">
        <f>_xlfn.IFNA(VLOOKUP($A282,'Anlage 1a_Zuschlagszahlungen_NB'!A1122:E1355,5,FALSE),0)</f>
        <v>140048.65</v>
      </c>
      <c r="C282" s="667">
        <f>_xlfn.IFNA(VLOOKUP($A282,'Anlage 1b_Abzüge, Pflicht, Boni'!$A$26:$D$49,2,FALSE),0)</f>
        <v>0</v>
      </c>
      <c r="D282" s="667">
        <f>_xlfn.IFNA(VLOOKUP(A282,'Anlage 1b_Abzüge, Pflicht, Boni'!$A$9:$D$67,3,FALSE),0)</f>
        <v>0</v>
      </c>
      <c r="E282" s="667">
        <f>_xlfn.IFNA(VLOOKUP(A282,'Anlage 1b_Abzüge, Pflicht, Boni'!$A$26:$D$47,4,FALSE),0)</f>
        <v>0</v>
      </c>
      <c r="F282" s="88">
        <f t="shared" si="17"/>
        <v>140048.65</v>
      </c>
      <c r="G282" s="88">
        <f>SUMIFS('Anlage 1c_Korrekturen_NB'!$L$105:$L$295,'Anlage 1c_Korrekturen_NB'!$A$105:$A$295,'Anlage 3a_Zusammenfassung_KWKG'!$A282)</f>
        <v>0</v>
      </c>
      <c r="H282" s="668">
        <f>_xlfn.IFNA(VLOOKUP(A282,'Anlage 1c_Korrekturen_NB'!$A$626:$D$629,4,FALSE),0)</f>
        <v>0</v>
      </c>
      <c r="I282" s="669">
        <f t="shared" si="16"/>
        <v>0</v>
      </c>
      <c r="J282" s="20" t="s">
        <v>998</v>
      </c>
    </row>
    <row r="283" spans="1:10" hidden="1" outlineLevel="1">
      <c r="A283" s="374" t="s">
        <v>999</v>
      </c>
      <c r="B283" s="1698">
        <f>_xlfn.IFNA(VLOOKUP($A283,'Anlage 1a_Zuschlagszahlungen_NB'!A1123:E1356,5,FALSE),0)</f>
        <v>58355.520000000004</v>
      </c>
      <c r="C283" s="667">
        <f>_xlfn.IFNA(VLOOKUP($A283,'Anlage 1b_Abzüge, Pflicht, Boni'!$A$26:$D$49,2,FALSE),0)</f>
        <v>0</v>
      </c>
      <c r="D283" s="667">
        <f>_xlfn.IFNA(VLOOKUP(A283,'Anlage 1b_Abzüge, Pflicht, Boni'!$A$9:$D$67,3,FALSE),0)</f>
        <v>0</v>
      </c>
      <c r="E283" s="667">
        <f>_xlfn.IFNA(VLOOKUP(A283,'Anlage 1b_Abzüge, Pflicht, Boni'!$A$26:$D$47,4,FALSE),0)</f>
        <v>0</v>
      </c>
      <c r="F283" s="88">
        <f t="shared" si="17"/>
        <v>58355.520000000004</v>
      </c>
      <c r="G283" s="88">
        <f>SUMIFS('Anlage 1c_Korrekturen_NB'!$L$105:$L$295,'Anlage 1c_Korrekturen_NB'!$A$105:$A$295,'Anlage 3a_Zusammenfassung_KWKG'!$A283)</f>
        <v>0</v>
      </c>
      <c r="H283" s="668">
        <f>_xlfn.IFNA(VLOOKUP(A283,'Anlage 1c_Korrekturen_NB'!$A$626:$D$629,4,FALSE),0)</f>
        <v>0</v>
      </c>
      <c r="I283" s="669">
        <f t="shared" si="16"/>
        <v>0</v>
      </c>
      <c r="J283" s="20" t="s">
        <v>1000</v>
      </c>
    </row>
    <row r="284" spans="1:10" hidden="1" outlineLevel="1">
      <c r="A284" s="374" t="s">
        <v>1001</v>
      </c>
      <c r="B284" s="1698">
        <f>_xlfn.IFNA(VLOOKUP($A284,'Anlage 1a_Zuschlagszahlungen_NB'!A1124:E1357,5,FALSE),0)</f>
        <v>17823.490000000002</v>
      </c>
      <c r="C284" s="667">
        <f>_xlfn.IFNA(VLOOKUP($A284,'Anlage 1b_Abzüge, Pflicht, Boni'!$A$26:$D$49,2,FALSE),0)</f>
        <v>0</v>
      </c>
      <c r="D284" s="667">
        <f>_xlfn.IFNA(VLOOKUP(A284,'Anlage 1b_Abzüge, Pflicht, Boni'!$A$9:$D$67,3,FALSE),0)</f>
        <v>0</v>
      </c>
      <c r="E284" s="667">
        <f>_xlfn.IFNA(VLOOKUP(A284,'Anlage 1b_Abzüge, Pflicht, Boni'!$A$26:$D$47,4,FALSE),0)</f>
        <v>0</v>
      </c>
      <c r="F284" s="88">
        <f t="shared" si="17"/>
        <v>17823.490000000002</v>
      </c>
      <c r="G284" s="88">
        <f>SUMIFS('Anlage 1c_Korrekturen_NB'!$L$105:$L$295,'Anlage 1c_Korrekturen_NB'!$A$105:$A$295,'Anlage 3a_Zusammenfassung_KWKG'!$A284)</f>
        <v>0</v>
      </c>
      <c r="H284" s="668">
        <f>_xlfn.IFNA(VLOOKUP(A284,'Anlage 1c_Korrekturen_NB'!$A$626:$D$629,4,FALSE),0)</f>
        <v>0</v>
      </c>
      <c r="I284" s="669">
        <f t="shared" si="16"/>
        <v>0</v>
      </c>
      <c r="J284" s="20" t="s">
        <v>1002</v>
      </c>
    </row>
    <row r="285" spans="1:10" hidden="1" outlineLevel="1">
      <c r="A285" s="374" t="s">
        <v>1003</v>
      </c>
      <c r="B285" s="1698">
        <f>_xlfn.IFNA(VLOOKUP($A285,'Anlage 1a_Zuschlagszahlungen_NB'!A1125:E1358,5,FALSE),0)</f>
        <v>34429663.340000004</v>
      </c>
      <c r="C285" s="667">
        <f>_xlfn.IFNA(VLOOKUP($A285,'Anlage 1b_Abzüge, Pflicht, Boni'!$A$26:$D$49,2,FALSE),0)</f>
        <v>0</v>
      </c>
      <c r="D285" s="667">
        <f>_xlfn.IFNA(VLOOKUP(A285,'Anlage 1b_Abzüge, Pflicht, Boni'!$A$9:$D$67,3,FALSE),0)</f>
        <v>0</v>
      </c>
      <c r="E285" s="667">
        <f>_xlfn.IFNA(VLOOKUP(A285,'Anlage 1b_Abzüge, Pflicht, Boni'!$A$26:$D$47,4,FALSE),0)</f>
        <v>0</v>
      </c>
      <c r="F285" s="88">
        <f t="shared" si="17"/>
        <v>34429663.340000004</v>
      </c>
      <c r="G285" s="88">
        <f>SUMIFS('Anlage 1c_Korrekturen_NB'!$L$105:$L$295,'Anlage 1c_Korrekturen_NB'!$A$105:$A$295,'Anlage 3a_Zusammenfassung_KWKG'!$A285)</f>
        <v>0</v>
      </c>
      <c r="H285" s="668">
        <f>_xlfn.IFNA(VLOOKUP(A285,'Anlage 1c_Korrekturen_NB'!$A$626:$D$629,4,FALSE),0)</f>
        <v>0</v>
      </c>
      <c r="I285" s="669">
        <f t="shared" si="16"/>
        <v>0</v>
      </c>
      <c r="J285" s="20" t="s">
        <v>1004</v>
      </c>
    </row>
    <row r="286" spans="1:10" hidden="1" outlineLevel="1">
      <c r="A286" s="374" t="s">
        <v>1005</v>
      </c>
      <c r="B286" s="1698">
        <f>_xlfn.IFNA(VLOOKUP($A286,'Anlage 1a_Zuschlagszahlungen_NB'!A1126:E1359,5,FALSE),0)</f>
        <v>823022.57</v>
      </c>
      <c r="C286" s="667">
        <f>_xlfn.IFNA(VLOOKUP($A286,'Anlage 1b_Abzüge, Pflicht, Boni'!$A$26:$D$49,2,FALSE),0)</f>
        <v>0</v>
      </c>
      <c r="D286" s="667">
        <f>_xlfn.IFNA(VLOOKUP(A286,'Anlage 1b_Abzüge, Pflicht, Boni'!$A$9:$D$67,3,FALSE),0)</f>
        <v>0</v>
      </c>
      <c r="E286" s="667">
        <f>_xlfn.IFNA(VLOOKUP(A286,'Anlage 1b_Abzüge, Pflicht, Boni'!$A$26:$D$47,4,FALSE),0)</f>
        <v>0</v>
      </c>
      <c r="F286" s="88">
        <f t="shared" si="17"/>
        <v>823022.57</v>
      </c>
      <c r="G286" s="88">
        <f>SUMIFS('Anlage 1c_Korrekturen_NB'!$L$105:$L$295,'Anlage 1c_Korrekturen_NB'!$A$105:$A$295,'Anlage 3a_Zusammenfassung_KWKG'!$A286)</f>
        <v>230457.49</v>
      </c>
      <c r="H286" s="668">
        <f>_xlfn.IFNA(VLOOKUP(A286,'Anlage 1c_Korrekturen_NB'!$A$626:$D$629,4,FALSE),0)</f>
        <v>0</v>
      </c>
      <c r="I286" s="669">
        <f t="shared" si="16"/>
        <v>230457.49</v>
      </c>
      <c r="J286" s="20" t="s">
        <v>1006</v>
      </c>
    </row>
    <row r="287" spans="1:10" hidden="1" outlineLevel="1">
      <c r="A287" s="374" t="s">
        <v>1007</v>
      </c>
      <c r="B287" s="1698">
        <f>_xlfn.IFNA(VLOOKUP($A287,'Anlage 1a_Zuschlagszahlungen_NB'!A1127:E1360,5,FALSE),0)</f>
        <v>8141</v>
      </c>
      <c r="C287" s="667">
        <f>_xlfn.IFNA(VLOOKUP($A287,'Anlage 1b_Abzüge, Pflicht, Boni'!$A$26:$D$49,2,FALSE),0)</f>
        <v>0</v>
      </c>
      <c r="D287" s="667">
        <f>_xlfn.IFNA(VLOOKUP(A287,'Anlage 1b_Abzüge, Pflicht, Boni'!$A$9:$D$67,3,FALSE),0)</f>
        <v>0</v>
      </c>
      <c r="E287" s="667">
        <f>_xlfn.IFNA(VLOOKUP(A287,'Anlage 1b_Abzüge, Pflicht, Boni'!$A$26:$D$47,4,FALSE),0)</f>
        <v>0</v>
      </c>
      <c r="F287" s="88">
        <f t="shared" si="17"/>
        <v>8141</v>
      </c>
      <c r="G287" s="88">
        <f>SUMIFS('Anlage 1c_Korrekturen_NB'!$L$105:$L$295,'Anlage 1c_Korrekturen_NB'!$A$105:$A$295,'Anlage 3a_Zusammenfassung_KWKG'!$A287)</f>
        <v>0</v>
      </c>
      <c r="H287" s="668">
        <f>_xlfn.IFNA(VLOOKUP(A287,'Anlage 1c_Korrekturen_NB'!$A$626:$D$629,4,FALSE),0)</f>
        <v>0</v>
      </c>
      <c r="I287" s="669">
        <f t="shared" si="16"/>
        <v>0</v>
      </c>
      <c r="J287" s="20" t="s">
        <v>1008</v>
      </c>
    </row>
    <row r="288" spans="1:10" hidden="1" outlineLevel="1">
      <c r="A288" s="374" t="s">
        <v>1009</v>
      </c>
      <c r="B288" s="1698">
        <f>_xlfn.IFNA(VLOOKUP($A288,'Anlage 1a_Zuschlagszahlungen_NB'!A1128:E1361,5,FALSE),0)</f>
        <v>22403.340000000004</v>
      </c>
      <c r="C288" s="667">
        <f>_xlfn.IFNA(VLOOKUP($A288,'Anlage 1b_Abzüge, Pflicht, Boni'!$A$26:$D$49,2,FALSE),0)</f>
        <v>0</v>
      </c>
      <c r="D288" s="667">
        <f>_xlfn.IFNA(VLOOKUP(A288,'Anlage 1b_Abzüge, Pflicht, Boni'!$A$9:$D$67,3,FALSE),0)</f>
        <v>0</v>
      </c>
      <c r="E288" s="667">
        <f>_xlfn.IFNA(VLOOKUP(A288,'Anlage 1b_Abzüge, Pflicht, Boni'!$A$26:$D$47,4,FALSE),0)</f>
        <v>0</v>
      </c>
      <c r="F288" s="88">
        <f t="shared" si="17"/>
        <v>22403.340000000004</v>
      </c>
      <c r="G288" s="88">
        <f>SUMIFS('Anlage 1c_Korrekturen_NB'!$L$105:$L$295,'Anlage 1c_Korrekturen_NB'!$A$105:$A$295,'Anlage 3a_Zusammenfassung_KWKG'!$A288)</f>
        <v>0</v>
      </c>
      <c r="H288" s="668">
        <f>_xlfn.IFNA(VLOOKUP(A288,'Anlage 1c_Korrekturen_NB'!$A$626:$D$629,4,FALSE),0)</f>
        <v>0</v>
      </c>
      <c r="I288" s="669">
        <f t="shared" si="16"/>
        <v>0</v>
      </c>
      <c r="J288" s="20" t="s">
        <v>1010</v>
      </c>
    </row>
    <row r="289" spans="1:10" hidden="1" outlineLevel="1">
      <c r="A289" s="374" t="s">
        <v>1011</v>
      </c>
      <c r="B289" s="1698">
        <f>_xlfn.IFNA(VLOOKUP($A289,'Anlage 1a_Zuschlagszahlungen_NB'!A1129:E1362,5,FALSE),0)</f>
        <v>229193.82</v>
      </c>
      <c r="C289" s="667">
        <f>_xlfn.IFNA(VLOOKUP($A289,'Anlage 1b_Abzüge, Pflicht, Boni'!$A$26:$D$49,2,FALSE),0)</f>
        <v>0</v>
      </c>
      <c r="D289" s="667">
        <f>_xlfn.IFNA(VLOOKUP(A289,'Anlage 1b_Abzüge, Pflicht, Boni'!$A$9:$D$67,3,FALSE),0)</f>
        <v>0</v>
      </c>
      <c r="E289" s="667">
        <f>_xlfn.IFNA(VLOOKUP(A289,'Anlage 1b_Abzüge, Pflicht, Boni'!$A$26:$D$47,4,FALSE),0)</f>
        <v>0</v>
      </c>
      <c r="F289" s="88">
        <f t="shared" si="17"/>
        <v>229193.82</v>
      </c>
      <c r="G289" s="88">
        <f>SUMIFS('Anlage 1c_Korrekturen_NB'!$L$105:$L$295,'Anlage 1c_Korrekturen_NB'!$A$105:$A$295,'Anlage 3a_Zusammenfassung_KWKG'!$A289)</f>
        <v>0</v>
      </c>
      <c r="H289" s="668">
        <f>_xlfn.IFNA(VLOOKUP(A289,'Anlage 1c_Korrekturen_NB'!$A$626:$D$629,4,FALSE),0)</f>
        <v>0</v>
      </c>
      <c r="I289" s="669">
        <f t="shared" si="16"/>
        <v>0</v>
      </c>
      <c r="J289" s="20" t="s">
        <v>1012</v>
      </c>
    </row>
    <row r="290" spans="1:10" hidden="1" outlineLevel="1">
      <c r="A290" s="374" t="s">
        <v>1013</v>
      </c>
      <c r="B290" s="1698">
        <f>_xlfn.IFNA(VLOOKUP($A290,'Anlage 1a_Zuschlagszahlungen_NB'!A1130:E1363,5,FALSE),0)</f>
        <v>0</v>
      </c>
      <c r="C290" s="667">
        <f>_xlfn.IFNA(VLOOKUP($A290,'Anlage 1b_Abzüge, Pflicht, Boni'!$A$26:$D$49,2,FALSE),0)</f>
        <v>0</v>
      </c>
      <c r="D290" s="667">
        <f>_xlfn.IFNA(VLOOKUP(A290,'Anlage 1b_Abzüge, Pflicht, Boni'!$A$9:$D$67,3,FALSE),0)</f>
        <v>0</v>
      </c>
      <c r="E290" s="667">
        <f>_xlfn.IFNA(VLOOKUP(A290,'Anlage 1b_Abzüge, Pflicht, Boni'!$A$26:$D$47,4,FALSE),0)</f>
        <v>0</v>
      </c>
      <c r="F290" s="88">
        <f t="shared" si="17"/>
        <v>0</v>
      </c>
      <c r="G290" s="88">
        <f>SUMIFS('Anlage 1c_Korrekturen_NB'!$L$105:$L$295,'Anlage 1c_Korrekturen_NB'!$A$105:$A$295,'Anlage 3a_Zusammenfassung_KWKG'!$A290)</f>
        <v>0</v>
      </c>
      <c r="H290" s="668">
        <f>_xlfn.IFNA(VLOOKUP(A290,'Anlage 1c_Korrekturen_NB'!$A$626:$D$629,4,FALSE),0)</f>
        <v>0</v>
      </c>
      <c r="I290" s="669">
        <f t="shared" si="16"/>
        <v>0</v>
      </c>
      <c r="J290" s="20" t="s">
        <v>1014</v>
      </c>
    </row>
    <row r="291" spans="1:10" hidden="1" outlineLevel="1">
      <c r="A291" s="374" t="s">
        <v>1015</v>
      </c>
      <c r="B291" s="1698">
        <f>_xlfn.IFNA(VLOOKUP($A291,'Anlage 1a_Zuschlagszahlungen_NB'!A1131:E1364,5,FALSE),0)</f>
        <v>44754.75</v>
      </c>
      <c r="C291" s="667">
        <f>_xlfn.IFNA(VLOOKUP($A291,'Anlage 1b_Abzüge, Pflicht, Boni'!$A$26:$D$49,2,FALSE),0)</f>
        <v>0</v>
      </c>
      <c r="D291" s="667">
        <f>_xlfn.IFNA(VLOOKUP(A291,'Anlage 1b_Abzüge, Pflicht, Boni'!$A$9:$D$67,3,FALSE),0)</f>
        <v>0</v>
      </c>
      <c r="E291" s="667">
        <f>_xlfn.IFNA(VLOOKUP(A291,'Anlage 1b_Abzüge, Pflicht, Boni'!$A$26:$D$47,4,FALSE),0)</f>
        <v>0</v>
      </c>
      <c r="F291" s="88">
        <f t="shared" si="17"/>
        <v>44754.75</v>
      </c>
      <c r="G291" s="88">
        <f>SUMIFS('Anlage 1c_Korrekturen_NB'!$L$105:$L$295,'Anlage 1c_Korrekturen_NB'!$A$105:$A$295,'Anlage 3a_Zusammenfassung_KWKG'!$A291)</f>
        <v>0</v>
      </c>
      <c r="H291" s="668">
        <f>_xlfn.IFNA(VLOOKUP(A291,'Anlage 1c_Korrekturen_NB'!$A$626:$D$629,4,FALSE),0)</f>
        <v>0</v>
      </c>
      <c r="I291" s="669">
        <f t="shared" si="16"/>
        <v>0</v>
      </c>
      <c r="J291" s="20" t="s">
        <v>1016</v>
      </c>
    </row>
    <row r="292" spans="1:10" hidden="1" outlineLevel="1">
      <c r="A292" s="374" t="s">
        <v>1017</v>
      </c>
      <c r="B292" s="1698">
        <f>_xlfn.IFNA(VLOOKUP($A292,'Anlage 1a_Zuschlagszahlungen_NB'!A1132:E1365,5,FALSE),0)</f>
        <v>4267358.49</v>
      </c>
      <c r="C292" s="667">
        <f>_xlfn.IFNA(VLOOKUP($A292,'Anlage 1b_Abzüge, Pflicht, Boni'!$A$26:$D$49,2,FALSE),0)</f>
        <v>0</v>
      </c>
      <c r="D292" s="667">
        <f>_xlfn.IFNA(VLOOKUP(A292,'Anlage 1b_Abzüge, Pflicht, Boni'!$A$9:$D$67,3,FALSE),0)</f>
        <v>0</v>
      </c>
      <c r="E292" s="667">
        <f>_xlfn.IFNA(VLOOKUP(A292,'Anlage 1b_Abzüge, Pflicht, Boni'!$A$26:$D$47,4,FALSE),0)</f>
        <v>0</v>
      </c>
      <c r="F292" s="88">
        <f t="shared" si="17"/>
        <v>4267358.49</v>
      </c>
      <c r="G292" s="88">
        <f>SUMIFS('Anlage 1c_Korrekturen_NB'!$L$105:$L$295,'Anlage 1c_Korrekturen_NB'!$A$105:$A$295,'Anlage 3a_Zusammenfassung_KWKG'!$A292)</f>
        <v>725402.22</v>
      </c>
      <c r="H292" s="668">
        <f>_xlfn.IFNA(VLOOKUP(A292,'Anlage 1c_Korrekturen_NB'!$A$626:$D$629,4,FALSE),0)</f>
        <v>0</v>
      </c>
      <c r="I292" s="669">
        <f t="shared" si="16"/>
        <v>725402.22</v>
      </c>
      <c r="J292" s="20" t="s">
        <v>1018</v>
      </c>
    </row>
    <row r="293" spans="1:10" hidden="1" outlineLevel="1">
      <c r="A293" s="374" t="s">
        <v>1019</v>
      </c>
      <c r="B293" s="1698">
        <f>_xlfn.IFNA(VLOOKUP($A293,'Anlage 1a_Zuschlagszahlungen_NB'!A1133:E1366,5,FALSE),0)</f>
        <v>1865.44</v>
      </c>
      <c r="C293" s="667">
        <f>_xlfn.IFNA(VLOOKUP($A293,'Anlage 1b_Abzüge, Pflicht, Boni'!$A$26:$D$49,2,FALSE),0)</f>
        <v>0</v>
      </c>
      <c r="D293" s="667">
        <f>_xlfn.IFNA(VLOOKUP(A293,'Anlage 1b_Abzüge, Pflicht, Boni'!$A$9:$D$67,3,FALSE),0)</f>
        <v>0</v>
      </c>
      <c r="E293" s="667">
        <f>_xlfn.IFNA(VLOOKUP(A293,'Anlage 1b_Abzüge, Pflicht, Boni'!$A$26:$D$47,4,FALSE),0)</f>
        <v>0</v>
      </c>
      <c r="F293" s="88">
        <f t="shared" si="17"/>
        <v>1865.44</v>
      </c>
      <c r="G293" s="88">
        <f>SUMIFS('Anlage 1c_Korrekturen_NB'!$L$105:$L$295,'Anlage 1c_Korrekturen_NB'!$A$105:$A$295,'Anlage 3a_Zusammenfassung_KWKG'!$A293)</f>
        <v>0</v>
      </c>
      <c r="H293" s="668">
        <f>_xlfn.IFNA(VLOOKUP(A293,'Anlage 1c_Korrekturen_NB'!$A$626:$D$629,4,FALSE),0)</f>
        <v>0</v>
      </c>
      <c r="I293" s="669">
        <f t="shared" si="16"/>
        <v>0</v>
      </c>
      <c r="J293" s="20" t="s">
        <v>1020</v>
      </c>
    </row>
    <row r="294" spans="1:10" hidden="1" outlineLevel="1">
      <c r="A294" s="374" t="s">
        <v>1021</v>
      </c>
      <c r="B294" s="1698">
        <f>_xlfn.IFNA(VLOOKUP($A294,'Anlage 1a_Zuschlagszahlungen_NB'!A1134:E1367,5,FALSE),0)</f>
        <v>0</v>
      </c>
      <c r="C294" s="667">
        <f>_xlfn.IFNA(VLOOKUP($A294,'Anlage 1b_Abzüge, Pflicht, Boni'!$A$26:$D$49,2,FALSE),0)</f>
        <v>0</v>
      </c>
      <c r="D294" s="667">
        <f>_xlfn.IFNA(VLOOKUP(A294,'Anlage 1b_Abzüge, Pflicht, Boni'!$A$9:$D$67,3,FALSE),0)</f>
        <v>0</v>
      </c>
      <c r="E294" s="667">
        <f>_xlfn.IFNA(VLOOKUP(A294,'Anlage 1b_Abzüge, Pflicht, Boni'!$A$26:$D$47,4,FALSE),0)</f>
        <v>0</v>
      </c>
      <c r="F294" s="88">
        <f t="shared" si="17"/>
        <v>0</v>
      </c>
      <c r="G294" s="88">
        <f>SUMIFS('Anlage 1c_Korrekturen_NB'!$L$105:$L$295,'Anlage 1c_Korrekturen_NB'!$A$105:$A$295,'Anlage 3a_Zusammenfassung_KWKG'!$A294)</f>
        <v>0</v>
      </c>
      <c r="H294" s="668">
        <f>_xlfn.IFNA(VLOOKUP(A294,'Anlage 1c_Korrekturen_NB'!$A$626:$D$629,4,FALSE),0)</f>
        <v>0</v>
      </c>
      <c r="I294" s="669">
        <f t="shared" si="16"/>
        <v>0</v>
      </c>
      <c r="J294" s="20" t="s">
        <v>944</v>
      </c>
    </row>
    <row r="295" spans="1:10" hidden="1" outlineLevel="1">
      <c r="A295" s="374" t="s">
        <v>1022</v>
      </c>
      <c r="B295" s="1698">
        <f>_xlfn.IFNA(VLOOKUP($A295,'Anlage 1a_Zuschlagszahlungen_NB'!A1135:E1368,5,FALSE),0)</f>
        <v>100762.38</v>
      </c>
      <c r="C295" s="667">
        <f>_xlfn.IFNA(VLOOKUP($A295,'Anlage 1b_Abzüge, Pflicht, Boni'!$A$26:$D$49,2,FALSE),0)</f>
        <v>0</v>
      </c>
      <c r="D295" s="667">
        <f>_xlfn.IFNA(VLOOKUP(A295,'Anlage 1b_Abzüge, Pflicht, Boni'!$A$9:$D$67,3,FALSE),0)</f>
        <v>0</v>
      </c>
      <c r="E295" s="667">
        <f>_xlfn.IFNA(VLOOKUP(A295,'Anlage 1b_Abzüge, Pflicht, Boni'!$A$26:$D$47,4,FALSE),0)</f>
        <v>0</v>
      </c>
      <c r="F295" s="88">
        <f t="shared" si="17"/>
        <v>100762.38</v>
      </c>
      <c r="G295" s="88">
        <f>SUMIFS('Anlage 1c_Korrekturen_NB'!$L$105:$L$295,'Anlage 1c_Korrekturen_NB'!$A$105:$A$295,'Anlage 3a_Zusammenfassung_KWKG'!$A295)</f>
        <v>0</v>
      </c>
      <c r="H295" s="668">
        <f>_xlfn.IFNA(VLOOKUP(A295,'Anlage 1c_Korrekturen_NB'!$A$626:$D$629,4,FALSE),0)</f>
        <v>0</v>
      </c>
      <c r="I295" s="669">
        <f t="shared" si="16"/>
        <v>0</v>
      </c>
      <c r="J295" s="20" t="s">
        <v>1023</v>
      </c>
    </row>
    <row r="296" spans="1:10" hidden="1" outlineLevel="1">
      <c r="A296" s="374" t="s">
        <v>1024</v>
      </c>
      <c r="B296" s="1698">
        <f>_xlfn.IFNA(VLOOKUP($A296,'Anlage 1a_Zuschlagszahlungen_NB'!A1136:E1369,5,FALSE),0)</f>
        <v>7588279.2999999998</v>
      </c>
      <c r="C296" s="667">
        <f>_xlfn.IFNA(VLOOKUP($A296,'Anlage 1b_Abzüge, Pflicht, Boni'!$A$26:$D$49,2,FALSE),0)</f>
        <v>0</v>
      </c>
      <c r="D296" s="667">
        <f>_xlfn.IFNA(VLOOKUP(A296,'Anlage 1b_Abzüge, Pflicht, Boni'!$A$9:$D$67,3,FALSE),0)</f>
        <v>0</v>
      </c>
      <c r="E296" s="667">
        <f>_xlfn.IFNA(VLOOKUP(A296,'Anlage 1b_Abzüge, Pflicht, Boni'!$A$26:$D$47,4,FALSE),0)</f>
        <v>0</v>
      </c>
      <c r="F296" s="88">
        <f t="shared" si="17"/>
        <v>7588279.2999999998</v>
      </c>
      <c r="G296" s="88">
        <f>SUMIFS('Anlage 1c_Korrekturen_NB'!$L$105:$L$295,'Anlage 1c_Korrekturen_NB'!$A$105:$A$295,'Anlage 3a_Zusammenfassung_KWKG'!$A296)</f>
        <v>0</v>
      </c>
      <c r="H296" s="668">
        <f>_xlfn.IFNA(VLOOKUP(A296,'Anlage 1c_Korrekturen_NB'!$A$626:$D$629,4,FALSE),0)</f>
        <v>0</v>
      </c>
      <c r="I296" s="669">
        <f t="shared" ref="I296:I402" si="18">G296+H296</f>
        <v>0</v>
      </c>
      <c r="J296" s="20" t="s">
        <v>1025</v>
      </c>
    </row>
    <row r="297" spans="1:10" hidden="1" outlineLevel="1">
      <c r="A297" s="374" t="s">
        <v>1026</v>
      </c>
      <c r="B297" s="1698">
        <f>_xlfn.IFNA(VLOOKUP($A297,'Anlage 1a_Zuschlagszahlungen_NB'!A1137:E1370,5,FALSE),0)</f>
        <v>34915.85</v>
      </c>
      <c r="C297" s="667">
        <f>_xlfn.IFNA(VLOOKUP($A297,'Anlage 1b_Abzüge, Pflicht, Boni'!$A$26:$D$49,2,FALSE),0)</f>
        <v>0</v>
      </c>
      <c r="D297" s="667">
        <f>_xlfn.IFNA(VLOOKUP(A297,'Anlage 1b_Abzüge, Pflicht, Boni'!$A$9:$D$67,3,FALSE),0)</f>
        <v>0</v>
      </c>
      <c r="E297" s="667">
        <f>_xlfn.IFNA(VLOOKUP(A297,'Anlage 1b_Abzüge, Pflicht, Boni'!$A$26:$D$47,4,FALSE),0)</f>
        <v>0</v>
      </c>
      <c r="F297" s="88">
        <f t="shared" ref="F297:F401" si="19">SUM(B297:E297)</f>
        <v>34915.85</v>
      </c>
      <c r="G297" s="88">
        <f>SUMIFS('Anlage 1c_Korrekturen_NB'!$L$105:$L$295,'Anlage 1c_Korrekturen_NB'!$A$105:$A$295,'Anlage 3a_Zusammenfassung_KWKG'!$A297)</f>
        <v>160</v>
      </c>
      <c r="H297" s="668">
        <f>_xlfn.IFNA(VLOOKUP(A297,'Anlage 1c_Korrekturen_NB'!$A$626:$D$629,4,FALSE),0)</f>
        <v>0</v>
      </c>
      <c r="I297" s="669">
        <f t="shared" si="18"/>
        <v>160</v>
      </c>
      <c r="J297" s="20" t="s">
        <v>1027</v>
      </c>
    </row>
    <row r="298" spans="1:10" hidden="1" outlineLevel="1">
      <c r="A298" s="374" t="s">
        <v>1028</v>
      </c>
      <c r="B298" s="1698">
        <f>_xlfn.IFNA(VLOOKUP($A298,'Anlage 1a_Zuschlagszahlungen_NB'!A1138:E1371,5,FALSE),0)</f>
        <v>10479937.9</v>
      </c>
      <c r="C298" s="667">
        <f>_xlfn.IFNA(VLOOKUP($A298,'Anlage 1b_Abzüge, Pflicht, Boni'!$A$26:$D$49,2,FALSE),0)</f>
        <v>-69822.179999999993</v>
      </c>
      <c r="D298" s="667">
        <f>_xlfn.IFNA(VLOOKUP(A298,'Anlage 1b_Abzüge, Pflicht, Boni'!$A$9:$D$67,3,FALSE),0)</f>
        <v>0</v>
      </c>
      <c r="E298" s="667">
        <f>_xlfn.IFNA(VLOOKUP(A298,'Anlage 1b_Abzüge, Pflicht, Boni'!$A$26:$D$47,4,FALSE),0)</f>
        <v>0</v>
      </c>
      <c r="F298" s="88">
        <f t="shared" si="19"/>
        <v>10410115.720000001</v>
      </c>
      <c r="G298" s="88">
        <f>SUMIFS('Anlage 1c_Korrekturen_NB'!$L$105:$L$295,'Anlage 1c_Korrekturen_NB'!$A$105:$A$295,'Anlage 3a_Zusammenfassung_KWKG'!$A298)</f>
        <v>0</v>
      </c>
      <c r="H298" s="668">
        <f>_xlfn.IFNA(VLOOKUP(A298,'Anlage 1c_Korrekturen_NB'!$A$626:$D$629,4,FALSE),0)</f>
        <v>0</v>
      </c>
      <c r="I298" s="669">
        <f t="shared" si="18"/>
        <v>0</v>
      </c>
      <c r="J298" s="20" t="s">
        <v>1029</v>
      </c>
    </row>
    <row r="299" spans="1:10" hidden="1" outlineLevel="1">
      <c r="A299" s="374" t="s">
        <v>1030</v>
      </c>
      <c r="B299" s="1698">
        <f>_xlfn.IFNA(VLOOKUP($A299,'Anlage 1a_Zuschlagszahlungen_NB'!A1139:E1372,5,FALSE),0)</f>
        <v>90313.05</v>
      </c>
      <c r="C299" s="667">
        <f>_xlfn.IFNA(VLOOKUP($A299,'Anlage 1b_Abzüge, Pflicht, Boni'!$A$26:$D$49,2,FALSE),0)</f>
        <v>0</v>
      </c>
      <c r="D299" s="667">
        <f>_xlfn.IFNA(VLOOKUP(A299,'Anlage 1b_Abzüge, Pflicht, Boni'!$A$9:$D$67,3,FALSE),0)</f>
        <v>0</v>
      </c>
      <c r="E299" s="667">
        <f>_xlfn.IFNA(VLOOKUP(A299,'Anlage 1b_Abzüge, Pflicht, Boni'!$A$26:$D$47,4,FALSE),0)</f>
        <v>0</v>
      </c>
      <c r="F299" s="88">
        <f t="shared" si="19"/>
        <v>90313.05</v>
      </c>
      <c r="G299" s="88">
        <f>SUMIFS('Anlage 1c_Korrekturen_NB'!$L$105:$L$295,'Anlage 1c_Korrekturen_NB'!$A$105:$A$295,'Anlage 3a_Zusammenfassung_KWKG'!$A299)</f>
        <v>109915.20999999999</v>
      </c>
      <c r="H299" s="668">
        <f>_xlfn.IFNA(VLOOKUP(A299,'Anlage 1c_Korrekturen_NB'!$A$626:$D$629,4,FALSE),0)</f>
        <v>0</v>
      </c>
      <c r="I299" s="669">
        <f t="shared" si="18"/>
        <v>109915.20999999999</v>
      </c>
      <c r="J299" s="20" t="s">
        <v>1031</v>
      </c>
    </row>
    <row r="300" spans="1:10" hidden="1" outlineLevel="1">
      <c r="A300" s="374" t="s">
        <v>1032</v>
      </c>
      <c r="B300" s="1698">
        <f>_xlfn.IFNA(VLOOKUP($A300,'Anlage 1a_Zuschlagszahlungen_NB'!A1140:E1373,5,FALSE),0)</f>
        <v>118099.37000000001</v>
      </c>
      <c r="C300" s="667">
        <f>_xlfn.IFNA(VLOOKUP($A300,'Anlage 1b_Abzüge, Pflicht, Boni'!$A$26:$D$49,2,FALSE),0)</f>
        <v>0</v>
      </c>
      <c r="D300" s="667">
        <f>_xlfn.IFNA(VLOOKUP(A300,'Anlage 1b_Abzüge, Pflicht, Boni'!$A$9:$D$67,3,FALSE),0)</f>
        <v>0</v>
      </c>
      <c r="E300" s="667">
        <f>_xlfn.IFNA(VLOOKUP(A300,'Anlage 1b_Abzüge, Pflicht, Boni'!$A$26:$D$47,4,FALSE),0)</f>
        <v>0</v>
      </c>
      <c r="F300" s="88">
        <f t="shared" si="19"/>
        <v>118099.37000000001</v>
      </c>
      <c r="G300" s="88">
        <f>SUMIFS('Anlage 1c_Korrekturen_NB'!$L$105:$L$295,'Anlage 1c_Korrekturen_NB'!$A$105:$A$295,'Anlage 3a_Zusammenfassung_KWKG'!$A300)</f>
        <v>0</v>
      </c>
      <c r="H300" s="668">
        <f>_xlfn.IFNA(VLOOKUP(A300,'Anlage 1c_Korrekturen_NB'!$A$626:$D$629,4,FALSE),0)</f>
        <v>0</v>
      </c>
      <c r="I300" s="669">
        <f t="shared" si="18"/>
        <v>0</v>
      </c>
      <c r="J300" s="20" t="s">
        <v>1033</v>
      </c>
    </row>
    <row r="301" spans="1:10" hidden="1" outlineLevel="1">
      <c r="A301" s="374" t="s">
        <v>1034</v>
      </c>
      <c r="B301" s="1698">
        <f>_xlfn.IFNA(VLOOKUP($A301,'Anlage 1a_Zuschlagszahlungen_NB'!A1141:E1374,5,FALSE),0)</f>
        <v>22958.959999999999</v>
      </c>
      <c r="C301" s="667">
        <f>_xlfn.IFNA(VLOOKUP($A301,'Anlage 1b_Abzüge, Pflicht, Boni'!$A$26:$D$49,2,FALSE),0)</f>
        <v>0</v>
      </c>
      <c r="D301" s="667">
        <f>_xlfn.IFNA(VLOOKUP(A301,'Anlage 1b_Abzüge, Pflicht, Boni'!$A$9:$D$67,3,FALSE),0)</f>
        <v>0</v>
      </c>
      <c r="E301" s="667">
        <f>_xlfn.IFNA(VLOOKUP(A301,'Anlage 1b_Abzüge, Pflicht, Boni'!$A$26:$D$47,4,FALSE),0)</f>
        <v>0</v>
      </c>
      <c r="F301" s="88">
        <f t="shared" ref="F301:F348" si="20">SUM(B301:E301)</f>
        <v>22958.959999999999</v>
      </c>
      <c r="G301" s="88">
        <f>SUMIFS('Anlage 1c_Korrekturen_NB'!$L$105:$L$295,'Anlage 1c_Korrekturen_NB'!$A$105:$A$295,'Anlage 3a_Zusammenfassung_KWKG'!$A301)</f>
        <v>31064.390000000003</v>
      </c>
      <c r="H301" s="668">
        <f>_xlfn.IFNA(VLOOKUP(A301,'Anlage 1c_Korrekturen_NB'!$A$626:$D$629,4,FALSE),0)</f>
        <v>0</v>
      </c>
      <c r="I301" s="669">
        <f t="shared" si="18"/>
        <v>31064.390000000003</v>
      </c>
      <c r="J301" s="20" t="s">
        <v>1035</v>
      </c>
    </row>
    <row r="302" spans="1:10" hidden="1" outlineLevel="1">
      <c r="A302" s="374" t="s">
        <v>1036</v>
      </c>
      <c r="B302" s="1698">
        <f>_xlfn.IFNA(VLOOKUP($A302,'Anlage 1a_Zuschlagszahlungen_NB'!A1142:E1375,5,FALSE),0)</f>
        <v>98077.16</v>
      </c>
      <c r="C302" s="667">
        <f>_xlfn.IFNA(VLOOKUP($A302,'Anlage 1b_Abzüge, Pflicht, Boni'!$A$26:$D$49,2,FALSE),0)</f>
        <v>0</v>
      </c>
      <c r="D302" s="667">
        <f>_xlfn.IFNA(VLOOKUP(A302,'Anlage 1b_Abzüge, Pflicht, Boni'!$A$9:$D$67,3,FALSE),0)</f>
        <v>0</v>
      </c>
      <c r="E302" s="667">
        <f>_xlfn.IFNA(VLOOKUP(A302,'Anlage 1b_Abzüge, Pflicht, Boni'!$A$26:$D$47,4,FALSE),0)</f>
        <v>0</v>
      </c>
      <c r="F302" s="88">
        <f t="shared" si="20"/>
        <v>98077.16</v>
      </c>
      <c r="G302" s="88">
        <f>SUMIFS('Anlage 1c_Korrekturen_NB'!$L$105:$L$295,'Anlage 1c_Korrekturen_NB'!$A$105:$A$295,'Anlage 3a_Zusammenfassung_KWKG'!$A302)</f>
        <v>0</v>
      </c>
      <c r="H302" s="668">
        <f>_xlfn.IFNA(VLOOKUP(A302,'Anlage 1c_Korrekturen_NB'!$A$626:$D$629,4,FALSE),0)</f>
        <v>0</v>
      </c>
      <c r="I302" s="669">
        <f t="shared" si="18"/>
        <v>0</v>
      </c>
      <c r="J302" s="20" t="s">
        <v>1037</v>
      </c>
    </row>
    <row r="303" spans="1:10" hidden="1" outlineLevel="1">
      <c r="A303" s="374" t="s">
        <v>1038</v>
      </c>
      <c r="B303" s="1698">
        <f>_xlfn.IFNA(VLOOKUP($A303,'Anlage 1a_Zuschlagszahlungen_NB'!A1143:E1376,5,FALSE),0)</f>
        <v>17582.75</v>
      </c>
      <c r="C303" s="667">
        <f>_xlfn.IFNA(VLOOKUP($A303,'Anlage 1b_Abzüge, Pflicht, Boni'!$A$26:$D$49,2,FALSE),0)</f>
        <v>0</v>
      </c>
      <c r="D303" s="667">
        <f>_xlfn.IFNA(VLOOKUP(A303,'Anlage 1b_Abzüge, Pflicht, Boni'!$A$9:$D$67,3,FALSE),0)</f>
        <v>0</v>
      </c>
      <c r="E303" s="667">
        <f>_xlfn.IFNA(VLOOKUP(A303,'Anlage 1b_Abzüge, Pflicht, Boni'!$A$26:$D$47,4,FALSE),0)</f>
        <v>0</v>
      </c>
      <c r="F303" s="88">
        <f t="shared" si="20"/>
        <v>17582.75</v>
      </c>
      <c r="G303" s="88">
        <f>SUMIFS('Anlage 1c_Korrekturen_NB'!$L$105:$L$295,'Anlage 1c_Korrekturen_NB'!$A$105:$A$295,'Anlage 3a_Zusammenfassung_KWKG'!$A303)</f>
        <v>0</v>
      </c>
      <c r="H303" s="668">
        <f>_xlfn.IFNA(VLOOKUP(A303,'Anlage 1c_Korrekturen_NB'!$A$626:$D$629,4,FALSE),0)</f>
        <v>0</v>
      </c>
      <c r="I303" s="669">
        <f t="shared" si="18"/>
        <v>0</v>
      </c>
      <c r="J303" s="20" t="s">
        <v>1039</v>
      </c>
    </row>
    <row r="304" spans="1:10" hidden="1" outlineLevel="1">
      <c r="A304" s="374" t="s">
        <v>1040</v>
      </c>
      <c r="B304" s="1698">
        <f>_xlfn.IFNA(VLOOKUP($A304,'Anlage 1a_Zuschlagszahlungen_NB'!A1144:E1377,5,FALSE),0)</f>
        <v>69191.820000000007</v>
      </c>
      <c r="C304" s="667">
        <f>_xlfn.IFNA(VLOOKUP($A304,'Anlage 1b_Abzüge, Pflicht, Boni'!$A$26:$D$49,2,FALSE),0)</f>
        <v>0</v>
      </c>
      <c r="D304" s="667">
        <f>_xlfn.IFNA(VLOOKUP(A304,'Anlage 1b_Abzüge, Pflicht, Boni'!$A$9:$D$67,3,FALSE),0)</f>
        <v>0</v>
      </c>
      <c r="E304" s="667">
        <f>_xlfn.IFNA(VLOOKUP(A304,'Anlage 1b_Abzüge, Pflicht, Boni'!$A$26:$D$47,4,FALSE),0)</f>
        <v>0</v>
      </c>
      <c r="F304" s="88">
        <f t="shared" si="20"/>
        <v>69191.820000000007</v>
      </c>
      <c r="G304" s="88">
        <f>SUMIFS('Anlage 1c_Korrekturen_NB'!$L$105:$L$295,'Anlage 1c_Korrekturen_NB'!$A$105:$A$295,'Anlage 3a_Zusammenfassung_KWKG'!$A304)</f>
        <v>0</v>
      </c>
      <c r="H304" s="668">
        <f>_xlfn.IFNA(VLOOKUP(A304,'Anlage 1c_Korrekturen_NB'!$A$626:$D$629,4,FALSE),0)</f>
        <v>0</v>
      </c>
      <c r="I304" s="669">
        <f t="shared" si="18"/>
        <v>0</v>
      </c>
      <c r="J304" s="20" t="s">
        <v>1041</v>
      </c>
    </row>
    <row r="305" spans="1:10" hidden="1" outlineLevel="1">
      <c r="A305" s="374" t="s">
        <v>1042</v>
      </c>
      <c r="B305" s="1698">
        <f>_xlfn.IFNA(VLOOKUP($A305,'Anlage 1a_Zuschlagszahlungen_NB'!A1145:E1378,5,FALSE),0)</f>
        <v>330508.95</v>
      </c>
      <c r="C305" s="667">
        <f>_xlfn.IFNA(VLOOKUP($A305,'Anlage 1b_Abzüge, Pflicht, Boni'!$A$26:$D$49,2,FALSE),0)</f>
        <v>-310.70999999999998</v>
      </c>
      <c r="D305" s="667">
        <f>_xlfn.IFNA(VLOOKUP(A305,'Anlage 1b_Abzüge, Pflicht, Boni'!$A$9:$D$67,3,FALSE),0)</f>
        <v>0</v>
      </c>
      <c r="E305" s="667">
        <f>_xlfn.IFNA(VLOOKUP(A305,'Anlage 1b_Abzüge, Pflicht, Boni'!$A$26:$D$47,4,FALSE),0)</f>
        <v>0</v>
      </c>
      <c r="F305" s="88">
        <f t="shared" si="20"/>
        <v>330198.24</v>
      </c>
      <c r="G305" s="88">
        <f>SUMIFS('Anlage 1c_Korrekturen_NB'!$L$105:$L$295,'Anlage 1c_Korrekturen_NB'!$A$105:$A$295,'Anlage 3a_Zusammenfassung_KWKG'!$A305)</f>
        <v>28350.739999999998</v>
      </c>
      <c r="H305" s="668">
        <f>_xlfn.IFNA(VLOOKUP(A305,'Anlage 1c_Korrekturen_NB'!$A$626:$D$629,4,FALSE),0)</f>
        <v>0</v>
      </c>
      <c r="I305" s="669">
        <f t="shared" si="18"/>
        <v>28350.739999999998</v>
      </c>
      <c r="J305" s="20" t="s">
        <v>1043</v>
      </c>
    </row>
    <row r="306" spans="1:10" hidden="1" outlineLevel="1">
      <c r="A306" s="374" t="s">
        <v>1044</v>
      </c>
      <c r="B306" s="1698">
        <f>_xlfn.IFNA(VLOOKUP($A306,'Anlage 1a_Zuschlagszahlungen_NB'!A1146:E1379,5,FALSE),0)</f>
        <v>153406.52000000002</v>
      </c>
      <c r="C306" s="667">
        <f>_xlfn.IFNA(VLOOKUP($A306,'Anlage 1b_Abzüge, Pflicht, Boni'!$A$26:$D$49,2,FALSE),0)</f>
        <v>0</v>
      </c>
      <c r="D306" s="667">
        <f>_xlfn.IFNA(VLOOKUP(A306,'Anlage 1b_Abzüge, Pflicht, Boni'!$A$9:$D$67,3,FALSE),0)</f>
        <v>0</v>
      </c>
      <c r="E306" s="667">
        <f>_xlfn.IFNA(VLOOKUP(A306,'Anlage 1b_Abzüge, Pflicht, Boni'!$A$26:$D$47,4,FALSE),0)</f>
        <v>0</v>
      </c>
      <c r="F306" s="88">
        <f t="shared" si="20"/>
        <v>153406.52000000002</v>
      </c>
      <c r="G306" s="88">
        <f>SUMIFS('Anlage 1c_Korrekturen_NB'!$L$105:$L$295,'Anlage 1c_Korrekturen_NB'!$A$105:$A$295,'Anlage 3a_Zusammenfassung_KWKG'!$A306)</f>
        <v>0</v>
      </c>
      <c r="H306" s="668">
        <f>_xlfn.IFNA(VLOOKUP(A306,'Anlage 1c_Korrekturen_NB'!$A$626:$D$629,4,FALSE),0)</f>
        <v>0</v>
      </c>
      <c r="I306" s="669">
        <f t="shared" si="18"/>
        <v>0</v>
      </c>
      <c r="J306" s="20" t="s">
        <v>1045</v>
      </c>
    </row>
    <row r="307" spans="1:10" hidden="1" outlineLevel="1">
      <c r="A307" s="374" t="s">
        <v>1046</v>
      </c>
      <c r="B307" s="1698">
        <f>_xlfn.IFNA(VLOOKUP($A307,'Anlage 1a_Zuschlagszahlungen_NB'!A1147:E1380,5,FALSE),0)</f>
        <v>0</v>
      </c>
      <c r="C307" s="667">
        <f>_xlfn.IFNA(VLOOKUP($A307,'Anlage 1b_Abzüge, Pflicht, Boni'!$A$26:$D$49,2,FALSE),0)</f>
        <v>0</v>
      </c>
      <c r="D307" s="667">
        <f>_xlfn.IFNA(VLOOKUP(A307,'Anlage 1b_Abzüge, Pflicht, Boni'!$A$9:$D$67,3,FALSE),0)</f>
        <v>0</v>
      </c>
      <c r="E307" s="667">
        <f>_xlfn.IFNA(VLOOKUP(A307,'Anlage 1b_Abzüge, Pflicht, Boni'!$A$26:$D$47,4,FALSE),0)</f>
        <v>0</v>
      </c>
      <c r="F307" s="88">
        <f t="shared" si="20"/>
        <v>0</v>
      </c>
      <c r="G307" s="88">
        <f>SUMIFS('Anlage 1c_Korrekturen_NB'!$L$105:$L$295,'Anlage 1c_Korrekturen_NB'!$A$105:$A$295,'Anlage 3a_Zusammenfassung_KWKG'!$A307)</f>
        <v>0</v>
      </c>
      <c r="H307" s="668">
        <f>_xlfn.IFNA(VLOOKUP(A307,'Anlage 1c_Korrekturen_NB'!$A$626:$D$629,4,FALSE),0)</f>
        <v>0</v>
      </c>
      <c r="I307" s="669">
        <f t="shared" si="18"/>
        <v>0</v>
      </c>
      <c r="J307" s="20" t="s">
        <v>1047</v>
      </c>
    </row>
    <row r="308" spans="1:10" hidden="1" outlineLevel="1">
      <c r="A308" s="374" t="s">
        <v>1048</v>
      </c>
      <c r="B308" s="1698">
        <f>_xlfn.IFNA(VLOOKUP($A308,'Anlage 1a_Zuschlagszahlungen_NB'!A1148:E1381,5,FALSE),0)</f>
        <v>102996.25</v>
      </c>
      <c r="C308" s="667">
        <f>_xlfn.IFNA(VLOOKUP($A308,'Anlage 1b_Abzüge, Pflicht, Boni'!$A$26:$D$49,2,FALSE),0)</f>
        <v>0</v>
      </c>
      <c r="D308" s="667">
        <f>_xlfn.IFNA(VLOOKUP(A308,'Anlage 1b_Abzüge, Pflicht, Boni'!$A$9:$D$67,3,FALSE),0)</f>
        <v>0</v>
      </c>
      <c r="E308" s="667">
        <f>_xlfn.IFNA(VLOOKUP(A308,'Anlage 1b_Abzüge, Pflicht, Boni'!$A$26:$D$47,4,FALSE),0)</f>
        <v>0</v>
      </c>
      <c r="F308" s="88">
        <f t="shared" si="20"/>
        <v>102996.25</v>
      </c>
      <c r="G308" s="88">
        <f>SUMIFS('Anlage 1c_Korrekturen_NB'!$L$105:$L$295,'Anlage 1c_Korrekturen_NB'!$A$105:$A$295,'Anlage 3a_Zusammenfassung_KWKG'!$A308)</f>
        <v>0</v>
      </c>
      <c r="H308" s="668">
        <f>_xlfn.IFNA(VLOOKUP(A308,'Anlage 1c_Korrekturen_NB'!$A$626:$D$629,4,FALSE),0)</f>
        <v>0</v>
      </c>
      <c r="I308" s="669">
        <f t="shared" si="18"/>
        <v>0</v>
      </c>
      <c r="J308" s="20" t="s">
        <v>1049</v>
      </c>
    </row>
    <row r="309" spans="1:10" hidden="1" outlineLevel="1">
      <c r="A309" s="374" t="s">
        <v>1050</v>
      </c>
      <c r="B309" s="1698">
        <f>_xlfn.IFNA(VLOOKUP($A309,'Anlage 1a_Zuschlagszahlungen_NB'!A1149:E1382,5,FALSE),0)</f>
        <v>450807.5</v>
      </c>
      <c r="C309" s="667">
        <f>_xlfn.IFNA(VLOOKUP($A309,'Anlage 1b_Abzüge, Pflicht, Boni'!$A$26:$D$49,2,FALSE),0)</f>
        <v>0</v>
      </c>
      <c r="D309" s="667">
        <f>_xlfn.IFNA(VLOOKUP(A309,'Anlage 1b_Abzüge, Pflicht, Boni'!$A$9:$D$67,3,FALSE),0)</f>
        <v>0</v>
      </c>
      <c r="E309" s="667">
        <f>_xlfn.IFNA(VLOOKUP(A309,'Anlage 1b_Abzüge, Pflicht, Boni'!$A$26:$D$47,4,FALSE),0)</f>
        <v>0</v>
      </c>
      <c r="F309" s="88">
        <f t="shared" si="20"/>
        <v>450807.5</v>
      </c>
      <c r="G309" s="88">
        <f>SUMIFS('Anlage 1c_Korrekturen_NB'!$L$105:$L$295,'Anlage 1c_Korrekturen_NB'!$A$105:$A$295,'Anlage 3a_Zusammenfassung_KWKG'!$A309)</f>
        <v>0</v>
      </c>
      <c r="H309" s="668">
        <f>_xlfn.IFNA(VLOOKUP(A309,'Anlage 1c_Korrekturen_NB'!$A$626:$D$629,4,FALSE),0)</f>
        <v>0</v>
      </c>
      <c r="I309" s="669">
        <f t="shared" si="18"/>
        <v>0</v>
      </c>
      <c r="J309" s="20" t="s">
        <v>1051</v>
      </c>
    </row>
    <row r="310" spans="1:10" hidden="1" outlineLevel="1">
      <c r="A310" s="374" t="s">
        <v>1052</v>
      </c>
      <c r="B310" s="1698">
        <f>_xlfn.IFNA(VLOOKUP($A310,'Anlage 1a_Zuschlagszahlungen_NB'!A1150:E1383,5,FALSE),0)</f>
        <v>0</v>
      </c>
      <c r="C310" s="667">
        <f>_xlfn.IFNA(VLOOKUP($A310,'Anlage 1b_Abzüge, Pflicht, Boni'!$A$26:$D$49,2,FALSE),0)</f>
        <v>0</v>
      </c>
      <c r="D310" s="667">
        <f>_xlfn.IFNA(VLOOKUP(A310,'Anlage 1b_Abzüge, Pflicht, Boni'!$A$9:$D$67,3,FALSE),0)</f>
        <v>0</v>
      </c>
      <c r="E310" s="667">
        <f>_xlfn.IFNA(VLOOKUP(A310,'Anlage 1b_Abzüge, Pflicht, Boni'!$A$26:$D$47,4,FALSE),0)</f>
        <v>0</v>
      </c>
      <c r="F310" s="88">
        <f t="shared" si="20"/>
        <v>0</v>
      </c>
      <c r="G310" s="88">
        <f>SUMIFS('Anlage 1c_Korrekturen_NB'!$L$105:$L$295,'Anlage 1c_Korrekturen_NB'!$A$105:$A$295,'Anlage 3a_Zusammenfassung_KWKG'!$A310)</f>
        <v>0</v>
      </c>
      <c r="H310" s="668">
        <f>_xlfn.IFNA(VLOOKUP(A310,'Anlage 1c_Korrekturen_NB'!$A$626:$D$629,4,FALSE),0)</f>
        <v>0</v>
      </c>
      <c r="I310" s="669">
        <f t="shared" si="18"/>
        <v>0</v>
      </c>
      <c r="J310" s="20" t="s">
        <v>1053</v>
      </c>
    </row>
    <row r="311" spans="1:10" hidden="1" outlineLevel="1">
      <c r="A311" s="374" t="s">
        <v>1054</v>
      </c>
      <c r="B311" s="1698">
        <f>_xlfn.IFNA(VLOOKUP($A311,'Anlage 1a_Zuschlagszahlungen_NB'!A1151:E1384,5,FALSE),0)</f>
        <v>323539.74</v>
      </c>
      <c r="C311" s="667">
        <f>_xlfn.IFNA(VLOOKUP($A311,'Anlage 1b_Abzüge, Pflicht, Boni'!$A$26:$D$49,2,FALSE),0)</f>
        <v>0</v>
      </c>
      <c r="D311" s="667">
        <f>_xlfn.IFNA(VLOOKUP(A311,'Anlage 1b_Abzüge, Pflicht, Boni'!$A$9:$D$67,3,FALSE),0)</f>
        <v>0</v>
      </c>
      <c r="E311" s="667">
        <f>_xlfn.IFNA(VLOOKUP(A311,'Anlage 1b_Abzüge, Pflicht, Boni'!$A$26:$D$47,4,FALSE),0)</f>
        <v>0</v>
      </c>
      <c r="F311" s="88">
        <f t="shared" si="20"/>
        <v>323539.74</v>
      </c>
      <c r="G311" s="88">
        <f>SUMIFS('Anlage 1c_Korrekturen_NB'!$L$105:$L$295,'Anlage 1c_Korrekturen_NB'!$A$105:$A$295,'Anlage 3a_Zusammenfassung_KWKG'!$A311)</f>
        <v>23680</v>
      </c>
      <c r="H311" s="668">
        <f>_xlfn.IFNA(VLOOKUP(A311,'Anlage 1c_Korrekturen_NB'!$A$626:$D$629,4,FALSE),0)</f>
        <v>0</v>
      </c>
      <c r="I311" s="669">
        <f t="shared" si="18"/>
        <v>23680</v>
      </c>
      <c r="J311" s="20" t="s">
        <v>1055</v>
      </c>
    </row>
    <row r="312" spans="1:10" hidden="1" outlineLevel="1">
      <c r="A312" s="374" t="s">
        <v>1056</v>
      </c>
      <c r="B312" s="1698">
        <f>_xlfn.IFNA(VLOOKUP($A312,'Anlage 1a_Zuschlagszahlungen_NB'!A1152:E1385,5,FALSE),0)</f>
        <v>102093.06999999999</v>
      </c>
      <c r="C312" s="667">
        <f>_xlfn.IFNA(VLOOKUP($A312,'Anlage 1b_Abzüge, Pflicht, Boni'!$A$26:$D$49,2,FALSE),0)</f>
        <v>0</v>
      </c>
      <c r="D312" s="667">
        <f>_xlfn.IFNA(VLOOKUP(A312,'Anlage 1b_Abzüge, Pflicht, Boni'!$A$9:$D$67,3,FALSE),0)</f>
        <v>0</v>
      </c>
      <c r="E312" s="667">
        <f>_xlfn.IFNA(VLOOKUP(A312,'Anlage 1b_Abzüge, Pflicht, Boni'!$A$26:$D$47,4,FALSE),0)</f>
        <v>0</v>
      </c>
      <c r="F312" s="88">
        <f t="shared" si="20"/>
        <v>102093.06999999999</v>
      </c>
      <c r="G312" s="88">
        <f>SUMIFS('Anlage 1c_Korrekturen_NB'!$L$105:$L$295,'Anlage 1c_Korrekturen_NB'!$A$105:$A$295,'Anlage 3a_Zusammenfassung_KWKG'!$A312)</f>
        <v>0</v>
      </c>
      <c r="H312" s="668">
        <f>_xlfn.IFNA(VLOOKUP(A312,'Anlage 1c_Korrekturen_NB'!$A$626:$D$629,4,FALSE),0)</f>
        <v>0</v>
      </c>
      <c r="I312" s="669">
        <f t="shared" si="18"/>
        <v>0</v>
      </c>
      <c r="J312" s="20" t="s">
        <v>1057</v>
      </c>
    </row>
    <row r="313" spans="1:10" hidden="1" outlineLevel="1">
      <c r="A313" s="374" t="s">
        <v>1058</v>
      </c>
      <c r="B313" s="1698">
        <f>_xlfn.IFNA(VLOOKUP($A313,'Anlage 1a_Zuschlagszahlungen_NB'!A1153:E1386,5,FALSE),0)</f>
        <v>260972.05000000002</v>
      </c>
      <c r="C313" s="667">
        <f>_xlfn.IFNA(VLOOKUP($A313,'Anlage 1b_Abzüge, Pflicht, Boni'!$A$26:$D$49,2,FALSE),0)</f>
        <v>0</v>
      </c>
      <c r="D313" s="667">
        <f>_xlfn.IFNA(VLOOKUP(A313,'Anlage 1b_Abzüge, Pflicht, Boni'!$A$9:$D$67,3,FALSE),0)</f>
        <v>0</v>
      </c>
      <c r="E313" s="667">
        <f>_xlfn.IFNA(VLOOKUP(A313,'Anlage 1b_Abzüge, Pflicht, Boni'!$A$26:$D$47,4,FALSE),0)</f>
        <v>0</v>
      </c>
      <c r="F313" s="88">
        <f t="shared" si="20"/>
        <v>260972.05000000002</v>
      </c>
      <c r="G313" s="88">
        <f>SUMIFS('Anlage 1c_Korrekturen_NB'!$L$105:$L$295,'Anlage 1c_Korrekturen_NB'!$A$105:$A$295,'Anlage 3a_Zusammenfassung_KWKG'!$A313)</f>
        <v>121077.09</v>
      </c>
      <c r="H313" s="668">
        <f>_xlfn.IFNA(VLOOKUP(A313,'Anlage 1c_Korrekturen_NB'!$A$626:$D$629,4,FALSE),0)</f>
        <v>0</v>
      </c>
      <c r="I313" s="669">
        <f t="shared" si="18"/>
        <v>121077.09</v>
      </c>
      <c r="J313" s="20" t="s">
        <v>1059</v>
      </c>
    </row>
    <row r="314" spans="1:10" hidden="1" outlineLevel="1">
      <c r="A314" s="374" t="s">
        <v>1060</v>
      </c>
      <c r="B314" s="1698">
        <f>_xlfn.IFNA(VLOOKUP($A314,'Anlage 1a_Zuschlagszahlungen_NB'!A1154:E1387,5,FALSE),0)</f>
        <v>0</v>
      </c>
      <c r="C314" s="667">
        <f>_xlfn.IFNA(VLOOKUP($A314,'Anlage 1b_Abzüge, Pflicht, Boni'!$A$26:$D$49,2,FALSE),0)</f>
        <v>0</v>
      </c>
      <c r="D314" s="667">
        <f>_xlfn.IFNA(VLOOKUP(A314,'Anlage 1b_Abzüge, Pflicht, Boni'!$A$9:$D$67,3,FALSE),0)</f>
        <v>0</v>
      </c>
      <c r="E314" s="667">
        <f>_xlfn.IFNA(VLOOKUP(A314,'Anlage 1b_Abzüge, Pflicht, Boni'!$A$26:$D$47,4,FALSE),0)</f>
        <v>0</v>
      </c>
      <c r="F314" s="88">
        <f t="shared" si="20"/>
        <v>0</v>
      </c>
      <c r="G314" s="88">
        <f>SUMIFS('Anlage 1c_Korrekturen_NB'!$L$105:$L$295,'Anlage 1c_Korrekturen_NB'!$A$105:$A$295,'Anlage 3a_Zusammenfassung_KWKG'!$A314)</f>
        <v>0</v>
      </c>
      <c r="H314" s="668">
        <f>_xlfn.IFNA(VLOOKUP(A314,'Anlage 1c_Korrekturen_NB'!$A$626:$D$629,4,FALSE),0)</f>
        <v>0</v>
      </c>
      <c r="I314" s="669">
        <f t="shared" si="18"/>
        <v>0</v>
      </c>
      <c r="J314" s="20" t="s">
        <v>1061</v>
      </c>
    </row>
    <row r="315" spans="1:10" hidden="1" outlineLevel="1">
      <c r="A315" s="374" t="s">
        <v>1062</v>
      </c>
      <c r="B315" s="1698">
        <f>_xlfn.IFNA(VLOOKUP($A315,'Anlage 1a_Zuschlagszahlungen_NB'!A1155:E1388,5,FALSE),0)</f>
        <v>233222.88999999998</v>
      </c>
      <c r="C315" s="667">
        <f>_xlfn.IFNA(VLOOKUP($A315,'Anlage 1b_Abzüge, Pflicht, Boni'!$A$26:$D$49,2,FALSE),0)</f>
        <v>0</v>
      </c>
      <c r="D315" s="667">
        <f>_xlfn.IFNA(VLOOKUP(A315,'Anlage 1b_Abzüge, Pflicht, Boni'!$A$9:$D$67,3,FALSE),0)</f>
        <v>0</v>
      </c>
      <c r="E315" s="667">
        <f>_xlfn.IFNA(VLOOKUP(A315,'Anlage 1b_Abzüge, Pflicht, Boni'!$A$26:$D$47,4,FALSE),0)</f>
        <v>0</v>
      </c>
      <c r="F315" s="88">
        <f t="shared" si="20"/>
        <v>233222.88999999998</v>
      </c>
      <c r="G315" s="88">
        <f>SUMIFS('Anlage 1c_Korrekturen_NB'!$L$105:$L$295,'Anlage 1c_Korrekturen_NB'!$A$105:$A$295,'Anlage 3a_Zusammenfassung_KWKG'!$A315)</f>
        <v>0</v>
      </c>
      <c r="H315" s="668">
        <f>_xlfn.IFNA(VLOOKUP(A315,'Anlage 1c_Korrekturen_NB'!$A$626:$D$629,4,FALSE),0)</f>
        <v>0</v>
      </c>
      <c r="I315" s="669">
        <f t="shared" si="18"/>
        <v>0</v>
      </c>
      <c r="J315" s="20" t="s">
        <v>1063</v>
      </c>
    </row>
    <row r="316" spans="1:10" hidden="1" outlineLevel="1">
      <c r="A316" s="374" t="s">
        <v>1064</v>
      </c>
      <c r="B316" s="1698">
        <f>_xlfn.IFNA(VLOOKUP($A316,'Anlage 1a_Zuschlagszahlungen_NB'!A1156:E1389,5,FALSE),0)</f>
        <v>381008.69</v>
      </c>
      <c r="C316" s="667">
        <f>_xlfn.IFNA(VLOOKUP($A316,'Anlage 1b_Abzüge, Pflicht, Boni'!$A$26:$D$49,2,FALSE),0)</f>
        <v>-657.63</v>
      </c>
      <c r="D316" s="667">
        <f>_xlfn.IFNA(VLOOKUP(A316,'Anlage 1b_Abzüge, Pflicht, Boni'!$A$9:$D$67,3,FALSE),0)</f>
        <v>-3000</v>
      </c>
      <c r="E316" s="667">
        <f>_xlfn.IFNA(VLOOKUP(A316,'Anlage 1b_Abzüge, Pflicht, Boni'!$A$26:$D$47,4,FALSE),0)</f>
        <v>0</v>
      </c>
      <c r="F316" s="88">
        <f t="shared" si="20"/>
        <v>377351.06</v>
      </c>
      <c r="G316" s="88">
        <f>SUMIFS('Anlage 1c_Korrekturen_NB'!$L$105:$L$295,'Anlage 1c_Korrekturen_NB'!$A$105:$A$295,'Anlage 3a_Zusammenfassung_KWKG'!$A316)</f>
        <v>0</v>
      </c>
      <c r="H316" s="668">
        <f>_xlfn.IFNA(VLOOKUP(A316,'Anlage 1c_Korrekturen_NB'!$A$626:$D$629,4,FALSE),0)</f>
        <v>0</v>
      </c>
      <c r="I316" s="669">
        <f t="shared" si="18"/>
        <v>0</v>
      </c>
      <c r="J316" s="20" t="s">
        <v>1065</v>
      </c>
    </row>
    <row r="317" spans="1:10" hidden="1" outlineLevel="1">
      <c r="A317" s="374" t="s">
        <v>1066</v>
      </c>
      <c r="B317" s="1698">
        <f>_xlfn.IFNA(VLOOKUP($A317,'Anlage 1a_Zuschlagszahlungen_NB'!A1157:E1390,5,FALSE),0)</f>
        <v>5614.56</v>
      </c>
      <c r="C317" s="667">
        <f>_xlfn.IFNA(VLOOKUP($A317,'Anlage 1b_Abzüge, Pflicht, Boni'!$A$26:$D$49,2,FALSE),0)</f>
        <v>-464.08</v>
      </c>
      <c r="D317" s="667">
        <f>_xlfn.IFNA(VLOOKUP(A317,'Anlage 1b_Abzüge, Pflicht, Boni'!$A$9:$D$67,3,FALSE),0)</f>
        <v>0</v>
      </c>
      <c r="E317" s="667">
        <f>_xlfn.IFNA(VLOOKUP(A317,'Anlage 1b_Abzüge, Pflicht, Boni'!$A$26:$D$47,4,FALSE),0)</f>
        <v>0</v>
      </c>
      <c r="F317" s="88">
        <f t="shared" si="20"/>
        <v>5150.4800000000005</v>
      </c>
      <c r="G317" s="88">
        <f>SUMIFS('Anlage 1c_Korrekturen_NB'!$L$105:$L$295,'Anlage 1c_Korrekturen_NB'!$A$105:$A$295,'Anlage 3a_Zusammenfassung_KWKG'!$A317)</f>
        <v>0</v>
      </c>
      <c r="H317" s="668">
        <f>_xlfn.IFNA(VLOOKUP(A317,'Anlage 1c_Korrekturen_NB'!$A$626:$D$629,4,FALSE),0)</f>
        <v>0</v>
      </c>
      <c r="I317" s="669">
        <f t="shared" si="18"/>
        <v>0</v>
      </c>
      <c r="J317" s="20" t="s">
        <v>1067</v>
      </c>
    </row>
    <row r="318" spans="1:10" hidden="1" outlineLevel="1">
      <c r="A318" s="374" t="s">
        <v>1068</v>
      </c>
      <c r="B318" s="1698">
        <f>_xlfn.IFNA(VLOOKUP($A318,'Anlage 1a_Zuschlagszahlungen_NB'!A1158:E1391,5,FALSE),0)</f>
        <v>152604.83000000002</v>
      </c>
      <c r="C318" s="667">
        <f>_xlfn.IFNA(VLOOKUP($A318,'Anlage 1b_Abzüge, Pflicht, Boni'!$A$26:$D$49,2,FALSE),0)</f>
        <v>0</v>
      </c>
      <c r="D318" s="667">
        <f>_xlfn.IFNA(VLOOKUP(A318,'Anlage 1b_Abzüge, Pflicht, Boni'!$A$9:$D$67,3,FALSE),0)</f>
        <v>0</v>
      </c>
      <c r="E318" s="667">
        <f>_xlfn.IFNA(VLOOKUP(A318,'Anlage 1b_Abzüge, Pflicht, Boni'!$A$26:$D$47,4,FALSE),0)</f>
        <v>0</v>
      </c>
      <c r="F318" s="88">
        <f t="shared" si="20"/>
        <v>152604.83000000002</v>
      </c>
      <c r="G318" s="88">
        <f>SUMIFS('Anlage 1c_Korrekturen_NB'!$L$105:$L$295,'Anlage 1c_Korrekturen_NB'!$A$105:$A$295,'Anlage 3a_Zusammenfassung_KWKG'!$A318)</f>
        <v>0</v>
      </c>
      <c r="H318" s="668">
        <f>_xlfn.IFNA(VLOOKUP(A318,'Anlage 1c_Korrekturen_NB'!$A$626:$D$629,4,FALSE),0)</f>
        <v>0</v>
      </c>
      <c r="I318" s="669">
        <f t="shared" si="18"/>
        <v>0</v>
      </c>
      <c r="J318" s="20" t="s">
        <v>1069</v>
      </c>
    </row>
    <row r="319" spans="1:10" hidden="1" outlineLevel="1">
      <c r="A319" s="374" t="s">
        <v>1070</v>
      </c>
      <c r="B319" s="1698">
        <f>_xlfn.IFNA(VLOOKUP($A319,'Anlage 1a_Zuschlagszahlungen_NB'!A1159:E1392,5,FALSE),0)</f>
        <v>46179.789999999994</v>
      </c>
      <c r="C319" s="667">
        <f>_xlfn.IFNA(VLOOKUP($A319,'Anlage 1b_Abzüge, Pflicht, Boni'!$A$26:$D$49,2,FALSE),0)</f>
        <v>0</v>
      </c>
      <c r="D319" s="667">
        <f>_xlfn.IFNA(VLOOKUP(A319,'Anlage 1b_Abzüge, Pflicht, Boni'!$A$9:$D$67,3,FALSE),0)</f>
        <v>0</v>
      </c>
      <c r="E319" s="667">
        <f>_xlfn.IFNA(VLOOKUP(A319,'Anlage 1b_Abzüge, Pflicht, Boni'!$A$26:$D$47,4,FALSE),0)</f>
        <v>0</v>
      </c>
      <c r="F319" s="88">
        <f t="shared" si="20"/>
        <v>46179.789999999994</v>
      </c>
      <c r="G319" s="88">
        <f>SUMIFS('Anlage 1c_Korrekturen_NB'!$L$105:$L$295,'Anlage 1c_Korrekturen_NB'!$A$105:$A$295,'Anlage 3a_Zusammenfassung_KWKG'!$A319)</f>
        <v>0</v>
      </c>
      <c r="H319" s="668">
        <f>_xlfn.IFNA(VLOOKUP(A319,'Anlage 1c_Korrekturen_NB'!$A$626:$D$629,4,FALSE),0)</f>
        <v>0</v>
      </c>
      <c r="I319" s="669">
        <f t="shared" si="18"/>
        <v>0</v>
      </c>
      <c r="J319" s="20" t="s">
        <v>1071</v>
      </c>
    </row>
    <row r="320" spans="1:10" hidden="1" outlineLevel="1">
      <c r="A320" s="374" t="s">
        <v>1072</v>
      </c>
      <c r="B320" s="1698">
        <f>_xlfn.IFNA(VLOOKUP($A320,'Anlage 1a_Zuschlagszahlungen_NB'!A1160:E1393,5,FALSE),0)</f>
        <v>437212.25</v>
      </c>
      <c r="C320" s="667">
        <f>_xlfn.IFNA(VLOOKUP($A320,'Anlage 1b_Abzüge, Pflicht, Boni'!$A$26:$D$49,2,FALSE),0)</f>
        <v>0</v>
      </c>
      <c r="D320" s="667">
        <f>_xlfn.IFNA(VLOOKUP(A320,'Anlage 1b_Abzüge, Pflicht, Boni'!$A$9:$D$67,3,FALSE),0)</f>
        <v>0</v>
      </c>
      <c r="E320" s="667">
        <f>_xlfn.IFNA(VLOOKUP(A320,'Anlage 1b_Abzüge, Pflicht, Boni'!$A$26:$D$47,4,FALSE),0)</f>
        <v>0</v>
      </c>
      <c r="F320" s="88">
        <f t="shared" si="20"/>
        <v>437212.25</v>
      </c>
      <c r="G320" s="88">
        <f>SUMIFS('Anlage 1c_Korrekturen_NB'!$L$105:$L$295,'Anlage 1c_Korrekturen_NB'!$A$105:$A$295,'Anlage 3a_Zusammenfassung_KWKG'!$A320)</f>
        <v>0</v>
      </c>
      <c r="H320" s="668">
        <f>_xlfn.IFNA(VLOOKUP(A320,'Anlage 1c_Korrekturen_NB'!$A$626:$D$629,4,FALSE),0)</f>
        <v>0</v>
      </c>
      <c r="I320" s="669">
        <f t="shared" si="18"/>
        <v>0</v>
      </c>
      <c r="J320" s="20" t="s">
        <v>1073</v>
      </c>
    </row>
    <row r="321" spans="1:10" hidden="1" outlineLevel="1">
      <c r="A321" s="374" t="s">
        <v>1074</v>
      </c>
      <c r="B321" s="1698">
        <f>_xlfn.IFNA(VLOOKUP($A321,'Anlage 1a_Zuschlagszahlungen_NB'!A1161:E1394,5,FALSE),0)</f>
        <v>549556.59</v>
      </c>
      <c r="C321" s="667">
        <f>_xlfn.IFNA(VLOOKUP($A321,'Anlage 1b_Abzüge, Pflicht, Boni'!$A$26:$D$49,2,FALSE),0)</f>
        <v>0</v>
      </c>
      <c r="D321" s="667">
        <f>_xlfn.IFNA(VLOOKUP(A321,'Anlage 1b_Abzüge, Pflicht, Boni'!$A$9:$D$67,3,FALSE),0)</f>
        <v>0</v>
      </c>
      <c r="E321" s="667">
        <f>_xlfn.IFNA(VLOOKUP(A321,'Anlage 1b_Abzüge, Pflicht, Boni'!$A$26:$D$47,4,FALSE),0)</f>
        <v>0</v>
      </c>
      <c r="F321" s="88">
        <f t="shared" si="20"/>
        <v>549556.59</v>
      </c>
      <c r="G321" s="88">
        <f>SUMIFS('Anlage 1c_Korrekturen_NB'!$L$105:$L$295,'Anlage 1c_Korrekturen_NB'!$A$105:$A$295,'Anlage 3a_Zusammenfassung_KWKG'!$A321)</f>
        <v>186963.21000000002</v>
      </c>
      <c r="H321" s="668">
        <f>_xlfn.IFNA(VLOOKUP(A321,'Anlage 1c_Korrekturen_NB'!$A$626:$D$629,4,FALSE),0)</f>
        <v>0</v>
      </c>
      <c r="I321" s="669">
        <f t="shared" si="18"/>
        <v>186963.21000000002</v>
      </c>
      <c r="J321" s="20" t="s">
        <v>1075</v>
      </c>
    </row>
    <row r="322" spans="1:10" hidden="1" outlineLevel="1">
      <c r="A322" s="374" t="s">
        <v>1076</v>
      </c>
      <c r="B322" s="1698">
        <f>_xlfn.IFNA(VLOOKUP($A322,'Anlage 1a_Zuschlagszahlungen_NB'!A1162:E1395,5,FALSE),0)</f>
        <v>89754.4</v>
      </c>
      <c r="C322" s="667">
        <f>_xlfn.IFNA(VLOOKUP($A322,'Anlage 1b_Abzüge, Pflicht, Boni'!$A$26:$D$49,2,FALSE),0)</f>
        <v>0</v>
      </c>
      <c r="D322" s="667">
        <f>_xlfn.IFNA(VLOOKUP(A322,'Anlage 1b_Abzüge, Pflicht, Boni'!$A$9:$D$67,3,FALSE),0)</f>
        <v>0</v>
      </c>
      <c r="E322" s="667">
        <f>_xlfn.IFNA(VLOOKUP(A322,'Anlage 1b_Abzüge, Pflicht, Boni'!$A$26:$D$47,4,FALSE),0)</f>
        <v>0</v>
      </c>
      <c r="F322" s="88">
        <f t="shared" si="20"/>
        <v>89754.4</v>
      </c>
      <c r="G322" s="88">
        <f>SUMIFS('Anlage 1c_Korrekturen_NB'!$L$105:$L$295,'Anlage 1c_Korrekturen_NB'!$A$105:$A$295,'Anlage 3a_Zusammenfassung_KWKG'!$A322)</f>
        <v>1407.93</v>
      </c>
      <c r="H322" s="668">
        <f>_xlfn.IFNA(VLOOKUP(A322,'Anlage 1c_Korrekturen_NB'!$A$626:$D$629,4,FALSE),0)</f>
        <v>0</v>
      </c>
      <c r="I322" s="669">
        <f t="shared" si="18"/>
        <v>1407.93</v>
      </c>
      <c r="J322" s="20" t="s">
        <v>1077</v>
      </c>
    </row>
    <row r="323" spans="1:10" hidden="1" outlineLevel="1">
      <c r="A323" s="374" t="s">
        <v>1078</v>
      </c>
      <c r="B323" s="1698">
        <f>_xlfn.IFNA(VLOOKUP($A323,'Anlage 1a_Zuschlagszahlungen_NB'!A1163:E1396,5,FALSE),0)</f>
        <v>135099.12</v>
      </c>
      <c r="C323" s="667">
        <f>_xlfn.IFNA(VLOOKUP($A323,'Anlage 1b_Abzüge, Pflicht, Boni'!$A$26:$D$49,2,FALSE),0)</f>
        <v>0</v>
      </c>
      <c r="D323" s="667">
        <f>_xlfn.IFNA(VLOOKUP(A323,'Anlage 1b_Abzüge, Pflicht, Boni'!$A$9:$D$67,3,FALSE),0)</f>
        <v>-820</v>
      </c>
      <c r="E323" s="667">
        <f>_xlfn.IFNA(VLOOKUP(A323,'Anlage 1b_Abzüge, Pflicht, Boni'!$A$26:$D$47,4,FALSE),0)</f>
        <v>0</v>
      </c>
      <c r="F323" s="88">
        <f t="shared" si="20"/>
        <v>134279.12</v>
      </c>
      <c r="G323" s="88">
        <f>SUMIFS('Anlage 1c_Korrekturen_NB'!$L$105:$L$295,'Anlage 1c_Korrekturen_NB'!$A$105:$A$295,'Anlage 3a_Zusammenfassung_KWKG'!$A323)</f>
        <v>-1201.2699999999986</v>
      </c>
      <c r="H323" s="668">
        <f>_xlfn.IFNA(VLOOKUP(A323,'Anlage 1c_Korrekturen_NB'!$A$626:$D$629,4,FALSE),0)</f>
        <v>0</v>
      </c>
      <c r="I323" s="669">
        <f t="shared" si="18"/>
        <v>-1201.2699999999986</v>
      </c>
      <c r="J323" s="20" t="s">
        <v>1079</v>
      </c>
    </row>
    <row r="324" spans="1:10" hidden="1" outlineLevel="1">
      <c r="A324" s="374" t="s">
        <v>1080</v>
      </c>
      <c r="B324" s="1698">
        <f>_xlfn.IFNA(VLOOKUP($A324,'Anlage 1a_Zuschlagszahlungen_NB'!A1164:E1397,5,FALSE),0)</f>
        <v>6667.77</v>
      </c>
      <c r="C324" s="667">
        <f>_xlfn.IFNA(VLOOKUP($A324,'Anlage 1b_Abzüge, Pflicht, Boni'!$A$26:$D$49,2,FALSE),0)</f>
        <v>0</v>
      </c>
      <c r="D324" s="667">
        <f>_xlfn.IFNA(VLOOKUP(A324,'Anlage 1b_Abzüge, Pflicht, Boni'!$A$9:$D$67,3,FALSE),0)</f>
        <v>0</v>
      </c>
      <c r="E324" s="667">
        <f>_xlfn.IFNA(VLOOKUP(A324,'Anlage 1b_Abzüge, Pflicht, Boni'!$A$26:$D$47,4,FALSE),0)</f>
        <v>0</v>
      </c>
      <c r="F324" s="88">
        <f t="shared" si="20"/>
        <v>6667.77</v>
      </c>
      <c r="G324" s="88">
        <f>SUMIFS('Anlage 1c_Korrekturen_NB'!$L$105:$L$295,'Anlage 1c_Korrekturen_NB'!$A$105:$A$295,'Anlage 3a_Zusammenfassung_KWKG'!$A324)</f>
        <v>0</v>
      </c>
      <c r="H324" s="668">
        <f>_xlfn.IFNA(VLOOKUP(A324,'Anlage 1c_Korrekturen_NB'!$A$626:$D$629,4,FALSE),0)</f>
        <v>0</v>
      </c>
      <c r="I324" s="669">
        <f t="shared" si="18"/>
        <v>0</v>
      </c>
      <c r="J324" s="20" t="s">
        <v>1081</v>
      </c>
    </row>
    <row r="325" spans="1:10" hidden="1" outlineLevel="1">
      <c r="A325" s="374" t="s">
        <v>1082</v>
      </c>
      <c r="B325" s="1698">
        <f>_xlfn.IFNA(VLOOKUP($A325,'Anlage 1a_Zuschlagszahlungen_NB'!A1165:E1398,5,FALSE),0)</f>
        <v>75626.22</v>
      </c>
      <c r="C325" s="667">
        <f>_xlfn.IFNA(VLOOKUP($A325,'Anlage 1b_Abzüge, Pflicht, Boni'!$A$26:$D$49,2,FALSE),0)</f>
        <v>0</v>
      </c>
      <c r="D325" s="667">
        <f>_xlfn.IFNA(VLOOKUP(A325,'Anlage 1b_Abzüge, Pflicht, Boni'!$A$9:$D$67,3,FALSE),0)</f>
        <v>0</v>
      </c>
      <c r="E325" s="667">
        <f>_xlfn.IFNA(VLOOKUP(A325,'Anlage 1b_Abzüge, Pflicht, Boni'!$A$26:$D$47,4,FALSE),0)</f>
        <v>0</v>
      </c>
      <c r="F325" s="88">
        <f t="shared" si="20"/>
        <v>75626.22</v>
      </c>
      <c r="G325" s="88">
        <f>SUMIFS('Anlage 1c_Korrekturen_NB'!$L$105:$L$295,'Anlage 1c_Korrekturen_NB'!$A$105:$A$295,'Anlage 3a_Zusammenfassung_KWKG'!$A325)</f>
        <v>0</v>
      </c>
      <c r="H325" s="668">
        <f>_xlfn.IFNA(VLOOKUP(A325,'Anlage 1c_Korrekturen_NB'!$A$626:$D$629,4,FALSE),0)</f>
        <v>0</v>
      </c>
      <c r="I325" s="669">
        <f t="shared" si="18"/>
        <v>0</v>
      </c>
      <c r="J325" s="20" t="s">
        <v>1083</v>
      </c>
    </row>
    <row r="326" spans="1:10" hidden="1" outlineLevel="1">
      <c r="A326" s="374" t="s">
        <v>1084</v>
      </c>
      <c r="B326" s="1698">
        <f>_xlfn.IFNA(VLOOKUP($A326,'Anlage 1a_Zuschlagszahlungen_NB'!A1166:E1399,5,FALSE),0)</f>
        <v>54409.2</v>
      </c>
      <c r="C326" s="667">
        <f>_xlfn.IFNA(VLOOKUP($A326,'Anlage 1b_Abzüge, Pflicht, Boni'!$A$26:$D$49,2,FALSE),0)</f>
        <v>0</v>
      </c>
      <c r="D326" s="667">
        <f>_xlfn.IFNA(VLOOKUP(A326,'Anlage 1b_Abzüge, Pflicht, Boni'!$A$9:$D$67,3,FALSE),0)</f>
        <v>0</v>
      </c>
      <c r="E326" s="667">
        <f>_xlfn.IFNA(VLOOKUP(A326,'Anlage 1b_Abzüge, Pflicht, Boni'!$A$26:$D$47,4,FALSE),0)</f>
        <v>0</v>
      </c>
      <c r="F326" s="88">
        <f t="shared" si="20"/>
        <v>54409.2</v>
      </c>
      <c r="G326" s="88">
        <f>SUMIFS('Anlage 1c_Korrekturen_NB'!$L$105:$L$295,'Anlage 1c_Korrekturen_NB'!$A$105:$A$295,'Anlage 3a_Zusammenfassung_KWKG'!$A326)</f>
        <v>0</v>
      </c>
      <c r="H326" s="668">
        <f>_xlfn.IFNA(VLOOKUP(A326,'Anlage 1c_Korrekturen_NB'!$A$626:$D$629,4,FALSE),0)</f>
        <v>0</v>
      </c>
      <c r="I326" s="669">
        <f t="shared" si="18"/>
        <v>0</v>
      </c>
      <c r="J326" s="20" t="s">
        <v>1085</v>
      </c>
    </row>
    <row r="327" spans="1:10" hidden="1" outlineLevel="1">
      <c r="A327" s="374" t="s">
        <v>1086</v>
      </c>
      <c r="B327" s="1698">
        <f>_xlfn.IFNA(VLOOKUP($A327,'Anlage 1a_Zuschlagszahlungen_NB'!A1167:E1400,5,FALSE),0)</f>
        <v>244809.35</v>
      </c>
      <c r="C327" s="667">
        <f>_xlfn.IFNA(VLOOKUP($A327,'Anlage 1b_Abzüge, Pflicht, Boni'!$A$26:$D$49,2,FALSE),0)</f>
        <v>0</v>
      </c>
      <c r="D327" s="667">
        <f>_xlfn.IFNA(VLOOKUP(A327,'Anlage 1b_Abzüge, Pflicht, Boni'!$A$9:$D$67,3,FALSE),0)</f>
        <v>0</v>
      </c>
      <c r="E327" s="667">
        <f>_xlfn.IFNA(VLOOKUP(A327,'Anlage 1b_Abzüge, Pflicht, Boni'!$A$26:$D$47,4,FALSE),0)</f>
        <v>0</v>
      </c>
      <c r="F327" s="88">
        <f t="shared" si="20"/>
        <v>244809.35</v>
      </c>
      <c r="G327" s="88">
        <f>SUMIFS('Anlage 1c_Korrekturen_NB'!$L$105:$L$295,'Anlage 1c_Korrekturen_NB'!$A$105:$A$295,'Anlage 3a_Zusammenfassung_KWKG'!$A327)</f>
        <v>0</v>
      </c>
      <c r="H327" s="668">
        <f>_xlfn.IFNA(VLOOKUP(A327,'Anlage 1c_Korrekturen_NB'!$A$626:$D$629,4,FALSE),0)</f>
        <v>0</v>
      </c>
      <c r="I327" s="669">
        <f t="shared" si="18"/>
        <v>0</v>
      </c>
      <c r="J327" s="20" t="s">
        <v>1087</v>
      </c>
    </row>
    <row r="328" spans="1:10" hidden="1" outlineLevel="1">
      <c r="A328" s="374" t="s">
        <v>1088</v>
      </c>
      <c r="B328" s="1698">
        <f>_xlfn.IFNA(VLOOKUP($A328,'Anlage 1a_Zuschlagszahlungen_NB'!A1168:E1401,5,FALSE),0)</f>
        <v>64101.26</v>
      </c>
      <c r="C328" s="667">
        <f>_xlfn.IFNA(VLOOKUP($A328,'Anlage 1b_Abzüge, Pflicht, Boni'!$A$26:$D$49,2,FALSE),0)</f>
        <v>0</v>
      </c>
      <c r="D328" s="667">
        <f>_xlfn.IFNA(VLOOKUP(A328,'Anlage 1b_Abzüge, Pflicht, Boni'!$A$9:$D$67,3,FALSE),0)</f>
        <v>0</v>
      </c>
      <c r="E328" s="667">
        <f>_xlfn.IFNA(VLOOKUP(A328,'Anlage 1b_Abzüge, Pflicht, Boni'!$A$26:$D$47,4,FALSE),0)</f>
        <v>0</v>
      </c>
      <c r="F328" s="88">
        <f t="shared" si="20"/>
        <v>64101.26</v>
      </c>
      <c r="G328" s="88">
        <f>SUMIFS('Anlage 1c_Korrekturen_NB'!$L$105:$L$295,'Anlage 1c_Korrekturen_NB'!$A$105:$A$295,'Anlage 3a_Zusammenfassung_KWKG'!$A328)</f>
        <v>0</v>
      </c>
      <c r="H328" s="668">
        <f>_xlfn.IFNA(VLOOKUP(A328,'Anlage 1c_Korrekturen_NB'!$A$626:$D$629,4,FALSE),0)</f>
        <v>0</v>
      </c>
      <c r="I328" s="669">
        <f t="shared" si="18"/>
        <v>0</v>
      </c>
      <c r="J328" s="20" t="s">
        <v>1089</v>
      </c>
    </row>
    <row r="329" spans="1:10" hidden="1" outlineLevel="1">
      <c r="A329" s="374" t="s">
        <v>1090</v>
      </c>
      <c r="B329" s="1698">
        <f>_xlfn.IFNA(VLOOKUP($A329,'Anlage 1a_Zuschlagszahlungen_NB'!A1169:E1402,5,FALSE),0)</f>
        <v>60506.6</v>
      </c>
      <c r="C329" s="667">
        <f>_xlfn.IFNA(VLOOKUP($A329,'Anlage 1b_Abzüge, Pflicht, Boni'!$A$26:$D$49,2,FALSE),0)</f>
        <v>0</v>
      </c>
      <c r="D329" s="667">
        <f>_xlfn.IFNA(VLOOKUP(A329,'Anlage 1b_Abzüge, Pflicht, Boni'!$A$9:$D$67,3,FALSE),0)</f>
        <v>0</v>
      </c>
      <c r="E329" s="667">
        <f>_xlfn.IFNA(VLOOKUP(A329,'Anlage 1b_Abzüge, Pflicht, Boni'!$A$26:$D$47,4,FALSE),0)</f>
        <v>0</v>
      </c>
      <c r="F329" s="88">
        <f t="shared" si="20"/>
        <v>60506.6</v>
      </c>
      <c r="G329" s="88">
        <f>SUMIFS('Anlage 1c_Korrekturen_NB'!$L$105:$L$295,'Anlage 1c_Korrekturen_NB'!$A$105:$A$295,'Anlage 3a_Zusammenfassung_KWKG'!$A329)</f>
        <v>14655.21</v>
      </c>
      <c r="H329" s="668">
        <f>_xlfn.IFNA(VLOOKUP(A329,'Anlage 1c_Korrekturen_NB'!$A$626:$D$629,4,FALSE),0)</f>
        <v>0</v>
      </c>
      <c r="I329" s="669">
        <f t="shared" si="18"/>
        <v>14655.21</v>
      </c>
      <c r="J329" s="20" t="s">
        <v>1091</v>
      </c>
    </row>
    <row r="330" spans="1:10" hidden="1" outlineLevel="1">
      <c r="A330" s="374" t="s">
        <v>1092</v>
      </c>
      <c r="B330" s="1698">
        <f>_xlfn.IFNA(VLOOKUP($A330,'Anlage 1a_Zuschlagszahlungen_NB'!A1170:E1403,5,FALSE),0)</f>
        <v>185861.49</v>
      </c>
      <c r="C330" s="667">
        <f>_xlfn.IFNA(VLOOKUP($A330,'Anlage 1b_Abzüge, Pflicht, Boni'!$A$26:$D$49,2,FALSE),0)</f>
        <v>0</v>
      </c>
      <c r="D330" s="667">
        <f>_xlfn.IFNA(VLOOKUP(A330,'Anlage 1b_Abzüge, Pflicht, Boni'!$A$9:$D$67,3,FALSE),0)</f>
        <v>0</v>
      </c>
      <c r="E330" s="667">
        <f>_xlfn.IFNA(VLOOKUP(A330,'Anlage 1b_Abzüge, Pflicht, Boni'!$A$26:$D$47,4,FALSE),0)</f>
        <v>0</v>
      </c>
      <c r="F330" s="88">
        <f t="shared" si="20"/>
        <v>185861.49</v>
      </c>
      <c r="G330" s="88">
        <f>SUMIFS('Anlage 1c_Korrekturen_NB'!$L$105:$L$295,'Anlage 1c_Korrekturen_NB'!$A$105:$A$295,'Anlage 3a_Zusammenfassung_KWKG'!$A330)</f>
        <v>0</v>
      </c>
      <c r="H330" s="668">
        <f>_xlfn.IFNA(VLOOKUP(A330,'Anlage 1c_Korrekturen_NB'!$A$626:$D$629,4,FALSE),0)</f>
        <v>0</v>
      </c>
      <c r="I330" s="669">
        <f t="shared" si="18"/>
        <v>0</v>
      </c>
      <c r="J330" s="20" t="s">
        <v>1093</v>
      </c>
    </row>
    <row r="331" spans="1:10" hidden="1" outlineLevel="1">
      <c r="A331" s="374" t="s">
        <v>1094</v>
      </c>
      <c r="B331" s="1698">
        <f>_xlfn.IFNA(VLOOKUP($A331,'Anlage 1a_Zuschlagszahlungen_NB'!A1171:E1404,5,FALSE),0)</f>
        <v>19100.05</v>
      </c>
      <c r="C331" s="667">
        <f>_xlfn.IFNA(VLOOKUP($A331,'Anlage 1b_Abzüge, Pflicht, Boni'!$A$26:$D$49,2,FALSE),0)</f>
        <v>0</v>
      </c>
      <c r="D331" s="667">
        <f>_xlfn.IFNA(VLOOKUP(A331,'Anlage 1b_Abzüge, Pflicht, Boni'!$A$9:$D$67,3,FALSE),0)</f>
        <v>0</v>
      </c>
      <c r="E331" s="667">
        <f>_xlfn.IFNA(VLOOKUP(A331,'Anlage 1b_Abzüge, Pflicht, Boni'!$A$26:$D$47,4,FALSE),0)</f>
        <v>0</v>
      </c>
      <c r="F331" s="88">
        <f t="shared" si="20"/>
        <v>19100.05</v>
      </c>
      <c r="G331" s="88">
        <f>SUMIFS('Anlage 1c_Korrekturen_NB'!$L$105:$L$295,'Anlage 1c_Korrekturen_NB'!$A$105:$A$295,'Anlage 3a_Zusammenfassung_KWKG'!$A331)</f>
        <v>12927.61</v>
      </c>
      <c r="H331" s="668">
        <f>_xlfn.IFNA(VLOOKUP(A331,'Anlage 1c_Korrekturen_NB'!$A$626:$D$629,4,FALSE),0)</f>
        <v>0</v>
      </c>
      <c r="I331" s="669">
        <f t="shared" si="18"/>
        <v>12927.61</v>
      </c>
      <c r="J331" s="20" t="s">
        <v>1095</v>
      </c>
    </row>
    <row r="332" spans="1:10" hidden="1" outlineLevel="1">
      <c r="A332" s="374" t="s">
        <v>1096</v>
      </c>
      <c r="B332" s="1698">
        <f>_xlfn.IFNA(VLOOKUP($A332,'Anlage 1a_Zuschlagszahlungen_NB'!A1172:E1405,5,FALSE),0)</f>
        <v>60602.16</v>
      </c>
      <c r="C332" s="667">
        <f>_xlfn.IFNA(VLOOKUP($A332,'Anlage 1b_Abzüge, Pflicht, Boni'!$A$26:$D$49,2,FALSE),0)</f>
        <v>0</v>
      </c>
      <c r="D332" s="667">
        <f>_xlfn.IFNA(VLOOKUP(A332,'Anlage 1b_Abzüge, Pflicht, Boni'!$A$9:$D$67,3,FALSE),0)</f>
        <v>0</v>
      </c>
      <c r="E332" s="667">
        <f>_xlfn.IFNA(VLOOKUP(A332,'Anlage 1b_Abzüge, Pflicht, Boni'!$A$26:$D$47,4,FALSE),0)</f>
        <v>0</v>
      </c>
      <c r="F332" s="88">
        <f t="shared" si="20"/>
        <v>60602.16</v>
      </c>
      <c r="G332" s="88">
        <f>SUMIFS('Anlage 1c_Korrekturen_NB'!$L$105:$L$295,'Anlage 1c_Korrekturen_NB'!$A$105:$A$295,'Anlage 3a_Zusammenfassung_KWKG'!$A332)</f>
        <v>21627.759999999998</v>
      </c>
      <c r="H332" s="668">
        <f>_xlfn.IFNA(VLOOKUP(A332,'Anlage 1c_Korrekturen_NB'!$A$626:$D$629,4,FALSE),0)</f>
        <v>0</v>
      </c>
      <c r="I332" s="669">
        <f t="shared" si="18"/>
        <v>21627.759999999998</v>
      </c>
      <c r="J332" s="20" t="s">
        <v>1097</v>
      </c>
    </row>
    <row r="333" spans="1:10" hidden="1" outlineLevel="1">
      <c r="A333" s="374" t="s">
        <v>1098</v>
      </c>
      <c r="B333" s="1698">
        <f>_xlfn.IFNA(VLOOKUP($A333,'Anlage 1a_Zuschlagszahlungen_NB'!A1173:E1406,5,FALSE),0)</f>
        <v>0</v>
      </c>
      <c r="C333" s="667">
        <f>_xlfn.IFNA(VLOOKUP($A333,'Anlage 1b_Abzüge, Pflicht, Boni'!$A$26:$D$49,2,FALSE),0)</f>
        <v>0</v>
      </c>
      <c r="D333" s="667">
        <f>_xlfn.IFNA(VLOOKUP(A333,'Anlage 1b_Abzüge, Pflicht, Boni'!$A$9:$D$67,3,FALSE),0)</f>
        <v>0</v>
      </c>
      <c r="E333" s="667">
        <f>_xlfn.IFNA(VLOOKUP(A333,'Anlage 1b_Abzüge, Pflicht, Boni'!$A$26:$D$47,4,FALSE),0)</f>
        <v>0</v>
      </c>
      <c r="F333" s="88">
        <f t="shared" si="20"/>
        <v>0</v>
      </c>
      <c r="G333" s="88">
        <f>SUMIFS('Anlage 1c_Korrekturen_NB'!$L$105:$L$295,'Anlage 1c_Korrekturen_NB'!$A$105:$A$295,'Anlage 3a_Zusammenfassung_KWKG'!$A333)</f>
        <v>0</v>
      </c>
      <c r="H333" s="668">
        <f>_xlfn.IFNA(VLOOKUP(A333,'Anlage 1c_Korrekturen_NB'!$A$626:$D$629,4,FALSE),0)</f>
        <v>0</v>
      </c>
      <c r="I333" s="669">
        <f t="shared" si="18"/>
        <v>0</v>
      </c>
      <c r="J333" s="20" t="s">
        <v>1099</v>
      </c>
    </row>
    <row r="334" spans="1:10" hidden="1" outlineLevel="1">
      <c r="A334" s="374" t="s">
        <v>1100</v>
      </c>
      <c r="B334" s="1698">
        <f>_xlfn.IFNA(VLOOKUP($A334,'Anlage 1a_Zuschlagszahlungen_NB'!A1174:E1407,5,FALSE),0)</f>
        <v>407327.66000000003</v>
      </c>
      <c r="C334" s="667">
        <f>_xlfn.IFNA(VLOOKUP($A334,'Anlage 1b_Abzüge, Pflicht, Boni'!$A$26:$D$49,2,FALSE),0)</f>
        <v>-10749.83</v>
      </c>
      <c r="D334" s="667">
        <f>_xlfn.IFNA(VLOOKUP(A334,'Anlage 1b_Abzüge, Pflicht, Boni'!$A$9:$D$67,3,FALSE),0)</f>
        <v>0</v>
      </c>
      <c r="E334" s="667">
        <f>_xlfn.IFNA(VLOOKUP(A334,'Anlage 1b_Abzüge, Pflicht, Boni'!$A$26:$D$47,4,FALSE),0)</f>
        <v>0</v>
      </c>
      <c r="F334" s="88">
        <f t="shared" si="20"/>
        <v>396577.83</v>
      </c>
      <c r="G334" s="88">
        <f>SUMIFS('Anlage 1c_Korrekturen_NB'!$L$105:$L$295,'Anlage 1c_Korrekturen_NB'!$A$105:$A$295,'Anlage 3a_Zusammenfassung_KWKG'!$A334)</f>
        <v>187270.96</v>
      </c>
      <c r="H334" s="668">
        <f>_xlfn.IFNA(VLOOKUP(A334,'Anlage 1c_Korrekturen_NB'!$A$626:$D$629,4,FALSE),0)</f>
        <v>0</v>
      </c>
      <c r="I334" s="669">
        <f t="shared" si="18"/>
        <v>187270.96</v>
      </c>
      <c r="J334" s="20" t="s">
        <v>1101</v>
      </c>
    </row>
    <row r="335" spans="1:10" hidden="1" outlineLevel="1">
      <c r="A335" s="374" t="s">
        <v>1102</v>
      </c>
      <c r="B335" s="1698">
        <f>_xlfn.IFNA(VLOOKUP($A335,'Anlage 1a_Zuschlagszahlungen_NB'!A1175:E1408,5,FALSE),0)</f>
        <v>149351.38999999998</v>
      </c>
      <c r="C335" s="667">
        <f>_xlfn.IFNA(VLOOKUP($A335,'Anlage 1b_Abzüge, Pflicht, Boni'!$A$26:$D$49,2,FALSE),0)</f>
        <v>0</v>
      </c>
      <c r="D335" s="667">
        <f>_xlfn.IFNA(VLOOKUP(A335,'Anlage 1b_Abzüge, Pflicht, Boni'!$A$9:$D$67,3,FALSE),0)</f>
        <v>0</v>
      </c>
      <c r="E335" s="667">
        <f>_xlfn.IFNA(VLOOKUP(A335,'Anlage 1b_Abzüge, Pflicht, Boni'!$A$26:$D$47,4,FALSE),0)</f>
        <v>0</v>
      </c>
      <c r="F335" s="88">
        <f t="shared" si="20"/>
        <v>149351.38999999998</v>
      </c>
      <c r="G335" s="88">
        <f>SUMIFS('Anlage 1c_Korrekturen_NB'!$L$105:$L$295,'Anlage 1c_Korrekturen_NB'!$A$105:$A$295,'Anlage 3a_Zusammenfassung_KWKG'!$A335)</f>
        <v>0</v>
      </c>
      <c r="H335" s="668">
        <f>_xlfn.IFNA(VLOOKUP(A335,'Anlage 1c_Korrekturen_NB'!$A$626:$D$629,4,FALSE),0)</f>
        <v>0</v>
      </c>
      <c r="I335" s="669">
        <f t="shared" si="18"/>
        <v>0</v>
      </c>
      <c r="J335" s="20" t="s">
        <v>1103</v>
      </c>
    </row>
    <row r="336" spans="1:10" hidden="1" outlineLevel="1">
      <c r="A336" s="374" t="s">
        <v>1104</v>
      </c>
      <c r="B336" s="1698">
        <f>_xlfn.IFNA(VLOOKUP($A336,'Anlage 1a_Zuschlagszahlungen_NB'!A1176:E1409,5,FALSE),0)</f>
        <v>29452.13</v>
      </c>
      <c r="C336" s="667">
        <f>_xlfn.IFNA(VLOOKUP($A336,'Anlage 1b_Abzüge, Pflicht, Boni'!$A$26:$D$49,2,FALSE),0)</f>
        <v>0</v>
      </c>
      <c r="D336" s="667">
        <f>_xlfn.IFNA(VLOOKUP(A336,'Anlage 1b_Abzüge, Pflicht, Boni'!$A$9:$D$67,3,FALSE),0)</f>
        <v>0</v>
      </c>
      <c r="E336" s="667">
        <f>_xlfn.IFNA(VLOOKUP(A336,'Anlage 1b_Abzüge, Pflicht, Boni'!$A$26:$D$47,4,FALSE),0)</f>
        <v>0</v>
      </c>
      <c r="F336" s="88">
        <f t="shared" si="20"/>
        <v>29452.13</v>
      </c>
      <c r="G336" s="88">
        <f>SUMIFS('Anlage 1c_Korrekturen_NB'!$L$105:$L$295,'Anlage 1c_Korrekturen_NB'!$A$105:$A$295,'Anlage 3a_Zusammenfassung_KWKG'!$A336)</f>
        <v>3298.33</v>
      </c>
      <c r="H336" s="668">
        <f>_xlfn.IFNA(VLOOKUP(A336,'Anlage 1c_Korrekturen_NB'!$A$626:$D$629,4,FALSE),0)</f>
        <v>0</v>
      </c>
      <c r="I336" s="669">
        <f t="shared" si="18"/>
        <v>3298.33</v>
      </c>
      <c r="J336" s="20" t="s">
        <v>1105</v>
      </c>
    </row>
    <row r="337" spans="1:10" hidden="1" outlineLevel="1">
      <c r="A337" s="374" t="s">
        <v>1106</v>
      </c>
      <c r="B337" s="1698">
        <f>_xlfn.IFNA(VLOOKUP($A337,'Anlage 1a_Zuschlagszahlungen_NB'!A1177:E1410,5,FALSE),0)</f>
        <v>0</v>
      </c>
      <c r="C337" s="667">
        <f>_xlfn.IFNA(VLOOKUP($A337,'Anlage 1b_Abzüge, Pflicht, Boni'!$A$26:$D$49,2,FALSE),0)</f>
        <v>0</v>
      </c>
      <c r="D337" s="667">
        <f>_xlfn.IFNA(VLOOKUP(A337,'Anlage 1b_Abzüge, Pflicht, Boni'!$A$9:$D$67,3,FALSE),0)</f>
        <v>0</v>
      </c>
      <c r="E337" s="667">
        <f>_xlfn.IFNA(VLOOKUP(A337,'Anlage 1b_Abzüge, Pflicht, Boni'!$A$26:$D$47,4,FALSE),0)</f>
        <v>0</v>
      </c>
      <c r="F337" s="88">
        <f t="shared" si="20"/>
        <v>0</v>
      </c>
      <c r="G337" s="88">
        <f>SUMIFS('Anlage 1c_Korrekturen_NB'!$L$105:$L$295,'Anlage 1c_Korrekturen_NB'!$A$105:$A$295,'Anlage 3a_Zusammenfassung_KWKG'!$A337)</f>
        <v>0</v>
      </c>
      <c r="H337" s="668">
        <f>_xlfn.IFNA(VLOOKUP(A337,'Anlage 1c_Korrekturen_NB'!$A$626:$D$629,4,FALSE),0)</f>
        <v>0</v>
      </c>
      <c r="I337" s="669">
        <f t="shared" si="18"/>
        <v>0</v>
      </c>
      <c r="J337" s="20" t="s">
        <v>1107</v>
      </c>
    </row>
    <row r="338" spans="1:10" hidden="1" outlineLevel="1">
      <c r="A338" s="374" t="s">
        <v>1108</v>
      </c>
      <c r="B338" s="1698">
        <f>_xlfn.IFNA(VLOOKUP($A338,'Anlage 1a_Zuschlagszahlungen_NB'!A1178:E1411,5,FALSE),0)</f>
        <v>58968.61</v>
      </c>
      <c r="C338" s="667">
        <f>_xlfn.IFNA(VLOOKUP($A338,'Anlage 1b_Abzüge, Pflicht, Boni'!$A$26:$D$49,2,FALSE),0)</f>
        <v>0</v>
      </c>
      <c r="D338" s="667">
        <f>_xlfn.IFNA(VLOOKUP(A338,'Anlage 1b_Abzüge, Pflicht, Boni'!$A$9:$D$67,3,FALSE),0)</f>
        <v>0</v>
      </c>
      <c r="E338" s="667">
        <f>_xlfn.IFNA(VLOOKUP(A338,'Anlage 1b_Abzüge, Pflicht, Boni'!$A$26:$D$47,4,FALSE),0)</f>
        <v>0</v>
      </c>
      <c r="F338" s="88">
        <f t="shared" si="20"/>
        <v>58968.61</v>
      </c>
      <c r="G338" s="88">
        <f>SUMIFS('Anlage 1c_Korrekturen_NB'!$L$105:$L$295,'Anlage 1c_Korrekturen_NB'!$A$105:$A$295,'Anlage 3a_Zusammenfassung_KWKG'!$A338)</f>
        <v>0</v>
      </c>
      <c r="H338" s="668">
        <f>_xlfn.IFNA(VLOOKUP(A338,'Anlage 1c_Korrekturen_NB'!$A$626:$D$629,4,FALSE),0)</f>
        <v>0</v>
      </c>
      <c r="I338" s="669">
        <f t="shared" si="18"/>
        <v>0</v>
      </c>
      <c r="J338" s="20" t="s">
        <v>1109</v>
      </c>
    </row>
    <row r="339" spans="1:10" hidden="1" outlineLevel="1">
      <c r="A339" s="374" t="s">
        <v>1110</v>
      </c>
      <c r="B339" s="1698">
        <f>_xlfn.IFNA(VLOOKUP($A339,'Anlage 1a_Zuschlagszahlungen_NB'!A1179:E1412,5,FALSE),0)</f>
        <v>40578.960000000006</v>
      </c>
      <c r="C339" s="667">
        <f>_xlfn.IFNA(VLOOKUP($A339,'Anlage 1b_Abzüge, Pflicht, Boni'!$A$26:$D$49,2,FALSE),0)</f>
        <v>0</v>
      </c>
      <c r="D339" s="667">
        <f>_xlfn.IFNA(VLOOKUP(A339,'Anlage 1b_Abzüge, Pflicht, Boni'!$A$9:$D$67,3,FALSE),0)</f>
        <v>0</v>
      </c>
      <c r="E339" s="667">
        <f>_xlfn.IFNA(VLOOKUP(A339,'Anlage 1b_Abzüge, Pflicht, Boni'!$A$26:$D$47,4,FALSE),0)</f>
        <v>0</v>
      </c>
      <c r="F339" s="88">
        <f t="shared" si="20"/>
        <v>40578.960000000006</v>
      </c>
      <c r="G339" s="88">
        <f>SUMIFS('Anlage 1c_Korrekturen_NB'!$L$105:$L$295,'Anlage 1c_Korrekturen_NB'!$A$105:$A$295,'Anlage 3a_Zusammenfassung_KWKG'!$A339)</f>
        <v>0</v>
      </c>
      <c r="H339" s="668">
        <f>_xlfn.IFNA(VLOOKUP(A339,'Anlage 1c_Korrekturen_NB'!$A$626:$D$629,4,FALSE),0)</f>
        <v>0</v>
      </c>
      <c r="I339" s="669">
        <f t="shared" si="18"/>
        <v>0</v>
      </c>
      <c r="J339" s="20" t="s">
        <v>1111</v>
      </c>
    </row>
    <row r="340" spans="1:10" hidden="1" outlineLevel="1">
      <c r="A340" s="374" t="s">
        <v>1112</v>
      </c>
      <c r="B340" s="1698">
        <f>_xlfn.IFNA(VLOOKUP($A340,'Anlage 1a_Zuschlagszahlungen_NB'!A1180:E1413,5,FALSE),0)</f>
        <v>28816.21</v>
      </c>
      <c r="C340" s="667">
        <f>_xlfn.IFNA(VLOOKUP($A340,'Anlage 1b_Abzüge, Pflicht, Boni'!$A$26:$D$49,2,FALSE),0)</f>
        <v>0</v>
      </c>
      <c r="D340" s="667">
        <f>_xlfn.IFNA(VLOOKUP(A340,'Anlage 1b_Abzüge, Pflicht, Boni'!$A$9:$D$67,3,FALSE),0)</f>
        <v>0</v>
      </c>
      <c r="E340" s="667">
        <f>_xlfn.IFNA(VLOOKUP(A340,'Anlage 1b_Abzüge, Pflicht, Boni'!$A$26:$D$47,4,FALSE),0)</f>
        <v>0</v>
      </c>
      <c r="F340" s="88">
        <f t="shared" si="20"/>
        <v>28816.21</v>
      </c>
      <c r="G340" s="88">
        <f>SUMIFS('Anlage 1c_Korrekturen_NB'!$L$105:$L$295,'Anlage 1c_Korrekturen_NB'!$A$105:$A$295,'Anlage 3a_Zusammenfassung_KWKG'!$A340)</f>
        <v>0</v>
      </c>
      <c r="H340" s="668">
        <f>_xlfn.IFNA(VLOOKUP(A340,'Anlage 1c_Korrekturen_NB'!$A$626:$D$629,4,FALSE),0)</f>
        <v>0</v>
      </c>
      <c r="I340" s="669">
        <f t="shared" si="18"/>
        <v>0</v>
      </c>
      <c r="J340" s="20" t="s">
        <v>1113</v>
      </c>
    </row>
    <row r="341" spans="1:10" hidden="1" outlineLevel="1">
      <c r="A341" s="374" t="s">
        <v>1114</v>
      </c>
      <c r="B341" s="1698">
        <f>_xlfn.IFNA(VLOOKUP($A341,'Anlage 1a_Zuschlagszahlungen_NB'!A1181:E1414,5,FALSE),0)</f>
        <v>42465.55</v>
      </c>
      <c r="C341" s="667">
        <f>_xlfn.IFNA(VLOOKUP($A341,'Anlage 1b_Abzüge, Pflicht, Boni'!$A$26:$D$49,2,FALSE),0)</f>
        <v>0</v>
      </c>
      <c r="D341" s="667">
        <f>_xlfn.IFNA(VLOOKUP(A341,'Anlage 1b_Abzüge, Pflicht, Boni'!$A$9:$D$67,3,FALSE),0)</f>
        <v>0</v>
      </c>
      <c r="E341" s="667">
        <f>_xlfn.IFNA(VLOOKUP(A341,'Anlage 1b_Abzüge, Pflicht, Boni'!$A$26:$D$47,4,FALSE),0)</f>
        <v>0</v>
      </c>
      <c r="F341" s="88">
        <f t="shared" si="20"/>
        <v>42465.55</v>
      </c>
      <c r="G341" s="88">
        <f>SUMIFS('Anlage 1c_Korrekturen_NB'!$L$105:$L$295,'Anlage 1c_Korrekturen_NB'!$A$105:$A$295,'Anlage 3a_Zusammenfassung_KWKG'!$A341)</f>
        <v>0</v>
      </c>
      <c r="H341" s="668">
        <f>_xlfn.IFNA(VLOOKUP(A341,'Anlage 1c_Korrekturen_NB'!$A$626:$D$629,4,FALSE),0)</f>
        <v>0</v>
      </c>
      <c r="I341" s="669">
        <f t="shared" si="18"/>
        <v>0</v>
      </c>
      <c r="J341" s="20" t="s">
        <v>1115</v>
      </c>
    </row>
    <row r="342" spans="1:10" hidden="1" outlineLevel="1">
      <c r="A342" s="374" t="s">
        <v>1116</v>
      </c>
      <c r="B342" s="1698">
        <f>_xlfn.IFNA(VLOOKUP($A342,'Anlage 1a_Zuschlagszahlungen_NB'!A1182:E1415,5,FALSE),0)</f>
        <v>17534.580000000002</v>
      </c>
      <c r="C342" s="667">
        <f>_xlfn.IFNA(VLOOKUP($A342,'Anlage 1b_Abzüge, Pflicht, Boni'!$A$26:$D$49,2,FALSE),0)</f>
        <v>0</v>
      </c>
      <c r="D342" s="667">
        <f>_xlfn.IFNA(VLOOKUP(A342,'Anlage 1b_Abzüge, Pflicht, Boni'!$A$9:$D$67,3,FALSE),0)</f>
        <v>0</v>
      </c>
      <c r="E342" s="667">
        <f>_xlfn.IFNA(VLOOKUP(A342,'Anlage 1b_Abzüge, Pflicht, Boni'!$A$26:$D$47,4,FALSE),0)</f>
        <v>0</v>
      </c>
      <c r="F342" s="88">
        <f t="shared" si="20"/>
        <v>17534.580000000002</v>
      </c>
      <c r="G342" s="88">
        <f>SUMIFS('Anlage 1c_Korrekturen_NB'!$L$105:$L$295,'Anlage 1c_Korrekturen_NB'!$A$105:$A$295,'Anlage 3a_Zusammenfassung_KWKG'!$A342)</f>
        <v>0</v>
      </c>
      <c r="H342" s="668">
        <f>_xlfn.IFNA(VLOOKUP(A342,'Anlage 1c_Korrekturen_NB'!$A$626:$D$629,4,FALSE),0)</f>
        <v>0</v>
      </c>
      <c r="I342" s="669">
        <f t="shared" si="18"/>
        <v>0</v>
      </c>
      <c r="J342" s="20" t="s">
        <v>1117</v>
      </c>
    </row>
    <row r="343" spans="1:10" hidden="1" outlineLevel="1">
      <c r="A343" s="374" t="s">
        <v>1118</v>
      </c>
      <c r="B343" s="1698">
        <f>_xlfn.IFNA(VLOOKUP($A343,'Anlage 1a_Zuschlagszahlungen_NB'!A1183:E1416,5,FALSE),0)</f>
        <v>292418.49</v>
      </c>
      <c r="C343" s="667">
        <f>_xlfn.IFNA(VLOOKUP($A343,'Anlage 1b_Abzüge, Pflicht, Boni'!$A$26:$D$49,2,FALSE),0)</f>
        <v>0</v>
      </c>
      <c r="D343" s="667">
        <f>_xlfn.IFNA(VLOOKUP(A343,'Anlage 1b_Abzüge, Pflicht, Boni'!$A$9:$D$67,3,FALSE),0)</f>
        <v>0</v>
      </c>
      <c r="E343" s="667">
        <f>_xlfn.IFNA(VLOOKUP(A343,'Anlage 1b_Abzüge, Pflicht, Boni'!$A$26:$D$47,4,FALSE),0)</f>
        <v>0</v>
      </c>
      <c r="F343" s="88">
        <f t="shared" si="20"/>
        <v>292418.49</v>
      </c>
      <c r="G343" s="88">
        <f>SUMIFS('Anlage 1c_Korrekturen_NB'!$L$105:$L$295,'Anlage 1c_Korrekturen_NB'!$A$105:$A$295,'Anlage 3a_Zusammenfassung_KWKG'!$A343)</f>
        <v>0</v>
      </c>
      <c r="H343" s="668">
        <f>_xlfn.IFNA(VLOOKUP(A343,'Anlage 1c_Korrekturen_NB'!$A$626:$D$629,4,FALSE),0)</f>
        <v>0</v>
      </c>
      <c r="I343" s="669">
        <f t="shared" si="18"/>
        <v>0</v>
      </c>
      <c r="J343" s="20" t="s">
        <v>1119</v>
      </c>
    </row>
    <row r="344" spans="1:10" hidden="1" outlineLevel="1">
      <c r="A344" s="374" t="s">
        <v>1120</v>
      </c>
      <c r="B344" s="1698">
        <f>_xlfn.IFNA(VLOOKUP($A344,'Anlage 1a_Zuschlagszahlungen_NB'!A1184:E1417,5,FALSE),0)</f>
        <v>49664438.93</v>
      </c>
      <c r="C344" s="667">
        <f>_xlfn.IFNA(VLOOKUP($A344,'Anlage 1b_Abzüge, Pflicht, Boni'!$A$26:$D$49,2,FALSE),0)</f>
        <v>0</v>
      </c>
      <c r="D344" s="667">
        <f>_xlfn.IFNA(VLOOKUP(A344,'Anlage 1b_Abzüge, Pflicht, Boni'!$A$9:$D$67,3,FALSE),0)</f>
        <v>0</v>
      </c>
      <c r="E344" s="667">
        <f>_xlfn.IFNA(VLOOKUP(A344,'Anlage 1b_Abzüge, Pflicht, Boni'!$A$26:$D$47,4,FALSE),0)</f>
        <v>0</v>
      </c>
      <c r="F344" s="88">
        <f t="shared" si="20"/>
        <v>49664438.93</v>
      </c>
      <c r="G344" s="88">
        <f>SUMIFS('Anlage 1c_Korrekturen_NB'!$L$105:$L$295,'Anlage 1c_Korrekturen_NB'!$A$105:$A$295,'Anlage 3a_Zusammenfassung_KWKG'!$A344)</f>
        <v>16146861.93</v>
      </c>
      <c r="H344" s="668">
        <f>_xlfn.IFNA(VLOOKUP(A344,'Anlage 1c_Korrekturen_NB'!$A$626:$D$629,4,FALSE),0)</f>
        <v>0</v>
      </c>
      <c r="I344" s="669">
        <f t="shared" si="18"/>
        <v>16146861.93</v>
      </c>
      <c r="J344" s="20" t="s">
        <v>1121</v>
      </c>
    </row>
    <row r="345" spans="1:10" hidden="1" outlineLevel="1">
      <c r="A345" s="374" t="s">
        <v>1122</v>
      </c>
      <c r="B345" s="1698">
        <f>_xlfn.IFNA(VLOOKUP($A345,'Anlage 1a_Zuschlagszahlungen_NB'!A1185:E1418,5,FALSE),0)</f>
        <v>174991.73</v>
      </c>
      <c r="C345" s="667">
        <f>_xlfn.IFNA(VLOOKUP($A345,'Anlage 1b_Abzüge, Pflicht, Boni'!$A$26:$D$49,2,FALSE),0)</f>
        <v>0</v>
      </c>
      <c r="D345" s="667">
        <f>_xlfn.IFNA(VLOOKUP(A345,'Anlage 1b_Abzüge, Pflicht, Boni'!$A$9:$D$67,3,FALSE),0)</f>
        <v>0</v>
      </c>
      <c r="E345" s="667">
        <f>_xlfn.IFNA(VLOOKUP(A345,'Anlage 1b_Abzüge, Pflicht, Boni'!$A$26:$D$47,4,FALSE),0)</f>
        <v>0</v>
      </c>
      <c r="F345" s="88">
        <f t="shared" si="20"/>
        <v>174991.73</v>
      </c>
      <c r="G345" s="88">
        <f>SUMIFS('Anlage 1c_Korrekturen_NB'!$L$105:$L$295,'Anlage 1c_Korrekturen_NB'!$A$105:$A$295,'Anlage 3a_Zusammenfassung_KWKG'!$A345)</f>
        <v>2617.2400000000002</v>
      </c>
      <c r="H345" s="668">
        <f>_xlfn.IFNA(VLOOKUP(A345,'Anlage 1c_Korrekturen_NB'!$A$626:$D$629,4,FALSE),0)</f>
        <v>0</v>
      </c>
      <c r="I345" s="669">
        <f t="shared" si="18"/>
        <v>2617.2400000000002</v>
      </c>
      <c r="J345" s="20" t="s">
        <v>1123</v>
      </c>
    </row>
    <row r="346" spans="1:10" hidden="1" outlineLevel="1">
      <c r="A346" s="374" t="s">
        <v>1122</v>
      </c>
      <c r="B346" s="1698">
        <f>_xlfn.IFNA(VLOOKUP($A346,'Anlage 1a_Zuschlagszahlungen_NB'!A1186:E1419,5,FALSE),0)</f>
        <v>414561.94</v>
      </c>
      <c r="C346" s="667">
        <f>_xlfn.IFNA(VLOOKUP($A346,'Anlage 1b_Abzüge, Pflicht, Boni'!$A$26:$D$49,2,FALSE),0)</f>
        <v>0</v>
      </c>
      <c r="D346" s="667">
        <f>_xlfn.IFNA(VLOOKUP(A346,'Anlage 1b_Abzüge, Pflicht, Boni'!$A$9:$D$67,3,FALSE),0)</f>
        <v>0</v>
      </c>
      <c r="E346" s="667">
        <f>_xlfn.IFNA(VLOOKUP(A346,'Anlage 1b_Abzüge, Pflicht, Boni'!$A$26:$D$47,4,FALSE),0)</f>
        <v>0</v>
      </c>
      <c r="F346" s="88">
        <f t="shared" si="20"/>
        <v>414561.94</v>
      </c>
      <c r="G346" s="1647">
        <v>0</v>
      </c>
      <c r="H346" s="668">
        <f>_xlfn.IFNA(VLOOKUP(A346,'Anlage 1c_Korrekturen_NB'!$A$626:$D$629,4,FALSE),0)</f>
        <v>0</v>
      </c>
      <c r="I346" s="669">
        <f t="shared" si="18"/>
        <v>0</v>
      </c>
      <c r="J346" s="20" t="s">
        <v>1123</v>
      </c>
    </row>
    <row r="347" spans="1:10" hidden="1" outlineLevel="1">
      <c r="A347" s="374" t="s">
        <v>1124</v>
      </c>
      <c r="B347" s="1698">
        <f>_xlfn.IFNA(VLOOKUP($A347,'Anlage 1a_Zuschlagszahlungen_NB'!A1187:E1420,5,FALSE),0)</f>
        <v>0</v>
      </c>
      <c r="C347" s="667">
        <f>_xlfn.IFNA(VLOOKUP($A347,'Anlage 1b_Abzüge, Pflicht, Boni'!$A$26:$D$49,2,FALSE),0)</f>
        <v>0</v>
      </c>
      <c r="D347" s="667">
        <f>_xlfn.IFNA(VLOOKUP(A347,'Anlage 1b_Abzüge, Pflicht, Boni'!$A$9:$D$67,3,FALSE),0)</f>
        <v>0</v>
      </c>
      <c r="E347" s="667">
        <f>_xlfn.IFNA(VLOOKUP(A347,'Anlage 1b_Abzüge, Pflicht, Boni'!$A$26:$D$47,4,FALSE),0)</f>
        <v>0</v>
      </c>
      <c r="F347" s="88">
        <f t="shared" si="20"/>
        <v>0</v>
      </c>
      <c r="G347" s="88">
        <f>SUMIFS('Anlage 1c_Korrekturen_NB'!$L$105:$L$295,'Anlage 1c_Korrekturen_NB'!$A$105:$A$295,'Anlage 3a_Zusammenfassung_KWKG'!$A347)</f>
        <v>0</v>
      </c>
      <c r="H347" s="668">
        <f>_xlfn.IFNA(VLOOKUP(A347,'Anlage 1c_Korrekturen_NB'!$A$626:$D$629,4,FALSE),0)</f>
        <v>0</v>
      </c>
      <c r="I347" s="669">
        <f t="shared" si="18"/>
        <v>0</v>
      </c>
      <c r="J347" s="20" t="s">
        <v>1125</v>
      </c>
    </row>
    <row r="348" spans="1:10" hidden="1" outlineLevel="1">
      <c r="A348" s="374" t="s">
        <v>1126</v>
      </c>
      <c r="B348" s="1698">
        <f>_xlfn.IFNA(VLOOKUP($A348,'Anlage 1a_Zuschlagszahlungen_NB'!A1188:E1421,5,FALSE),0)</f>
        <v>75208.45</v>
      </c>
      <c r="C348" s="667">
        <f>_xlfn.IFNA(VLOOKUP($A348,'Anlage 1b_Abzüge, Pflicht, Boni'!$A$26:$D$49,2,FALSE),0)</f>
        <v>0</v>
      </c>
      <c r="D348" s="667">
        <f>_xlfn.IFNA(VLOOKUP(A348,'Anlage 1b_Abzüge, Pflicht, Boni'!$A$9:$D$67,3,FALSE),0)</f>
        <v>0</v>
      </c>
      <c r="E348" s="667">
        <f>_xlfn.IFNA(VLOOKUP(A348,'Anlage 1b_Abzüge, Pflicht, Boni'!$A$26:$D$47,4,FALSE),0)</f>
        <v>0</v>
      </c>
      <c r="F348" s="88">
        <f t="shared" si="20"/>
        <v>75208.45</v>
      </c>
      <c r="G348" s="88">
        <f>SUMIFS('Anlage 1c_Korrekturen_NB'!$L$105:$L$295,'Anlage 1c_Korrekturen_NB'!$A$105:$A$295,'Anlage 3a_Zusammenfassung_KWKG'!$A348)</f>
        <v>913.79000000000008</v>
      </c>
      <c r="H348" s="668">
        <f>_xlfn.IFNA(VLOOKUP(A348,'Anlage 1c_Korrekturen_NB'!$A$626:$D$629,4,FALSE),0)</f>
        <v>0</v>
      </c>
      <c r="I348" s="669">
        <f t="shared" si="18"/>
        <v>913.79000000000008</v>
      </c>
      <c r="J348" s="20" t="s">
        <v>1127</v>
      </c>
    </row>
    <row r="349" spans="1:10" hidden="1" outlineLevel="1">
      <c r="A349" s="374" t="s">
        <v>1128</v>
      </c>
      <c r="B349" s="1698">
        <f>_xlfn.IFNA(VLOOKUP($A349,'Anlage 1a_Zuschlagszahlungen_NB'!A1189:E1422,5,FALSE),0)</f>
        <v>190092.16</v>
      </c>
      <c r="C349" s="667">
        <f>_xlfn.IFNA(VLOOKUP($A349,'Anlage 1b_Abzüge, Pflicht, Boni'!$A$26:$D$49,2,FALSE),0)</f>
        <v>0</v>
      </c>
      <c r="D349" s="667">
        <f>_xlfn.IFNA(VLOOKUP(A349,'Anlage 1b_Abzüge, Pflicht, Boni'!$A$9:$D$67,3,FALSE),0)</f>
        <v>0</v>
      </c>
      <c r="E349" s="667">
        <f>_xlfn.IFNA(VLOOKUP(A349,'Anlage 1b_Abzüge, Pflicht, Boni'!$A$26:$D$47,4,FALSE),0)</f>
        <v>0</v>
      </c>
      <c r="F349" s="88">
        <f t="shared" si="19"/>
        <v>190092.16</v>
      </c>
      <c r="G349" s="88">
        <f>SUMIFS('Anlage 1c_Korrekturen_NB'!$L$105:$L$295,'Anlage 1c_Korrekturen_NB'!$A$105:$A$295,'Anlage 3a_Zusammenfassung_KWKG'!$A349)</f>
        <v>0</v>
      </c>
      <c r="H349" s="668">
        <f>_xlfn.IFNA(VLOOKUP(A349,'Anlage 1c_Korrekturen_NB'!$A$626:$D$629,4,FALSE),0)</f>
        <v>0</v>
      </c>
      <c r="I349" s="669">
        <f t="shared" si="18"/>
        <v>0</v>
      </c>
      <c r="J349" s="20" t="s">
        <v>1129</v>
      </c>
    </row>
    <row r="350" spans="1:10" hidden="1" outlineLevel="1">
      <c r="A350" s="374" t="s">
        <v>1130</v>
      </c>
      <c r="B350" s="1698">
        <f>_xlfn.IFNA(VLOOKUP($A350,'Anlage 1a_Zuschlagszahlungen_NB'!A1190:E1423,5,FALSE),0)</f>
        <v>5891.32</v>
      </c>
      <c r="C350" s="667">
        <f>_xlfn.IFNA(VLOOKUP($A350,'Anlage 1b_Abzüge, Pflicht, Boni'!$A$26:$D$49,2,FALSE),0)</f>
        <v>0</v>
      </c>
      <c r="D350" s="667">
        <f>_xlfn.IFNA(VLOOKUP(A350,'Anlage 1b_Abzüge, Pflicht, Boni'!$A$9:$D$67,3,FALSE),0)</f>
        <v>0</v>
      </c>
      <c r="E350" s="667">
        <f>_xlfn.IFNA(VLOOKUP(A350,'Anlage 1b_Abzüge, Pflicht, Boni'!$A$26:$D$47,4,FALSE),0)</f>
        <v>0</v>
      </c>
      <c r="F350" s="88">
        <f t="shared" si="19"/>
        <v>5891.32</v>
      </c>
      <c r="G350" s="88">
        <f>SUMIFS('Anlage 1c_Korrekturen_NB'!$L$105:$L$295,'Anlage 1c_Korrekturen_NB'!$A$105:$A$295,'Anlage 3a_Zusammenfassung_KWKG'!$A350)</f>
        <v>148739.46</v>
      </c>
      <c r="H350" s="668">
        <f>_xlfn.IFNA(VLOOKUP(A350,'Anlage 1c_Korrekturen_NB'!$A$626:$D$629,4,FALSE),0)</f>
        <v>0</v>
      </c>
      <c r="I350" s="669">
        <f t="shared" si="18"/>
        <v>148739.46</v>
      </c>
      <c r="J350" s="20" t="s">
        <v>1131</v>
      </c>
    </row>
    <row r="351" spans="1:10" hidden="1" outlineLevel="1">
      <c r="A351" s="374" t="s">
        <v>1132</v>
      </c>
      <c r="B351" s="1698">
        <f>_xlfn.IFNA(VLOOKUP($A351,'Anlage 1a_Zuschlagszahlungen_NB'!A1191:E1424,5,FALSE),0)</f>
        <v>54578.76</v>
      </c>
      <c r="C351" s="667">
        <f>_xlfn.IFNA(VLOOKUP($A351,'Anlage 1b_Abzüge, Pflicht, Boni'!$A$26:$D$49,2,FALSE),0)</f>
        <v>0</v>
      </c>
      <c r="D351" s="667">
        <f>_xlfn.IFNA(VLOOKUP(A351,'Anlage 1b_Abzüge, Pflicht, Boni'!$A$9:$D$67,3,FALSE),0)</f>
        <v>0</v>
      </c>
      <c r="E351" s="667">
        <f>_xlfn.IFNA(VLOOKUP(A351,'Anlage 1b_Abzüge, Pflicht, Boni'!$A$26:$D$47,4,FALSE),0)</f>
        <v>0</v>
      </c>
      <c r="F351" s="88">
        <f t="shared" si="19"/>
        <v>54578.76</v>
      </c>
      <c r="G351" s="88">
        <f>SUMIFS('Anlage 1c_Korrekturen_NB'!$L$105:$L$295,'Anlage 1c_Korrekturen_NB'!$A$105:$A$295,'Anlage 3a_Zusammenfassung_KWKG'!$A351)</f>
        <v>16840.77</v>
      </c>
      <c r="H351" s="668">
        <f>_xlfn.IFNA(VLOOKUP(A351,'Anlage 1c_Korrekturen_NB'!$A$626:$D$629,4,FALSE),0)</f>
        <v>0</v>
      </c>
      <c r="I351" s="669">
        <f t="shared" si="18"/>
        <v>16840.77</v>
      </c>
      <c r="J351" s="20" t="s">
        <v>1133</v>
      </c>
    </row>
    <row r="352" spans="1:10" hidden="1" outlineLevel="1">
      <c r="A352" s="374" t="s">
        <v>1134</v>
      </c>
      <c r="B352" s="1698">
        <f>_xlfn.IFNA(VLOOKUP($A352,'Anlage 1a_Zuschlagszahlungen_NB'!A1192:E1425,5,FALSE),0)</f>
        <v>7698.08</v>
      </c>
      <c r="C352" s="667">
        <f>_xlfn.IFNA(VLOOKUP($A352,'Anlage 1b_Abzüge, Pflicht, Boni'!$A$26:$D$49,2,FALSE),0)</f>
        <v>0</v>
      </c>
      <c r="D352" s="667">
        <f>_xlfn.IFNA(VLOOKUP(A352,'Anlage 1b_Abzüge, Pflicht, Boni'!$A$9:$D$67,3,FALSE),0)</f>
        <v>0</v>
      </c>
      <c r="E352" s="667">
        <f>_xlfn.IFNA(VLOOKUP(A352,'Anlage 1b_Abzüge, Pflicht, Boni'!$A$26:$D$47,4,FALSE),0)</f>
        <v>0</v>
      </c>
      <c r="F352" s="88">
        <f t="shared" si="19"/>
        <v>7698.08</v>
      </c>
      <c r="G352" s="88">
        <f>SUMIFS('Anlage 1c_Korrekturen_NB'!$L$105:$L$295,'Anlage 1c_Korrekturen_NB'!$A$105:$A$295,'Anlage 3a_Zusammenfassung_KWKG'!$A352)</f>
        <v>0</v>
      </c>
      <c r="H352" s="668">
        <f>_xlfn.IFNA(VLOOKUP(A352,'Anlage 1c_Korrekturen_NB'!$A$626:$D$629,4,FALSE),0)</f>
        <v>0</v>
      </c>
      <c r="I352" s="669">
        <f t="shared" si="18"/>
        <v>0</v>
      </c>
      <c r="J352" s="20" t="s">
        <v>1135</v>
      </c>
    </row>
    <row r="353" spans="1:10" hidden="1" outlineLevel="1">
      <c r="A353" s="374" t="s">
        <v>1136</v>
      </c>
      <c r="B353" s="1698">
        <f>_xlfn.IFNA(VLOOKUP($A353,'Anlage 1a_Zuschlagszahlungen_NB'!A1193:E1426,5,FALSE),0)</f>
        <v>40124.199999999997</v>
      </c>
      <c r="C353" s="667">
        <f>_xlfn.IFNA(VLOOKUP($A353,'Anlage 1b_Abzüge, Pflicht, Boni'!$A$26:$D$49,2,FALSE),0)</f>
        <v>0</v>
      </c>
      <c r="D353" s="667">
        <f>_xlfn.IFNA(VLOOKUP(A353,'Anlage 1b_Abzüge, Pflicht, Boni'!$A$9:$D$67,3,FALSE),0)</f>
        <v>0</v>
      </c>
      <c r="E353" s="667">
        <f>_xlfn.IFNA(VLOOKUP(A353,'Anlage 1b_Abzüge, Pflicht, Boni'!$A$26:$D$47,4,FALSE),0)</f>
        <v>0</v>
      </c>
      <c r="F353" s="88">
        <f t="shared" si="19"/>
        <v>40124.199999999997</v>
      </c>
      <c r="G353" s="88">
        <f>SUMIFS('Anlage 1c_Korrekturen_NB'!$L$105:$L$295,'Anlage 1c_Korrekturen_NB'!$A$105:$A$295,'Anlage 3a_Zusammenfassung_KWKG'!$A353)</f>
        <v>6139.92</v>
      </c>
      <c r="H353" s="668">
        <f>_xlfn.IFNA(VLOOKUP(A353,'Anlage 1c_Korrekturen_NB'!$A$626:$D$629,4,FALSE),0)</f>
        <v>0</v>
      </c>
      <c r="I353" s="669">
        <f t="shared" si="18"/>
        <v>6139.92</v>
      </c>
      <c r="J353" s="20" t="s">
        <v>1137</v>
      </c>
    </row>
    <row r="354" spans="1:10" hidden="1" outlineLevel="1">
      <c r="A354" s="374" t="s">
        <v>1138</v>
      </c>
      <c r="B354" s="1698">
        <f>_xlfn.IFNA(VLOOKUP($A354,'Anlage 1a_Zuschlagszahlungen_NB'!A1194:E1427,5,FALSE),0)</f>
        <v>589140.72</v>
      </c>
      <c r="C354" s="667">
        <f>_xlfn.IFNA(VLOOKUP($A354,'Anlage 1b_Abzüge, Pflicht, Boni'!$A$26:$D$49,2,FALSE),0)</f>
        <v>0</v>
      </c>
      <c r="D354" s="667">
        <f>_xlfn.IFNA(VLOOKUP(A354,'Anlage 1b_Abzüge, Pflicht, Boni'!$A$9:$D$67,3,FALSE),0)</f>
        <v>-9680</v>
      </c>
      <c r="E354" s="667">
        <f>_xlfn.IFNA(VLOOKUP(A354,'Anlage 1b_Abzüge, Pflicht, Boni'!$A$26:$D$47,4,FALSE),0)</f>
        <v>0</v>
      </c>
      <c r="F354" s="88">
        <f t="shared" si="19"/>
        <v>579460.72</v>
      </c>
      <c r="G354" s="88">
        <f>SUMIFS('Anlage 1c_Korrekturen_NB'!$L$105:$L$295,'Anlage 1c_Korrekturen_NB'!$A$105:$A$295,'Anlage 3a_Zusammenfassung_KWKG'!$A354)</f>
        <v>17907.559999999998</v>
      </c>
      <c r="H354" s="668">
        <f>_xlfn.IFNA(VLOOKUP(A354,'Anlage 1c_Korrekturen_NB'!$A$626:$D$629,4,FALSE),0)</f>
        <v>0</v>
      </c>
      <c r="I354" s="669">
        <f t="shared" si="18"/>
        <v>17907.559999999998</v>
      </c>
      <c r="J354" s="20" t="s">
        <v>1139</v>
      </c>
    </row>
    <row r="355" spans="1:10" hidden="1" outlineLevel="1">
      <c r="A355" s="374" t="s">
        <v>726</v>
      </c>
      <c r="B355" s="1698">
        <f>_xlfn.IFNA(VLOOKUP($A355,'Anlage 1a_Zuschlagszahlungen_NB'!A1195:E1428,5,FALSE),0)</f>
        <v>0</v>
      </c>
      <c r="C355" s="667">
        <f>_xlfn.IFNA(VLOOKUP($A355,'Anlage 1b_Abzüge, Pflicht, Boni'!$A$26:$D$49,2,FALSE),0)</f>
        <v>0</v>
      </c>
      <c r="D355" s="667">
        <f>_xlfn.IFNA(VLOOKUP(A355,'Anlage 1b_Abzüge, Pflicht, Boni'!$A$9:$D$67,3,FALSE),0)</f>
        <v>0</v>
      </c>
      <c r="E355" s="667">
        <f>_xlfn.IFNA(VLOOKUP(A355,'Anlage 1b_Abzüge, Pflicht, Boni'!$A$26:$D$47,4,FALSE),0)</f>
        <v>0</v>
      </c>
      <c r="F355" s="88">
        <f t="shared" si="19"/>
        <v>0</v>
      </c>
      <c r="G355" s="88">
        <f>SUMIFS('Anlage 1c_Korrekturen_NB'!$L$105:$L$295,'Anlage 1c_Korrekturen_NB'!$A$105:$A$295,'Anlage 3a_Zusammenfassung_KWKG'!$A355)</f>
        <v>0</v>
      </c>
      <c r="H355" s="668">
        <f>_xlfn.IFNA(VLOOKUP(A355,'Anlage 1c_Korrekturen_NB'!$A$626:$D$629,4,FALSE),0)</f>
        <v>0</v>
      </c>
      <c r="I355" s="669">
        <f t="shared" si="18"/>
        <v>0</v>
      </c>
      <c r="J355" s="20" t="s">
        <v>727</v>
      </c>
    </row>
    <row r="356" spans="1:10" hidden="1" outlineLevel="1">
      <c r="A356" s="374" t="s">
        <v>1140</v>
      </c>
      <c r="B356" s="1698">
        <f>_xlfn.IFNA(VLOOKUP($A356,'Anlage 1a_Zuschlagszahlungen_NB'!A1196:E1429,5,FALSE),0)</f>
        <v>844044.36</v>
      </c>
      <c r="C356" s="667">
        <f>_xlfn.IFNA(VLOOKUP($A356,'Anlage 1b_Abzüge, Pflicht, Boni'!$A$26:$D$49,2,FALSE),0)</f>
        <v>0</v>
      </c>
      <c r="D356" s="667">
        <f>_xlfn.IFNA(VLOOKUP(A356,'Anlage 1b_Abzüge, Pflicht, Boni'!$A$9:$D$67,3,FALSE),0)</f>
        <v>0</v>
      </c>
      <c r="E356" s="667">
        <f>_xlfn.IFNA(VLOOKUP(A356,'Anlage 1b_Abzüge, Pflicht, Boni'!$A$26:$D$47,4,FALSE),0)</f>
        <v>0</v>
      </c>
      <c r="F356" s="88">
        <f t="shared" si="19"/>
        <v>844044.36</v>
      </c>
      <c r="G356" s="88">
        <f>SUMIFS('Anlage 1c_Korrekturen_NB'!$L$105:$L$295,'Anlage 1c_Korrekturen_NB'!$A$105:$A$295,'Anlage 3a_Zusammenfassung_KWKG'!$A356)</f>
        <v>6658.6399999999994</v>
      </c>
      <c r="H356" s="668">
        <f>_xlfn.IFNA(VLOOKUP(A356,'Anlage 1c_Korrekturen_NB'!$A$626:$D$629,4,FALSE),0)</f>
        <v>0</v>
      </c>
      <c r="I356" s="669">
        <f t="shared" si="18"/>
        <v>6658.6399999999994</v>
      </c>
      <c r="J356" s="20" t="s">
        <v>1141</v>
      </c>
    </row>
    <row r="357" spans="1:10" hidden="1" outlineLevel="1">
      <c r="A357" s="374" t="s">
        <v>1142</v>
      </c>
      <c r="B357" s="1698">
        <f>_xlfn.IFNA(VLOOKUP($A357,'Anlage 1a_Zuschlagszahlungen_NB'!A1197:E1430,5,FALSE),0)</f>
        <v>323444.02</v>
      </c>
      <c r="C357" s="667">
        <f>_xlfn.IFNA(VLOOKUP($A357,'Anlage 1b_Abzüge, Pflicht, Boni'!$A$26:$D$49,2,FALSE),0)</f>
        <v>-11.34</v>
      </c>
      <c r="D357" s="667">
        <f>_xlfn.IFNA(VLOOKUP(A357,'Anlage 1b_Abzüge, Pflicht, Boni'!$A$9:$D$67,3,FALSE),0)</f>
        <v>0</v>
      </c>
      <c r="E357" s="667">
        <f>_xlfn.IFNA(VLOOKUP(A357,'Anlage 1b_Abzüge, Pflicht, Boni'!$A$26:$D$47,4,FALSE),0)</f>
        <v>0</v>
      </c>
      <c r="F357" s="88">
        <f t="shared" si="19"/>
        <v>323432.68</v>
      </c>
      <c r="G357" s="88">
        <f>SUMIFS('Anlage 1c_Korrekturen_NB'!$L$105:$L$295,'Anlage 1c_Korrekturen_NB'!$A$105:$A$295,'Anlage 3a_Zusammenfassung_KWKG'!$A357)</f>
        <v>257710.26</v>
      </c>
      <c r="H357" s="668">
        <f>_xlfn.IFNA(VLOOKUP(A357,'Anlage 1c_Korrekturen_NB'!$A$626:$D$629,4,FALSE),0)</f>
        <v>0</v>
      </c>
      <c r="I357" s="669">
        <f t="shared" si="18"/>
        <v>257710.26</v>
      </c>
      <c r="J357" s="20" t="s">
        <v>1143</v>
      </c>
    </row>
    <row r="358" spans="1:10" hidden="1" outlineLevel="1">
      <c r="A358" s="374" t="s">
        <v>730</v>
      </c>
      <c r="B358" s="1698">
        <f>_xlfn.IFNA(VLOOKUP($A358,'Anlage 1a_Zuschlagszahlungen_NB'!A1198:E1431,5,FALSE),0)</f>
        <v>0</v>
      </c>
      <c r="C358" s="667">
        <f>_xlfn.IFNA(VLOOKUP($A358,'Anlage 1b_Abzüge, Pflicht, Boni'!$A$26:$D$49,2,FALSE),0)</f>
        <v>0</v>
      </c>
      <c r="D358" s="667">
        <f>_xlfn.IFNA(VLOOKUP(A358,'Anlage 1b_Abzüge, Pflicht, Boni'!$A$9:$D$67,3,FALSE),0)</f>
        <v>0</v>
      </c>
      <c r="E358" s="667">
        <f>_xlfn.IFNA(VLOOKUP(A358,'Anlage 1b_Abzüge, Pflicht, Boni'!$A$26:$D$47,4,FALSE),0)</f>
        <v>0</v>
      </c>
      <c r="F358" s="88">
        <f t="shared" si="19"/>
        <v>0</v>
      </c>
      <c r="G358" s="88">
        <f>SUMIFS('Anlage 1c_Korrekturen_NB'!$L$105:$L$295,'Anlage 1c_Korrekturen_NB'!$A$105:$A$295,'Anlage 3a_Zusammenfassung_KWKG'!$A358)</f>
        <v>0</v>
      </c>
      <c r="H358" s="668">
        <f>_xlfn.IFNA(VLOOKUP(A358,'Anlage 1c_Korrekturen_NB'!$A$626:$D$629,4,FALSE),0)</f>
        <v>0</v>
      </c>
      <c r="I358" s="669">
        <f t="shared" si="18"/>
        <v>0</v>
      </c>
      <c r="J358" s="20" t="s">
        <v>731</v>
      </c>
    </row>
    <row r="359" spans="1:10" hidden="1" outlineLevel="1">
      <c r="A359" s="374" t="s">
        <v>1144</v>
      </c>
      <c r="B359" s="1698">
        <f>_xlfn.IFNA(VLOOKUP($A359,'Anlage 1a_Zuschlagszahlungen_NB'!A1199:E1432,5,FALSE),0)</f>
        <v>43622.400000000001</v>
      </c>
      <c r="C359" s="667">
        <f>_xlfn.IFNA(VLOOKUP($A359,'Anlage 1b_Abzüge, Pflicht, Boni'!$A$26:$D$49,2,FALSE),0)</f>
        <v>0</v>
      </c>
      <c r="D359" s="667">
        <f>_xlfn.IFNA(VLOOKUP(A359,'Anlage 1b_Abzüge, Pflicht, Boni'!$A$9:$D$67,3,FALSE),0)</f>
        <v>0</v>
      </c>
      <c r="E359" s="667">
        <f>_xlfn.IFNA(VLOOKUP(A359,'Anlage 1b_Abzüge, Pflicht, Boni'!$A$26:$D$47,4,FALSE),0)</f>
        <v>0</v>
      </c>
      <c r="F359" s="88">
        <f t="shared" si="19"/>
        <v>43622.400000000001</v>
      </c>
      <c r="G359" s="88">
        <f>SUMIFS('Anlage 1c_Korrekturen_NB'!$L$105:$L$295,'Anlage 1c_Korrekturen_NB'!$A$105:$A$295,'Anlage 3a_Zusammenfassung_KWKG'!$A359)</f>
        <v>5868.66</v>
      </c>
      <c r="H359" s="668">
        <f>_xlfn.IFNA(VLOOKUP(A359,'Anlage 1c_Korrekturen_NB'!$A$626:$D$629,4,FALSE),0)</f>
        <v>0</v>
      </c>
      <c r="I359" s="669">
        <f t="shared" si="18"/>
        <v>5868.66</v>
      </c>
      <c r="J359" s="20" t="s">
        <v>1145</v>
      </c>
    </row>
    <row r="360" spans="1:10" hidden="1" outlineLevel="1">
      <c r="A360" s="374" t="s">
        <v>1146</v>
      </c>
      <c r="B360" s="1698">
        <f>_xlfn.IFNA(VLOOKUP($A360,'Anlage 1a_Zuschlagszahlungen_NB'!A1200:E1433,5,FALSE),0)</f>
        <v>246715.22</v>
      </c>
      <c r="C360" s="667">
        <f>_xlfn.IFNA(VLOOKUP($A360,'Anlage 1b_Abzüge, Pflicht, Boni'!$A$26:$D$49,2,FALSE),0)</f>
        <v>0</v>
      </c>
      <c r="D360" s="667">
        <f>_xlfn.IFNA(VLOOKUP(A360,'Anlage 1b_Abzüge, Pflicht, Boni'!$A$9:$D$67,3,FALSE),0)</f>
        <v>0</v>
      </c>
      <c r="E360" s="667">
        <f>_xlfn.IFNA(VLOOKUP(A360,'Anlage 1b_Abzüge, Pflicht, Boni'!$A$26:$D$47,4,FALSE),0)</f>
        <v>0</v>
      </c>
      <c r="F360" s="88">
        <f t="shared" si="19"/>
        <v>246715.22</v>
      </c>
      <c r="G360" s="88">
        <f>SUMIFS('Anlage 1c_Korrekturen_NB'!$L$105:$L$295,'Anlage 1c_Korrekturen_NB'!$A$105:$A$295,'Anlage 3a_Zusammenfassung_KWKG'!$A360)</f>
        <v>-7574.1699999999983</v>
      </c>
      <c r="H360" s="668">
        <f>_xlfn.IFNA(VLOOKUP(A360,'Anlage 1c_Korrekturen_NB'!$A$626:$D$629,4,FALSE),0)</f>
        <v>0</v>
      </c>
      <c r="I360" s="669">
        <f t="shared" si="18"/>
        <v>-7574.1699999999983</v>
      </c>
      <c r="J360" s="20" t="s">
        <v>1147</v>
      </c>
    </row>
    <row r="361" spans="1:10" hidden="1" outlineLevel="1">
      <c r="A361" s="374" t="s">
        <v>1148</v>
      </c>
      <c r="B361" s="1698">
        <f>_xlfn.IFNA(VLOOKUP($A361,'Anlage 1a_Zuschlagszahlungen_NB'!A1201:E1434,5,FALSE),0)</f>
        <v>42591.360000000001</v>
      </c>
      <c r="C361" s="667">
        <f>_xlfn.IFNA(VLOOKUP($A361,'Anlage 1b_Abzüge, Pflicht, Boni'!$A$26:$D$49,2,FALSE),0)</f>
        <v>0</v>
      </c>
      <c r="D361" s="667">
        <f>_xlfn.IFNA(VLOOKUP(A361,'Anlage 1b_Abzüge, Pflicht, Boni'!$A$9:$D$67,3,FALSE),0)</f>
        <v>0</v>
      </c>
      <c r="E361" s="667">
        <f>_xlfn.IFNA(VLOOKUP(A361,'Anlage 1b_Abzüge, Pflicht, Boni'!$A$26:$D$47,4,FALSE),0)</f>
        <v>0</v>
      </c>
      <c r="F361" s="88">
        <f t="shared" si="19"/>
        <v>42591.360000000001</v>
      </c>
      <c r="G361" s="88">
        <f>SUMIFS('Anlage 1c_Korrekturen_NB'!$L$105:$L$295,'Anlage 1c_Korrekturen_NB'!$A$105:$A$295,'Anlage 3a_Zusammenfassung_KWKG'!$A361)</f>
        <v>-970.36</v>
      </c>
      <c r="H361" s="668">
        <f>_xlfn.IFNA(VLOOKUP(A361,'Anlage 1c_Korrekturen_NB'!$A$626:$D$629,4,FALSE),0)</f>
        <v>0</v>
      </c>
      <c r="I361" s="669">
        <f t="shared" si="18"/>
        <v>-970.36</v>
      </c>
      <c r="J361" s="20" t="s">
        <v>1149</v>
      </c>
    </row>
    <row r="362" spans="1:10" hidden="1" outlineLevel="1">
      <c r="A362" s="374" t="s">
        <v>1150</v>
      </c>
      <c r="B362" s="1698">
        <f>_xlfn.IFNA(VLOOKUP($A362,'Anlage 1a_Zuschlagszahlungen_NB'!A1202:E1435,5,FALSE),0)</f>
        <v>4519397.3499999996</v>
      </c>
      <c r="C362" s="667">
        <f>_xlfn.IFNA(VLOOKUP($A362,'Anlage 1b_Abzüge, Pflicht, Boni'!$A$26:$D$49,2,FALSE),0)</f>
        <v>0</v>
      </c>
      <c r="D362" s="667">
        <f>_xlfn.IFNA(VLOOKUP(A362,'Anlage 1b_Abzüge, Pflicht, Boni'!$A$9:$D$67,3,FALSE),0)</f>
        <v>0</v>
      </c>
      <c r="E362" s="667">
        <f>_xlfn.IFNA(VLOOKUP(A362,'Anlage 1b_Abzüge, Pflicht, Boni'!$A$26:$D$47,4,FALSE),0)</f>
        <v>0</v>
      </c>
      <c r="F362" s="88">
        <f t="shared" si="19"/>
        <v>4519397.3499999996</v>
      </c>
      <c r="G362" s="88">
        <f>SUMIFS('Anlage 1c_Korrekturen_NB'!$L$105:$L$295,'Anlage 1c_Korrekturen_NB'!$A$105:$A$295,'Anlage 3a_Zusammenfassung_KWKG'!$A362)</f>
        <v>13908.89</v>
      </c>
      <c r="H362" s="668">
        <f>_xlfn.IFNA(VLOOKUP(A362,'Anlage 1c_Korrekturen_NB'!$A$626:$D$629,4,FALSE),0)</f>
        <v>0</v>
      </c>
      <c r="I362" s="669">
        <f t="shared" si="18"/>
        <v>13908.89</v>
      </c>
      <c r="J362" s="20" t="s">
        <v>1151</v>
      </c>
    </row>
    <row r="363" spans="1:10" hidden="1" outlineLevel="1">
      <c r="A363" s="374" t="s">
        <v>1152</v>
      </c>
      <c r="B363" s="1698">
        <f>_xlfn.IFNA(VLOOKUP($A363,'Anlage 1a_Zuschlagszahlungen_NB'!A1203:E1436,5,FALSE),0)</f>
        <v>187143.24</v>
      </c>
      <c r="C363" s="667">
        <f>_xlfn.IFNA(VLOOKUP($A363,'Anlage 1b_Abzüge, Pflicht, Boni'!$A$26:$D$49,2,FALSE),0)</f>
        <v>-21318.26</v>
      </c>
      <c r="D363" s="667">
        <f>_xlfn.IFNA(VLOOKUP(A363,'Anlage 1b_Abzüge, Pflicht, Boni'!$A$9:$D$67,3,FALSE),0)</f>
        <v>0</v>
      </c>
      <c r="E363" s="667">
        <f>_xlfn.IFNA(VLOOKUP(A363,'Anlage 1b_Abzüge, Pflicht, Boni'!$A$26:$D$47,4,FALSE),0)</f>
        <v>0</v>
      </c>
      <c r="F363" s="88">
        <f t="shared" si="19"/>
        <v>165824.97999999998</v>
      </c>
      <c r="G363" s="88">
        <f>SUMIFS('Anlage 1c_Korrekturen_NB'!$L$105:$L$295,'Anlage 1c_Korrekturen_NB'!$A$105:$A$295,'Anlage 3a_Zusammenfassung_KWKG'!$A363)</f>
        <v>68828.5</v>
      </c>
      <c r="H363" s="668">
        <f>_xlfn.IFNA(VLOOKUP(A363,'Anlage 1c_Korrekturen_NB'!$A$626:$D$629,4,FALSE),0)</f>
        <v>0</v>
      </c>
      <c r="I363" s="669">
        <f t="shared" si="18"/>
        <v>68828.5</v>
      </c>
      <c r="J363" s="20" t="s">
        <v>1153</v>
      </c>
    </row>
    <row r="364" spans="1:10" hidden="1" outlineLevel="1">
      <c r="A364" s="374" t="s">
        <v>1154</v>
      </c>
      <c r="B364" s="1698">
        <f>_xlfn.IFNA(VLOOKUP($A364,'Anlage 1a_Zuschlagszahlungen_NB'!A1204:E1437,5,FALSE),0)</f>
        <v>0</v>
      </c>
      <c r="C364" s="667">
        <f>_xlfn.IFNA(VLOOKUP($A364,'Anlage 1b_Abzüge, Pflicht, Boni'!$A$26:$D$49,2,FALSE),0)</f>
        <v>0</v>
      </c>
      <c r="D364" s="667">
        <f>_xlfn.IFNA(VLOOKUP(A364,'Anlage 1b_Abzüge, Pflicht, Boni'!$A$9:$D$67,3,FALSE),0)</f>
        <v>0</v>
      </c>
      <c r="E364" s="667">
        <f>_xlfn.IFNA(VLOOKUP(A364,'Anlage 1b_Abzüge, Pflicht, Boni'!$A$26:$D$47,4,FALSE),0)</f>
        <v>0</v>
      </c>
      <c r="F364" s="88">
        <f t="shared" si="19"/>
        <v>0</v>
      </c>
      <c r="G364" s="88">
        <f>SUMIFS('Anlage 1c_Korrekturen_NB'!$L$105:$L$295,'Anlage 1c_Korrekturen_NB'!$A$105:$A$295,'Anlage 3a_Zusammenfassung_KWKG'!$A364)</f>
        <v>0</v>
      </c>
      <c r="H364" s="668">
        <f>_xlfn.IFNA(VLOOKUP(A364,'Anlage 1c_Korrekturen_NB'!$A$626:$D$629,4,FALSE),0)</f>
        <v>0</v>
      </c>
      <c r="I364" s="669">
        <f t="shared" si="18"/>
        <v>0</v>
      </c>
      <c r="J364" s="20" t="s">
        <v>1155</v>
      </c>
    </row>
    <row r="365" spans="1:10" hidden="1" outlineLevel="1">
      <c r="A365" s="374" t="s">
        <v>1156</v>
      </c>
      <c r="B365" s="1698">
        <f>_xlfn.IFNA(VLOOKUP($A365,'Anlage 1a_Zuschlagszahlungen_NB'!A1205:E1438,5,FALSE),0)</f>
        <v>1691156.6600000001</v>
      </c>
      <c r="C365" s="667">
        <f>_xlfn.IFNA(VLOOKUP($A365,'Anlage 1b_Abzüge, Pflicht, Boni'!$A$26:$D$49,2,FALSE),0)</f>
        <v>0</v>
      </c>
      <c r="D365" s="667">
        <f>_xlfn.IFNA(VLOOKUP(A365,'Anlage 1b_Abzüge, Pflicht, Boni'!$A$9:$D$67,3,FALSE),0)</f>
        <v>0</v>
      </c>
      <c r="E365" s="667">
        <f>_xlfn.IFNA(VLOOKUP(A365,'Anlage 1b_Abzüge, Pflicht, Boni'!$A$26:$D$47,4,FALSE),0)</f>
        <v>0</v>
      </c>
      <c r="F365" s="88">
        <f t="shared" si="19"/>
        <v>1691156.6600000001</v>
      </c>
      <c r="G365" s="88">
        <f>SUMIFS('Anlage 1c_Korrekturen_NB'!$L$105:$L$295,'Anlage 1c_Korrekturen_NB'!$A$105:$A$295,'Anlage 3a_Zusammenfassung_KWKG'!$A365)</f>
        <v>1307.28</v>
      </c>
      <c r="H365" s="668">
        <f>_xlfn.IFNA(VLOOKUP(A365,'Anlage 1c_Korrekturen_NB'!$A$626:$D$629,4,FALSE),0)</f>
        <v>0</v>
      </c>
      <c r="I365" s="669">
        <f t="shared" si="18"/>
        <v>1307.28</v>
      </c>
      <c r="J365" s="20" t="s">
        <v>1157</v>
      </c>
    </row>
    <row r="366" spans="1:10" hidden="1" outlineLevel="1">
      <c r="A366" s="374" t="s">
        <v>1158</v>
      </c>
      <c r="B366" s="1698">
        <f>_xlfn.IFNA(VLOOKUP($A366,'Anlage 1a_Zuschlagszahlungen_NB'!A1206:E1439,5,FALSE),0)</f>
        <v>212484.58</v>
      </c>
      <c r="C366" s="667">
        <f>_xlfn.IFNA(VLOOKUP($A366,'Anlage 1b_Abzüge, Pflicht, Boni'!$A$26:$D$49,2,FALSE),0)</f>
        <v>0</v>
      </c>
      <c r="D366" s="667">
        <f>_xlfn.IFNA(VLOOKUP(A366,'Anlage 1b_Abzüge, Pflicht, Boni'!$A$9:$D$67,3,FALSE),0)</f>
        <v>0</v>
      </c>
      <c r="E366" s="667">
        <f>_xlfn.IFNA(VLOOKUP(A366,'Anlage 1b_Abzüge, Pflicht, Boni'!$A$26:$D$47,4,FALSE),0)</f>
        <v>0</v>
      </c>
      <c r="F366" s="88">
        <f t="shared" si="19"/>
        <v>212484.58</v>
      </c>
      <c r="G366" s="88">
        <f>SUMIFS('Anlage 1c_Korrekturen_NB'!$L$105:$L$295,'Anlage 1c_Korrekturen_NB'!$A$105:$A$295,'Anlage 3a_Zusammenfassung_KWKG'!$A366)</f>
        <v>0</v>
      </c>
      <c r="H366" s="668">
        <f>_xlfn.IFNA(VLOOKUP(A366,'Anlage 1c_Korrekturen_NB'!$A$626:$D$629,4,FALSE),0)</f>
        <v>0</v>
      </c>
      <c r="I366" s="669">
        <f t="shared" si="18"/>
        <v>0</v>
      </c>
      <c r="J366" s="20" t="s">
        <v>1159</v>
      </c>
    </row>
    <row r="367" spans="1:10" hidden="1" outlineLevel="1">
      <c r="A367" s="374" t="s">
        <v>1160</v>
      </c>
      <c r="B367" s="1698">
        <f>_xlfn.IFNA(VLOOKUP($A367,'Anlage 1a_Zuschlagszahlungen_NB'!A1207:E1440,5,FALSE),0)</f>
        <v>140423.42000000001</v>
      </c>
      <c r="C367" s="667">
        <f>_xlfn.IFNA(VLOOKUP($A367,'Anlage 1b_Abzüge, Pflicht, Boni'!$A$26:$D$49,2,FALSE),0)</f>
        <v>0</v>
      </c>
      <c r="D367" s="667">
        <f>_xlfn.IFNA(VLOOKUP(A367,'Anlage 1b_Abzüge, Pflicht, Boni'!$A$9:$D$67,3,FALSE),0)</f>
        <v>0</v>
      </c>
      <c r="E367" s="667">
        <f>_xlfn.IFNA(VLOOKUP(A367,'Anlage 1b_Abzüge, Pflicht, Boni'!$A$26:$D$47,4,FALSE),0)</f>
        <v>0</v>
      </c>
      <c r="F367" s="88">
        <f t="shared" si="19"/>
        <v>140423.42000000001</v>
      </c>
      <c r="G367" s="88">
        <f>SUMIFS('Anlage 1c_Korrekturen_NB'!$L$105:$L$295,'Anlage 1c_Korrekturen_NB'!$A$105:$A$295,'Anlage 3a_Zusammenfassung_KWKG'!$A367)</f>
        <v>0</v>
      </c>
      <c r="H367" s="668">
        <f>_xlfn.IFNA(VLOOKUP(A367,'Anlage 1c_Korrekturen_NB'!$A$626:$D$629,4,FALSE),0)</f>
        <v>0</v>
      </c>
      <c r="I367" s="669">
        <f t="shared" si="18"/>
        <v>0</v>
      </c>
      <c r="J367" s="20" t="s">
        <v>1161</v>
      </c>
    </row>
    <row r="368" spans="1:10" hidden="1" outlineLevel="1">
      <c r="A368" s="374" t="s">
        <v>1162</v>
      </c>
      <c r="B368" s="1698">
        <f>_xlfn.IFNA(VLOOKUP($A368,'Anlage 1a_Zuschlagszahlungen_NB'!A1208:E1441,5,FALSE),0)</f>
        <v>9944.67</v>
      </c>
      <c r="C368" s="667">
        <f>_xlfn.IFNA(VLOOKUP($A368,'Anlage 1b_Abzüge, Pflicht, Boni'!$A$26:$D$49,2,FALSE),0)</f>
        <v>0</v>
      </c>
      <c r="D368" s="667">
        <f>_xlfn.IFNA(VLOOKUP(A368,'Anlage 1b_Abzüge, Pflicht, Boni'!$A$9:$D$67,3,FALSE),0)</f>
        <v>0</v>
      </c>
      <c r="E368" s="667">
        <f>_xlfn.IFNA(VLOOKUP(A368,'Anlage 1b_Abzüge, Pflicht, Boni'!$A$26:$D$47,4,FALSE),0)</f>
        <v>0</v>
      </c>
      <c r="F368" s="88">
        <f t="shared" si="19"/>
        <v>9944.67</v>
      </c>
      <c r="G368" s="88">
        <f>SUMIFS('Anlage 1c_Korrekturen_NB'!$L$105:$L$295,'Anlage 1c_Korrekturen_NB'!$A$105:$A$295,'Anlage 3a_Zusammenfassung_KWKG'!$A368)</f>
        <v>0</v>
      </c>
      <c r="H368" s="668">
        <f>_xlfn.IFNA(VLOOKUP(A368,'Anlage 1c_Korrekturen_NB'!$A$626:$D$629,4,FALSE),0)</f>
        <v>0</v>
      </c>
      <c r="I368" s="669">
        <f t="shared" si="18"/>
        <v>0</v>
      </c>
      <c r="J368" s="20" t="s">
        <v>1163</v>
      </c>
    </row>
    <row r="369" spans="1:10" hidden="1" outlineLevel="1">
      <c r="A369" s="374" t="s">
        <v>1164</v>
      </c>
      <c r="B369" s="1698">
        <f>_xlfn.IFNA(VLOOKUP($A369,'Anlage 1a_Zuschlagszahlungen_NB'!A1209:E1442,5,FALSE),0)</f>
        <v>6241.04</v>
      </c>
      <c r="C369" s="667">
        <f>_xlfn.IFNA(VLOOKUP($A369,'Anlage 1b_Abzüge, Pflicht, Boni'!$A$26:$D$49,2,FALSE),0)</f>
        <v>0</v>
      </c>
      <c r="D369" s="667">
        <f>_xlfn.IFNA(VLOOKUP(A369,'Anlage 1b_Abzüge, Pflicht, Boni'!$A$9:$D$67,3,FALSE),0)</f>
        <v>0</v>
      </c>
      <c r="E369" s="667">
        <f>_xlfn.IFNA(VLOOKUP(A369,'Anlage 1b_Abzüge, Pflicht, Boni'!$A$26:$D$47,4,FALSE),0)</f>
        <v>0</v>
      </c>
      <c r="F369" s="88">
        <f t="shared" si="19"/>
        <v>6241.04</v>
      </c>
      <c r="G369" s="88">
        <f>SUMIFS('Anlage 1c_Korrekturen_NB'!$L$105:$L$295,'Anlage 1c_Korrekturen_NB'!$A$105:$A$295,'Anlage 3a_Zusammenfassung_KWKG'!$A369)</f>
        <v>0</v>
      </c>
      <c r="H369" s="668">
        <f>_xlfn.IFNA(VLOOKUP(A369,'Anlage 1c_Korrekturen_NB'!$A$626:$D$629,4,FALSE),0)</f>
        <v>0</v>
      </c>
      <c r="I369" s="669">
        <f t="shared" si="18"/>
        <v>0</v>
      </c>
      <c r="J369" s="20" t="s">
        <v>1165</v>
      </c>
    </row>
    <row r="370" spans="1:10" hidden="1" outlineLevel="1">
      <c r="A370" s="374" t="s">
        <v>1166</v>
      </c>
      <c r="B370" s="1698">
        <f>_xlfn.IFNA(VLOOKUP($A370,'Anlage 1a_Zuschlagszahlungen_NB'!A1210:E1443,5,FALSE),0)</f>
        <v>0</v>
      </c>
      <c r="C370" s="667">
        <f>_xlfn.IFNA(VLOOKUP($A370,'Anlage 1b_Abzüge, Pflicht, Boni'!$A$26:$D$49,2,FALSE),0)</f>
        <v>0</v>
      </c>
      <c r="D370" s="667">
        <f>_xlfn.IFNA(VLOOKUP(A370,'Anlage 1b_Abzüge, Pflicht, Boni'!$A$9:$D$67,3,FALSE),0)</f>
        <v>0</v>
      </c>
      <c r="E370" s="667">
        <f>_xlfn.IFNA(VLOOKUP(A370,'Anlage 1b_Abzüge, Pflicht, Boni'!$A$26:$D$47,4,FALSE),0)</f>
        <v>0</v>
      </c>
      <c r="F370" s="88">
        <f t="shared" si="19"/>
        <v>0</v>
      </c>
      <c r="G370" s="88">
        <f>SUMIFS('Anlage 1c_Korrekturen_NB'!$L$105:$L$295,'Anlage 1c_Korrekturen_NB'!$A$105:$A$295,'Anlage 3a_Zusammenfassung_KWKG'!$A370)</f>
        <v>0</v>
      </c>
      <c r="H370" s="668">
        <f>_xlfn.IFNA(VLOOKUP(A370,'Anlage 1c_Korrekturen_NB'!$A$626:$D$629,4,FALSE),0)</f>
        <v>0</v>
      </c>
      <c r="I370" s="669">
        <f t="shared" si="18"/>
        <v>0</v>
      </c>
      <c r="J370" s="20" t="s">
        <v>1167</v>
      </c>
    </row>
    <row r="371" spans="1:10" hidden="1" outlineLevel="1">
      <c r="A371" s="374" t="s">
        <v>1168</v>
      </c>
      <c r="B371" s="1698">
        <f>_xlfn.IFNA(VLOOKUP($A371,'Anlage 1a_Zuschlagszahlungen_NB'!A1211:E1444,5,FALSE),0)</f>
        <v>0</v>
      </c>
      <c r="C371" s="667">
        <f>_xlfn.IFNA(VLOOKUP($A371,'Anlage 1b_Abzüge, Pflicht, Boni'!$A$26:$D$49,2,FALSE),0)</f>
        <v>0</v>
      </c>
      <c r="D371" s="667">
        <f>_xlfn.IFNA(VLOOKUP(A371,'Anlage 1b_Abzüge, Pflicht, Boni'!$A$9:$D$67,3,FALSE),0)</f>
        <v>0</v>
      </c>
      <c r="E371" s="667">
        <f>_xlfn.IFNA(VLOOKUP(A371,'Anlage 1b_Abzüge, Pflicht, Boni'!$A$26:$D$47,4,FALSE),0)</f>
        <v>0</v>
      </c>
      <c r="F371" s="88">
        <f t="shared" si="19"/>
        <v>0</v>
      </c>
      <c r="G371" s="88">
        <f>SUMIFS('Anlage 1c_Korrekturen_NB'!$L$105:$L$295,'Anlage 1c_Korrekturen_NB'!$A$105:$A$295,'Anlage 3a_Zusammenfassung_KWKG'!$A371)</f>
        <v>0</v>
      </c>
      <c r="H371" s="668">
        <f>_xlfn.IFNA(VLOOKUP(A371,'Anlage 1c_Korrekturen_NB'!$A$626:$D$629,4,FALSE),0)</f>
        <v>0</v>
      </c>
      <c r="I371" s="669">
        <f t="shared" si="18"/>
        <v>0</v>
      </c>
      <c r="J371" s="20" t="s">
        <v>1169</v>
      </c>
    </row>
    <row r="372" spans="1:10" hidden="1" outlineLevel="1">
      <c r="A372" s="374" t="s">
        <v>1170</v>
      </c>
      <c r="B372" s="1698">
        <f>_xlfn.IFNA(VLOOKUP($A372,'Anlage 1a_Zuschlagszahlungen_NB'!A1212:E1445,5,FALSE),0)</f>
        <v>105000.73</v>
      </c>
      <c r="C372" s="667">
        <f>_xlfn.IFNA(VLOOKUP($A372,'Anlage 1b_Abzüge, Pflicht, Boni'!$A$26:$D$49,2,FALSE),0)</f>
        <v>0</v>
      </c>
      <c r="D372" s="667">
        <f>_xlfn.IFNA(VLOOKUP(A372,'Anlage 1b_Abzüge, Pflicht, Boni'!$A$9:$D$67,3,FALSE),0)</f>
        <v>0</v>
      </c>
      <c r="E372" s="667">
        <f>_xlfn.IFNA(VLOOKUP(A372,'Anlage 1b_Abzüge, Pflicht, Boni'!$A$26:$D$47,4,FALSE),0)</f>
        <v>0</v>
      </c>
      <c r="F372" s="88">
        <f t="shared" si="19"/>
        <v>105000.73</v>
      </c>
      <c r="G372" s="88">
        <f>SUMIFS('Anlage 1c_Korrekturen_NB'!$L$105:$L$295,'Anlage 1c_Korrekturen_NB'!$A$105:$A$295,'Anlage 3a_Zusammenfassung_KWKG'!$A372)</f>
        <v>0</v>
      </c>
      <c r="H372" s="668">
        <f>_xlfn.IFNA(VLOOKUP(A372,'Anlage 1c_Korrekturen_NB'!$A$626:$D$629,4,FALSE),0)</f>
        <v>0</v>
      </c>
      <c r="I372" s="669">
        <f t="shared" si="18"/>
        <v>0</v>
      </c>
      <c r="J372" s="20" t="s">
        <v>1171</v>
      </c>
    </row>
    <row r="373" spans="1:10" hidden="1" outlineLevel="1">
      <c r="A373" s="374" t="s">
        <v>1172</v>
      </c>
      <c r="B373" s="1698">
        <f>_xlfn.IFNA(VLOOKUP($A373,'Anlage 1a_Zuschlagszahlungen_NB'!A1213:E1446,5,FALSE),0)</f>
        <v>83847.709999999992</v>
      </c>
      <c r="C373" s="667">
        <f>_xlfn.IFNA(VLOOKUP($A373,'Anlage 1b_Abzüge, Pflicht, Boni'!$A$26:$D$49,2,FALSE),0)</f>
        <v>0</v>
      </c>
      <c r="D373" s="667">
        <f>_xlfn.IFNA(VLOOKUP(A373,'Anlage 1b_Abzüge, Pflicht, Boni'!$A$9:$D$67,3,FALSE),0)</f>
        <v>0</v>
      </c>
      <c r="E373" s="667">
        <f>_xlfn.IFNA(VLOOKUP(A373,'Anlage 1b_Abzüge, Pflicht, Boni'!$A$26:$D$47,4,FALSE),0)</f>
        <v>0</v>
      </c>
      <c r="F373" s="88">
        <f t="shared" si="19"/>
        <v>83847.709999999992</v>
      </c>
      <c r="G373" s="88">
        <f>SUMIFS('Anlage 1c_Korrekturen_NB'!$L$105:$L$295,'Anlage 1c_Korrekturen_NB'!$A$105:$A$295,'Anlage 3a_Zusammenfassung_KWKG'!$A373)</f>
        <v>0</v>
      </c>
      <c r="H373" s="668">
        <f>_xlfn.IFNA(VLOOKUP(A373,'Anlage 1c_Korrekturen_NB'!$A$626:$D$629,4,FALSE),0)</f>
        <v>0</v>
      </c>
      <c r="I373" s="669">
        <f t="shared" si="18"/>
        <v>0</v>
      </c>
      <c r="J373" s="20" t="s">
        <v>1173</v>
      </c>
    </row>
    <row r="374" spans="1:10" hidden="1" outlineLevel="1">
      <c r="A374" s="374" t="s">
        <v>1174</v>
      </c>
      <c r="B374" s="1698">
        <f>_xlfn.IFNA(VLOOKUP($A374,'Anlage 1a_Zuschlagszahlungen_NB'!A1214:E1447,5,FALSE),0)</f>
        <v>5895120.5</v>
      </c>
      <c r="C374" s="667">
        <f>_xlfn.IFNA(VLOOKUP($A374,'Anlage 1b_Abzüge, Pflicht, Boni'!$A$26:$D$49,2,FALSE),0)</f>
        <v>0</v>
      </c>
      <c r="D374" s="667">
        <f>_xlfn.IFNA(VLOOKUP(A374,'Anlage 1b_Abzüge, Pflicht, Boni'!$A$9:$D$67,3,FALSE),0)</f>
        <v>0</v>
      </c>
      <c r="E374" s="667">
        <f>_xlfn.IFNA(VLOOKUP(A374,'Anlage 1b_Abzüge, Pflicht, Boni'!$A$26:$D$47,4,FALSE),0)</f>
        <v>0</v>
      </c>
      <c r="F374" s="88">
        <f t="shared" si="19"/>
        <v>5895120.5</v>
      </c>
      <c r="G374" s="88">
        <f>SUMIFS('Anlage 1c_Korrekturen_NB'!$L$105:$L$295,'Anlage 1c_Korrekturen_NB'!$A$105:$A$295,'Anlage 3a_Zusammenfassung_KWKG'!$A374)</f>
        <v>0</v>
      </c>
      <c r="H374" s="668">
        <f>_xlfn.IFNA(VLOOKUP(A374,'Anlage 1c_Korrekturen_NB'!$A$626:$D$629,4,FALSE),0)</f>
        <v>0</v>
      </c>
      <c r="I374" s="669">
        <f t="shared" si="18"/>
        <v>0</v>
      </c>
      <c r="J374" s="20" t="s">
        <v>1175</v>
      </c>
    </row>
    <row r="375" spans="1:10" hidden="1" outlineLevel="1">
      <c r="A375" s="374" t="s">
        <v>1176</v>
      </c>
      <c r="B375" s="1698">
        <f>_xlfn.IFNA(VLOOKUP($A375,'Anlage 1a_Zuschlagszahlungen_NB'!A1215:E1448,5,FALSE),0)</f>
        <v>351321.49</v>
      </c>
      <c r="C375" s="667">
        <f>_xlfn.IFNA(VLOOKUP($A375,'Anlage 1b_Abzüge, Pflicht, Boni'!$A$26:$D$49,2,FALSE),0)</f>
        <v>-1469.48</v>
      </c>
      <c r="D375" s="667">
        <f>_xlfn.IFNA(VLOOKUP(A375,'Anlage 1b_Abzüge, Pflicht, Boni'!$A$9:$D$67,3,FALSE),0)</f>
        <v>0</v>
      </c>
      <c r="E375" s="667">
        <f>_xlfn.IFNA(VLOOKUP(A375,'Anlage 1b_Abzüge, Pflicht, Boni'!$A$26:$D$47,4,FALSE),0)</f>
        <v>0</v>
      </c>
      <c r="F375" s="88">
        <f t="shared" si="19"/>
        <v>349852.01</v>
      </c>
      <c r="G375" s="88">
        <f>SUMIFS('Anlage 1c_Korrekturen_NB'!$L$105:$L$295,'Anlage 1c_Korrekturen_NB'!$A$105:$A$295,'Anlage 3a_Zusammenfassung_KWKG'!$A375)</f>
        <v>15012.56</v>
      </c>
      <c r="H375" s="668">
        <f>_xlfn.IFNA(VLOOKUP(A375,'Anlage 1c_Korrekturen_NB'!$A$626:$D$629,4,FALSE),0)</f>
        <v>0</v>
      </c>
      <c r="I375" s="669">
        <f t="shared" si="18"/>
        <v>15012.56</v>
      </c>
      <c r="J375" s="20" t="s">
        <v>1177</v>
      </c>
    </row>
    <row r="376" spans="1:10" hidden="1" outlineLevel="1">
      <c r="A376" s="374" t="s">
        <v>1178</v>
      </c>
      <c r="B376" s="1698">
        <f>_xlfn.IFNA(VLOOKUP($A376,'Anlage 1a_Zuschlagszahlungen_NB'!A1216:E1449,5,FALSE),0)</f>
        <v>42782.05</v>
      </c>
      <c r="C376" s="667">
        <f>_xlfn.IFNA(VLOOKUP($A376,'Anlage 1b_Abzüge, Pflicht, Boni'!$A$26:$D$49,2,FALSE),0)</f>
        <v>0</v>
      </c>
      <c r="D376" s="667">
        <f>_xlfn.IFNA(VLOOKUP(A376,'Anlage 1b_Abzüge, Pflicht, Boni'!$A$9:$D$67,3,FALSE),0)</f>
        <v>0</v>
      </c>
      <c r="E376" s="667">
        <f>_xlfn.IFNA(VLOOKUP(A376,'Anlage 1b_Abzüge, Pflicht, Boni'!$A$26:$D$47,4,FALSE),0)</f>
        <v>0</v>
      </c>
      <c r="F376" s="88">
        <f t="shared" si="19"/>
        <v>42782.05</v>
      </c>
      <c r="G376" s="88">
        <f>SUMIFS('Anlage 1c_Korrekturen_NB'!$L$105:$L$295,'Anlage 1c_Korrekturen_NB'!$A$105:$A$295,'Anlage 3a_Zusammenfassung_KWKG'!$A376)</f>
        <v>0</v>
      </c>
      <c r="H376" s="668">
        <f>_xlfn.IFNA(VLOOKUP(A376,'Anlage 1c_Korrekturen_NB'!$A$626:$D$629,4,FALSE),0)</f>
        <v>0</v>
      </c>
      <c r="I376" s="669">
        <f t="shared" si="18"/>
        <v>0</v>
      </c>
      <c r="J376" s="20" t="s">
        <v>1179</v>
      </c>
    </row>
    <row r="377" spans="1:10" hidden="1" outlineLevel="1">
      <c r="A377" s="374" t="s">
        <v>1180</v>
      </c>
      <c r="B377" s="1698">
        <f>_xlfn.IFNA(VLOOKUP($A377,'Anlage 1a_Zuschlagszahlungen_NB'!A1217:E1450,5,FALSE),0)</f>
        <v>127692.71</v>
      </c>
      <c r="C377" s="667">
        <f>_xlfn.IFNA(VLOOKUP($A377,'Anlage 1b_Abzüge, Pflicht, Boni'!$A$26:$D$49,2,FALSE),0)</f>
        <v>0</v>
      </c>
      <c r="D377" s="667">
        <f>_xlfn.IFNA(VLOOKUP(A377,'Anlage 1b_Abzüge, Pflicht, Boni'!$A$9:$D$67,3,FALSE),0)</f>
        <v>0</v>
      </c>
      <c r="E377" s="667">
        <f>_xlfn.IFNA(VLOOKUP(A377,'Anlage 1b_Abzüge, Pflicht, Boni'!$A$26:$D$47,4,FALSE),0)</f>
        <v>0</v>
      </c>
      <c r="F377" s="88">
        <f t="shared" si="19"/>
        <v>127692.71</v>
      </c>
      <c r="G377" s="88">
        <f>SUMIFS('Anlage 1c_Korrekturen_NB'!$L$105:$L$295,'Anlage 1c_Korrekturen_NB'!$A$105:$A$295,'Anlage 3a_Zusammenfassung_KWKG'!$A377)</f>
        <v>0</v>
      </c>
      <c r="H377" s="668">
        <f>_xlfn.IFNA(VLOOKUP(A377,'Anlage 1c_Korrekturen_NB'!$A$626:$D$629,4,FALSE),0)</f>
        <v>0</v>
      </c>
      <c r="I377" s="669">
        <f t="shared" si="18"/>
        <v>0</v>
      </c>
      <c r="J377" s="20" t="s">
        <v>1181</v>
      </c>
    </row>
    <row r="378" spans="1:10" hidden="1" outlineLevel="1">
      <c r="A378" s="374" t="s">
        <v>1182</v>
      </c>
      <c r="B378" s="1698">
        <f>_xlfn.IFNA(VLOOKUP($A378,'Anlage 1a_Zuschlagszahlungen_NB'!A1218:E1451,5,FALSE),0)</f>
        <v>137542.66</v>
      </c>
      <c r="C378" s="667">
        <f>_xlfn.IFNA(VLOOKUP($A378,'Anlage 1b_Abzüge, Pflicht, Boni'!$A$26:$D$49,2,FALSE),0)</f>
        <v>0</v>
      </c>
      <c r="D378" s="667">
        <f>_xlfn.IFNA(VLOOKUP(A378,'Anlage 1b_Abzüge, Pflicht, Boni'!$A$9:$D$67,3,FALSE),0)</f>
        <v>0</v>
      </c>
      <c r="E378" s="667">
        <f>_xlfn.IFNA(VLOOKUP(A378,'Anlage 1b_Abzüge, Pflicht, Boni'!$A$26:$D$47,4,FALSE),0)</f>
        <v>0</v>
      </c>
      <c r="F378" s="88">
        <f t="shared" si="19"/>
        <v>137542.66</v>
      </c>
      <c r="G378" s="88">
        <f>SUMIFS('Anlage 1c_Korrekturen_NB'!$L$105:$L$295,'Anlage 1c_Korrekturen_NB'!$A$105:$A$295,'Anlage 3a_Zusammenfassung_KWKG'!$A378)</f>
        <v>2787.17</v>
      </c>
      <c r="H378" s="668">
        <f>_xlfn.IFNA(VLOOKUP(A378,'Anlage 1c_Korrekturen_NB'!$A$626:$D$629,4,FALSE),0)</f>
        <v>0</v>
      </c>
      <c r="I378" s="669">
        <f t="shared" si="18"/>
        <v>2787.17</v>
      </c>
      <c r="J378" s="20" t="s">
        <v>1183</v>
      </c>
    </row>
    <row r="379" spans="1:10" hidden="1" outlineLevel="1">
      <c r="A379" s="374" t="s">
        <v>1184</v>
      </c>
      <c r="B379" s="1698">
        <f>_xlfn.IFNA(VLOOKUP($A379,'Anlage 1a_Zuschlagszahlungen_NB'!A1219:E1452,5,FALSE),0)</f>
        <v>10489.08</v>
      </c>
      <c r="C379" s="667">
        <f>_xlfn.IFNA(VLOOKUP($A379,'Anlage 1b_Abzüge, Pflicht, Boni'!$A$26:$D$49,2,FALSE),0)</f>
        <v>0</v>
      </c>
      <c r="D379" s="667">
        <f>_xlfn.IFNA(VLOOKUP(A379,'Anlage 1b_Abzüge, Pflicht, Boni'!$A$9:$D$67,3,FALSE),0)</f>
        <v>0</v>
      </c>
      <c r="E379" s="667">
        <f>_xlfn.IFNA(VLOOKUP(A379,'Anlage 1b_Abzüge, Pflicht, Boni'!$A$26:$D$47,4,FALSE),0)</f>
        <v>0</v>
      </c>
      <c r="F379" s="88">
        <f t="shared" si="19"/>
        <v>10489.08</v>
      </c>
      <c r="G379" s="88">
        <f>SUMIFS('Anlage 1c_Korrekturen_NB'!$L$105:$L$295,'Anlage 1c_Korrekturen_NB'!$A$105:$A$295,'Anlage 3a_Zusammenfassung_KWKG'!$A379)</f>
        <v>0</v>
      </c>
      <c r="H379" s="668">
        <f>_xlfn.IFNA(VLOOKUP(A379,'Anlage 1c_Korrekturen_NB'!$A$626:$D$629,4,FALSE),0)</f>
        <v>0</v>
      </c>
      <c r="I379" s="669">
        <f t="shared" si="18"/>
        <v>0</v>
      </c>
      <c r="J379" s="20" t="s">
        <v>1185</v>
      </c>
    </row>
    <row r="380" spans="1:10" hidden="1" outlineLevel="1">
      <c r="A380" s="374" t="s">
        <v>1186</v>
      </c>
      <c r="B380" s="1698">
        <f>_xlfn.IFNA(VLOOKUP($A380,'Anlage 1a_Zuschlagszahlungen_NB'!A1220:E1453,5,FALSE),0)</f>
        <v>0</v>
      </c>
      <c r="C380" s="667">
        <f>_xlfn.IFNA(VLOOKUP($A380,'Anlage 1b_Abzüge, Pflicht, Boni'!$A$26:$D$49,2,FALSE),0)</f>
        <v>0</v>
      </c>
      <c r="D380" s="667">
        <f>_xlfn.IFNA(VLOOKUP(A380,'Anlage 1b_Abzüge, Pflicht, Boni'!$A$9:$D$67,3,FALSE),0)</f>
        <v>0</v>
      </c>
      <c r="E380" s="667">
        <f>_xlfn.IFNA(VLOOKUP(A380,'Anlage 1b_Abzüge, Pflicht, Boni'!$A$26:$D$47,4,FALSE),0)</f>
        <v>0</v>
      </c>
      <c r="F380" s="88">
        <f t="shared" si="19"/>
        <v>0</v>
      </c>
      <c r="G380" s="88">
        <f>SUMIFS('Anlage 1c_Korrekturen_NB'!$L$105:$L$295,'Anlage 1c_Korrekturen_NB'!$A$105:$A$295,'Anlage 3a_Zusammenfassung_KWKG'!$A380)</f>
        <v>0</v>
      </c>
      <c r="H380" s="668">
        <f>_xlfn.IFNA(VLOOKUP(A380,'Anlage 1c_Korrekturen_NB'!$A$626:$D$629,4,FALSE),0)</f>
        <v>0</v>
      </c>
      <c r="I380" s="669">
        <f t="shared" si="18"/>
        <v>0</v>
      </c>
      <c r="J380" s="20" t="s">
        <v>1187</v>
      </c>
    </row>
    <row r="381" spans="1:10" hidden="1" outlineLevel="1">
      <c r="A381" s="374" t="s">
        <v>1186</v>
      </c>
      <c r="B381" s="1698">
        <f>_xlfn.IFNA(VLOOKUP($A381,'Anlage 1a_Zuschlagszahlungen_NB'!A1221:E1454,5,FALSE),0)</f>
        <v>0</v>
      </c>
      <c r="C381" s="667">
        <f>_xlfn.IFNA(VLOOKUP($A381,'Anlage 1b_Abzüge, Pflicht, Boni'!$A$26:$D$49,2,FALSE),0)</f>
        <v>0</v>
      </c>
      <c r="D381" s="667">
        <f>_xlfn.IFNA(VLOOKUP(A381,'Anlage 1b_Abzüge, Pflicht, Boni'!$A$9:$D$67,3,FALSE),0)</f>
        <v>0</v>
      </c>
      <c r="E381" s="667">
        <f>_xlfn.IFNA(VLOOKUP(A381,'Anlage 1b_Abzüge, Pflicht, Boni'!$A$26:$D$47,4,FALSE),0)</f>
        <v>0</v>
      </c>
      <c r="F381" s="88">
        <f t="shared" si="19"/>
        <v>0</v>
      </c>
      <c r="G381" s="88">
        <f>SUMIFS('Anlage 1c_Korrekturen_NB'!$L$105:$L$295,'Anlage 1c_Korrekturen_NB'!$A$105:$A$295,'Anlage 3a_Zusammenfassung_KWKG'!$A381)</f>
        <v>0</v>
      </c>
      <c r="H381" s="668">
        <f>_xlfn.IFNA(VLOOKUP(A381,'Anlage 1c_Korrekturen_NB'!$A$626:$D$629,4,FALSE),0)</f>
        <v>0</v>
      </c>
      <c r="I381" s="669">
        <f t="shared" si="18"/>
        <v>0</v>
      </c>
      <c r="J381" s="20" t="s">
        <v>1187</v>
      </c>
    </row>
    <row r="382" spans="1:10" hidden="1" outlineLevel="1">
      <c r="A382" s="374" t="s">
        <v>1186</v>
      </c>
      <c r="B382" s="1698">
        <f>_xlfn.IFNA(VLOOKUP($A382,'Anlage 1a_Zuschlagszahlungen_NB'!A1222:E1455,5,FALSE),0)</f>
        <v>0</v>
      </c>
      <c r="C382" s="667">
        <f>_xlfn.IFNA(VLOOKUP($A382,'Anlage 1b_Abzüge, Pflicht, Boni'!$A$26:$D$49,2,FALSE),0)</f>
        <v>0</v>
      </c>
      <c r="D382" s="667">
        <f>_xlfn.IFNA(VLOOKUP(A382,'Anlage 1b_Abzüge, Pflicht, Boni'!$A$9:$D$67,3,FALSE),0)</f>
        <v>0</v>
      </c>
      <c r="E382" s="667">
        <f>_xlfn.IFNA(VLOOKUP(A382,'Anlage 1b_Abzüge, Pflicht, Boni'!$A$26:$D$47,4,FALSE),0)</f>
        <v>0</v>
      </c>
      <c r="F382" s="88">
        <f t="shared" si="19"/>
        <v>0</v>
      </c>
      <c r="G382" s="88">
        <f>SUMIFS('Anlage 1c_Korrekturen_NB'!$L$105:$L$295,'Anlage 1c_Korrekturen_NB'!$A$105:$A$295,'Anlage 3a_Zusammenfassung_KWKG'!$A382)</f>
        <v>0</v>
      </c>
      <c r="H382" s="668">
        <f>_xlfn.IFNA(VLOOKUP(A382,'Anlage 1c_Korrekturen_NB'!$A$626:$D$629,4,FALSE),0)</f>
        <v>0</v>
      </c>
      <c r="I382" s="669">
        <f t="shared" si="18"/>
        <v>0</v>
      </c>
      <c r="J382" s="20" t="s">
        <v>1187</v>
      </c>
    </row>
    <row r="383" spans="1:10" hidden="1" outlineLevel="1">
      <c r="A383" s="374" t="s">
        <v>1188</v>
      </c>
      <c r="B383" s="1698">
        <f>_xlfn.IFNA(VLOOKUP($A383,'Anlage 1a_Zuschlagszahlungen_NB'!A1223:E1456,5,FALSE),0)</f>
        <v>21301.29</v>
      </c>
      <c r="C383" s="667">
        <f>_xlfn.IFNA(VLOOKUP($A383,'Anlage 1b_Abzüge, Pflicht, Boni'!$A$26:$D$49,2,FALSE),0)</f>
        <v>0</v>
      </c>
      <c r="D383" s="667">
        <f>_xlfn.IFNA(VLOOKUP(A383,'Anlage 1b_Abzüge, Pflicht, Boni'!$A$9:$D$67,3,FALSE),0)</f>
        <v>0</v>
      </c>
      <c r="E383" s="667">
        <f>_xlfn.IFNA(VLOOKUP(A383,'Anlage 1b_Abzüge, Pflicht, Boni'!$A$26:$D$47,4,FALSE),0)</f>
        <v>0</v>
      </c>
      <c r="F383" s="88">
        <f t="shared" si="19"/>
        <v>21301.29</v>
      </c>
      <c r="G383" s="88">
        <f>SUMIFS('Anlage 1c_Korrekturen_NB'!$L$105:$L$295,'Anlage 1c_Korrekturen_NB'!$A$105:$A$295,'Anlage 3a_Zusammenfassung_KWKG'!$A383)</f>
        <v>0</v>
      </c>
      <c r="H383" s="668">
        <f>_xlfn.IFNA(VLOOKUP(A383,'Anlage 1c_Korrekturen_NB'!$A$626:$D$629,4,FALSE),0)</f>
        <v>0</v>
      </c>
      <c r="I383" s="669">
        <f t="shared" si="18"/>
        <v>0</v>
      </c>
      <c r="J383" s="20" t="s">
        <v>1189</v>
      </c>
    </row>
    <row r="384" spans="1:10" hidden="1" outlineLevel="1">
      <c r="A384" s="374" t="s">
        <v>1190</v>
      </c>
      <c r="B384" s="1698">
        <f>_xlfn.IFNA(VLOOKUP($A384,'Anlage 1a_Zuschlagszahlungen_NB'!A1224:E1457,5,FALSE),0)</f>
        <v>33640.86</v>
      </c>
      <c r="C384" s="667">
        <f>_xlfn.IFNA(VLOOKUP($A384,'Anlage 1b_Abzüge, Pflicht, Boni'!$A$26:$D$49,2,FALSE),0)</f>
        <v>0</v>
      </c>
      <c r="D384" s="667">
        <f>_xlfn.IFNA(VLOOKUP(A384,'Anlage 1b_Abzüge, Pflicht, Boni'!$A$9:$D$67,3,FALSE),0)</f>
        <v>0</v>
      </c>
      <c r="E384" s="667">
        <f>_xlfn.IFNA(VLOOKUP(A384,'Anlage 1b_Abzüge, Pflicht, Boni'!$A$26:$D$47,4,FALSE),0)</f>
        <v>0</v>
      </c>
      <c r="F384" s="88">
        <f t="shared" si="19"/>
        <v>33640.86</v>
      </c>
      <c r="G384" s="88">
        <f>SUMIFS('Anlage 1c_Korrekturen_NB'!$L$105:$L$295,'Anlage 1c_Korrekturen_NB'!$A$105:$A$295,'Anlage 3a_Zusammenfassung_KWKG'!$A384)</f>
        <v>0</v>
      </c>
      <c r="H384" s="668">
        <f>_xlfn.IFNA(VLOOKUP(A384,'Anlage 1c_Korrekturen_NB'!$A$626:$D$629,4,FALSE),0)</f>
        <v>0</v>
      </c>
      <c r="I384" s="669">
        <f t="shared" si="18"/>
        <v>0</v>
      </c>
      <c r="J384" s="20" t="s">
        <v>1191</v>
      </c>
    </row>
    <row r="385" spans="1:10" hidden="1" outlineLevel="1">
      <c r="A385" s="374" t="s">
        <v>1192</v>
      </c>
      <c r="B385" s="1698">
        <f>_xlfn.IFNA(VLOOKUP($A385,'Anlage 1a_Zuschlagszahlungen_NB'!A1225:E1458,5,FALSE),0)</f>
        <v>4398.24</v>
      </c>
      <c r="C385" s="667">
        <f>_xlfn.IFNA(VLOOKUP($A385,'Anlage 1b_Abzüge, Pflicht, Boni'!$A$26:$D$49,2,FALSE),0)</f>
        <v>0</v>
      </c>
      <c r="D385" s="667">
        <f>_xlfn.IFNA(VLOOKUP(A385,'Anlage 1b_Abzüge, Pflicht, Boni'!$A$9:$D$67,3,FALSE),0)</f>
        <v>0</v>
      </c>
      <c r="E385" s="667">
        <f>_xlfn.IFNA(VLOOKUP(A385,'Anlage 1b_Abzüge, Pflicht, Boni'!$A$26:$D$47,4,FALSE),0)</f>
        <v>0</v>
      </c>
      <c r="F385" s="88">
        <f t="shared" si="19"/>
        <v>4398.24</v>
      </c>
      <c r="G385" s="88">
        <f>SUMIFS('Anlage 1c_Korrekturen_NB'!$L$105:$L$295,'Anlage 1c_Korrekturen_NB'!$A$105:$A$295,'Anlage 3a_Zusammenfassung_KWKG'!$A385)</f>
        <v>-6951.63</v>
      </c>
      <c r="H385" s="668">
        <f>_xlfn.IFNA(VLOOKUP(A385,'Anlage 1c_Korrekturen_NB'!$A$626:$D$629,4,FALSE),0)</f>
        <v>0</v>
      </c>
      <c r="I385" s="669">
        <f t="shared" si="18"/>
        <v>-6951.63</v>
      </c>
      <c r="J385" s="20" t="s">
        <v>1193</v>
      </c>
    </row>
    <row r="386" spans="1:10" hidden="1" outlineLevel="1">
      <c r="A386" s="374" t="s">
        <v>1194</v>
      </c>
      <c r="B386" s="1698">
        <f>_xlfn.IFNA(VLOOKUP($A386,'Anlage 1a_Zuschlagszahlungen_NB'!A1226:E1459,5,FALSE),0)</f>
        <v>20998.080000000002</v>
      </c>
      <c r="C386" s="667">
        <f>_xlfn.IFNA(VLOOKUP($A386,'Anlage 1b_Abzüge, Pflicht, Boni'!$A$26:$D$49,2,FALSE),0)</f>
        <v>0</v>
      </c>
      <c r="D386" s="667">
        <f>_xlfn.IFNA(VLOOKUP(A386,'Anlage 1b_Abzüge, Pflicht, Boni'!$A$9:$D$67,3,FALSE),0)</f>
        <v>0</v>
      </c>
      <c r="E386" s="667">
        <f>_xlfn.IFNA(VLOOKUP(A386,'Anlage 1b_Abzüge, Pflicht, Boni'!$A$26:$D$47,4,FALSE),0)</f>
        <v>0</v>
      </c>
      <c r="F386" s="88">
        <f t="shared" si="19"/>
        <v>20998.080000000002</v>
      </c>
      <c r="G386" s="88">
        <f>SUMIFS('Anlage 1c_Korrekturen_NB'!$L$105:$L$295,'Anlage 1c_Korrekturen_NB'!$A$105:$A$295,'Anlage 3a_Zusammenfassung_KWKG'!$A386)</f>
        <v>0</v>
      </c>
      <c r="H386" s="668">
        <f>_xlfn.IFNA(VLOOKUP(A386,'Anlage 1c_Korrekturen_NB'!$A$626:$D$629,4,FALSE),0)</f>
        <v>0</v>
      </c>
      <c r="I386" s="669">
        <f t="shared" si="18"/>
        <v>0</v>
      </c>
      <c r="J386" s="20" t="s">
        <v>1195</v>
      </c>
    </row>
    <row r="387" spans="1:10" hidden="1" outlineLevel="1">
      <c r="A387" s="374" t="s">
        <v>1196</v>
      </c>
      <c r="B387" s="1698">
        <f>_xlfn.IFNA(VLOOKUP($A387,'Anlage 1a_Zuschlagszahlungen_NB'!A1227:E1460,5,FALSE),0)</f>
        <v>0</v>
      </c>
      <c r="C387" s="667">
        <f>_xlfn.IFNA(VLOOKUP($A387,'Anlage 1b_Abzüge, Pflicht, Boni'!$A$26:$D$49,2,FALSE),0)</f>
        <v>0</v>
      </c>
      <c r="D387" s="667">
        <f>_xlfn.IFNA(VLOOKUP(A387,'Anlage 1b_Abzüge, Pflicht, Boni'!$A$9:$D$67,3,FALSE),0)</f>
        <v>0</v>
      </c>
      <c r="E387" s="667">
        <f>_xlfn.IFNA(VLOOKUP(A387,'Anlage 1b_Abzüge, Pflicht, Boni'!$A$26:$D$47,4,FALSE),0)</f>
        <v>0</v>
      </c>
      <c r="F387" s="88">
        <f t="shared" si="19"/>
        <v>0</v>
      </c>
      <c r="G387" s="88">
        <f>SUMIFS('Anlage 1c_Korrekturen_NB'!$L$105:$L$295,'Anlage 1c_Korrekturen_NB'!$A$105:$A$295,'Anlage 3a_Zusammenfassung_KWKG'!$A387)</f>
        <v>0</v>
      </c>
      <c r="H387" s="668">
        <f>_xlfn.IFNA(VLOOKUP(A387,'Anlage 1c_Korrekturen_NB'!$A$626:$D$629,4,FALSE),0)</f>
        <v>0</v>
      </c>
      <c r="I387" s="669">
        <f t="shared" si="18"/>
        <v>0</v>
      </c>
      <c r="J387" s="20" t="s">
        <v>1197</v>
      </c>
    </row>
    <row r="388" spans="1:10" hidden="1" outlineLevel="1">
      <c r="A388" s="374" t="s">
        <v>1198</v>
      </c>
      <c r="B388" s="1698">
        <f>_xlfn.IFNA(VLOOKUP($A388,'Anlage 1a_Zuschlagszahlungen_NB'!A1228:E1461,5,FALSE),0)</f>
        <v>30273.399999999998</v>
      </c>
      <c r="C388" s="667">
        <f>_xlfn.IFNA(VLOOKUP($A388,'Anlage 1b_Abzüge, Pflicht, Boni'!$A$26:$D$49,2,FALSE),0)</f>
        <v>0</v>
      </c>
      <c r="D388" s="667">
        <f>_xlfn.IFNA(VLOOKUP(A388,'Anlage 1b_Abzüge, Pflicht, Boni'!$A$9:$D$67,3,FALSE),0)</f>
        <v>0</v>
      </c>
      <c r="E388" s="667">
        <f>_xlfn.IFNA(VLOOKUP(A388,'Anlage 1b_Abzüge, Pflicht, Boni'!$A$26:$D$47,4,FALSE),0)</f>
        <v>0</v>
      </c>
      <c r="F388" s="88">
        <f t="shared" si="19"/>
        <v>30273.399999999998</v>
      </c>
      <c r="G388" s="88">
        <f>SUMIFS('Anlage 1c_Korrekturen_NB'!$L$105:$L$295,'Anlage 1c_Korrekturen_NB'!$A$105:$A$295,'Anlage 3a_Zusammenfassung_KWKG'!$A388)</f>
        <v>0</v>
      </c>
      <c r="H388" s="668">
        <f>_xlfn.IFNA(VLOOKUP(A388,'Anlage 1c_Korrekturen_NB'!$A$626:$D$629,4,FALSE),0)</f>
        <v>0</v>
      </c>
      <c r="I388" s="669">
        <f t="shared" si="18"/>
        <v>0</v>
      </c>
      <c r="J388" s="20" t="s">
        <v>1199</v>
      </c>
    </row>
    <row r="389" spans="1:10" hidden="1" outlineLevel="1">
      <c r="A389" s="374" t="s">
        <v>1200</v>
      </c>
      <c r="B389" s="1698">
        <f>_xlfn.IFNA(VLOOKUP($A389,'Anlage 1a_Zuschlagszahlungen_NB'!A1229:E1462,5,FALSE),0)</f>
        <v>121969.4</v>
      </c>
      <c r="C389" s="667">
        <f>_xlfn.IFNA(VLOOKUP($A389,'Anlage 1b_Abzüge, Pflicht, Boni'!$A$26:$D$49,2,FALSE),0)</f>
        <v>0</v>
      </c>
      <c r="D389" s="667">
        <f>_xlfn.IFNA(VLOOKUP(A389,'Anlage 1b_Abzüge, Pflicht, Boni'!$A$9:$D$67,3,FALSE),0)</f>
        <v>0</v>
      </c>
      <c r="E389" s="667">
        <f>_xlfn.IFNA(VLOOKUP(A389,'Anlage 1b_Abzüge, Pflicht, Boni'!$A$26:$D$47,4,FALSE),0)</f>
        <v>0</v>
      </c>
      <c r="F389" s="88">
        <f t="shared" si="19"/>
        <v>121969.4</v>
      </c>
      <c r="G389" s="88">
        <f>SUMIFS('Anlage 1c_Korrekturen_NB'!$L$105:$L$295,'Anlage 1c_Korrekturen_NB'!$A$105:$A$295,'Anlage 3a_Zusammenfassung_KWKG'!$A389)</f>
        <v>12794.57</v>
      </c>
      <c r="H389" s="668">
        <f>_xlfn.IFNA(VLOOKUP(A389,'Anlage 1c_Korrekturen_NB'!$A$626:$D$629,4,FALSE),0)</f>
        <v>0</v>
      </c>
      <c r="I389" s="669">
        <f t="shared" si="18"/>
        <v>12794.57</v>
      </c>
      <c r="J389" s="20" t="s">
        <v>1201</v>
      </c>
    </row>
    <row r="390" spans="1:10" hidden="1" outlineLevel="1">
      <c r="A390" s="374" t="s">
        <v>1202</v>
      </c>
      <c r="B390" s="1698">
        <f>_xlfn.IFNA(VLOOKUP($A390,'Anlage 1a_Zuschlagszahlungen_NB'!A1230:E1463,5,FALSE),0)</f>
        <v>18811.46</v>
      </c>
      <c r="C390" s="667">
        <f>_xlfn.IFNA(VLOOKUP($A390,'Anlage 1b_Abzüge, Pflicht, Boni'!$A$26:$D$49,2,FALSE),0)</f>
        <v>0</v>
      </c>
      <c r="D390" s="667">
        <f>_xlfn.IFNA(VLOOKUP(A390,'Anlage 1b_Abzüge, Pflicht, Boni'!$A$9:$D$67,3,FALSE),0)</f>
        <v>0</v>
      </c>
      <c r="E390" s="667">
        <f>_xlfn.IFNA(VLOOKUP(A390,'Anlage 1b_Abzüge, Pflicht, Boni'!$A$26:$D$47,4,FALSE),0)</f>
        <v>0</v>
      </c>
      <c r="F390" s="88">
        <f t="shared" si="19"/>
        <v>18811.46</v>
      </c>
      <c r="G390" s="88">
        <f>SUMIFS('Anlage 1c_Korrekturen_NB'!$L$105:$L$295,'Anlage 1c_Korrekturen_NB'!$A$105:$A$295,'Anlage 3a_Zusammenfassung_KWKG'!$A390)</f>
        <v>0</v>
      </c>
      <c r="H390" s="668">
        <f>_xlfn.IFNA(VLOOKUP(A390,'Anlage 1c_Korrekturen_NB'!$A$626:$D$629,4,FALSE),0)</f>
        <v>0</v>
      </c>
      <c r="I390" s="669">
        <f t="shared" si="18"/>
        <v>0</v>
      </c>
      <c r="J390" s="20" t="s">
        <v>1203</v>
      </c>
    </row>
    <row r="391" spans="1:10" hidden="1" outlineLevel="1">
      <c r="A391" s="374" t="s">
        <v>1202</v>
      </c>
      <c r="B391" s="1698">
        <f>_xlfn.IFNA(VLOOKUP($A391,'Anlage 1a_Zuschlagszahlungen_NB'!A1231:E1464,5,FALSE),0)</f>
        <v>0</v>
      </c>
      <c r="C391" s="667">
        <f>_xlfn.IFNA(VLOOKUP($A391,'Anlage 1b_Abzüge, Pflicht, Boni'!$A$26:$D$49,2,FALSE),0)</f>
        <v>0</v>
      </c>
      <c r="D391" s="667">
        <f>_xlfn.IFNA(VLOOKUP(A391,'Anlage 1b_Abzüge, Pflicht, Boni'!$A$9:$D$67,3,FALSE),0)</f>
        <v>0</v>
      </c>
      <c r="E391" s="667">
        <f>_xlfn.IFNA(VLOOKUP(A391,'Anlage 1b_Abzüge, Pflicht, Boni'!$A$26:$D$47,4,FALSE),0)</f>
        <v>0</v>
      </c>
      <c r="F391" s="88">
        <f t="shared" si="19"/>
        <v>0</v>
      </c>
      <c r="G391" s="88">
        <f>SUMIFS('Anlage 1c_Korrekturen_NB'!$L$105:$L$295,'Anlage 1c_Korrekturen_NB'!$A$105:$A$295,'Anlage 3a_Zusammenfassung_KWKG'!$A391)</f>
        <v>0</v>
      </c>
      <c r="H391" s="668">
        <f>_xlfn.IFNA(VLOOKUP(A391,'Anlage 1c_Korrekturen_NB'!$A$626:$D$629,4,FALSE),0)</f>
        <v>0</v>
      </c>
      <c r="I391" s="669">
        <f t="shared" si="18"/>
        <v>0</v>
      </c>
      <c r="J391" s="20" t="s">
        <v>1203</v>
      </c>
    </row>
    <row r="392" spans="1:10" hidden="1" outlineLevel="1">
      <c r="A392" s="374" t="s">
        <v>1202</v>
      </c>
      <c r="B392" s="1698">
        <f>_xlfn.IFNA(VLOOKUP($A392,'Anlage 1a_Zuschlagszahlungen_NB'!A1232:E1465,5,FALSE),0)</f>
        <v>0</v>
      </c>
      <c r="C392" s="667">
        <f>_xlfn.IFNA(VLOOKUP($A392,'Anlage 1b_Abzüge, Pflicht, Boni'!$A$26:$D$49,2,FALSE),0)</f>
        <v>0</v>
      </c>
      <c r="D392" s="667">
        <f>_xlfn.IFNA(VLOOKUP(A392,'Anlage 1b_Abzüge, Pflicht, Boni'!$A$9:$D$67,3,FALSE),0)</f>
        <v>0</v>
      </c>
      <c r="E392" s="667">
        <f>_xlfn.IFNA(VLOOKUP(A392,'Anlage 1b_Abzüge, Pflicht, Boni'!$A$26:$D$47,4,FALSE),0)</f>
        <v>0</v>
      </c>
      <c r="F392" s="88">
        <f t="shared" si="19"/>
        <v>0</v>
      </c>
      <c r="G392" s="88">
        <f>SUMIFS('Anlage 1c_Korrekturen_NB'!$L$105:$L$295,'Anlage 1c_Korrekturen_NB'!$A$105:$A$295,'Anlage 3a_Zusammenfassung_KWKG'!$A392)</f>
        <v>0</v>
      </c>
      <c r="H392" s="668">
        <f>_xlfn.IFNA(VLOOKUP(A392,'Anlage 1c_Korrekturen_NB'!$A$626:$D$629,4,FALSE),0)</f>
        <v>0</v>
      </c>
      <c r="I392" s="669">
        <f t="shared" si="18"/>
        <v>0</v>
      </c>
      <c r="J392" s="20" t="s">
        <v>1203</v>
      </c>
    </row>
    <row r="393" spans="1:10" hidden="1" outlineLevel="1">
      <c r="A393" s="374" t="s">
        <v>1204</v>
      </c>
      <c r="B393" s="1698">
        <f>_xlfn.IFNA(VLOOKUP($A393,'Anlage 1a_Zuschlagszahlungen_NB'!A1233:E1466,5,FALSE),0)</f>
        <v>26880</v>
      </c>
      <c r="C393" s="667">
        <f>_xlfn.IFNA(VLOOKUP($A393,'Anlage 1b_Abzüge, Pflicht, Boni'!$A$26:$D$49,2,FALSE),0)</f>
        <v>0</v>
      </c>
      <c r="D393" s="667">
        <f>_xlfn.IFNA(VLOOKUP(A393,'Anlage 1b_Abzüge, Pflicht, Boni'!$A$9:$D$67,3,FALSE),0)</f>
        <v>0</v>
      </c>
      <c r="E393" s="667">
        <f>_xlfn.IFNA(VLOOKUP(A393,'Anlage 1b_Abzüge, Pflicht, Boni'!$A$26:$D$47,4,FALSE),0)</f>
        <v>0</v>
      </c>
      <c r="F393" s="88">
        <f t="shared" si="19"/>
        <v>26880</v>
      </c>
      <c r="G393" s="88">
        <f>SUMIFS('Anlage 1c_Korrekturen_NB'!$L$105:$L$295,'Anlage 1c_Korrekturen_NB'!$A$105:$A$295,'Anlage 3a_Zusammenfassung_KWKG'!$A393)</f>
        <v>0</v>
      </c>
      <c r="H393" s="668">
        <f>_xlfn.IFNA(VLOOKUP(A393,'Anlage 1c_Korrekturen_NB'!$A$626:$D$629,4,FALSE),0)</f>
        <v>0</v>
      </c>
      <c r="I393" s="669">
        <f t="shared" si="18"/>
        <v>0</v>
      </c>
      <c r="J393" s="20" t="s">
        <v>1205</v>
      </c>
    </row>
    <row r="394" spans="1:10" hidden="1" outlineLevel="1">
      <c r="A394" s="374" t="s">
        <v>1206</v>
      </c>
      <c r="B394" s="1698">
        <f>_xlfn.IFNA(VLOOKUP($A394,'Anlage 1a_Zuschlagszahlungen_NB'!A1234:E1467,5,FALSE),0)</f>
        <v>53127.01</v>
      </c>
      <c r="C394" s="667">
        <f>_xlfn.IFNA(VLOOKUP($A394,'Anlage 1b_Abzüge, Pflicht, Boni'!$A$26:$D$49,2,FALSE),0)</f>
        <v>0</v>
      </c>
      <c r="D394" s="667">
        <f>_xlfn.IFNA(VLOOKUP(A394,'Anlage 1b_Abzüge, Pflicht, Boni'!$A$9:$D$67,3,FALSE),0)</f>
        <v>0</v>
      </c>
      <c r="E394" s="667">
        <f>_xlfn.IFNA(VLOOKUP(A394,'Anlage 1b_Abzüge, Pflicht, Boni'!$A$26:$D$47,4,FALSE),0)</f>
        <v>0</v>
      </c>
      <c r="F394" s="88">
        <f t="shared" si="19"/>
        <v>53127.01</v>
      </c>
      <c r="G394" s="88">
        <f>SUMIFS('Anlage 1c_Korrekturen_NB'!$L$105:$L$295,'Anlage 1c_Korrekturen_NB'!$A$105:$A$295,'Anlage 3a_Zusammenfassung_KWKG'!$A394)</f>
        <v>13795.329999999998</v>
      </c>
      <c r="H394" s="668">
        <f>_xlfn.IFNA(VLOOKUP(A394,'Anlage 1c_Korrekturen_NB'!$A$626:$D$629,4,FALSE),0)</f>
        <v>0</v>
      </c>
      <c r="I394" s="669">
        <f t="shared" si="18"/>
        <v>13795.329999999998</v>
      </c>
      <c r="J394" s="20" t="s">
        <v>1207</v>
      </c>
    </row>
    <row r="395" spans="1:10" hidden="1" outlineLevel="1">
      <c r="A395" s="374" t="s">
        <v>1208</v>
      </c>
      <c r="B395" s="1698">
        <f>_xlfn.IFNA(VLOOKUP($A395,'Anlage 1a_Zuschlagszahlungen_NB'!A1235:E1468,5,FALSE),0)</f>
        <v>7048.64</v>
      </c>
      <c r="C395" s="667">
        <f>_xlfn.IFNA(VLOOKUP($A395,'Anlage 1b_Abzüge, Pflicht, Boni'!$A$26:$D$49,2,FALSE),0)</f>
        <v>0</v>
      </c>
      <c r="D395" s="667">
        <f>_xlfn.IFNA(VLOOKUP(A395,'Anlage 1b_Abzüge, Pflicht, Boni'!$A$9:$D$67,3,FALSE),0)</f>
        <v>0</v>
      </c>
      <c r="E395" s="667">
        <f>_xlfn.IFNA(VLOOKUP(A395,'Anlage 1b_Abzüge, Pflicht, Boni'!$A$26:$D$47,4,FALSE),0)</f>
        <v>0</v>
      </c>
      <c r="F395" s="88">
        <f t="shared" si="19"/>
        <v>7048.64</v>
      </c>
      <c r="G395" s="88">
        <f>SUMIFS('Anlage 1c_Korrekturen_NB'!$L$105:$L$295,'Anlage 1c_Korrekturen_NB'!$A$105:$A$295,'Anlage 3a_Zusammenfassung_KWKG'!$A395)</f>
        <v>0</v>
      </c>
      <c r="H395" s="668">
        <f>_xlfn.IFNA(VLOOKUP(A395,'Anlage 1c_Korrekturen_NB'!$A$626:$D$629,4,FALSE),0)</f>
        <v>0</v>
      </c>
      <c r="I395" s="669">
        <f t="shared" si="18"/>
        <v>0</v>
      </c>
      <c r="J395" s="20" t="s">
        <v>1209</v>
      </c>
    </row>
    <row r="396" spans="1:10" hidden="1" outlineLevel="1">
      <c r="A396" s="374" t="s">
        <v>1210</v>
      </c>
      <c r="B396" s="1698">
        <f>_xlfn.IFNA(VLOOKUP($A396,'Anlage 1a_Zuschlagszahlungen_NB'!A1236:E1469,5,FALSE),0)</f>
        <v>2619691.94</v>
      </c>
      <c r="C396" s="667">
        <f>_xlfn.IFNA(VLOOKUP($A396,'Anlage 1b_Abzüge, Pflicht, Boni'!$A$26:$D$49,2,FALSE),0)</f>
        <v>0</v>
      </c>
      <c r="D396" s="667">
        <f>_xlfn.IFNA(VLOOKUP(A396,'Anlage 1b_Abzüge, Pflicht, Boni'!$A$9:$D$67,3,FALSE),0)</f>
        <v>0</v>
      </c>
      <c r="E396" s="667">
        <f>_xlfn.IFNA(VLOOKUP(A396,'Anlage 1b_Abzüge, Pflicht, Boni'!$A$26:$D$47,4,FALSE),0)</f>
        <v>0</v>
      </c>
      <c r="F396" s="88">
        <f t="shared" si="19"/>
        <v>2619691.94</v>
      </c>
      <c r="G396" s="88">
        <f>SUMIFS('Anlage 1c_Korrekturen_NB'!$L$105:$L$295,'Anlage 1c_Korrekturen_NB'!$A$105:$A$295,'Anlage 3a_Zusammenfassung_KWKG'!$A396)</f>
        <v>0</v>
      </c>
      <c r="H396" s="668">
        <f>_xlfn.IFNA(VLOOKUP(A396,'Anlage 1c_Korrekturen_NB'!$A$626:$D$629,4,FALSE),0)</f>
        <v>0</v>
      </c>
      <c r="I396" s="669">
        <f t="shared" si="18"/>
        <v>0</v>
      </c>
      <c r="J396" s="20" t="s">
        <v>1211</v>
      </c>
    </row>
    <row r="397" spans="1:10" hidden="1" outlineLevel="1">
      <c r="A397" s="374" t="s">
        <v>1212</v>
      </c>
      <c r="B397" s="1698">
        <f>_xlfn.IFNA(VLOOKUP($A397,'Anlage 1a_Zuschlagszahlungen_NB'!A1237:E1470,5,FALSE),0)</f>
        <v>134522.49000000002</v>
      </c>
      <c r="C397" s="667">
        <f>_xlfn.IFNA(VLOOKUP($A397,'Anlage 1b_Abzüge, Pflicht, Boni'!$A$26:$D$49,2,FALSE),0)</f>
        <v>0</v>
      </c>
      <c r="D397" s="667">
        <f>_xlfn.IFNA(VLOOKUP(A397,'Anlage 1b_Abzüge, Pflicht, Boni'!$A$9:$D$67,3,FALSE),0)</f>
        <v>0</v>
      </c>
      <c r="E397" s="667">
        <f>_xlfn.IFNA(VLOOKUP(A397,'Anlage 1b_Abzüge, Pflicht, Boni'!$A$26:$D$47,4,FALSE),0)</f>
        <v>0</v>
      </c>
      <c r="F397" s="88">
        <f t="shared" si="19"/>
        <v>134522.49000000002</v>
      </c>
      <c r="G397" s="88">
        <f>SUMIFS('Anlage 1c_Korrekturen_NB'!$L$105:$L$295,'Anlage 1c_Korrekturen_NB'!$A$105:$A$295,'Anlage 3a_Zusammenfassung_KWKG'!$A397)</f>
        <v>0</v>
      </c>
      <c r="H397" s="668">
        <f>_xlfn.IFNA(VLOOKUP(A397,'Anlage 1c_Korrekturen_NB'!$A$626:$D$629,4,FALSE),0)</f>
        <v>0</v>
      </c>
      <c r="I397" s="669">
        <f t="shared" si="18"/>
        <v>0</v>
      </c>
      <c r="J397" s="20" t="s">
        <v>1213</v>
      </c>
    </row>
    <row r="398" spans="1:10" hidden="1" outlineLevel="1">
      <c r="A398" s="374" t="s">
        <v>1214</v>
      </c>
      <c r="B398" s="1698">
        <f>_xlfn.IFNA(VLOOKUP($A398,'Anlage 1a_Zuschlagszahlungen_NB'!A1238:E1471,5,FALSE),0)</f>
        <v>4509630.3899999997</v>
      </c>
      <c r="C398" s="667">
        <f>_xlfn.IFNA(VLOOKUP($A398,'Anlage 1b_Abzüge, Pflicht, Boni'!$A$26:$D$49,2,FALSE),0)</f>
        <v>0</v>
      </c>
      <c r="D398" s="667">
        <f>_xlfn.IFNA(VLOOKUP(A398,'Anlage 1b_Abzüge, Pflicht, Boni'!$A$9:$D$67,3,FALSE),0)</f>
        <v>0</v>
      </c>
      <c r="E398" s="667">
        <f>_xlfn.IFNA(VLOOKUP(A398,'Anlage 1b_Abzüge, Pflicht, Boni'!$A$26:$D$47,4,FALSE),0)</f>
        <v>0</v>
      </c>
      <c r="F398" s="88">
        <f t="shared" si="19"/>
        <v>4509630.3899999997</v>
      </c>
      <c r="G398" s="88">
        <f>SUMIFS('Anlage 1c_Korrekturen_NB'!$L$105:$L$295,'Anlage 1c_Korrekturen_NB'!$A$105:$A$295,'Anlage 3a_Zusammenfassung_KWKG'!$A398)</f>
        <v>0</v>
      </c>
      <c r="H398" s="668">
        <f>_xlfn.IFNA(VLOOKUP(A398,'Anlage 1c_Korrekturen_NB'!$A$626:$D$629,4,FALSE),0)</f>
        <v>0</v>
      </c>
      <c r="I398" s="669">
        <f t="shared" si="18"/>
        <v>0</v>
      </c>
      <c r="J398" s="20" t="s">
        <v>1215</v>
      </c>
    </row>
    <row r="399" spans="1:10" hidden="1" outlineLevel="1">
      <c r="A399" s="374" t="s">
        <v>768</v>
      </c>
      <c r="B399" s="1698">
        <f>_xlfn.IFNA(VLOOKUP($A399,'Anlage 1a_Zuschlagszahlungen_NB'!A1239:E1472,5,FALSE),0)</f>
        <v>30259.89</v>
      </c>
      <c r="C399" s="667">
        <f>_xlfn.IFNA(VLOOKUP($A399,'Anlage 1b_Abzüge, Pflicht, Boni'!$A$26:$D$49,2,FALSE),0)</f>
        <v>0</v>
      </c>
      <c r="D399" s="667">
        <f>_xlfn.IFNA(VLOOKUP(A399,'Anlage 1b_Abzüge, Pflicht, Boni'!$A$9:$D$67,3,FALSE),0)</f>
        <v>0</v>
      </c>
      <c r="E399" s="667">
        <f>_xlfn.IFNA(VLOOKUP(A399,'Anlage 1b_Abzüge, Pflicht, Boni'!$A$26:$D$47,4,FALSE),0)</f>
        <v>0</v>
      </c>
      <c r="F399" s="88">
        <f t="shared" si="19"/>
        <v>30259.89</v>
      </c>
      <c r="G399" s="88">
        <f>SUMIFS('Anlage 1c_Korrekturen_NB'!$L$105:$L$295,'Anlage 1c_Korrekturen_NB'!$A$105:$A$295,'Anlage 3a_Zusammenfassung_KWKG'!$A399)</f>
        <v>0</v>
      </c>
      <c r="H399" s="668">
        <f>_xlfn.IFNA(VLOOKUP(A399,'Anlage 1c_Korrekturen_NB'!$A$626:$D$629,4,FALSE),0)</f>
        <v>0</v>
      </c>
      <c r="I399" s="669">
        <f t="shared" si="18"/>
        <v>0</v>
      </c>
      <c r="J399" s="20" t="s">
        <v>769</v>
      </c>
    </row>
    <row r="400" spans="1:10" hidden="1" outlineLevel="1">
      <c r="A400" s="374" t="s">
        <v>1216</v>
      </c>
      <c r="B400" s="1698">
        <f>_xlfn.IFNA(VLOOKUP($A400,'Anlage 1a_Zuschlagszahlungen_NB'!A1240:E1473,5,FALSE),0)</f>
        <v>14775.44</v>
      </c>
      <c r="C400" s="667">
        <f>_xlfn.IFNA(VLOOKUP($A400,'Anlage 1b_Abzüge, Pflicht, Boni'!$A$26:$D$49,2,FALSE),0)</f>
        <v>0</v>
      </c>
      <c r="D400" s="667">
        <f>_xlfn.IFNA(VLOOKUP(A400,'Anlage 1b_Abzüge, Pflicht, Boni'!$A$9:$D$67,3,FALSE),0)</f>
        <v>0</v>
      </c>
      <c r="E400" s="667">
        <f>_xlfn.IFNA(VLOOKUP(A400,'Anlage 1b_Abzüge, Pflicht, Boni'!$A$26:$D$47,4,FALSE),0)</f>
        <v>0</v>
      </c>
      <c r="F400" s="88">
        <f t="shared" si="19"/>
        <v>14775.44</v>
      </c>
      <c r="G400" s="88">
        <f>SUMIFS('Anlage 1c_Korrekturen_NB'!$L$105:$L$295,'Anlage 1c_Korrekturen_NB'!$A$105:$A$295,'Anlage 3a_Zusammenfassung_KWKG'!$A400)</f>
        <v>54124.31</v>
      </c>
      <c r="H400" s="668">
        <f>_xlfn.IFNA(VLOOKUP(A400,'Anlage 1c_Korrekturen_NB'!$A$626:$D$629,4,FALSE),0)</f>
        <v>0</v>
      </c>
      <c r="I400" s="669">
        <f t="shared" si="18"/>
        <v>54124.31</v>
      </c>
      <c r="J400" s="20" t="s">
        <v>1217</v>
      </c>
    </row>
    <row r="401" spans="1:10" hidden="1" outlineLevel="1">
      <c r="A401" s="374" t="s">
        <v>1218</v>
      </c>
      <c r="B401" s="1698">
        <f>_xlfn.IFNA(VLOOKUP($A401,'Anlage 1a_Zuschlagszahlungen_NB'!A1241:E1474,5,FALSE),0)</f>
        <v>49614.01</v>
      </c>
      <c r="C401" s="667">
        <f>_xlfn.IFNA(VLOOKUP($A401,'Anlage 1b_Abzüge, Pflicht, Boni'!$A$26:$D$49,2,FALSE),0)</f>
        <v>0</v>
      </c>
      <c r="D401" s="667">
        <f>_xlfn.IFNA(VLOOKUP(A401,'Anlage 1b_Abzüge, Pflicht, Boni'!$A$9:$D$67,3,FALSE),0)</f>
        <v>0</v>
      </c>
      <c r="E401" s="667">
        <f>_xlfn.IFNA(VLOOKUP(A401,'Anlage 1b_Abzüge, Pflicht, Boni'!$A$26:$D$47,4,FALSE),0)</f>
        <v>0</v>
      </c>
      <c r="F401" s="88">
        <f t="shared" si="19"/>
        <v>49614.01</v>
      </c>
      <c r="G401" s="88">
        <f>SUMIFS('Anlage 1c_Korrekturen_NB'!$L$105:$L$295,'Anlage 1c_Korrekturen_NB'!$A$105:$A$295,'Anlage 3a_Zusammenfassung_KWKG'!$A401)</f>
        <v>49782.170000000006</v>
      </c>
      <c r="H401" s="668">
        <f>_xlfn.IFNA(VLOOKUP(A401,'Anlage 1c_Korrekturen_NB'!$A$626:$D$629,4,FALSE),0)</f>
        <v>0</v>
      </c>
      <c r="I401" s="669">
        <f t="shared" si="18"/>
        <v>49782.170000000006</v>
      </c>
      <c r="J401" s="20" t="s">
        <v>1219</v>
      </c>
    </row>
    <row r="402" spans="1:10" hidden="1" outlineLevel="1">
      <c r="A402" s="374" t="s">
        <v>2074</v>
      </c>
      <c r="B402" s="1698">
        <f>_xlfn.IFNA(VLOOKUP($A402,'Anlage 1a_Zuschlagszahlungen_NB'!A1242:E1475,5,FALSE),0)</f>
        <v>0</v>
      </c>
      <c r="C402" s="667">
        <f>_xlfn.IFNA(VLOOKUP($A402,'Anlage 1b_Abzüge, Pflicht, Boni'!$A$26:$D$49,2,FALSE),0)</f>
        <v>0</v>
      </c>
      <c r="D402" s="667">
        <f>_xlfn.IFNA(VLOOKUP(A402,'Anlage 1b_Abzüge, Pflicht, Boni'!$A$9:$D$67,3,FALSE),0)</f>
        <v>0</v>
      </c>
      <c r="E402" s="667">
        <f>_xlfn.IFNA(VLOOKUP(A402,'Anlage 1b_Abzüge, Pflicht, Boni'!$A$26:$D$47,4,FALSE),0)</f>
        <v>0</v>
      </c>
      <c r="F402" s="88">
        <f t="shared" ref="F402" si="21">SUM(B402:E402)</f>
        <v>0</v>
      </c>
      <c r="G402" s="88">
        <f>SUMIFS('Anlage 1c_Korrekturen_NB'!$L$105:$L$295,'Anlage 1c_Korrekturen_NB'!$A$105:$A$295,'Anlage 3a_Zusammenfassung_KWKG'!$A402)</f>
        <v>-0.48</v>
      </c>
      <c r="H402" s="668">
        <f>_xlfn.IFNA(VLOOKUP(A402,'Anlage 1c_Korrekturen_NB'!$A$626:$D$629,4,FALSE),0)</f>
        <v>0</v>
      </c>
      <c r="I402" s="669">
        <f t="shared" si="18"/>
        <v>-0.48</v>
      </c>
      <c r="J402" s="20" t="s">
        <v>2075</v>
      </c>
    </row>
    <row r="403" spans="1:10" collapsed="1">
      <c r="A403" s="374" t="s">
        <v>1220</v>
      </c>
      <c r="B403" s="491">
        <f>SUM(B404:B740)</f>
        <v>284681691.28000021</v>
      </c>
      <c r="C403" s="667">
        <f>SUM(C404:C740)</f>
        <v>-145370.97000000003</v>
      </c>
      <c r="D403" s="667">
        <f>SUM(D404:D740)</f>
        <v>7275.2000000000007</v>
      </c>
      <c r="E403" s="667">
        <f>SUM(E404:E740)</f>
        <v>34875927.68</v>
      </c>
      <c r="F403" s="87">
        <f t="shared" ref="F403:G403" si="22">SUM(F404:F740)</f>
        <v>319419523.19000024</v>
      </c>
      <c r="G403" s="87">
        <f t="shared" si="22"/>
        <v>23116475.010000002</v>
      </c>
      <c r="H403" s="135">
        <f>SUM(H404:H740)</f>
        <v>-107458.72</v>
      </c>
      <c r="I403" s="669">
        <f>F403+G403+H403</f>
        <v>342428539.4800002</v>
      </c>
      <c r="J403" s="20"/>
    </row>
    <row r="404" spans="1:10" hidden="1" outlineLevel="1">
      <c r="A404" s="374" t="s">
        <v>779</v>
      </c>
      <c r="B404" s="492">
        <v>13457.46</v>
      </c>
      <c r="C404" s="406">
        <v>0</v>
      </c>
      <c r="D404" s="406">
        <v>0</v>
      </c>
      <c r="E404" s="406">
        <v>0</v>
      </c>
      <c r="F404" s="87">
        <f>SUM(B404:E404)</f>
        <v>13457.46</v>
      </c>
      <c r="G404" s="88">
        <v>0</v>
      </c>
      <c r="H404" s="134">
        <v>0</v>
      </c>
      <c r="I404" s="669">
        <f>G404+H404</f>
        <v>0</v>
      </c>
      <c r="J404" t="s">
        <v>1231</v>
      </c>
    </row>
    <row r="405" spans="1:10" hidden="1" outlineLevel="1">
      <c r="A405" s="374" t="s">
        <v>758</v>
      </c>
      <c r="B405" s="492">
        <v>2500431.67</v>
      </c>
      <c r="C405" s="406">
        <v>0</v>
      </c>
      <c r="D405" s="406">
        <v>-2460</v>
      </c>
      <c r="E405" s="406">
        <v>0</v>
      </c>
      <c r="F405" s="87">
        <f t="shared" ref="F405:F469" si="23">SUM(B405:E405)</f>
        <v>2497971.67</v>
      </c>
      <c r="G405" s="88">
        <v>221091.76</v>
      </c>
      <c r="H405" s="134">
        <v>0</v>
      </c>
      <c r="I405" s="669">
        <f t="shared" ref="I405:I469" si="24">G405+H405</f>
        <v>221091.76</v>
      </c>
      <c r="J405" t="s">
        <v>759</v>
      </c>
    </row>
    <row r="406" spans="1:10" hidden="1" outlineLevel="1">
      <c r="A406" s="374" t="s">
        <v>1594</v>
      </c>
      <c r="B406" s="492">
        <v>2268.2199999999998</v>
      </c>
      <c r="C406" s="406">
        <v>0</v>
      </c>
      <c r="D406" s="406">
        <v>0</v>
      </c>
      <c r="E406" s="406">
        <v>0</v>
      </c>
      <c r="F406" s="87">
        <f t="shared" si="23"/>
        <v>2268.2199999999998</v>
      </c>
      <c r="G406" s="88">
        <v>0</v>
      </c>
      <c r="H406" s="134">
        <v>0</v>
      </c>
      <c r="I406" s="669">
        <f t="shared" si="24"/>
        <v>0</v>
      </c>
      <c r="J406" t="s">
        <v>1595</v>
      </c>
    </row>
    <row r="407" spans="1:10" hidden="1" outlineLevel="1">
      <c r="A407" s="374" t="s">
        <v>1430</v>
      </c>
      <c r="B407" s="492">
        <v>17642167.780000001</v>
      </c>
      <c r="C407" s="406">
        <v>-3242.94</v>
      </c>
      <c r="D407" s="406">
        <v>-3884.8</v>
      </c>
      <c r="E407" s="406">
        <v>0</v>
      </c>
      <c r="F407" s="87">
        <f t="shared" si="23"/>
        <v>17635040.039999999</v>
      </c>
      <c r="G407" s="88">
        <v>1424413.01</v>
      </c>
      <c r="H407" s="134">
        <v>0</v>
      </c>
      <c r="I407" s="669">
        <f t="shared" si="24"/>
        <v>1424413.01</v>
      </c>
      <c r="J407" t="s">
        <v>1431</v>
      </c>
    </row>
    <row r="408" spans="1:10" hidden="1" outlineLevel="1">
      <c r="A408" s="374" t="s">
        <v>1295</v>
      </c>
      <c r="B408" s="492">
        <v>346691.68</v>
      </c>
      <c r="C408" s="406">
        <v>0</v>
      </c>
      <c r="D408" s="406">
        <v>0</v>
      </c>
      <c r="E408" s="406">
        <v>0</v>
      </c>
      <c r="F408" s="87">
        <f t="shared" si="23"/>
        <v>346691.68</v>
      </c>
      <c r="G408" s="88">
        <v>0</v>
      </c>
      <c r="H408" s="134">
        <v>0</v>
      </c>
      <c r="I408" s="669">
        <f t="shared" si="24"/>
        <v>0</v>
      </c>
      <c r="J408" t="s">
        <v>1296</v>
      </c>
    </row>
    <row r="409" spans="1:10" hidden="1" outlineLevel="1">
      <c r="A409" s="374" t="s">
        <v>1223</v>
      </c>
      <c r="B409" s="492">
        <v>48933.85</v>
      </c>
      <c r="C409" s="406">
        <v>0</v>
      </c>
      <c r="D409" s="406">
        <v>0</v>
      </c>
      <c r="E409" s="406">
        <v>0</v>
      </c>
      <c r="F409" s="87">
        <f t="shared" si="23"/>
        <v>48933.85</v>
      </c>
      <c r="G409" s="88">
        <v>-22589.279999999999</v>
      </c>
      <c r="H409" s="134">
        <v>0</v>
      </c>
      <c r="I409" s="669">
        <f t="shared" si="24"/>
        <v>-22589.279999999999</v>
      </c>
      <c r="J409" t="s">
        <v>1224</v>
      </c>
    </row>
    <row r="410" spans="1:10" hidden="1" outlineLevel="1">
      <c r="A410" s="374" t="s">
        <v>1344</v>
      </c>
      <c r="B410" s="492">
        <v>19118211.41</v>
      </c>
      <c r="C410" s="406">
        <v>-1495.19</v>
      </c>
      <c r="D410" s="406">
        <v>0</v>
      </c>
      <c r="E410" s="406">
        <v>0</v>
      </c>
      <c r="F410" s="87">
        <f t="shared" si="23"/>
        <v>19116716.219999999</v>
      </c>
      <c r="G410" s="88">
        <v>13296355.359999999</v>
      </c>
      <c r="H410" s="134">
        <v>0</v>
      </c>
      <c r="I410" s="669">
        <f t="shared" si="24"/>
        <v>13296355.359999999</v>
      </c>
      <c r="J410" t="s">
        <v>1345</v>
      </c>
    </row>
    <row r="411" spans="1:10" hidden="1" outlineLevel="1">
      <c r="A411" s="374" t="s">
        <v>1352</v>
      </c>
      <c r="B411" s="492">
        <v>90225.72</v>
      </c>
      <c r="C411" s="406">
        <v>0</v>
      </c>
      <c r="D411" s="406">
        <v>0</v>
      </c>
      <c r="E411" s="406">
        <v>0</v>
      </c>
      <c r="F411" s="87">
        <f t="shared" si="23"/>
        <v>90225.72</v>
      </c>
      <c r="G411" s="88">
        <v>0</v>
      </c>
      <c r="H411" s="134">
        <v>0</v>
      </c>
      <c r="I411" s="669">
        <f t="shared" si="24"/>
        <v>0</v>
      </c>
      <c r="J411" t="s">
        <v>1353</v>
      </c>
    </row>
    <row r="412" spans="1:10" hidden="1" outlineLevel="1">
      <c r="A412" s="374" t="s">
        <v>1671</v>
      </c>
      <c r="B412" s="492">
        <v>91003.58</v>
      </c>
      <c r="C412" s="406">
        <v>0</v>
      </c>
      <c r="D412" s="406">
        <v>0</v>
      </c>
      <c r="E412" s="406">
        <v>0</v>
      </c>
      <c r="F412" s="87">
        <f t="shared" si="23"/>
        <v>91003.58</v>
      </c>
      <c r="G412" s="88">
        <v>37038.49</v>
      </c>
      <c r="H412" s="134">
        <v>0</v>
      </c>
      <c r="I412" s="669">
        <f t="shared" si="24"/>
        <v>37038.49</v>
      </c>
      <c r="J412" t="s">
        <v>1672</v>
      </c>
    </row>
    <row r="413" spans="1:10" hidden="1" outlineLevel="1">
      <c r="A413" s="374" t="s">
        <v>1538</v>
      </c>
      <c r="B413" s="492">
        <v>282730.08999999997</v>
      </c>
      <c r="C413" s="406">
        <v>-222.32</v>
      </c>
      <c r="D413" s="406">
        <v>0</v>
      </c>
      <c r="E413" s="406">
        <v>0</v>
      </c>
      <c r="F413" s="87">
        <f t="shared" si="23"/>
        <v>282507.76999999996</v>
      </c>
      <c r="G413" s="88">
        <v>0</v>
      </c>
      <c r="H413" s="134">
        <v>0</v>
      </c>
      <c r="I413" s="669">
        <f t="shared" si="24"/>
        <v>0</v>
      </c>
      <c r="J413" t="s">
        <v>1539</v>
      </c>
    </row>
    <row r="414" spans="1:10" hidden="1" outlineLevel="1">
      <c r="A414" s="374" t="s">
        <v>1279</v>
      </c>
      <c r="B414" s="492">
        <v>6625.4400000000005</v>
      </c>
      <c r="C414" s="406">
        <v>0</v>
      </c>
      <c r="D414" s="406">
        <v>0</v>
      </c>
      <c r="E414" s="406">
        <v>0</v>
      </c>
      <c r="F414" s="87">
        <f t="shared" si="23"/>
        <v>6625.4400000000005</v>
      </c>
      <c r="G414" s="88">
        <v>0</v>
      </c>
      <c r="H414" s="134">
        <v>0</v>
      </c>
      <c r="I414" s="669">
        <f t="shared" si="24"/>
        <v>0</v>
      </c>
      <c r="J414" t="s">
        <v>1280</v>
      </c>
    </row>
    <row r="415" spans="1:10" hidden="1" outlineLevel="1">
      <c r="A415" s="374" t="s">
        <v>1090</v>
      </c>
      <c r="B415" s="492">
        <v>1013752.33</v>
      </c>
      <c r="C415" s="406">
        <v>-410.41</v>
      </c>
      <c r="D415" s="406">
        <v>0</v>
      </c>
      <c r="E415" s="406">
        <v>0</v>
      </c>
      <c r="F415" s="87">
        <f t="shared" si="23"/>
        <v>1013341.9199999999</v>
      </c>
      <c r="G415" s="88">
        <v>153753.4</v>
      </c>
      <c r="H415" s="134">
        <v>0</v>
      </c>
      <c r="I415" s="669">
        <f t="shared" si="24"/>
        <v>153753.4</v>
      </c>
      <c r="J415" t="s">
        <v>1091</v>
      </c>
    </row>
    <row r="416" spans="1:10" hidden="1" outlineLevel="1">
      <c r="A416" s="374" t="s">
        <v>1470</v>
      </c>
      <c r="B416" s="492">
        <v>58906.99</v>
      </c>
      <c r="C416" s="406">
        <v>0</v>
      </c>
      <c r="D416" s="406">
        <v>0</v>
      </c>
      <c r="E416" s="406">
        <v>0</v>
      </c>
      <c r="F416" s="87">
        <f t="shared" si="23"/>
        <v>58906.99</v>
      </c>
      <c r="G416" s="88">
        <v>0</v>
      </c>
      <c r="H416" s="134">
        <v>0</v>
      </c>
      <c r="I416" s="669">
        <f t="shared" si="24"/>
        <v>0</v>
      </c>
      <c r="J416" t="s">
        <v>1471</v>
      </c>
    </row>
    <row r="417" spans="1:10" hidden="1" outlineLevel="1">
      <c r="A417" s="374" t="s">
        <v>1696</v>
      </c>
      <c r="B417" s="492">
        <v>4265.92</v>
      </c>
      <c r="C417" s="406">
        <v>0</v>
      </c>
      <c r="D417" s="406">
        <v>0</v>
      </c>
      <c r="E417" s="406">
        <v>0</v>
      </c>
      <c r="F417" s="87">
        <f t="shared" si="23"/>
        <v>4265.92</v>
      </c>
      <c r="G417" s="88">
        <v>0</v>
      </c>
      <c r="H417" s="134">
        <v>0</v>
      </c>
      <c r="I417" s="669">
        <f t="shared" si="24"/>
        <v>0</v>
      </c>
      <c r="J417" t="s">
        <v>1697</v>
      </c>
    </row>
    <row r="418" spans="1:10" hidden="1" outlineLevel="1">
      <c r="A418" s="374" t="s">
        <v>2218</v>
      </c>
      <c r="B418" s="492">
        <v>0</v>
      </c>
      <c r="C418" s="406">
        <v>0</v>
      </c>
      <c r="D418" s="406">
        <v>0</v>
      </c>
      <c r="E418" s="406">
        <v>0</v>
      </c>
      <c r="F418" s="87">
        <f t="shared" si="23"/>
        <v>0</v>
      </c>
      <c r="G418" s="88">
        <v>0</v>
      </c>
      <c r="H418" s="134">
        <v>0</v>
      </c>
      <c r="I418" s="669">
        <f t="shared" si="24"/>
        <v>0</v>
      </c>
      <c r="J418" t="s">
        <v>2219</v>
      </c>
    </row>
    <row r="419" spans="1:10" hidden="1" outlineLevel="1">
      <c r="A419" s="374" t="s">
        <v>1400</v>
      </c>
      <c r="B419" s="492">
        <v>11596.179999999998</v>
      </c>
      <c r="C419" s="406">
        <v>0</v>
      </c>
      <c r="D419" s="406">
        <v>0</v>
      </c>
      <c r="E419" s="406">
        <v>0</v>
      </c>
      <c r="F419" s="87">
        <f t="shared" si="23"/>
        <v>11596.179999999998</v>
      </c>
      <c r="G419" s="88">
        <v>0</v>
      </c>
      <c r="H419" s="134">
        <v>0</v>
      </c>
      <c r="I419" s="669">
        <f t="shared" si="24"/>
        <v>0</v>
      </c>
      <c r="J419" t="s">
        <v>1401</v>
      </c>
    </row>
    <row r="420" spans="1:10" hidden="1" outlineLevel="1">
      <c r="A420" s="374" t="s">
        <v>1790</v>
      </c>
      <c r="B420" s="492">
        <v>20305.009999999998</v>
      </c>
      <c r="C420" s="406">
        <v>0</v>
      </c>
      <c r="D420" s="406">
        <v>0</v>
      </c>
      <c r="E420" s="406">
        <v>0</v>
      </c>
      <c r="F420" s="87">
        <f t="shared" si="23"/>
        <v>20305.009999999998</v>
      </c>
      <c r="G420" s="88">
        <v>0</v>
      </c>
      <c r="H420" s="134">
        <v>0</v>
      </c>
      <c r="I420" s="669">
        <f t="shared" si="24"/>
        <v>0</v>
      </c>
      <c r="J420" t="s">
        <v>1791</v>
      </c>
    </row>
    <row r="421" spans="1:10" hidden="1" outlineLevel="1">
      <c r="A421" s="374" t="s">
        <v>1372</v>
      </c>
      <c r="B421" s="492">
        <v>13292.86</v>
      </c>
      <c r="C421" s="406">
        <v>0</v>
      </c>
      <c r="D421" s="406">
        <v>0</v>
      </c>
      <c r="E421" s="406">
        <v>0</v>
      </c>
      <c r="F421" s="87">
        <f t="shared" si="23"/>
        <v>13292.86</v>
      </c>
      <c r="G421" s="88">
        <v>0</v>
      </c>
      <c r="H421" s="134">
        <v>0</v>
      </c>
      <c r="I421" s="669">
        <f t="shared" si="24"/>
        <v>0</v>
      </c>
      <c r="J421" t="s">
        <v>1373</v>
      </c>
    </row>
    <row r="422" spans="1:10" hidden="1" outlineLevel="1">
      <c r="A422" s="374" t="s">
        <v>1378</v>
      </c>
      <c r="B422" s="492">
        <v>9244</v>
      </c>
      <c r="C422" s="406">
        <v>0</v>
      </c>
      <c r="D422" s="406">
        <v>0</v>
      </c>
      <c r="E422" s="406">
        <v>0</v>
      </c>
      <c r="F422" s="87">
        <f t="shared" si="23"/>
        <v>9244</v>
      </c>
      <c r="G422" s="88">
        <v>0</v>
      </c>
      <c r="H422" s="134">
        <v>0</v>
      </c>
      <c r="I422" s="669">
        <f t="shared" si="24"/>
        <v>0</v>
      </c>
      <c r="J422" t="s">
        <v>1379</v>
      </c>
    </row>
    <row r="423" spans="1:10" hidden="1" outlineLevel="1">
      <c r="A423" s="374" t="s">
        <v>1275</v>
      </c>
      <c r="B423" s="492">
        <v>1149.44</v>
      </c>
      <c r="C423" s="406">
        <v>0</v>
      </c>
      <c r="D423" s="406">
        <v>0</v>
      </c>
      <c r="E423" s="406">
        <v>0</v>
      </c>
      <c r="F423" s="87">
        <f t="shared" si="23"/>
        <v>1149.44</v>
      </c>
      <c r="G423" s="88">
        <v>0</v>
      </c>
      <c r="H423" s="134">
        <v>0</v>
      </c>
      <c r="I423" s="669">
        <f t="shared" si="24"/>
        <v>0</v>
      </c>
      <c r="J423" t="s">
        <v>1276</v>
      </c>
    </row>
    <row r="424" spans="1:10" hidden="1" outlineLevel="1">
      <c r="A424" s="374" t="s">
        <v>1622</v>
      </c>
      <c r="B424" s="492">
        <v>63851.76</v>
      </c>
      <c r="C424" s="406">
        <v>0</v>
      </c>
      <c r="D424" s="406">
        <v>0</v>
      </c>
      <c r="E424" s="406">
        <v>0</v>
      </c>
      <c r="F424" s="87">
        <f t="shared" si="23"/>
        <v>63851.76</v>
      </c>
      <c r="G424" s="88">
        <v>0</v>
      </c>
      <c r="H424" s="134">
        <v>0</v>
      </c>
      <c r="I424" s="669">
        <f t="shared" si="24"/>
        <v>0</v>
      </c>
      <c r="J424" t="s">
        <v>1623</v>
      </c>
    </row>
    <row r="425" spans="1:10" hidden="1" outlineLevel="1">
      <c r="A425" s="374" t="s">
        <v>2210</v>
      </c>
      <c r="B425" s="492">
        <v>0</v>
      </c>
      <c r="C425" s="406">
        <v>0</v>
      </c>
      <c r="D425" s="406">
        <v>0</v>
      </c>
      <c r="E425" s="406">
        <v>0</v>
      </c>
      <c r="F425" s="87">
        <f t="shared" si="23"/>
        <v>0</v>
      </c>
      <c r="G425" s="88">
        <v>0</v>
      </c>
      <c r="H425" s="134">
        <v>0</v>
      </c>
      <c r="I425" s="669">
        <f t="shared" si="24"/>
        <v>0</v>
      </c>
      <c r="J425" t="s">
        <v>2211</v>
      </c>
    </row>
    <row r="426" spans="1:10" hidden="1" outlineLevel="1">
      <c r="A426" s="374" t="s">
        <v>1269</v>
      </c>
      <c r="B426" s="492">
        <v>39835.94</v>
      </c>
      <c r="C426" s="406">
        <v>0</v>
      </c>
      <c r="D426" s="406">
        <v>0</v>
      </c>
      <c r="E426" s="406">
        <v>0</v>
      </c>
      <c r="F426" s="87">
        <f t="shared" si="23"/>
        <v>39835.94</v>
      </c>
      <c r="G426" s="88">
        <v>0</v>
      </c>
      <c r="H426" s="134">
        <v>0</v>
      </c>
      <c r="I426" s="669">
        <f t="shared" si="24"/>
        <v>0</v>
      </c>
      <c r="J426" t="s">
        <v>1270</v>
      </c>
    </row>
    <row r="427" spans="1:10" hidden="1" outlineLevel="1">
      <c r="A427" s="374" t="s">
        <v>2193</v>
      </c>
      <c r="B427" s="492">
        <v>0</v>
      </c>
      <c r="C427" s="406">
        <v>0</v>
      </c>
      <c r="D427" s="406">
        <v>0</v>
      </c>
      <c r="E427" s="406">
        <v>0</v>
      </c>
      <c r="F427" s="87">
        <f t="shared" si="23"/>
        <v>0</v>
      </c>
      <c r="G427" s="88">
        <v>0</v>
      </c>
      <c r="H427" s="134">
        <v>0</v>
      </c>
      <c r="I427" s="669">
        <f t="shared" si="24"/>
        <v>0</v>
      </c>
      <c r="J427" t="s">
        <v>2194</v>
      </c>
    </row>
    <row r="428" spans="1:10" hidden="1" outlineLevel="1">
      <c r="A428" s="374" t="s">
        <v>1366</v>
      </c>
      <c r="B428" s="492">
        <v>9520.94</v>
      </c>
      <c r="C428" s="406">
        <v>0</v>
      </c>
      <c r="D428" s="406">
        <v>0</v>
      </c>
      <c r="E428" s="406">
        <v>0</v>
      </c>
      <c r="F428" s="87">
        <f t="shared" si="23"/>
        <v>9520.94</v>
      </c>
      <c r="G428" s="88">
        <v>0</v>
      </c>
      <c r="H428" s="134">
        <v>0</v>
      </c>
      <c r="I428" s="669">
        <f t="shared" si="24"/>
        <v>0</v>
      </c>
      <c r="J428" t="s">
        <v>1367</v>
      </c>
    </row>
    <row r="429" spans="1:10" hidden="1" outlineLevel="1">
      <c r="A429" s="374" t="s">
        <v>1225</v>
      </c>
      <c r="B429" s="492">
        <v>3831</v>
      </c>
      <c r="C429" s="406">
        <v>0</v>
      </c>
      <c r="D429" s="406">
        <v>0</v>
      </c>
      <c r="E429" s="406">
        <v>0</v>
      </c>
      <c r="F429" s="87">
        <f t="shared" si="23"/>
        <v>3831</v>
      </c>
      <c r="G429" s="88">
        <v>0</v>
      </c>
      <c r="H429" s="134">
        <v>0</v>
      </c>
      <c r="I429" s="669">
        <f t="shared" si="24"/>
        <v>0</v>
      </c>
      <c r="J429" t="s">
        <v>1226</v>
      </c>
    </row>
    <row r="430" spans="1:10" hidden="1" outlineLevel="1">
      <c r="A430" s="374" t="s">
        <v>1354</v>
      </c>
      <c r="B430" s="492">
        <v>139663.56</v>
      </c>
      <c r="C430" s="406">
        <v>-367.5</v>
      </c>
      <c r="D430" s="406">
        <v>0</v>
      </c>
      <c r="E430" s="406">
        <v>0</v>
      </c>
      <c r="F430" s="87">
        <f t="shared" si="23"/>
        <v>139296.06</v>
      </c>
      <c r="G430" s="88">
        <v>3697.08</v>
      </c>
      <c r="H430" s="134">
        <v>0</v>
      </c>
      <c r="I430" s="669">
        <f t="shared" si="24"/>
        <v>3697.08</v>
      </c>
      <c r="J430" t="s">
        <v>1355</v>
      </c>
    </row>
    <row r="431" spans="1:10" hidden="1" outlineLevel="1">
      <c r="A431" s="374" t="s">
        <v>1796</v>
      </c>
      <c r="B431" s="492">
        <v>16197.3</v>
      </c>
      <c r="C431" s="406">
        <v>0</v>
      </c>
      <c r="D431" s="406">
        <v>0</v>
      </c>
      <c r="E431" s="406">
        <v>0</v>
      </c>
      <c r="F431" s="87">
        <f t="shared" si="23"/>
        <v>16197.3</v>
      </c>
      <c r="G431" s="88">
        <v>730.59</v>
      </c>
      <c r="H431" s="134">
        <v>0</v>
      </c>
      <c r="I431" s="669">
        <f t="shared" si="24"/>
        <v>730.59</v>
      </c>
      <c r="J431" t="s">
        <v>1797</v>
      </c>
    </row>
    <row r="432" spans="1:10" hidden="1" outlineLevel="1">
      <c r="A432" s="374" t="s">
        <v>1251</v>
      </c>
      <c r="B432" s="492">
        <v>26383.75</v>
      </c>
      <c r="C432" s="406">
        <v>0</v>
      </c>
      <c r="D432" s="406">
        <v>0</v>
      </c>
      <c r="E432" s="406">
        <v>0</v>
      </c>
      <c r="F432" s="87">
        <f t="shared" si="23"/>
        <v>26383.75</v>
      </c>
      <c r="G432" s="88">
        <v>4901.76</v>
      </c>
      <c r="H432" s="134">
        <v>0</v>
      </c>
      <c r="I432" s="669">
        <f t="shared" si="24"/>
        <v>4901.76</v>
      </c>
      <c r="J432" t="s">
        <v>1252</v>
      </c>
    </row>
    <row r="433" spans="1:10" hidden="1" outlineLevel="1">
      <c r="A433" s="374" t="s">
        <v>1666</v>
      </c>
      <c r="B433" s="492">
        <v>2928408.89</v>
      </c>
      <c r="C433" s="406">
        <v>0</v>
      </c>
      <c r="D433" s="406">
        <v>0</v>
      </c>
      <c r="E433" s="406">
        <v>0</v>
      </c>
      <c r="F433" s="87">
        <f t="shared" si="23"/>
        <v>2928408.89</v>
      </c>
      <c r="G433" s="88">
        <v>295826.83999999997</v>
      </c>
      <c r="H433" s="134">
        <v>0</v>
      </c>
      <c r="I433" s="669">
        <f t="shared" si="24"/>
        <v>295826.83999999997</v>
      </c>
      <c r="J433" t="s">
        <v>1667</v>
      </c>
    </row>
    <row r="434" spans="1:10" hidden="1" outlineLevel="1">
      <c r="A434" s="374" t="s">
        <v>1309</v>
      </c>
      <c r="B434" s="492">
        <v>239933.11</v>
      </c>
      <c r="C434" s="406">
        <v>0</v>
      </c>
      <c r="D434" s="406">
        <v>0</v>
      </c>
      <c r="E434" s="406">
        <v>0</v>
      </c>
      <c r="F434" s="87">
        <f t="shared" si="23"/>
        <v>239933.11</v>
      </c>
      <c r="G434" s="88">
        <v>-7759.7199999999993</v>
      </c>
      <c r="H434" s="134">
        <v>0</v>
      </c>
      <c r="I434" s="669">
        <f t="shared" si="24"/>
        <v>-7759.7199999999993</v>
      </c>
      <c r="J434" t="s">
        <v>1310</v>
      </c>
    </row>
    <row r="435" spans="1:10" hidden="1" outlineLevel="1">
      <c r="A435" s="374" t="s">
        <v>1408</v>
      </c>
      <c r="B435" s="492">
        <v>3797832.18</v>
      </c>
      <c r="C435" s="406">
        <v>-4879.95</v>
      </c>
      <c r="D435" s="406">
        <v>0</v>
      </c>
      <c r="E435" s="406">
        <v>0</v>
      </c>
      <c r="F435" s="87">
        <f t="shared" si="23"/>
        <v>3792952.23</v>
      </c>
      <c r="G435" s="88">
        <v>63858.340000000004</v>
      </c>
      <c r="H435" s="134">
        <v>0</v>
      </c>
      <c r="I435" s="669">
        <f t="shared" si="24"/>
        <v>63858.340000000004</v>
      </c>
      <c r="J435" t="s">
        <v>1409</v>
      </c>
    </row>
    <row r="436" spans="1:10" hidden="1" outlineLevel="1">
      <c r="A436" s="374" t="s">
        <v>1261</v>
      </c>
      <c r="B436" s="492">
        <v>5600</v>
      </c>
      <c r="C436" s="406">
        <v>0</v>
      </c>
      <c r="D436" s="406">
        <v>0</v>
      </c>
      <c r="E436" s="406">
        <v>0</v>
      </c>
      <c r="F436" s="87">
        <f t="shared" si="23"/>
        <v>5600</v>
      </c>
      <c r="G436" s="88">
        <v>0</v>
      </c>
      <c r="H436" s="134">
        <v>0</v>
      </c>
      <c r="I436" s="669">
        <f t="shared" si="24"/>
        <v>0</v>
      </c>
      <c r="J436" t="s">
        <v>1262</v>
      </c>
    </row>
    <row r="437" spans="1:10" hidden="1" outlineLevel="1">
      <c r="A437" s="374" t="s">
        <v>1816</v>
      </c>
      <c r="B437" s="492">
        <v>24356.84</v>
      </c>
      <c r="C437" s="406">
        <v>0</v>
      </c>
      <c r="D437" s="406">
        <v>0</v>
      </c>
      <c r="E437" s="406">
        <v>0</v>
      </c>
      <c r="F437" s="87">
        <f t="shared" si="23"/>
        <v>24356.84</v>
      </c>
      <c r="G437" s="88">
        <v>0</v>
      </c>
      <c r="H437" s="134">
        <v>0</v>
      </c>
      <c r="I437" s="669">
        <f t="shared" si="24"/>
        <v>0</v>
      </c>
      <c r="J437" t="s">
        <v>1817</v>
      </c>
    </row>
    <row r="438" spans="1:10" hidden="1" outlineLevel="1">
      <c r="A438" s="374" t="s">
        <v>1248</v>
      </c>
      <c r="B438" s="492">
        <v>36888.699999999997</v>
      </c>
      <c r="C438" s="406">
        <v>0</v>
      </c>
      <c r="D438" s="406">
        <v>0</v>
      </c>
      <c r="E438" s="406">
        <v>0</v>
      </c>
      <c r="F438" s="87">
        <f t="shared" si="23"/>
        <v>36888.699999999997</v>
      </c>
      <c r="G438" s="88">
        <v>0</v>
      </c>
      <c r="H438" s="134">
        <v>0</v>
      </c>
      <c r="I438" s="669">
        <f t="shared" si="24"/>
        <v>0</v>
      </c>
      <c r="J438" t="s">
        <v>1249</v>
      </c>
    </row>
    <row r="439" spans="1:10" hidden="1" outlineLevel="1">
      <c r="A439" s="374" t="s">
        <v>1390</v>
      </c>
      <c r="B439" s="492">
        <v>18165.660000000003</v>
      </c>
      <c r="C439" s="406">
        <v>0</v>
      </c>
      <c r="D439" s="406">
        <v>0</v>
      </c>
      <c r="E439" s="406">
        <v>0</v>
      </c>
      <c r="F439" s="87">
        <f t="shared" si="23"/>
        <v>18165.660000000003</v>
      </c>
      <c r="G439" s="88">
        <v>0</v>
      </c>
      <c r="H439" s="134">
        <v>0</v>
      </c>
      <c r="I439" s="669">
        <f t="shared" si="24"/>
        <v>0</v>
      </c>
      <c r="J439" t="s">
        <v>1391</v>
      </c>
    </row>
    <row r="440" spans="1:10" hidden="1" outlineLevel="1">
      <c r="A440" s="374" t="s">
        <v>1456</v>
      </c>
      <c r="B440" s="492">
        <v>30942.58</v>
      </c>
      <c r="C440" s="406">
        <v>0</v>
      </c>
      <c r="D440" s="406">
        <v>0</v>
      </c>
      <c r="E440" s="406">
        <v>0</v>
      </c>
      <c r="F440" s="87">
        <f t="shared" si="23"/>
        <v>30942.58</v>
      </c>
      <c r="G440" s="88">
        <v>0</v>
      </c>
      <c r="H440" s="134">
        <v>0</v>
      </c>
      <c r="I440" s="669">
        <f t="shared" si="24"/>
        <v>0</v>
      </c>
      <c r="J440" t="s">
        <v>1457</v>
      </c>
    </row>
    <row r="441" spans="1:10" hidden="1" outlineLevel="1">
      <c r="A441" s="374" t="s">
        <v>1814</v>
      </c>
      <c r="B441" s="492">
        <v>105444.5</v>
      </c>
      <c r="C441" s="406">
        <v>0</v>
      </c>
      <c r="D441" s="406">
        <v>0</v>
      </c>
      <c r="E441" s="406">
        <v>0</v>
      </c>
      <c r="F441" s="87">
        <f t="shared" si="23"/>
        <v>105444.5</v>
      </c>
      <c r="G441" s="88">
        <v>3162.72</v>
      </c>
      <c r="H441" s="134">
        <v>0</v>
      </c>
      <c r="I441" s="669">
        <f t="shared" si="24"/>
        <v>3162.72</v>
      </c>
      <c r="J441" t="s">
        <v>1815</v>
      </c>
    </row>
    <row r="442" spans="1:10" hidden="1" outlineLevel="1">
      <c r="A442" s="374" t="s">
        <v>2263</v>
      </c>
      <c r="B442" s="492">
        <v>0</v>
      </c>
      <c r="C442" s="406">
        <v>0</v>
      </c>
      <c r="D442" s="406">
        <v>0</v>
      </c>
      <c r="E442" s="406">
        <v>0</v>
      </c>
      <c r="F442" s="87">
        <f t="shared" si="23"/>
        <v>0</v>
      </c>
      <c r="G442" s="88">
        <v>0</v>
      </c>
      <c r="H442" s="134">
        <v>0</v>
      </c>
      <c r="I442" s="669">
        <f t="shared" si="24"/>
        <v>0</v>
      </c>
      <c r="J442" t="s">
        <v>2264</v>
      </c>
    </row>
    <row r="443" spans="1:10" hidden="1" outlineLevel="1">
      <c r="A443" s="374" t="s">
        <v>1236</v>
      </c>
      <c r="B443" s="492">
        <v>70575.14</v>
      </c>
      <c r="C443" s="406">
        <v>-276.10000000000002</v>
      </c>
      <c r="D443" s="406">
        <v>0</v>
      </c>
      <c r="E443" s="406">
        <v>0</v>
      </c>
      <c r="F443" s="87">
        <f t="shared" si="23"/>
        <v>70299.039999999994</v>
      </c>
      <c r="G443" s="88">
        <v>0</v>
      </c>
      <c r="H443" s="134">
        <v>0</v>
      </c>
      <c r="I443" s="669">
        <f t="shared" si="24"/>
        <v>0</v>
      </c>
      <c r="J443" t="s">
        <v>1237</v>
      </c>
    </row>
    <row r="444" spans="1:10" hidden="1" outlineLevel="1">
      <c r="A444" s="374" t="s">
        <v>1818</v>
      </c>
      <c r="B444" s="492">
        <v>566860.05999999994</v>
      </c>
      <c r="C444" s="406">
        <v>0</v>
      </c>
      <c r="D444" s="406">
        <v>0</v>
      </c>
      <c r="E444" s="406">
        <v>0</v>
      </c>
      <c r="F444" s="87">
        <f t="shared" si="23"/>
        <v>566860.05999999994</v>
      </c>
      <c r="G444" s="88">
        <v>20880</v>
      </c>
      <c r="H444" s="134">
        <v>0</v>
      </c>
      <c r="I444" s="669">
        <f t="shared" si="24"/>
        <v>20880</v>
      </c>
      <c r="J444" t="s">
        <v>1819</v>
      </c>
    </row>
    <row r="445" spans="1:10" hidden="1" outlineLevel="1">
      <c r="A445" s="374" t="s">
        <v>1640</v>
      </c>
      <c r="B445" s="492">
        <v>2726503.56</v>
      </c>
      <c r="C445" s="406">
        <v>0</v>
      </c>
      <c r="D445" s="406">
        <v>0</v>
      </c>
      <c r="E445" s="406">
        <v>0</v>
      </c>
      <c r="F445" s="87">
        <f t="shared" si="23"/>
        <v>2726503.56</v>
      </c>
      <c r="G445" s="88">
        <v>0</v>
      </c>
      <c r="H445" s="134">
        <v>0</v>
      </c>
      <c r="I445" s="669">
        <f t="shared" si="24"/>
        <v>0</v>
      </c>
      <c r="J445" t="s">
        <v>1641</v>
      </c>
    </row>
    <row r="446" spans="1:10" hidden="1" outlineLevel="1">
      <c r="A446" s="374" t="s">
        <v>1368</v>
      </c>
      <c r="B446" s="492">
        <v>1997.91</v>
      </c>
      <c r="C446" s="406">
        <v>0</v>
      </c>
      <c r="D446" s="406">
        <v>0</v>
      </c>
      <c r="E446" s="406">
        <v>0</v>
      </c>
      <c r="F446" s="87">
        <f t="shared" si="23"/>
        <v>1997.91</v>
      </c>
      <c r="G446" s="88">
        <v>0</v>
      </c>
      <c r="H446" s="134">
        <v>0</v>
      </c>
      <c r="I446" s="669">
        <f t="shared" si="24"/>
        <v>0</v>
      </c>
      <c r="J446" t="s">
        <v>1369</v>
      </c>
    </row>
    <row r="447" spans="1:10" hidden="1" outlineLevel="1">
      <c r="A447" s="374" t="s">
        <v>1770</v>
      </c>
      <c r="B447" s="492">
        <v>66282.84</v>
      </c>
      <c r="C447" s="406">
        <v>0</v>
      </c>
      <c r="D447" s="406"/>
      <c r="E447" s="406">
        <v>0</v>
      </c>
      <c r="F447" s="87">
        <f t="shared" si="23"/>
        <v>66282.84</v>
      </c>
      <c r="G447" s="88">
        <v>0</v>
      </c>
      <c r="H447" s="134">
        <v>0</v>
      </c>
      <c r="I447" s="669">
        <f t="shared" si="24"/>
        <v>0</v>
      </c>
      <c r="J447" t="s">
        <v>1771</v>
      </c>
    </row>
    <row r="448" spans="1:10" hidden="1" outlineLevel="1">
      <c r="A448" s="374" t="s">
        <v>1732</v>
      </c>
      <c r="B448" s="492">
        <v>312513.84000000003</v>
      </c>
      <c r="C448" s="406">
        <v>0</v>
      </c>
      <c r="D448" s="406">
        <v>0</v>
      </c>
      <c r="E448" s="406">
        <v>0</v>
      </c>
      <c r="F448" s="87">
        <f t="shared" si="23"/>
        <v>312513.84000000003</v>
      </c>
      <c r="G448" s="88">
        <v>0</v>
      </c>
      <c r="H448" s="134">
        <v>0</v>
      </c>
      <c r="I448" s="669">
        <f t="shared" si="24"/>
        <v>0</v>
      </c>
      <c r="J448" t="s">
        <v>1733</v>
      </c>
    </row>
    <row r="449" spans="1:10" hidden="1" outlineLevel="1">
      <c r="A449" s="374" t="s">
        <v>1800</v>
      </c>
      <c r="B449" s="492">
        <v>2642.12</v>
      </c>
      <c r="C449" s="406">
        <v>0</v>
      </c>
      <c r="D449" s="406">
        <v>0</v>
      </c>
      <c r="E449" s="406">
        <v>0</v>
      </c>
      <c r="F449" s="87">
        <f t="shared" si="23"/>
        <v>2642.12</v>
      </c>
      <c r="G449" s="88">
        <v>0</v>
      </c>
      <c r="H449" s="134">
        <v>0</v>
      </c>
      <c r="I449" s="669">
        <f t="shared" si="24"/>
        <v>0</v>
      </c>
      <c r="J449" t="s">
        <v>1801</v>
      </c>
    </row>
    <row r="450" spans="1:10" hidden="1" outlineLevel="1">
      <c r="A450" s="374" t="s">
        <v>1328</v>
      </c>
      <c r="B450" s="492">
        <v>4200</v>
      </c>
      <c r="C450" s="406">
        <v>0</v>
      </c>
      <c r="D450" s="406">
        <v>0</v>
      </c>
      <c r="E450" s="406">
        <v>0</v>
      </c>
      <c r="F450" s="87">
        <f t="shared" si="23"/>
        <v>4200</v>
      </c>
      <c r="G450" s="88">
        <v>0</v>
      </c>
      <c r="H450" s="134">
        <v>0</v>
      </c>
      <c r="I450" s="669">
        <f t="shared" si="24"/>
        <v>0</v>
      </c>
      <c r="J450" t="s">
        <v>1329</v>
      </c>
    </row>
    <row r="451" spans="1:10" hidden="1" outlineLevel="1">
      <c r="A451" s="374" t="s">
        <v>1516</v>
      </c>
      <c r="B451" s="492">
        <v>21592814.370000001</v>
      </c>
      <c r="C451" s="406">
        <v>-2874.27</v>
      </c>
      <c r="D451" s="406">
        <v>0</v>
      </c>
      <c r="E451" s="406">
        <v>0</v>
      </c>
      <c r="F451" s="87">
        <f t="shared" si="23"/>
        <v>21589940.100000001</v>
      </c>
      <c r="G451" s="88">
        <v>1923243.0299999996</v>
      </c>
      <c r="H451" s="134">
        <v>-101978</v>
      </c>
      <c r="I451" s="669">
        <f t="shared" si="24"/>
        <v>1821265.0299999996</v>
      </c>
      <c r="J451" t="s">
        <v>1517</v>
      </c>
    </row>
    <row r="452" spans="1:10" hidden="1" outlineLevel="1">
      <c r="A452" s="374" t="s">
        <v>1720</v>
      </c>
      <c r="B452" s="492">
        <v>219650.88</v>
      </c>
      <c r="C452" s="406">
        <v>0</v>
      </c>
      <c r="D452" s="406">
        <v>0</v>
      </c>
      <c r="E452" s="406">
        <v>0</v>
      </c>
      <c r="F452" s="87">
        <f t="shared" si="23"/>
        <v>219650.88</v>
      </c>
      <c r="G452" s="88">
        <v>0</v>
      </c>
      <c r="H452" s="134">
        <v>0</v>
      </c>
      <c r="I452" s="669">
        <f t="shared" si="24"/>
        <v>0</v>
      </c>
      <c r="J452" t="s">
        <v>1721</v>
      </c>
    </row>
    <row r="453" spans="1:10" hidden="1" outlineLevel="1">
      <c r="A453" s="374" t="s">
        <v>1350</v>
      </c>
      <c r="B453" s="492">
        <v>1471.8400000000001</v>
      </c>
      <c r="C453" s="406">
        <v>0</v>
      </c>
      <c r="D453" s="406">
        <v>0</v>
      </c>
      <c r="E453" s="406">
        <v>0</v>
      </c>
      <c r="F453" s="87">
        <f t="shared" si="23"/>
        <v>1471.8400000000001</v>
      </c>
      <c r="G453" s="88">
        <v>0</v>
      </c>
      <c r="H453" s="134">
        <v>0</v>
      </c>
      <c r="I453" s="669">
        <f t="shared" si="24"/>
        <v>0</v>
      </c>
      <c r="J453" t="s">
        <v>1351</v>
      </c>
    </row>
    <row r="454" spans="1:10" hidden="1" outlineLevel="1">
      <c r="A454" s="374" t="s">
        <v>1716</v>
      </c>
      <c r="B454" s="492">
        <v>6748.119999999999</v>
      </c>
      <c r="C454" s="406">
        <v>0</v>
      </c>
      <c r="D454" s="406">
        <v>0</v>
      </c>
      <c r="E454" s="406">
        <v>0</v>
      </c>
      <c r="F454" s="87">
        <f t="shared" si="23"/>
        <v>6748.119999999999</v>
      </c>
      <c r="G454" s="88">
        <v>0</v>
      </c>
      <c r="H454" s="134">
        <v>0</v>
      </c>
      <c r="I454" s="669">
        <f t="shared" si="24"/>
        <v>0</v>
      </c>
      <c r="J454" t="s">
        <v>1717</v>
      </c>
    </row>
    <row r="455" spans="1:10" hidden="1" outlineLevel="1">
      <c r="A455" s="374" t="s">
        <v>1652</v>
      </c>
      <c r="B455" s="492">
        <v>109361.9</v>
      </c>
      <c r="C455" s="406">
        <v>0</v>
      </c>
      <c r="D455" s="406">
        <v>0</v>
      </c>
      <c r="E455" s="406">
        <v>0</v>
      </c>
      <c r="F455" s="87">
        <f>SUM(B455:E455)</f>
        <v>109361.9</v>
      </c>
      <c r="G455" s="88">
        <v>13842.24</v>
      </c>
      <c r="H455" s="134">
        <v>0</v>
      </c>
      <c r="I455" s="669">
        <f>G455+H455</f>
        <v>13842.24</v>
      </c>
      <c r="J455" t="s">
        <v>1653</v>
      </c>
    </row>
    <row r="456" spans="1:10" hidden="1" outlineLevel="1">
      <c r="A456" s="374" t="s">
        <v>1238</v>
      </c>
      <c r="B456" s="492">
        <v>57038.99</v>
      </c>
      <c r="C456" s="406">
        <v>0</v>
      </c>
      <c r="D456" s="406">
        <v>0</v>
      </c>
      <c r="E456" s="406">
        <v>0</v>
      </c>
      <c r="F456" s="87">
        <f t="shared" si="23"/>
        <v>57038.99</v>
      </c>
      <c r="G456" s="88">
        <v>0</v>
      </c>
      <c r="H456" s="134">
        <v>0</v>
      </c>
      <c r="I456" s="669">
        <f t="shared" si="24"/>
        <v>0</v>
      </c>
      <c r="J456" t="s">
        <v>1239</v>
      </c>
    </row>
    <row r="457" spans="1:10" hidden="1" outlineLevel="1">
      <c r="A457" s="374" t="s">
        <v>1428</v>
      </c>
      <c r="B457" s="492">
        <v>15173.52</v>
      </c>
      <c r="C457" s="406">
        <v>0</v>
      </c>
      <c r="D457" s="406">
        <v>0</v>
      </c>
      <c r="E457" s="406">
        <v>0</v>
      </c>
      <c r="F457" s="87">
        <f t="shared" si="23"/>
        <v>15173.52</v>
      </c>
      <c r="G457" s="88">
        <v>0</v>
      </c>
      <c r="H457" s="134">
        <v>0</v>
      </c>
      <c r="I457" s="669">
        <f t="shared" si="24"/>
        <v>0</v>
      </c>
      <c r="J457" t="s">
        <v>1429</v>
      </c>
    </row>
    <row r="458" spans="1:10" hidden="1" outlineLevel="1">
      <c r="A458" s="374" t="s">
        <v>799</v>
      </c>
      <c r="B458" s="492">
        <v>4681.78</v>
      </c>
      <c r="C458" s="406">
        <v>0</v>
      </c>
      <c r="D458" s="406">
        <v>0</v>
      </c>
      <c r="E458" s="406">
        <v>0</v>
      </c>
      <c r="F458" s="87">
        <f t="shared" si="23"/>
        <v>4681.78</v>
      </c>
      <c r="G458" s="88">
        <v>0</v>
      </c>
      <c r="H458" s="134">
        <v>0</v>
      </c>
      <c r="I458" s="669">
        <f t="shared" si="24"/>
        <v>0</v>
      </c>
      <c r="J458" t="s">
        <v>1250</v>
      </c>
    </row>
    <row r="459" spans="1:10" hidden="1" outlineLevel="1">
      <c r="A459" s="374" t="s">
        <v>1464</v>
      </c>
      <c r="B459" s="492">
        <v>193239.73</v>
      </c>
      <c r="C459" s="406">
        <v>0</v>
      </c>
      <c r="D459" s="406">
        <v>0</v>
      </c>
      <c r="E459" s="406">
        <v>0</v>
      </c>
      <c r="F459" s="87">
        <f t="shared" si="23"/>
        <v>193239.73</v>
      </c>
      <c r="G459" s="88">
        <v>0</v>
      </c>
      <c r="H459" s="134">
        <v>0</v>
      </c>
      <c r="I459" s="669">
        <f t="shared" si="24"/>
        <v>0</v>
      </c>
      <c r="J459" t="s">
        <v>1465</v>
      </c>
    </row>
    <row r="460" spans="1:10" hidden="1" outlineLevel="1">
      <c r="A460" s="374" t="s">
        <v>1255</v>
      </c>
      <c r="B460" s="492">
        <v>9138.81</v>
      </c>
      <c r="C460" s="406">
        <v>0</v>
      </c>
      <c r="D460" s="406">
        <v>0</v>
      </c>
      <c r="E460" s="406">
        <v>0</v>
      </c>
      <c r="F460" s="87">
        <f t="shared" si="23"/>
        <v>9138.81</v>
      </c>
      <c r="G460" s="88">
        <v>0</v>
      </c>
      <c r="H460" s="134">
        <v>0</v>
      </c>
      <c r="I460" s="669">
        <f t="shared" si="24"/>
        <v>0</v>
      </c>
      <c r="J460" t="s">
        <v>1256</v>
      </c>
    </row>
    <row r="461" spans="1:10" hidden="1" outlineLevel="1">
      <c r="A461" s="374" t="s">
        <v>1710</v>
      </c>
      <c r="B461" s="492">
        <v>72527.11</v>
      </c>
      <c r="C461" s="406">
        <v>0</v>
      </c>
      <c r="D461" s="406">
        <v>0</v>
      </c>
      <c r="E461" s="406">
        <v>0</v>
      </c>
      <c r="F461" s="87">
        <f t="shared" si="23"/>
        <v>72527.11</v>
      </c>
      <c r="G461" s="88">
        <v>2720</v>
      </c>
      <c r="H461" s="134">
        <v>0</v>
      </c>
      <c r="I461" s="669">
        <f t="shared" si="24"/>
        <v>2720</v>
      </c>
      <c r="J461" t="s">
        <v>1711</v>
      </c>
    </row>
    <row r="462" spans="1:10" hidden="1" outlineLevel="1">
      <c r="A462" s="374" t="s">
        <v>1030</v>
      </c>
      <c r="B462" s="492">
        <v>12136.61</v>
      </c>
      <c r="C462" s="406">
        <v>0</v>
      </c>
      <c r="D462" s="406">
        <v>0</v>
      </c>
      <c r="E462" s="406">
        <v>0</v>
      </c>
      <c r="F462" s="87">
        <f t="shared" si="23"/>
        <v>12136.61</v>
      </c>
      <c r="G462" s="88">
        <v>24137.22</v>
      </c>
      <c r="H462" s="134">
        <v>0</v>
      </c>
      <c r="I462" s="669">
        <f t="shared" si="24"/>
        <v>24137.22</v>
      </c>
      <c r="J462" t="s">
        <v>1031</v>
      </c>
    </row>
    <row r="463" spans="1:10" hidden="1" outlineLevel="1">
      <c r="A463" s="374" t="s">
        <v>1253</v>
      </c>
      <c r="B463" s="492">
        <v>20350.71</v>
      </c>
      <c r="C463" s="406">
        <v>0</v>
      </c>
      <c r="D463" s="406">
        <v>0</v>
      </c>
      <c r="E463" s="406">
        <v>0</v>
      </c>
      <c r="F463" s="87">
        <f t="shared" si="23"/>
        <v>20350.71</v>
      </c>
      <c r="G463" s="88">
        <v>0</v>
      </c>
      <c r="H463" s="134">
        <v>0</v>
      </c>
      <c r="I463" s="669">
        <f t="shared" si="24"/>
        <v>0</v>
      </c>
      <c r="J463" t="s">
        <v>1254</v>
      </c>
    </row>
    <row r="464" spans="1:10" hidden="1" outlineLevel="1">
      <c r="A464" s="374" t="s">
        <v>1554</v>
      </c>
      <c r="B464" s="492">
        <v>86465.799999999988</v>
      </c>
      <c r="C464" s="406">
        <v>0</v>
      </c>
      <c r="D464" s="406">
        <v>0</v>
      </c>
      <c r="E464" s="406">
        <v>0</v>
      </c>
      <c r="F464" s="87">
        <f t="shared" si="23"/>
        <v>86465.799999999988</v>
      </c>
      <c r="G464" s="88">
        <v>733.84</v>
      </c>
      <c r="H464" s="134">
        <v>0</v>
      </c>
      <c r="I464" s="669">
        <f t="shared" si="24"/>
        <v>733.84</v>
      </c>
      <c r="J464" t="s">
        <v>1555</v>
      </c>
    </row>
    <row r="465" spans="1:10" hidden="1" outlineLevel="1">
      <c r="A465" s="374" t="s">
        <v>1812</v>
      </c>
      <c r="B465" s="492">
        <v>2405.44</v>
      </c>
      <c r="C465" s="406">
        <v>0</v>
      </c>
      <c r="D465" s="406">
        <v>0</v>
      </c>
      <c r="E465" s="406">
        <v>0</v>
      </c>
      <c r="F465" s="87">
        <f t="shared" si="23"/>
        <v>2405.44</v>
      </c>
      <c r="G465" s="88">
        <v>0</v>
      </c>
      <c r="H465" s="134">
        <v>0</v>
      </c>
      <c r="I465" s="669">
        <f t="shared" si="24"/>
        <v>0</v>
      </c>
      <c r="J465" t="s">
        <v>1813</v>
      </c>
    </row>
    <row r="466" spans="1:10" hidden="1" outlineLevel="1">
      <c r="A466" s="374" t="s">
        <v>1492</v>
      </c>
      <c r="B466" s="492">
        <v>1471.3200000000002</v>
      </c>
      <c r="C466" s="406">
        <v>0</v>
      </c>
      <c r="D466" s="406">
        <v>0</v>
      </c>
      <c r="E466" s="406">
        <v>0</v>
      </c>
      <c r="F466" s="87">
        <f t="shared" si="23"/>
        <v>1471.3200000000002</v>
      </c>
      <c r="G466" s="88">
        <v>0</v>
      </c>
      <c r="H466" s="134">
        <v>0</v>
      </c>
      <c r="I466" s="669">
        <f t="shared" si="24"/>
        <v>0</v>
      </c>
      <c r="J466" t="s">
        <v>1493</v>
      </c>
    </row>
    <row r="467" spans="1:10" hidden="1" outlineLevel="1">
      <c r="A467" s="374" t="s">
        <v>1346</v>
      </c>
      <c r="B467" s="492">
        <v>211071.22999999998</v>
      </c>
      <c r="C467" s="406">
        <v>0</v>
      </c>
      <c r="D467" s="406">
        <v>0</v>
      </c>
      <c r="E467" s="406">
        <v>0</v>
      </c>
      <c r="F467" s="87">
        <f t="shared" si="23"/>
        <v>211071.22999999998</v>
      </c>
      <c r="G467" s="88">
        <v>0</v>
      </c>
      <c r="H467" s="134">
        <v>0</v>
      </c>
      <c r="I467" s="669">
        <f t="shared" si="24"/>
        <v>0</v>
      </c>
      <c r="J467" t="s">
        <v>1347</v>
      </c>
    </row>
    <row r="468" spans="1:10" hidden="1" outlineLevel="1">
      <c r="A468" s="374" t="s">
        <v>1624</v>
      </c>
      <c r="B468" s="492">
        <v>14752.94</v>
      </c>
      <c r="C468" s="406">
        <v>0</v>
      </c>
      <c r="D468" s="406">
        <v>0</v>
      </c>
      <c r="E468" s="406">
        <v>0</v>
      </c>
      <c r="F468" s="87">
        <f t="shared" si="23"/>
        <v>14752.94</v>
      </c>
      <c r="G468" s="88">
        <v>0</v>
      </c>
      <c r="H468" s="134">
        <v>0</v>
      </c>
      <c r="I468" s="669">
        <f t="shared" si="24"/>
        <v>0</v>
      </c>
      <c r="J468" t="s">
        <v>1625</v>
      </c>
    </row>
    <row r="469" spans="1:10" hidden="1" outlineLevel="1">
      <c r="A469" s="374" t="s">
        <v>1590</v>
      </c>
      <c r="B469" s="492">
        <v>200.68</v>
      </c>
      <c r="C469" s="406">
        <v>0</v>
      </c>
      <c r="D469" s="406">
        <v>0</v>
      </c>
      <c r="E469" s="406">
        <v>0</v>
      </c>
      <c r="F469" s="87">
        <f t="shared" si="23"/>
        <v>200.68</v>
      </c>
      <c r="G469" s="88">
        <v>0</v>
      </c>
      <c r="H469" s="134">
        <v>0</v>
      </c>
      <c r="I469" s="669">
        <f t="shared" si="24"/>
        <v>0</v>
      </c>
      <c r="J469" t="s">
        <v>1591</v>
      </c>
    </row>
    <row r="470" spans="1:10" hidden="1" outlineLevel="1">
      <c r="A470" s="374" t="s">
        <v>1356</v>
      </c>
      <c r="B470" s="492">
        <v>2501.1999999999998</v>
      </c>
      <c r="C470" s="406">
        <v>0</v>
      </c>
      <c r="D470" s="406">
        <v>0</v>
      </c>
      <c r="E470" s="406">
        <v>0</v>
      </c>
      <c r="F470" s="87">
        <f t="shared" ref="F470:F533" si="25">SUM(B470:E470)</f>
        <v>2501.1999999999998</v>
      </c>
      <c r="G470" s="88">
        <v>0</v>
      </c>
      <c r="H470" s="134">
        <v>0</v>
      </c>
      <c r="I470" s="669">
        <f t="shared" ref="I470:I533" si="26">G470+H470</f>
        <v>0</v>
      </c>
      <c r="J470" t="s">
        <v>1357</v>
      </c>
    </row>
    <row r="471" spans="1:10" hidden="1" outlineLevel="1">
      <c r="A471" s="374" t="s">
        <v>1660</v>
      </c>
      <c r="B471" s="492">
        <v>61450.32</v>
      </c>
      <c r="C471" s="406">
        <v>0</v>
      </c>
      <c r="D471" s="406">
        <v>0</v>
      </c>
      <c r="E471" s="406">
        <v>0</v>
      </c>
      <c r="F471" s="87">
        <f t="shared" si="25"/>
        <v>61450.32</v>
      </c>
      <c r="G471" s="88">
        <v>0</v>
      </c>
      <c r="H471" s="134">
        <v>0</v>
      </c>
      <c r="I471" s="669">
        <f t="shared" si="26"/>
        <v>0</v>
      </c>
      <c r="J471" t="s">
        <v>1661</v>
      </c>
    </row>
    <row r="472" spans="1:10" hidden="1" outlineLevel="1">
      <c r="A472" s="374" t="s">
        <v>1334</v>
      </c>
      <c r="B472" s="492">
        <v>4489.08</v>
      </c>
      <c r="C472" s="406">
        <v>0</v>
      </c>
      <c r="D472" s="406">
        <v>0</v>
      </c>
      <c r="E472" s="406">
        <v>0</v>
      </c>
      <c r="F472" s="87">
        <f t="shared" si="25"/>
        <v>4489.08</v>
      </c>
      <c r="G472" s="88">
        <v>0</v>
      </c>
      <c r="H472" s="134">
        <v>0</v>
      </c>
      <c r="I472" s="669">
        <f t="shared" si="26"/>
        <v>0</v>
      </c>
      <c r="J472" t="s">
        <v>1335</v>
      </c>
    </row>
    <row r="473" spans="1:10" hidden="1" outlineLevel="1">
      <c r="A473" s="374" t="s">
        <v>1586</v>
      </c>
      <c r="B473" s="492">
        <v>28777.47</v>
      </c>
      <c r="C473" s="406">
        <v>0</v>
      </c>
      <c r="D473" s="406">
        <v>0</v>
      </c>
      <c r="E473" s="406">
        <v>0</v>
      </c>
      <c r="F473" s="87">
        <f t="shared" si="25"/>
        <v>28777.47</v>
      </c>
      <c r="G473" s="88">
        <v>0</v>
      </c>
      <c r="H473" s="134">
        <v>0</v>
      </c>
      <c r="I473" s="669">
        <f t="shared" si="26"/>
        <v>0</v>
      </c>
      <c r="J473" t="s">
        <v>1587</v>
      </c>
    </row>
    <row r="474" spans="1:10" hidden="1" outlineLevel="1">
      <c r="A474" s="374" t="s">
        <v>1738</v>
      </c>
      <c r="B474" s="492">
        <v>6628.84</v>
      </c>
      <c r="C474" s="406">
        <v>0</v>
      </c>
      <c r="D474" s="406">
        <v>0</v>
      </c>
      <c r="E474" s="406">
        <v>0</v>
      </c>
      <c r="F474" s="87">
        <f t="shared" si="25"/>
        <v>6628.84</v>
      </c>
      <c r="G474" s="88">
        <v>0</v>
      </c>
      <c r="H474" s="134">
        <v>0</v>
      </c>
      <c r="I474" s="669">
        <f t="shared" si="26"/>
        <v>0</v>
      </c>
      <c r="J474" t="s">
        <v>1739</v>
      </c>
    </row>
    <row r="475" spans="1:10" hidden="1" outlineLevel="1">
      <c r="A475" s="374" t="s">
        <v>1544</v>
      </c>
      <c r="B475" s="492">
        <v>11358.95</v>
      </c>
      <c r="C475" s="406">
        <v>0</v>
      </c>
      <c r="D475" s="406">
        <v>0</v>
      </c>
      <c r="E475" s="406">
        <v>0</v>
      </c>
      <c r="F475" s="87">
        <f t="shared" si="25"/>
        <v>11358.95</v>
      </c>
      <c r="G475" s="88">
        <v>0</v>
      </c>
      <c r="H475" s="134">
        <v>0</v>
      </c>
      <c r="I475" s="669">
        <f t="shared" si="26"/>
        <v>0</v>
      </c>
      <c r="J475" t="s">
        <v>1545</v>
      </c>
    </row>
    <row r="476" spans="1:10" hidden="1" outlineLevel="1">
      <c r="A476" s="374" t="s">
        <v>1564</v>
      </c>
      <c r="B476" s="492">
        <v>14787.919999999998</v>
      </c>
      <c r="C476" s="406">
        <v>0</v>
      </c>
      <c r="D476" s="406">
        <v>0</v>
      </c>
      <c r="E476" s="406">
        <v>0</v>
      </c>
      <c r="F476" s="87">
        <f t="shared" si="25"/>
        <v>14787.919999999998</v>
      </c>
      <c r="G476" s="88">
        <v>0</v>
      </c>
      <c r="H476" s="134">
        <v>0</v>
      </c>
      <c r="I476" s="669">
        <f t="shared" si="26"/>
        <v>0</v>
      </c>
      <c r="J476" t="s">
        <v>1565</v>
      </c>
    </row>
    <row r="477" spans="1:10" hidden="1" outlineLevel="1">
      <c r="A477" s="374" t="s">
        <v>1766</v>
      </c>
      <c r="B477" s="492">
        <v>10928.470000000001</v>
      </c>
      <c r="C477" s="406">
        <v>0</v>
      </c>
      <c r="D477" s="406">
        <v>0</v>
      </c>
      <c r="E477" s="406">
        <v>0</v>
      </c>
      <c r="F477" s="87">
        <f t="shared" si="25"/>
        <v>10928.470000000001</v>
      </c>
      <c r="G477" s="88">
        <v>0</v>
      </c>
      <c r="H477" s="134">
        <v>0</v>
      </c>
      <c r="I477" s="669">
        <f t="shared" si="26"/>
        <v>0</v>
      </c>
      <c r="J477" t="s">
        <v>1767</v>
      </c>
    </row>
    <row r="478" spans="1:10" hidden="1" outlineLevel="1">
      <c r="A478" s="374" t="s">
        <v>1740</v>
      </c>
      <c r="B478" s="492">
        <v>7468.92</v>
      </c>
      <c r="C478" s="406">
        <v>0</v>
      </c>
      <c r="D478" s="406">
        <v>0</v>
      </c>
      <c r="E478" s="406">
        <v>0</v>
      </c>
      <c r="F478" s="87">
        <f t="shared" si="25"/>
        <v>7468.92</v>
      </c>
      <c r="G478" s="88">
        <v>16208.56</v>
      </c>
      <c r="H478" s="134">
        <v>0</v>
      </c>
      <c r="I478" s="669">
        <f t="shared" si="26"/>
        <v>16208.56</v>
      </c>
      <c r="J478" t="s">
        <v>1741</v>
      </c>
    </row>
    <row r="479" spans="1:10" hidden="1" outlineLevel="1">
      <c r="A479" s="374" t="s">
        <v>1512</v>
      </c>
      <c r="B479" s="492">
        <v>34877.160000000003</v>
      </c>
      <c r="C479" s="406">
        <v>0</v>
      </c>
      <c r="D479" s="406">
        <v>0</v>
      </c>
      <c r="E479" s="406">
        <v>0</v>
      </c>
      <c r="F479" s="87">
        <f t="shared" si="25"/>
        <v>34877.160000000003</v>
      </c>
      <c r="G479" s="88">
        <v>0</v>
      </c>
      <c r="H479" s="134">
        <v>0</v>
      </c>
      <c r="I479" s="669">
        <f t="shared" si="26"/>
        <v>0</v>
      </c>
      <c r="J479" t="s">
        <v>1513</v>
      </c>
    </row>
    <row r="480" spans="1:10" hidden="1" outlineLevel="1">
      <c r="A480" s="374" t="s">
        <v>1267</v>
      </c>
      <c r="B480" s="492">
        <v>1986.48</v>
      </c>
      <c r="C480" s="406">
        <v>0</v>
      </c>
      <c r="D480" s="406">
        <v>0</v>
      </c>
      <c r="E480" s="406">
        <v>0</v>
      </c>
      <c r="F480" s="87">
        <f t="shared" si="25"/>
        <v>1986.48</v>
      </c>
      <c r="G480" s="88">
        <v>0</v>
      </c>
      <c r="H480" s="134">
        <v>0</v>
      </c>
      <c r="I480" s="669">
        <f t="shared" si="26"/>
        <v>0</v>
      </c>
      <c r="J480" t="s">
        <v>1268</v>
      </c>
    </row>
    <row r="481" spans="1:10" hidden="1" outlineLevel="1">
      <c r="A481" s="374" t="s">
        <v>1742</v>
      </c>
      <c r="B481" s="492">
        <v>13929.4</v>
      </c>
      <c r="C481" s="406">
        <v>0</v>
      </c>
      <c r="D481" s="406">
        <v>0</v>
      </c>
      <c r="E481" s="406">
        <v>0</v>
      </c>
      <c r="F481" s="87">
        <f t="shared" si="25"/>
        <v>13929.4</v>
      </c>
      <c r="G481" s="88">
        <v>0</v>
      </c>
      <c r="H481" s="134">
        <v>0</v>
      </c>
      <c r="I481" s="669">
        <f t="shared" si="26"/>
        <v>0</v>
      </c>
      <c r="J481" t="s">
        <v>1743</v>
      </c>
    </row>
    <row r="482" spans="1:10" hidden="1" outlineLevel="1">
      <c r="A482" s="374" t="s">
        <v>1460</v>
      </c>
      <c r="B482" s="492">
        <v>12983.74</v>
      </c>
      <c r="C482" s="406">
        <v>0</v>
      </c>
      <c r="D482" s="406">
        <v>0</v>
      </c>
      <c r="E482" s="406">
        <v>0</v>
      </c>
      <c r="F482" s="87">
        <f t="shared" si="25"/>
        <v>12983.74</v>
      </c>
      <c r="G482" s="88">
        <v>0</v>
      </c>
      <c r="H482" s="134">
        <v>0</v>
      </c>
      <c r="I482" s="669">
        <f t="shared" si="26"/>
        <v>0</v>
      </c>
      <c r="J482" t="s">
        <v>1461</v>
      </c>
    </row>
    <row r="483" spans="1:10" hidden="1" outlineLevel="1">
      <c r="A483" s="374" t="s">
        <v>1277</v>
      </c>
      <c r="B483" s="492">
        <v>91248.82</v>
      </c>
      <c r="C483" s="406">
        <v>0</v>
      </c>
      <c r="D483" s="406">
        <v>0</v>
      </c>
      <c r="E483" s="406">
        <v>0</v>
      </c>
      <c r="F483" s="87">
        <f t="shared" si="25"/>
        <v>91248.82</v>
      </c>
      <c r="G483" s="88">
        <v>0</v>
      </c>
      <c r="H483" s="134">
        <v>0</v>
      </c>
      <c r="I483" s="669">
        <f t="shared" si="26"/>
        <v>0</v>
      </c>
      <c r="J483" t="s">
        <v>1278</v>
      </c>
    </row>
    <row r="484" spans="1:10" hidden="1" outlineLevel="1">
      <c r="A484" s="374" t="s">
        <v>1700</v>
      </c>
      <c r="B484" s="492">
        <v>24069.07</v>
      </c>
      <c r="C484" s="406">
        <v>0</v>
      </c>
      <c r="D484" s="406">
        <v>0</v>
      </c>
      <c r="E484" s="406">
        <v>0</v>
      </c>
      <c r="F484" s="87">
        <f t="shared" si="25"/>
        <v>24069.07</v>
      </c>
      <c r="G484" s="88">
        <v>0</v>
      </c>
      <c r="H484" s="134">
        <v>0</v>
      </c>
      <c r="I484" s="669">
        <f t="shared" si="26"/>
        <v>0</v>
      </c>
      <c r="J484" t="s">
        <v>1701</v>
      </c>
    </row>
    <row r="485" spans="1:10" hidden="1" outlineLevel="1">
      <c r="A485" s="374" t="s">
        <v>1602</v>
      </c>
      <c r="B485" s="492">
        <v>99512.299999999988</v>
      </c>
      <c r="C485" s="406">
        <v>0</v>
      </c>
      <c r="D485" s="406">
        <v>0</v>
      </c>
      <c r="E485" s="406">
        <v>0</v>
      </c>
      <c r="F485" s="87">
        <f t="shared" si="25"/>
        <v>99512.299999999988</v>
      </c>
      <c r="G485" s="88">
        <v>0</v>
      </c>
      <c r="H485" s="134">
        <v>0</v>
      </c>
      <c r="I485" s="669">
        <f t="shared" si="26"/>
        <v>0</v>
      </c>
      <c r="J485" t="s">
        <v>1603</v>
      </c>
    </row>
    <row r="486" spans="1:10" hidden="1" outlineLevel="1">
      <c r="A486" s="374" t="s">
        <v>1340</v>
      </c>
      <c r="B486" s="492">
        <v>46503</v>
      </c>
      <c r="C486" s="406">
        <v>0</v>
      </c>
      <c r="D486" s="406">
        <v>0</v>
      </c>
      <c r="E486" s="406">
        <v>0</v>
      </c>
      <c r="F486" s="87">
        <f t="shared" si="25"/>
        <v>46503</v>
      </c>
      <c r="G486" s="88">
        <v>0</v>
      </c>
      <c r="H486" s="134">
        <v>0</v>
      </c>
      <c r="I486" s="669">
        <f t="shared" si="26"/>
        <v>0</v>
      </c>
      <c r="J486" t="s">
        <v>1341</v>
      </c>
    </row>
    <row r="487" spans="1:10" hidden="1" outlineLevel="1">
      <c r="A487" s="374" t="s">
        <v>456</v>
      </c>
      <c r="B487" s="492">
        <v>3318.74</v>
      </c>
      <c r="C487" s="406">
        <v>0</v>
      </c>
      <c r="D487" s="406">
        <v>0</v>
      </c>
      <c r="E487" s="406">
        <v>0</v>
      </c>
      <c r="F487" s="87">
        <f t="shared" si="25"/>
        <v>3318.74</v>
      </c>
      <c r="G487" s="88">
        <v>0</v>
      </c>
      <c r="H487" s="134">
        <v>0</v>
      </c>
      <c r="I487" s="669">
        <f t="shared" si="26"/>
        <v>0</v>
      </c>
      <c r="J487" t="s">
        <v>457</v>
      </c>
    </row>
    <row r="488" spans="1:10" hidden="1" outlineLevel="1">
      <c r="A488" s="374" t="s">
        <v>1303</v>
      </c>
      <c r="B488" s="492">
        <v>253368.7</v>
      </c>
      <c r="C488" s="406">
        <v>-127614.84</v>
      </c>
      <c r="D488" s="406">
        <v>0</v>
      </c>
      <c r="E488" s="406">
        <v>0</v>
      </c>
      <c r="F488" s="87">
        <f t="shared" si="25"/>
        <v>125753.86000000002</v>
      </c>
      <c r="G488" s="88">
        <v>0</v>
      </c>
      <c r="H488" s="134">
        <v>0</v>
      </c>
      <c r="I488" s="669">
        <f t="shared" si="26"/>
        <v>0</v>
      </c>
      <c r="J488" t="s">
        <v>1304</v>
      </c>
    </row>
    <row r="489" spans="1:10" hidden="1" outlineLevel="1">
      <c r="A489" s="374" t="s">
        <v>1626</v>
      </c>
      <c r="B489" s="492">
        <v>8206.59</v>
      </c>
      <c r="C489" s="406">
        <v>0</v>
      </c>
      <c r="D489" s="406">
        <v>0</v>
      </c>
      <c r="E489" s="406">
        <v>0</v>
      </c>
      <c r="F489" s="87">
        <f t="shared" si="25"/>
        <v>8206.59</v>
      </c>
      <c r="G489" s="88">
        <v>0</v>
      </c>
      <c r="H489" s="134">
        <v>0</v>
      </c>
      <c r="I489" s="669">
        <f t="shared" si="26"/>
        <v>0</v>
      </c>
      <c r="J489" t="s">
        <v>1627</v>
      </c>
    </row>
    <row r="490" spans="1:10" hidden="1" outlineLevel="1">
      <c r="A490" s="374" t="s">
        <v>1778</v>
      </c>
      <c r="B490" s="492">
        <v>504897.1</v>
      </c>
      <c r="C490" s="406">
        <v>0</v>
      </c>
      <c r="D490" s="406">
        <v>0</v>
      </c>
      <c r="E490" s="406">
        <v>0</v>
      </c>
      <c r="F490" s="87">
        <f t="shared" si="25"/>
        <v>504897.1</v>
      </c>
      <c r="G490" s="88">
        <v>17772.329999999998</v>
      </c>
      <c r="H490" s="134">
        <v>0</v>
      </c>
      <c r="I490" s="669">
        <f t="shared" si="26"/>
        <v>17772.329999999998</v>
      </c>
      <c r="J490" t="s">
        <v>1779</v>
      </c>
    </row>
    <row r="491" spans="1:10" hidden="1" outlineLevel="1">
      <c r="A491" s="374" t="s">
        <v>1768</v>
      </c>
      <c r="B491" s="492">
        <v>428392.24</v>
      </c>
      <c r="C491" s="406">
        <v>0</v>
      </c>
      <c r="D491" s="406">
        <v>0</v>
      </c>
      <c r="E491" s="406">
        <v>0</v>
      </c>
      <c r="F491" s="87">
        <f t="shared" si="25"/>
        <v>428392.24</v>
      </c>
      <c r="G491" s="88">
        <v>186379.12</v>
      </c>
      <c r="H491" s="134">
        <v>0</v>
      </c>
      <c r="I491" s="669">
        <f t="shared" si="26"/>
        <v>186379.12</v>
      </c>
      <c r="J491" t="s">
        <v>1769</v>
      </c>
    </row>
    <row r="492" spans="1:10" hidden="1" outlineLevel="1">
      <c r="A492" s="374" t="s">
        <v>1374</v>
      </c>
      <c r="B492" s="492">
        <v>174910.63</v>
      </c>
      <c r="C492" s="406">
        <v>0</v>
      </c>
      <c r="D492" s="406">
        <v>0</v>
      </c>
      <c r="E492" s="406">
        <v>0</v>
      </c>
      <c r="F492" s="87">
        <f t="shared" si="25"/>
        <v>174910.63</v>
      </c>
      <c r="G492" s="88">
        <v>5230.37</v>
      </c>
      <c r="H492" s="134">
        <v>0</v>
      </c>
      <c r="I492" s="669">
        <f t="shared" si="26"/>
        <v>5230.37</v>
      </c>
      <c r="J492" t="s">
        <v>1375</v>
      </c>
    </row>
    <row r="493" spans="1:10" hidden="1" outlineLevel="1">
      <c r="A493" s="374" t="s">
        <v>1746</v>
      </c>
      <c r="B493" s="492">
        <v>59595.609999999993</v>
      </c>
      <c r="C493" s="406">
        <v>0</v>
      </c>
      <c r="D493" s="406">
        <v>0</v>
      </c>
      <c r="E493" s="406">
        <v>0</v>
      </c>
      <c r="F493" s="87">
        <f t="shared" si="25"/>
        <v>59595.609999999993</v>
      </c>
      <c r="G493" s="88">
        <v>0</v>
      </c>
      <c r="H493" s="134">
        <v>0</v>
      </c>
      <c r="I493" s="669">
        <f t="shared" si="26"/>
        <v>0</v>
      </c>
      <c r="J493" t="s">
        <v>1747</v>
      </c>
    </row>
    <row r="494" spans="1:10" hidden="1" outlineLevel="1">
      <c r="A494" s="374" t="s">
        <v>1240</v>
      </c>
      <c r="B494" s="492">
        <v>412594.18000000005</v>
      </c>
      <c r="C494" s="406">
        <v>0</v>
      </c>
      <c r="D494" s="406">
        <v>0</v>
      </c>
      <c r="E494" s="406">
        <v>0</v>
      </c>
      <c r="F494" s="87">
        <f t="shared" si="25"/>
        <v>412594.18000000005</v>
      </c>
      <c r="G494" s="88">
        <v>0</v>
      </c>
      <c r="H494" s="134">
        <v>0</v>
      </c>
      <c r="I494" s="669">
        <f t="shared" si="26"/>
        <v>0</v>
      </c>
      <c r="J494" t="s">
        <v>1241</v>
      </c>
    </row>
    <row r="495" spans="1:10" hidden="1" outlineLevel="1">
      <c r="A495" s="374" t="s">
        <v>1450</v>
      </c>
      <c r="B495" s="492">
        <v>6476602.4800000004</v>
      </c>
      <c r="C495" s="406">
        <v>0</v>
      </c>
      <c r="D495" s="406">
        <v>0</v>
      </c>
      <c r="E495" s="406">
        <v>0</v>
      </c>
      <c r="F495" s="87">
        <f t="shared" si="25"/>
        <v>6476602.4800000004</v>
      </c>
      <c r="G495" s="88">
        <v>0</v>
      </c>
      <c r="H495" s="134">
        <v>0</v>
      </c>
      <c r="I495" s="669">
        <f t="shared" si="26"/>
        <v>0</v>
      </c>
      <c r="J495" t="s">
        <v>1451</v>
      </c>
    </row>
    <row r="496" spans="1:10" hidden="1" outlineLevel="1">
      <c r="A496" s="374" t="s">
        <v>1244</v>
      </c>
      <c r="B496" s="492">
        <v>30255.54</v>
      </c>
      <c r="C496" s="406">
        <v>0</v>
      </c>
      <c r="D496" s="406">
        <v>0</v>
      </c>
      <c r="E496" s="406">
        <v>0</v>
      </c>
      <c r="F496" s="87">
        <f t="shared" si="25"/>
        <v>30255.54</v>
      </c>
      <c r="G496" s="88">
        <v>15831.44</v>
      </c>
      <c r="H496" s="134">
        <v>0</v>
      </c>
      <c r="I496" s="669">
        <f t="shared" si="26"/>
        <v>15831.44</v>
      </c>
      <c r="J496" t="s">
        <v>1245</v>
      </c>
    </row>
    <row r="497" spans="1:10" hidden="1" outlineLevel="1">
      <c r="A497" s="374" t="s">
        <v>1606</v>
      </c>
      <c r="B497" s="492">
        <v>18615.849999999999</v>
      </c>
      <c r="C497" s="406">
        <v>0</v>
      </c>
      <c r="D497" s="406">
        <v>0</v>
      </c>
      <c r="E497" s="406">
        <v>0</v>
      </c>
      <c r="F497" s="87">
        <f t="shared" si="25"/>
        <v>18615.849999999999</v>
      </c>
      <c r="G497" s="88">
        <v>0</v>
      </c>
      <c r="H497" s="134">
        <v>0</v>
      </c>
      <c r="I497" s="669">
        <f t="shared" si="26"/>
        <v>0</v>
      </c>
      <c r="J497" t="s">
        <v>1607</v>
      </c>
    </row>
    <row r="498" spans="1:10" hidden="1" outlineLevel="1">
      <c r="A498" s="374" t="s">
        <v>1784</v>
      </c>
      <c r="B498" s="492">
        <v>9960.9599999999991</v>
      </c>
      <c r="C498" s="406">
        <v>0</v>
      </c>
      <c r="D498" s="406">
        <v>0</v>
      </c>
      <c r="E498" s="406">
        <v>0</v>
      </c>
      <c r="F498" s="87">
        <f t="shared" si="25"/>
        <v>9960.9599999999991</v>
      </c>
      <c r="G498" s="88">
        <v>-399.84</v>
      </c>
      <c r="H498" s="134">
        <v>0</v>
      </c>
      <c r="I498" s="669">
        <f t="shared" si="26"/>
        <v>-399.84</v>
      </c>
      <c r="J498" t="s">
        <v>1785</v>
      </c>
    </row>
    <row r="499" spans="1:10" hidden="1" outlineLevel="1">
      <c r="A499" s="374" t="s">
        <v>1669</v>
      </c>
      <c r="B499" s="492">
        <v>28579.869999999995</v>
      </c>
      <c r="C499" s="406">
        <v>0</v>
      </c>
      <c r="D499" s="406">
        <v>0</v>
      </c>
      <c r="E499" s="406">
        <v>0</v>
      </c>
      <c r="F499" s="87">
        <f t="shared" si="25"/>
        <v>28579.869999999995</v>
      </c>
      <c r="G499" s="88">
        <v>0</v>
      </c>
      <c r="H499" s="134">
        <v>0</v>
      </c>
      <c r="I499" s="669">
        <f t="shared" si="26"/>
        <v>0</v>
      </c>
      <c r="J499" t="s">
        <v>1670</v>
      </c>
    </row>
    <row r="500" spans="1:10" hidden="1" outlineLevel="1">
      <c r="A500" s="374" t="s">
        <v>1802</v>
      </c>
      <c r="B500" s="492">
        <v>8003.39</v>
      </c>
      <c r="C500" s="406">
        <v>0</v>
      </c>
      <c r="D500" s="406">
        <v>0</v>
      </c>
      <c r="E500" s="406">
        <v>0</v>
      </c>
      <c r="F500" s="87">
        <f t="shared" si="25"/>
        <v>8003.39</v>
      </c>
      <c r="G500" s="88">
        <v>0</v>
      </c>
      <c r="H500" s="134">
        <v>0</v>
      </c>
      <c r="I500" s="669">
        <f t="shared" si="26"/>
        <v>0</v>
      </c>
      <c r="J500" t="s">
        <v>1803</v>
      </c>
    </row>
    <row r="501" spans="1:10" hidden="1" outlineLevel="1">
      <c r="A501" s="374" t="s">
        <v>1786</v>
      </c>
      <c r="B501" s="492">
        <v>2217.64</v>
      </c>
      <c r="C501" s="406">
        <v>0</v>
      </c>
      <c r="D501" s="406">
        <v>0</v>
      </c>
      <c r="E501" s="406">
        <v>0</v>
      </c>
      <c r="F501" s="87">
        <f t="shared" si="25"/>
        <v>2217.64</v>
      </c>
      <c r="G501" s="88">
        <v>0</v>
      </c>
      <c r="H501" s="134">
        <v>0</v>
      </c>
      <c r="I501" s="669">
        <f t="shared" si="26"/>
        <v>0</v>
      </c>
      <c r="J501" t="s">
        <v>1787</v>
      </c>
    </row>
    <row r="502" spans="1:10" hidden="1" outlineLevel="1">
      <c r="A502" s="374" t="s">
        <v>1416</v>
      </c>
      <c r="B502" s="492">
        <v>21840</v>
      </c>
      <c r="C502" s="406">
        <v>0</v>
      </c>
      <c r="D502" s="406">
        <v>0</v>
      </c>
      <c r="E502" s="406">
        <v>0</v>
      </c>
      <c r="F502" s="87">
        <f t="shared" si="25"/>
        <v>21840</v>
      </c>
      <c r="G502" s="88">
        <v>38760.58</v>
      </c>
      <c r="H502" s="134">
        <v>0</v>
      </c>
      <c r="I502" s="669">
        <f t="shared" si="26"/>
        <v>38760.58</v>
      </c>
      <c r="J502" t="s">
        <v>1417</v>
      </c>
    </row>
    <row r="503" spans="1:10" hidden="1" outlineLevel="1">
      <c r="A503" s="374" t="s">
        <v>1522</v>
      </c>
      <c r="B503" s="492">
        <v>163625.51</v>
      </c>
      <c r="C503" s="406">
        <v>0</v>
      </c>
      <c r="D503" s="406">
        <v>0</v>
      </c>
      <c r="E503" s="406">
        <v>0</v>
      </c>
      <c r="F503" s="87">
        <f t="shared" si="25"/>
        <v>163625.51</v>
      </c>
      <c r="G503" s="88">
        <v>3433.33</v>
      </c>
      <c r="H503" s="134">
        <v>0</v>
      </c>
      <c r="I503" s="669">
        <f t="shared" si="26"/>
        <v>3433.33</v>
      </c>
      <c r="J503" t="s">
        <v>1523</v>
      </c>
    </row>
    <row r="504" spans="1:10" hidden="1" outlineLevel="1">
      <c r="A504" s="374" t="s">
        <v>1318</v>
      </c>
      <c r="B504" s="492">
        <v>22615.05</v>
      </c>
      <c r="C504" s="406">
        <v>0</v>
      </c>
      <c r="D504" s="406">
        <v>0</v>
      </c>
      <c r="E504" s="406">
        <v>0</v>
      </c>
      <c r="F504" s="87">
        <f t="shared" si="25"/>
        <v>22615.05</v>
      </c>
      <c r="G504" s="88">
        <v>0</v>
      </c>
      <c r="H504" s="134">
        <v>0</v>
      </c>
      <c r="I504" s="669">
        <f t="shared" si="26"/>
        <v>0</v>
      </c>
      <c r="J504" t="s">
        <v>1319</v>
      </c>
    </row>
    <row r="505" spans="1:10" hidden="1" outlineLevel="1">
      <c r="A505" s="374" t="s">
        <v>1452</v>
      </c>
      <c r="B505" s="492">
        <v>52932.75</v>
      </c>
      <c r="C505" s="406">
        <v>0</v>
      </c>
      <c r="D505" s="406"/>
      <c r="E505" s="406">
        <v>0</v>
      </c>
      <c r="F505" s="87">
        <f t="shared" si="25"/>
        <v>52932.75</v>
      </c>
      <c r="G505" s="88">
        <v>0</v>
      </c>
      <c r="H505" s="134">
        <v>0</v>
      </c>
      <c r="I505" s="669">
        <f t="shared" si="26"/>
        <v>0</v>
      </c>
      <c r="J505" t="s">
        <v>1453</v>
      </c>
    </row>
    <row r="506" spans="1:10" hidden="1" outlineLevel="1">
      <c r="A506" s="374" t="s">
        <v>1558</v>
      </c>
      <c r="B506" s="492">
        <v>241437.36</v>
      </c>
      <c r="C506" s="406">
        <v>-148.30000000000001</v>
      </c>
      <c r="D506" s="406">
        <v>-1680</v>
      </c>
      <c r="E506" s="406">
        <v>0</v>
      </c>
      <c r="F506" s="87">
        <f t="shared" si="25"/>
        <v>239609.06</v>
      </c>
      <c r="G506" s="88">
        <v>94191.900000000009</v>
      </c>
      <c r="H506" s="134">
        <v>-280</v>
      </c>
      <c r="I506" s="669">
        <f t="shared" si="26"/>
        <v>93911.900000000009</v>
      </c>
      <c r="J506" t="s">
        <v>1559</v>
      </c>
    </row>
    <row r="507" spans="1:10" hidden="1" outlineLevel="1">
      <c r="A507" s="374" t="s">
        <v>1265</v>
      </c>
      <c r="B507" s="492">
        <v>5847247.5</v>
      </c>
      <c r="C507" s="406">
        <v>0</v>
      </c>
      <c r="D507" s="406">
        <v>0</v>
      </c>
      <c r="E507" s="406">
        <v>0</v>
      </c>
      <c r="F507" s="87">
        <f t="shared" si="25"/>
        <v>5847247.5</v>
      </c>
      <c r="G507" s="88">
        <v>133593.82</v>
      </c>
      <c r="H507" s="134">
        <v>0</v>
      </c>
      <c r="I507" s="669">
        <f t="shared" si="26"/>
        <v>133593.82</v>
      </c>
      <c r="J507" t="s">
        <v>1266</v>
      </c>
    </row>
    <row r="508" spans="1:10" hidden="1" outlineLevel="1">
      <c r="A508" s="374" t="s">
        <v>1687</v>
      </c>
      <c r="B508" s="492">
        <v>7857763.8799999999</v>
      </c>
      <c r="C508" s="406">
        <v>0</v>
      </c>
      <c r="D508" s="406">
        <v>0</v>
      </c>
      <c r="E508" s="406">
        <v>0</v>
      </c>
      <c r="F508" s="87">
        <f t="shared" si="25"/>
        <v>7857763.8799999999</v>
      </c>
      <c r="G508" s="88">
        <v>0</v>
      </c>
      <c r="H508" s="134">
        <v>0</v>
      </c>
      <c r="I508" s="669">
        <f t="shared" si="26"/>
        <v>0</v>
      </c>
      <c r="J508" t="s">
        <v>1688</v>
      </c>
    </row>
    <row r="509" spans="1:10" hidden="1" outlineLevel="1">
      <c r="A509" s="374" t="s">
        <v>1454</v>
      </c>
      <c r="B509" s="492">
        <v>34726.649999999994</v>
      </c>
      <c r="C509" s="406">
        <v>0</v>
      </c>
      <c r="D509" s="406">
        <v>0</v>
      </c>
      <c r="E509" s="406">
        <v>0</v>
      </c>
      <c r="F509" s="87">
        <f t="shared" si="25"/>
        <v>34726.649999999994</v>
      </c>
      <c r="G509" s="88">
        <v>0</v>
      </c>
      <c r="H509" s="134">
        <v>0</v>
      </c>
      <c r="I509" s="669">
        <f t="shared" si="26"/>
        <v>0</v>
      </c>
      <c r="J509" t="s">
        <v>1455</v>
      </c>
    </row>
    <row r="510" spans="1:10" hidden="1" outlineLevel="1">
      <c r="A510" s="374" t="s">
        <v>1824</v>
      </c>
      <c r="B510" s="492">
        <v>2219.29</v>
      </c>
      <c r="C510" s="406">
        <v>0</v>
      </c>
      <c r="D510" s="406">
        <v>0</v>
      </c>
      <c r="E510" s="406">
        <v>0</v>
      </c>
      <c r="F510" s="87">
        <f t="shared" si="25"/>
        <v>2219.29</v>
      </c>
      <c r="G510" s="88">
        <v>0</v>
      </c>
      <c r="H510" s="134">
        <v>0</v>
      </c>
      <c r="I510" s="669">
        <f t="shared" si="26"/>
        <v>0</v>
      </c>
      <c r="J510" t="s">
        <v>1825</v>
      </c>
    </row>
    <row r="511" spans="1:10" hidden="1" outlineLevel="1">
      <c r="A511" s="374" t="s">
        <v>2234</v>
      </c>
      <c r="B511" s="492">
        <v>0</v>
      </c>
      <c r="C511" s="406">
        <v>0</v>
      </c>
      <c r="D511" s="406">
        <v>0</v>
      </c>
      <c r="E511" s="406">
        <v>0</v>
      </c>
      <c r="F511" s="87">
        <f t="shared" si="25"/>
        <v>0</v>
      </c>
      <c r="G511" s="88">
        <v>0</v>
      </c>
      <c r="H511" s="134">
        <v>0</v>
      </c>
      <c r="I511" s="669">
        <f t="shared" si="26"/>
        <v>0</v>
      </c>
      <c r="J511" t="s">
        <v>2235</v>
      </c>
    </row>
    <row r="512" spans="1:10" hidden="1" outlineLevel="1">
      <c r="A512" s="374" t="s">
        <v>1221</v>
      </c>
      <c r="B512" s="492">
        <v>1151033.83</v>
      </c>
      <c r="C512" s="406">
        <v>0</v>
      </c>
      <c r="D512" s="406">
        <v>0</v>
      </c>
      <c r="E512" s="406">
        <v>0</v>
      </c>
      <c r="F512" s="87">
        <f t="shared" si="25"/>
        <v>1151033.83</v>
      </c>
      <c r="G512" s="88">
        <v>0</v>
      </c>
      <c r="H512" s="134">
        <v>0</v>
      </c>
      <c r="I512" s="669">
        <f t="shared" si="26"/>
        <v>0</v>
      </c>
      <c r="J512" t="s">
        <v>1222</v>
      </c>
    </row>
    <row r="513" spans="1:10" hidden="1" outlineLevel="1">
      <c r="A513" s="374" t="s">
        <v>1683</v>
      </c>
      <c r="B513" s="492">
        <v>7143158.2799999993</v>
      </c>
      <c r="C513" s="406">
        <v>0</v>
      </c>
      <c r="D513" s="406">
        <v>0</v>
      </c>
      <c r="E513" s="406">
        <v>0</v>
      </c>
      <c r="F513" s="87">
        <f t="shared" si="25"/>
        <v>7143158.2799999993</v>
      </c>
      <c r="G513" s="88">
        <v>0</v>
      </c>
      <c r="H513" s="134">
        <v>0</v>
      </c>
      <c r="I513" s="669">
        <f t="shared" si="26"/>
        <v>0</v>
      </c>
      <c r="J513" t="s">
        <v>1684</v>
      </c>
    </row>
    <row r="514" spans="1:10" hidden="1" outlineLevel="1">
      <c r="A514" s="374" t="s">
        <v>891</v>
      </c>
      <c r="B514" s="492">
        <v>9090.32</v>
      </c>
      <c r="C514" s="406">
        <v>0</v>
      </c>
      <c r="D514" s="406">
        <v>0</v>
      </c>
      <c r="E514" s="406">
        <v>0</v>
      </c>
      <c r="F514" s="87">
        <f t="shared" si="25"/>
        <v>9090.32</v>
      </c>
      <c r="G514" s="88">
        <v>165.28</v>
      </c>
      <c r="H514" s="134">
        <v>0</v>
      </c>
      <c r="I514" s="669">
        <f t="shared" si="26"/>
        <v>165.28</v>
      </c>
      <c r="J514" t="s">
        <v>892</v>
      </c>
    </row>
    <row r="515" spans="1:10" hidden="1" outlineLevel="1">
      <c r="A515" s="374" t="s">
        <v>1305</v>
      </c>
      <c r="B515" s="492">
        <v>85844.109999999986</v>
      </c>
      <c r="C515" s="406">
        <v>0</v>
      </c>
      <c r="D515" s="406">
        <v>0</v>
      </c>
      <c r="E515" s="406">
        <v>0</v>
      </c>
      <c r="F515" s="87">
        <f t="shared" si="25"/>
        <v>85844.109999999986</v>
      </c>
      <c r="G515" s="88">
        <v>0</v>
      </c>
      <c r="H515" s="134">
        <v>0</v>
      </c>
      <c r="I515" s="669">
        <f t="shared" si="26"/>
        <v>0</v>
      </c>
      <c r="J515" t="s">
        <v>1306</v>
      </c>
    </row>
    <row r="516" spans="1:10" hidden="1" outlineLevel="1">
      <c r="A516" s="374" t="s">
        <v>1384</v>
      </c>
      <c r="B516" s="492">
        <v>24845.87</v>
      </c>
      <c r="C516" s="406">
        <v>-1089.48</v>
      </c>
      <c r="D516" s="406">
        <v>0</v>
      </c>
      <c r="E516" s="406">
        <v>0</v>
      </c>
      <c r="F516" s="87">
        <f t="shared" si="25"/>
        <v>23756.39</v>
      </c>
      <c r="G516" s="88">
        <v>0</v>
      </c>
      <c r="H516" s="134">
        <v>0</v>
      </c>
      <c r="I516" s="669">
        <f t="shared" si="26"/>
        <v>0</v>
      </c>
      <c r="J516" t="s">
        <v>1385</v>
      </c>
    </row>
    <row r="517" spans="1:10" hidden="1" outlineLevel="1">
      <c r="A517" s="374" t="s">
        <v>1312</v>
      </c>
      <c r="B517" s="492">
        <v>6262891.6600000001</v>
      </c>
      <c r="C517" s="406">
        <v>0</v>
      </c>
      <c r="D517" s="406">
        <v>0</v>
      </c>
      <c r="E517" s="406">
        <v>0</v>
      </c>
      <c r="F517" s="87">
        <f t="shared" si="25"/>
        <v>6262891.6600000001</v>
      </c>
      <c r="G517" s="88">
        <v>565621.01</v>
      </c>
      <c r="H517" s="134">
        <v>0</v>
      </c>
      <c r="I517" s="669">
        <f t="shared" si="26"/>
        <v>565621.01</v>
      </c>
      <c r="J517" t="s">
        <v>1313</v>
      </c>
    </row>
    <row r="518" spans="1:10" hidden="1" outlineLevel="1">
      <c r="A518" s="374" t="s">
        <v>1498</v>
      </c>
      <c r="B518" s="492">
        <v>9645.64</v>
      </c>
      <c r="C518" s="406">
        <v>0</v>
      </c>
      <c r="D518" s="406">
        <v>0</v>
      </c>
      <c r="E518" s="406">
        <v>0</v>
      </c>
      <c r="F518" s="87">
        <f t="shared" si="25"/>
        <v>9645.64</v>
      </c>
      <c r="G518" s="88">
        <v>0</v>
      </c>
      <c r="H518" s="134">
        <v>0</v>
      </c>
      <c r="I518" s="669">
        <f t="shared" si="26"/>
        <v>0</v>
      </c>
      <c r="J518" t="s">
        <v>1499</v>
      </c>
    </row>
    <row r="519" spans="1:10" hidden="1" outlineLevel="1">
      <c r="A519" s="374" t="s">
        <v>1570</v>
      </c>
      <c r="B519" s="492">
        <v>147122.53999999998</v>
      </c>
      <c r="C519" s="406">
        <v>0</v>
      </c>
      <c r="D519" s="406">
        <v>0</v>
      </c>
      <c r="E519" s="406">
        <v>0</v>
      </c>
      <c r="F519" s="87">
        <f t="shared" si="25"/>
        <v>147122.53999999998</v>
      </c>
      <c r="G519" s="88">
        <v>0</v>
      </c>
      <c r="H519" s="134">
        <v>0</v>
      </c>
      <c r="I519" s="669">
        <f t="shared" si="26"/>
        <v>0</v>
      </c>
      <c r="J519" t="s">
        <v>1571</v>
      </c>
    </row>
    <row r="520" spans="1:10" hidden="1" outlineLevel="1">
      <c r="A520" s="374" t="s">
        <v>564</v>
      </c>
      <c r="B520" s="492">
        <v>552343.42999999993</v>
      </c>
      <c r="C520" s="406">
        <v>0</v>
      </c>
      <c r="D520" s="406">
        <v>0</v>
      </c>
      <c r="E520" s="406">
        <v>0</v>
      </c>
      <c r="F520" s="87">
        <f t="shared" si="25"/>
        <v>552343.42999999993</v>
      </c>
      <c r="G520" s="88">
        <v>33042.42</v>
      </c>
      <c r="H520" s="134">
        <v>0</v>
      </c>
      <c r="I520" s="669">
        <f t="shared" si="26"/>
        <v>33042.42</v>
      </c>
      <c r="J520" t="s">
        <v>565</v>
      </c>
    </row>
    <row r="521" spans="1:10" hidden="1" outlineLevel="1">
      <c r="A521" s="374" t="s">
        <v>1654</v>
      </c>
      <c r="B521" s="492">
        <v>628441.47</v>
      </c>
      <c r="C521" s="406">
        <v>0</v>
      </c>
      <c r="D521" s="406">
        <v>0</v>
      </c>
      <c r="E521" s="406">
        <v>0</v>
      </c>
      <c r="F521" s="87">
        <f t="shared" si="25"/>
        <v>628441.47</v>
      </c>
      <c r="G521" s="88">
        <v>622037.07000000007</v>
      </c>
      <c r="H521" s="134">
        <v>0</v>
      </c>
      <c r="I521" s="669">
        <f t="shared" si="26"/>
        <v>622037.07000000007</v>
      </c>
      <c r="J521" t="s">
        <v>1655</v>
      </c>
    </row>
    <row r="522" spans="1:10" hidden="1" outlineLevel="1">
      <c r="A522" s="374" t="s">
        <v>1444</v>
      </c>
      <c r="B522" s="492">
        <v>699800.2</v>
      </c>
      <c r="C522" s="406">
        <v>-630.66999999999996</v>
      </c>
      <c r="D522" s="406">
        <v>0</v>
      </c>
      <c r="E522" s="406">
        <v>0</v>
      </c>
      <c r="F522" s="87">
        <f t="shared" si="25"/>
        <v>699169.52999999991</v>
      </c>
      <c r="G522" s="88">
        <v>194372.64</v>
      </c>
      <c r="H522" s="134">
        <v>0</v>
      </c>
      <c r="I522" s="669">
        <f t="shared" si="26"/>
        <v>194372.64</v>
      </c>
      <c r="J522" t="s">
        <v>1445</v>
      </c>
    </row>
    <row r="523" spans="1:10" hidden="1" outlineLevel="1">
      <c r="A523" s="374" t="s">
        <v>1285</v>
      </c>
      <c r="B523" s="492">
        <v>1634.96</v>
      </c>
      <c r="C523" s="406">
        <v>0</v>
      </c>
      <c r="D523" s="406">
        <v>0</v>
      </c>
      <c r="E523" s="406">
        <v>0</v>
      </c>
      <c r="F523" s="87">
        <f t="shared" si="25"/>
        <v>1634.96</v>
      </c>
      <c r="G523" s="88">
        <v>0</v>
      </c>
      <c r="H523" s="134">
        <v>0</v>
      </c>
      <c r="I523" s="669">
        <f t="shared" si="26"/>
        <v>0</v>
      </c>
      <c r="J523" t="s">
        <v>1286</v>
      </c>
    </row>
    <row r="524" spans="1:10" hidden="1" outlineLevel="1">
      <c r="A524" s="374" t="s">
        <v>1702</v>
      </c>
      <c r="B524" s="492">
        <v>5816.18</v>
      </c>
      <c r="C524" s="406">
        <v>0</v>
      </c>
      <c r="D524" s="406">
        <v>0</v>
      </c>
      <c r="E524" s="406">
        <v>0</v>
      </c>
      <c r="F524" s="87">
        <f t="shared" si="25"/>
        <v>5816.18</v>
      </c>
      <c r="G524" s="88">
        <v>0</v>
      </c>
      <c r="H524" s="134">
        <v>0</v>
      </c>
      <c r="I524" s="669">
        <f t="shared" si="26"/>
        <v>0</v>
      </c>
      <c r="J524" t="s">
        <v>1703</v>
      </c>
    </row>
    <row r="525" spans="1:10" hidden="1" outlineLevel="1">
      <c r="A525" s="374" t="s">
        <v>1562</v>
      </c>
      <c r="B525" s="492">
        <v>3080</v>
      </c>
      <c r="C525" s="406">
        <v>0</v>
      </c>
      <c r="D525" s="406">
        <v>0</v>
      </c>
      <c r="E525" s="406">
        <v>0</v>
      </c>
      <c r="F525" s="87">
        <f t="shared" si="25"/>
        <v>3080</v>
      </c>
      <c r="G525" s="88">
        <v>0</v>
      </c>
      <c r="H525" s="134">
        <v>0</v>
      </c>
      <c r="I525" s="669">
        <f t="shared" si="26"/>
        <v>0</v>
      </c>
      <c r="J525" t="s">
        <v>1563</v>
      </c>
    </row>
    <row r="526" spans="1:10" hidden="1" outlineLevel="1">
      <c r="A526" s="374" t="s">
        <v>1528</v>
      </c>
      <c r="B526" s="492">
        <v>645849.75</v>
      </c>
      <c r="C526" s="406">
        <v>0</v>
      </c>
      <c r="D526" s="406">
        <v>0</v>
      </c>
      <c r="E526" s="406">
        <v>0</v>
      </c>
      <c r="F526" s="87">
        <f t="shared" si="25"/>
        <v>645849.75</v>
      </c>
      <c r="G526" s="88">
        <v>0</v>
      </c>
      <c r="H526" s="134">
        <v>0</v>
      </c>
      <c r="I526" s="669">
        <f t="shared" si="26"/>
        <v>0</v>
      </c>
      <c r="J526" t="s">
        <v>1529</v>
      </c>
    </row>
    <row r="527" spans="1:10" hidden="1" outlineLevel="1">
      <c r="A527" s="374" t="s">
        <v>1808</v>
      </c>
      <c r="B527" s="492">
        <v>3009866.6100000003</v>
      </c>
      <c r="C527" s="406">
        <v>-461.95</v>
      </c>
      <c r="D527" s="406">
        <v>20900</v>
      </c>
      <c r="E527" s="406">
        <v>0</v>
      </c>
      <c r="F527" s="87">
        <f t="shared" si="25"/>
        <v>3030304.66</v>
      </c>
      <c r="G527" s="88">
        <v>75576.22</v>
      </c>
      <c r="H527" s="134">
        <v>0</v>
      </c>
      <c r="I527" s="669">
        <f t="shared" si="26"/>
        <v>75576.22</v>
      </c>
      <c r="J527" t="s">
        <v>1809</v>
      </c>
    </row>
    <row r="528" spans="1:10" hidden="1" outlineLevel="1">
      <c r="A528" s="374" t="s">
        <v>1514</v>
      </c>
      <c r="B528" s="492">
        <v>25460.04</v>
      </c>
      <c r="C528" s="406">
        <v>0</v>
      </c>
      <c r="D528" s="406">
        <v>0</v>
      </c>
      <c r="E528" s="406">
        <v>0</v>
      </c>
      <c r="F528" s="87">
        <f t="shared" si="25"/>
        <v>25460.04</v>
      </c>
      <c r="G528" s="88">
        <v>0</v>
      </c>
      <c r="H528" s="134">
        <v>0</v>
      </c>
      <c r="I528" s="669">
        <f t="shared" si="26"/>
        <v>0</v>
      </c>
      <c r="J528" t="s">
        <v>1515</v>
      </c>
    </row>
    <row r="529" spans="1:10" hidden="1" outlineLevel="1">
      <c r="A529" s="374" t="s">
        <v>1386</v>
      </c>
      <c r="B529" s="492">
        <v>9327.42</v>
      </c>
      <c r="C529" s="406">
        <v>0</v>
      </c>
      <c r="D529" s="406">
        <v>0</v>
      </c>
      <c r="E529" s="406">
        <v>0</v>
      </c>
      <c r="F529" s="87">
        <f t="shared" si="25"/>
        <v>9327.42</v>
      </c>
      <c r="G529" s="88">
        <v>0</v>
      </c>
      <c r="H529" s="134">
        <v>0</v>
      </c>
      <c r="I529" s="669">
        <f t="shared" si="26"/>
        <v>0</v>
      </c>
      <c r="J529" t="s">
        <v>1387</v>
      </c>
    </row>
    <row r="530" spans="1:10" hidden="1" outlineLevel="1">
      <c r="A530" s="374" t="s">
        <v>1402</v>
      </c>
      <c r="B530" s="492">
        <v>3504974.4899999993</v>
      </c>
      <c r="C530" s="406">
        <v>0</v>
      </c>
      <c r="D530" s="406">
        <v>0</v>
      </c>
      <c r="E530" s="406">
        <v>0</v>
      </c>
      <c r="F530" s="87">
        <f t="shared" si="25"/>
        <v>3504974.4899999993</v>
      </c>
      <c r="G530" s="88">
        <v>-2782.0299999999997</v>
      </c>
      <c r="H530" s="134">
        <v>0</v>
      </c>
      <c r="I530" s="669">
        <f t="shared" si="26"/>
        <v>-2782.0299999999997</v>
      </c>
      <c r="J530" t="s">
        <v>1403</v>
      </c>
    </row>
    <row r="531" spans="1:10" hidden="1" outlineLevel="1">
      <c r="A531" s="374" t="s">
        <v>1600</v>
      </c>
      <c r="B531" s="492">
        <v>103208.81</v>
      </c>
      <c r="C531" s="406">
        <v>0</v>
      </c>
      <c r="D531" s="406">
        <v>0</v>
      </c>
      <c r="E531" s="406">
        <v>0</v>
      </c>
      <c r="F531" s="87">
        <f t="shared" si="25"/>
        <v>103208.81</v>
      </c>
      <c r="G531" s="88">
        <v>0</v>
      </c>
      <c r="H531" s="134">
        <v>0</v>
      </c>
      <c r="I531" s="669">
        <f t="shared" si="26"/>
        <v>0</v>
      </c>
      <c r="J531" t="s">
        <v>1601</v>
      </c>
    </row>
    <row r="532" spans="1:10" hidden="1" outlineLevel="1">
      <c r="A532" s="374" t="s">
        <v>1448</v>
      </c>
      <c r="B532" s="492">
        <v>34694.39</v>
      </c>
      <c r="C532" s="406">
        <v>0</v>
      </c>
      <c r="D532" s="406">
        <v>0</v>
      </c>
      <c r="E532" s="406">
        <v>0</v>
      </c>
      <c r="F532" s="87">
        <f t="shared" si="25"/>
        <v>34694.39</v>
      </c>
      <c r="G532" s="88">
        <v>0</v>
      </c>
      <c r="H532" s="134">
        <v>0</v>
      </c>
      <c r="I532" s="669">
        <f t="shared" si="26"/>
        <v>0</v>
      </c>
      <c r="J532" t="s">
        <v>1449</v>
      </c>
    </row>
    <row r="533" spans="1:10" hidden="1" outlineLevel="1">
      <c r="A533" s="374" t="s">
        <v>1484</v>
      </c>
      <c r="B533" s="492">
        <v>75238.22</v>
      </c>
      <c r="C533" s="406">
        <v>0</v>
      </c>
      <c r="D533" s="406">
        <v>0</v>
      </c>
      <c r="E533" s="406">
        <v>0</v>
      </c>
      <c r="F533" s="87">
        <f t="shared" si="25"/>
        <v>75238.22</v>
      </c>
      <c r="G533" s="88">
        <v>0</v>
      </c>
      <c r="H533" s="134">
        <v>0</v>
      </c>
      <c r="I533" s="669">
        <f t="shared" si="26"/>
        <v>0</v>
      </c>
      <c r="J533" t="s">
        <v>1485</v>
      </c>
    </row>
    <row r="534" spans="1:10" hidden="1" outlineLevel="1">
      <c r="A534" s="374" t="s">
        <v>1714</v>
      </c>
      <c r="B534" s="492">
        <v>273097.68</v>
      </c>
      <c r="C534" s="406">
        <v>0</v>
      </c>
      <c r="D534" s="406">
        <v>0</v>
      </c>
      <c r="E534" s="406">
        <v>0</v>
      </c>
      <c r="F534" s="87">
        <f t="shared" ref="F534:F597" si="27">SUM(B534:E534)</f>
        <v>273097.68</v>
      </c>
      <c r="G534" s="88">
        <v>0</v>
      </c>
      <c r="H534" s="134">
        <v>0</v>
      </c>
      <c r="I534" s="669">
        <f t="shared" ref="I534:I597" si="28">G534+H534</f>
        <v>0</v>
      </c>
      <c r="J534" t="s">
        <v>1715</v>
      </c>
    </row>
    <row r="535" spans="1:10" hidden="1" outlineLevel="1">
      <c r="A535" s="374" t="s">
        <v>1412</v>
      </c>
      <c r="B535" s="492">
        <v>117324.98999999999</v>
      </c>
      <c r="C535" s="406">
        <v>0</v>
      </c>
      <c r="D535" s="406">
        <v>0</v>
      </c>
      <c r="E535" s="406">
        <v>0</v>
      </c>
      <c r="F535" s="87">
        <f t="shared" si="27"/>
        <v>117324.98999999999</v>
      </c>
      <c r="G535" s="88">
        <v>0</v>
      </c>
      <c r="H535" s="134">
        <v>0</v>
      </c>
      <c r="I535" s="669">
        <f t="shared" si="28"/>
        <v>0</v>
      </c>
      <c r="J535" t="s">
        <v>1413</v>
      </c>
    </row>
    <row r="536" spans="1:10" hidden="1" outlineLevel="1">
      <c r="A536" s="374" t="s">
        <v>1426</v>
      </c>
      <c r="B536" s="492">
        <v>118546</v>
      </c>
      <c r="C536" s="406">
        <v>0</v>
      </c>
      <c r="D536" s="406">
        <v>0</v>
      </c>
      <c r="E536" s="406">
        <v>0</v>
      </c>
      <c r="F536" s="87">
        <f t="shared" si="27"/>
        <v>118546</v>
      </c>
      <c r="G536" s="88">
        <v>0</v>
      </c>
      <c r="H536" s="134">
        <v>0</v>
      </c>
      <c r="I536" s="669">
        <f t="shared" si="28"/>
        <v>0</v>
      </c>
      <c r="J536" t="s">
        <v>1427</v>
      </c>
    </row>
    <row r="537" spans="1:10" hidden="1" outlineLevel="1">
      <c r="A537" s="374" t="s">
        <v>1582</v>
      </c>
      <c r="B537" s="492">
        <v>62349.57</v>
      </c>
      <c r="C537" s="406">
        <v>0</v>
      </c>
      <c r="D537" s="406">
        <v>0</v>
      </c>
      <c r="E537" s="406">
        <v>0</v>
      </c>
      <c r="F537" s="87">
        <f t="shared" si="27"/>
        <v>62349.57</v>
      </c>
      <c r="G537" s="88">
        <v>21517.120000000003</v>
      </c>
      <c r="H537" s="134">
        <v>0</v>
      </c>
      <c r="I537" s="669">
        <f t="shared" si="28"/>
        <v>21517.120000000003</v>
      </c>
      <c r="J537" t="s">
        <v>1583</v>
      </c>
    </row>
    <row r="538" spans="1:10" hidden="1" outlineLevel="1">
      <c r="A538" s="374" t="s">
        <v>1754</v>
      </c>
      <c r="B538" s="492">
        <v>10687.2</v>
      </c>
      <c r="C538" s="406">
        <v>0</v>
      </c>
      <c r="D538" s="406">
        <v>0</v>
      </c>
      <c r="E538" s="406">
        <v>0</v>
      </c>
      <c r="F538" s="87">
        <f t="shared" si="27"/>
        <v>10687.2</v>
      </c>
      <c r="G538" s="88">
        <v>0</v>
      </c>
      <c r="H538" s="134">
        <v>0</v>
      </c>
      <c r="I538" s="669">
        <f t="shared" si="28"/>
        <v>0</v>
      </c>
      <c r="J538" t="s">
        <v>1755</v>
      </c>
    </row>
    <row r="539" spans="1:10" hidden="1" outlineLevel="1">
      <c r="A539" s="374" t="s">
        <v>1648</v>
      </c>
      <c r="B539" s="492">
        <v>91400.18</v>
      </c>
      <c r="C539" s="406">
        <v>0</v>
      </c>
      <c r="D539" s="406">
        <v>0</v>
      </c>
      <c r="E539" s="406">
        <v>0</v>
      </c>
      <c r="F539" s="87">
        <f t="shared" si="27"/>
        <v>91400.18</v>
      </c>
      <c r="G539" s="88">
        <v>0</v>
      </c>
      <c r="H539" s="134">
        <v>0</v>
      </c>
      <c r="I539" s="669">
        <f t="shared" si="28"/>
        <v>0</v>
      </c>
      <c r="J539" t="s">
        <v>1649</v>
      </c>
    </row>
    <row r="540" spans="1:10" hidden="1" outlineLevel="1">
      <c r="A540" s="374" t="s">
        <v>1229</v>
      </c>
      <c r="B540" s="492">
        <v>236845.77</v>
      </c>
      <c r="C540" s="406">
        <v>0</v>
      </c>
      <c r="D540" s="406">
        <v>0</v>
      </c>
      <c r="E540" s="406">
        <v>0</v>
      </c>
      <c r="F540" s="87">
        <f t="shared" si="27"/>
        <v>236845.77</v>
      </c>
      <c r="G540" s="88">
        <v>99798.700000000012</v>
      </c>
      <c r="H540" s="134">
        <v>0</v>
      </c>
      <c r="I540" s="669">
        <f t="shared" si="28"/>
        <v>99798.700000000012</v>
      </c>
      <c r="J540" t="s">
        <v>1230</v>
      </c>
    </row>
    <row r="541" spans="1:10" hidden="1" outlineLevel="1">
      <c r="A541" s="374" t="s">
        <v>1440</v>
      </c>
      <c r="B541" s="492">
        <v>122579.75</v>
      </c>
      <c r="C541" s="406">
        <v>0</v>
      </c>
      <c r="D541" s="406">
        <v>0</v>
      </c>
      <c r="E541" s="406">
        <v>0</v>
      </c>
      <c r="F541" s="87">
        <f t="shared" si="27"/>
        <v>122579.75</v>
      </c>
      <c r="G541" s="88">
        <v>0</v>
      </c>
      <c r="H541" s="134">
        <v>0</v>
      </c>
      <c r="I541" s="669">
        <f t="shared" si="28"/>
        <v>0</v>
      </c>
      <c r="J541" t="s">
        <v>1441</v>
      </c>
    </row>
    <row r="542" spans="1:10" hidden="1" outlineLevel="1">
      <c r="A542" s="374" t="s">
        <v>1708</v>
      </c>
      <c r="B542" s="492">
        <v>4817.88</v>
      </c>
      <c r="C542" s="406">
        <v>0</v>
      </c>
      <c r="D542" s="406">
        <v>0</v>
      </c>
      <c r="E542" s="406">
        <v>0</v>
      </c>
      <c r="F542" s="87">
        <f t="shared" si="27"/>
        <v>4817.88</v>
      </c>
      <c r="G542" s="88">
        <v>0</v>
      </c>
      <c r="H542" s="134">
        <v>0</v>
      </c>
      <c r="I542" s="669">
        <f t="shared" si="28"/>
        <v>0</v>
      </c>
      <c r="J542" t="s">
        <v>1709</v>
      </c>
    </row>
    <row r="543" spans="1:10" hidden="1" outlineLevel="1">
      <c r="A543" s="374" t="s">
        <v>1762</v>
      </c>
      <c r="B543" s="492">
        <v>29042.699999999997</v>
      </c>
      <c r="C543" s="406">
        <v>-34.89</v>
      </c>
      <c r="D543" s="406">
        <v>0</v>
      </c>
      <c r="E543" s="406">
        <v>0</v>
      </c>
      <c r="F543" s="87">
        <f t="shared" si="27"/>
        <v>29007.809999999998</v>
      </c>
      <c r="G543" s="88">
        <v>3492.39</v>
      </c>
      <c r="H543" s="134">
        <v>0</v>
      </c>
      <c r="I543" s="669">
        <f t="shared" si="28"/>
        <v>3492.39</v>
      </c>
      <c r="J543" t="s">
        <v>1763</v>
      </c>
    </row>
    <row r="544" spans="1:10" hidden="1" outlineLevel="1">
      <c r="A544" s="374" t="s">
        <v>1566</v>
      </c>
      <c r="B544" s="492">
        <v>1505458.48</v>
      </c>
      <c r="C544" s="406">
        <v>0</v>
      </c>
      <c r="D544" s="406">
        <v>0</v>
      </c>
      <c r="E544" s="406">
        <v>0</v>
      </c>
      <c r="F544" s="87">
        <f t="shared" si="27"/>
        <v>1505458.48</v>
      </c>
      <c r="G544" s="88">
        <v>0</v>
      </c>
      <c r="H544" s="134">
        <v>0</v>
      </c>
      <c r="I544" s="669">
        <f t="shared" si="28"/>
        <v>0</v>
      </c>
      <c r="J544" t="s">
        <v>1567</v>
      </c>
    </row>
    <row r="545" spans="1:10" hidden="1" outlineLevel="1">
      <c r="A545" s="374" t="s">
        <v>1630</v>
      </c>
      <c r="B545" s="492">
        <v>24112.649999999998</v>
      </c>
      <c r="C545" s="406">
        <v>0</v>
      </c>
      <c r="D545" s="406">
        <v>0</v>
      </c>
      <c r="E545" s="406">
        <v>0</v>
      </c>
      <c r="F545" s="87">
        <f t="shared" si="27"/>
        <v>24112.649999999998</v>
      </c>
      <c r="G545" s="88">
        <v>0</v>
      </c>
      <c r="H545" s="134">
        <v>0</v>
      </c>
      <c r="I545" s="669">
        <f t="shared" si="28"/>
        <v>0</v>
      </c>
      <c r="J545" t="s">
        <v>1631</v>
      </c>
    </row>
    <row r="546" spans="1:10" hidden="1" outlineLevel="1">
      <c r="A546" s="374" t="s">
        <v>1496</v>
      </c>
      <c r="B546" s="492">
        <v>351601.01</v>
      </c>
      <c r="C546" s="406">
        <v>0</v>
      </c>
      <c r="D546" s="406">
        <v>0</v>
      </c>
      <c r="E546" s="406">
        <v>0</v>
      </c>
      <c r="F546" s="87">
        <f t="shared" si="27"/>
        <v>351601.01</v>
      </c>
      <c r="G546" s="88">
        <v>0</v>
      </c>
      <c r="H546" s="134">
        <v>0</v>
      </c>
      <c r="I546" s="669">
        <f t="shared" si="28"/>
        <v>0</v>
      </c>
      <c r="J546" t="s">
        <v>1497</v>
      </c>
    </row>
    <row r="547" spans="1:10" hidden="1" outlineLevel="1">
      <c r="A547" s="374" t="s">
        <v>1502</v>
      </c>
      <c r="B547" s="492">
        <v>51801.1</v>
      </c>
      <c r="C547" s="406">
        <v>0</v>
      </c>
      <c r="D547" s="406">
        <v>0</v>
      </c>
      <c r="E547" s="406">
        <v>0</v>
      </c>
      <c r="F547" s="87">
        <f t="shared" si="27"/>
        <v>51801.1</v>
      </c>
      <c r="G547" s="88">
        <v>11784.28</v>
      </c>
      <c r="H547" s="134">
        <v>0</v>
      </c>
      <c r="I547" s="669">
        <f t="shared" si="28"/>
        <v>11784.28</v>
      </c>
      <c r="J547" t="s">
        <v>1503</v>
      </c>
    </row>
    <row r="548" spans="1:10" hidden="1" outlineLevel="1">
      <c r="A548" s="374" t="s">
        <v>1750</v>
      </c>
      <c r="B548" s="492">
        <v>105812.15</v>
      </c>
      <c r="C548" s="406">
        <v>0</v>
      </c>
      <c r="D548" s="406">
        <v>0</v>
      </c>
      <c r="E548" s="406">
        <v>0</v>
      </c>
      <c r="F548" s="87">
        <f t="shared" si="27"/>
        <v>105812.15</v>
      </c>
      <c r="G548" s="88">
        <v>-3954.0500000000011</v>
      </c>
      <c r="H548" s="134">
        <v>0</v>
      </c>
      <c r="I548" s="669">
        <f t="shared" si="28"/>
        <v>-3954.0500000000011</v>
      </c>
      <c r="J548" t="s">
        <v>1751</v>
      </c>
    </row>
    <row r="549" spans="1:10" hidden="1" outlineLevel="1">
      <c r="A549" s="374" t="s">
        <v>1572</v>
      </c>
      <c r="B549" s="492">
        <v>157017.46</v>
      </c>
      <c r="C549" s="406">
        <v>0</v>
      </c>
      <c r="D549" s="406">
        <v>0</v>
      </c>
      <c r="E549" s="406">
        <v>0</v>
      </c>
      <c r="F549" s="87">
        <f t="shared" si="27"/>
        <v>157017.46</v>
      </c>
      <c r="G549" s="88">
        <v>0</v>
      </c>
      <c r="H549" s="134">
        <v>0</v>
      </c>
      <c r="I549" s="669">
        <f t="shared" si="28"/>
        <v>0</v>
      </c>
      <c r="J549" t="s">
        <v>1573</v>
      </c>
    </row>
    <row r="550" spans="1:10" hidden="1" outlineLevel="1">
      <c r="A550" s="374" t="s">
        <v>1598</v>
      </c>
      <c r="B550" s="492">
        <v>123016.76</v>
      </c>
      <c r="C550" s="406">
        <v>0</v>
      </c>
      <c r="D550" s="406">
        <v>0</v>
      </c>
      <c r="E550" s="406">
        <v>0</v>
      </c>
      <c r="F550" s="87">
        <f t="shared" si="27"/>
        <v>123016.76</v>
      </c>
      <c r="G550" s="88">
        <v>0</v>
      </c>
      <c r="H550" s="134">
        <v>0</v>
      </c>
      <c r="I550" s="669">
        <f t="shared" si="28"/>
        <v>0</v>
      </c>
      <c r="J550" t="s">
        <v>1599</v>
      </c>
    </row>
    <row r="551" spans="1:10" hidden="1" outlineLevel="1">
      <c r="A551" s="374" t="s">
        <v>1548</v>
      </c>
      <c r="B551" s="492">
        <v>6156.2300000000014</v>
      </c>
      <c r="C551" s="406">
        <v>0</v>
      </c>
      <c r="D551" s="406">
        <v>0</v>
      </c>
      <c r="E551" s="406">
        <v>0</v>
      </c>
      <c r="F551" s="87">
        <f t="shared" si="27"/>
        <v>6156.2300000000014</v>
      </c>
      <c r="G551" s="88">
        <v>4694</v>
      </c>
      <c r="H551" s="134">
        <v>0</v>
      </c>
      <c r="I551" s="669">
        <f t="shared" si="28"/>
        <v>4694</v>
      </c>
      <c r="J551" t="s">
        <v>1549</v>
      </c>
    </row>
    <row r="552" spans="1:10" hidden="1" outlineLevel="1">
      <c r="A552" s="374" t="s">
        <v>1504</v>
      </c>
      <c r="B552" s="492">
        <v>343638.81</v>
      </c>
      <c r="C552" s="406">
        <v>0</v>
      </c>
      <c r="D552" s="406">
        <v>0</v>
      </c>
      <c r="E552" s="406">
        <v>0</v>
      </c>
      <c r="F552" s="87">
        <f t="shared" si="27"/>
        <v>343638.81</v>
      </c>
      <c r="G552" s="88">
        <v>73756.84</v>
      </c>
      <c r="H552" s="134">
        <v>0</v>
      </c>
      <c r="I552" s="669">
        <f t="shared" si="28"/>
        <v>73756.84</v>
      </c>
      <c r="J552" t="s">
        <v>1505</v>
      </c>
    </row>
    <row r="553" spans="1:10" hidden="1" outlineLevel="1">
      <c r="A553" s="374" t="s">
        <v>1246</v>
      </c>
      <c r="B553" s="492">
        <v>1167.3600000000001</v>
      </c>
      <c r="C553" s="406">
        <v>0</v>
      </c>
      <c r="D553" s="406">
        <v>0</v>
      </c>
      <c r="E553" s="406">
        <v>0</v>
      </c>
      <c r="F553" s="87">
        <f t="shared" si="27"/>
        <v>1167.3600000000001</v>
      </c>
      <c r="G553" s="88">
        <v>0</v>
      </c>
      <c r="H553" s="134">
        <v>0</v>
      </c>
      <c r="I553" s="669">
        <f t="shared" si="28"/>
        <v>0</v>
      </c>
      <c r="J553" t="s">
        <v>1247</v>
      </c>
    </row>
    <row r="554" spans="1:10" hidden="1" outlineLevel="1">
      <c r="A554" s="374" t="s">
        <v>1634</v>
      </c>
      <c r="B554" s="492">
        <v>996557.5</v>
      </c>
      <c r="C554" s="406">
        <v>0</v>
      </c>
      <c r="D554" s="406">
        <v>0</v>
      </c>
      <c r="E554" s="406">
        <v>0</v>
      </c>
      <c r="F554" s="87">
        <f t="shared" si="27"/>
        <v>996557.5</v>
      </c>
      <c r="G554" s="88">
        <v>1368.12</v>
      </c>
      <c r="H554" s="134">
        <v>0</v>
      </c>
      <c r="I554" s="669">
        <f t="shared" si="28"/>
        <v>1368.12</v>
      </c>
      <c r="J554" t="s">
        <v>1635</v>
      </c>
    </row>
    <row r="555" spans="1:10" hidden="1" outlineLevel="1">
      <c r="A555" s="374" t="s">
        <v>1574</v>
      </c>
      <c r="B555" s="492">
        <v>8274.0499999999993</v>
      </c>
      <c r="C555" s="406">
        <v>0</v>
      </c>
      <c r="D555" s="406">
        <v>0</v>
      </c>
      <c r="E555" s="406">
        <v>0</v>
      </c>
      <c r="F555" s="87">
        <f t="shared" si="27"/>
        <v>8274.0499999999993</v>
      </c>
      <c r="G555" s="88">
        <v>0</v>
      </c>
      <c r="H555" s="134">
        <v>0</v>
      </c>
      <c r="I555" s="669">
        <f t="shared" si="28"/>
        <v>0</v>
      </c>
      <c r="J555" t="s">
        <v>1575</v>
      </c>
    </row>
    <row r="556" spans="1:10" hidden="1" outlineLevel="1">
      <c r="A556" s="374" t="s">
        <v>1748</v>
      </c>
      <c r="B556" s="492">
        <v>31214.6</v>
      </c>
      <c r="C556" s="406">
        <v>0</v>
      </c>
      <c r="D556" s="406">
        <v>0</v>
      </c>
      <c r="E556" s="406">
        <v>0</v>
      </c>
      <c r="F556" s="87">
        <f t="shared" si="27"/>
        <v>31214.6</v>
      </c>
      <c r="G556" s="88">
        <v>0</v>
      </c>
      <c r="H556" s="134">
        <v>0</v>
      </c>
      <c r="I556" s="669">
        <f t="shared" si="28"/>
        <v>0</v>
      </c>
      <c r="J556" t="s">
        <v>1749</v>
      </c>
    </row>
    <row r="557" spans="1:10" hidden="1" outlineLevel="1">
      <c r="A557" s="374" t="s">
        <v>1376</v>
      </c>
      <c r="B557" s="492">
        <v>55369.380000000005</v>
      </c>
      <c r="C557" s="406">
        <v>0</v>
      </c>
      <c r="D557" s="406">
        <v>0</v>
      </c>
      <c r="E557" s="406">
        <v>0</v>
      </c>
      <c r="F557" s="87">
        <f t="shared" si="27"/>
        <v>55369.380000000005</v>
      </c>
      <c r="G557" s="88">
        <v>0</v>
      </c>
      <c r="H557" s="134">
        <v>0</v>
      </c>
      <c r="I557" s="669">
        <f t="shared" si="28"/>
        <v>0</v>
      </c>
      <c r="J557" t="s">
        <v>1377</v>
      </c>
    </row>
    <row r="558" spans="1:10" hidden="1" outlineLevel="1">
      <c r="A558" s="374" t="s">
        <v>1520</v>
      </c>
      <c r="B558" s="492">
        <v>6542.05</v>
      </c>
      <c r="C558" s="406">
        <v>0</v>
      </c>
      <c r="D558" s="406">
        <v>0</v>
      </c>
      <c r="E558" s="406">
        <v>0</v>
      </c>
      <c r="F558" s="87">
        <f t="shared" si="27"/>
        <v>6542.05</v>
      </c>
      <c r="G558" s="88">
        <v>12325.92</v>
      </c>
      <c r="H558" s="134">
        <v>0</v>
      </c>
      <c r="I558" s="669">
        <f t="shared" si="28"/>
        <v>12325.92</v>
      </c>
      <c r="J558" t="s">
        <v>1521</v>
      </c>
    </row>
    <row r="559" spans="1:10" hidden="1" outlineLevel="1">
      <c r="A559" s="374" t="s">
        <v>1642</v>
      </c>
      <c r="B559" s="492">
        <v>23048.18</v>
      </c>
      <c r="C559" s="406">
        <v>0</v>
      </c>
      <c r="D559" s="406">
        <v>0</v>
      </c>
      <c r="E559" s="406">
        <v>0</v>
      </c>
      <c r="F559" s="87">
        <f t="shared" si="27"/>
        <v>23048.18</v>
      </c>
      <c r="G559" s="88">
        <v>-198.8</v>
      </c>
      <c r="H559" s="134">
        <v>0</v>
      </c>
      <c r="I559" s="669">
        <f t="shared" si="28"/>
        <v>-198.8</v>
      </c>
      <c r="J559" t="s">
        <v>1643</v>
      </c>
    </row>
    <row r="560" spans="1:10" hidden="1" outlineLevel="1">
      <c r="A560" s="374" t="s">
        <v>1500</v>
      </c>
      <c r="B560" s="492">
        <v>34999.43</v>
      </c>
      <c r="C560" s="406">
        <v>0</v>
      </c>
      <c r="D560" s="406">
        <v>0</v>
      </c>
      <c r="E560" s="406">
        <v>0</v>
      </c>
      <c r="F560" s="87">
        <f t="shared" si="27"/>
        <v>34999.43</v>
      </c>
      <c r="G560" s="88">
        <v>0</v>
      </c>
      <c r="H560" s="134">
        <v>0</v>
      </c>
      <c r="I560" s="669">
        <f t="shared" si="28"/>
        <v>0</v>
      </c>
      <c r="J560" t="s">
        <v>1501</v>
      </c>
    </row>
    <row r="561" spans="1:10" hidden="1" outlineLevel="1">
      <c r="A561" s="374" t="s">
        <v>1685</v>
      </c>
      <c r="B561" s="492">
        <v>97118.560000000012</v>
      </c>
      <c r="C561" s="406">
        <v>0</v>
      </c>
      <c r="D561" s="406">
        <v>0</v>
      </c>
      <c r="E561" s="406">
        <v>0</v>
      </c>
      <c r="F561" s="87">
        <f t="shared" si="27"/>
        <v>97118.560000000012</v>
      </c>
      <c r="G561" s="88">
        <v>1170</v>
      </c>
      <c r="H561" s="134">
        <v>0</v>
      </c>
      <c r="I561" s="669">
        <f t="shared" si="28"/>
        <v>1170</v>
      </c>
      <c r="J561" t="s">
        <v>1686</v>
      </c>
    </row>
    <row r="562" spans="1:10" hidden="1" outlineLevel="1">
      <c r="A562" s="374" t="s">
        <v>1804</v>
      </c>
      <c r="B562" s="492">
        <v>42734.82</v>
      </c>
      <c r="C562" s="406">
        <v>0</v>
      </c>
      <c r="D562" s="406">
        <v>0</v>
      </c>
      <c r="E562" s="406">
        <v>0</v>
      </c>
      <c r="F562" s="87">
        <f t="shared" si="27"/>
        <v>42734.82</v>
      </c>
      <c r="G562" s="88">
        <v>0</v>
      </c>
      <c r="H562" s="134">
        <v>0</v>
      </c>
      <c r="I562" s="669">
        <f t="shared" si="28"/>
        <v>0</v>
      </c>
      <c r="J562" t="s">
        <v>1805</v>
      </c>
    </row>
    <row r="563" spans="1:10" hidden="1" outlineLevel="1">
      <c r="A563" s="374" t="s">
        <v>1524</v>
      </c>
      <c r="B563" s="492">
        <v>26776.92</v>
      </c>
      <c r="C563" s="406">
        <v>0</v>
      </c>
      <c r="D563" s="406">
        <v>0</v>
      </c>
      <c r="E563" s="406">
        <v>0</v>
      </c>
      <c r="F563" s="87">
        <f t="shared" si="27"/>
        <v>26776.92</v>
      </c>
      <c r="G563" s="88">
        <v>0</v>
      </c>
      <c r="H563" s="134">
        <v>0</v>
      </c>
      <c r="I563" s="669">
        <f t="shared" si="28"/>
        <v>0</v>
      </c>
      <c r="J563" t="s">
        <v>1525</v>
      </c>
    </row>
    <row r="564" spans="1:10" hidden="1" outlineLevel="1">
      <c r="A564" s="374" t="s">
        <v>1466</v>
      </c>
      <c r="B564" s="492">
        <v>117809.52</v>
      </c>
      <c r="C564" s="406">
        <v>0</v>
      </c>
      <c r="D564" s="406">
        <v>0</v>
      </c>
      <c r="E564" s="406">
        <v>0</v>
      </c>
      <c r="F564" s="87">
        <f t="shared" si="27"/>
        <v>117809.52</v>
      </c>
      <c r="G564" s="88">
        <v>0</v>
      </c>
      <c r="H564" s="134">
        <v>0</v>
      </c>
      <c r="I564" s="669">
        <f t="shared" si="28"/>
        <v>0</v>
      </c>
      <c r="J564" t="s">
        <v>1467</v>
      </c>
    </row>
    <row r="565" spans="1:10" hidden="1" outlineLevel="1">
      <c r="A565" s="374" t="s">
        <v>1332</v>
      </c>
      <c r="B565" s="492">
        <v>107258.01999999999</v>
      </c>
      <c r="C565" s="406">
        <v>0</v>
      </c>
      <c r="D565" s="406">
        <v>0</v>
      </c>
      <c r="E565" s="406">
        <v>0</v>
      </c>
      <c r="F565" s="87">
        <f t="shared" si="27"/>
        <v>107258.01999999999</v>
      </c>
      <c r="G565" s="88">
        <v>0</v>
      </c>
      <c r="H565" s="134">
        <v>0</v>
      </c>
      <c r="I565" s="669">
        <f t="shared" si="28"/>
        <v>0</v>
      </c>
      <c r="J565" t="s">
        <v>1333</v>
      </c>
    </row>
    <row r="566" spans="1:10" hidden="1" outlineLevel="1">
      <c r="A566" s="374" t="s">
        <v>1330</v>
      </c>
      <c r="B566" s="492">
        <v>63909.810000000005</v>
      </c>
      <c r="C566" s="406">
        <v>0</v>
      </c>
      <c r="D566" s="406">
        <v>0</v>
      </c>
      <c r="E566" s="406">
        <v>0</v>
      </c>
      <c r="F566" s="87">
        <f t="shared" si="27"/>
        <v>63909.810000000005</v>
      </c>
      <c r="G566" s="88">
        <v>0</v>
      </c>
      <c r="H566" s="134">
        <v>0</v>
      </c>
      <c r="I566" s="669">
        <f t="shared" si="28"/>
        <v>0</v>
      </c>
      <c r="J566" t="s">
        <v>1331</v>
      </c>
    </row>
    <row r="567" spans="1:10" hidden="1" outlineLevel="1">
      <c r="A567" s="374" t="s">
        <v>1712</v>
      </c>
      <c r="B567" s="492">
        <v>462.6</v>
      </c>
      <c r="C567" s="406">
        <v>0</v>
      </c>
      <c r="D567" s="406">
        <v>0</v>
      </c>
      <c r="E567" s="406">
        <v>0</v>
      </c>
      <c r="F567" s="87">
        <f t="shared" si="27"/>
        <v>462.6</v>
      </c>
      <c r="G567" s="88">
        <v>0</v>
      </c>
      <c r="H567" s="134">
        <v>0</v>
      </c>
      <c r="I567" s="669">
        <f t="shared" si="28"/>
        <v>0</v>
      </c>
      <c r="J567" t="s">
        <v>1713</v>
      </c>
    </row>
    <row r="568" spans="1:10" hidden="1" outlineLevel="1">
      <c r="A568" s="374" t="s">
        <v>1462</v>
      </c>
      <c r="B568" s="492">
        <v>17977.41</v>
      </c>
      <c r="C568" s="406">
        <v>0</v>
      </c>
      <c r="D568" s="406">
        <v>0</v>
      </c>
      <c r="E568" s="406">
        <v>0</v>
      </c>
      <c r="F568" s="87">
        <f t="shared" si="27"/>
        <v>17977.41</v>
      </c>
      <c r="G568" s="88">
        <v>0</v>
      </c>
      <c r="H568" s="134">
        <v>0</v>
      </c>
      <c r="I568" s="669">
        <f t="shared" si="28"/>
        <v>0</v>
      </c>
      <c r="J568" t="s">
        <v>1463</v>
      </c>
    </row>
    <row r="569" spans="1:10" hidden="1" outlineLevel="1">
      <c r="A569" s="374" t="s">
        <v>1806</v>
      </c>
      <c r="B569" s="492">
        <v>79666.009999999995</v>
      </c>
      <c r="C569" s="406">
        <v>0</v>
      </c>
      <c r="D569" s="406">
        <v>0</v>
      </c>
      <c r="E569" s="406">
        <v>0</v>
      </c>
      <c r="F569" s="87">
        <f t="shared" si="27"/>
        <v>79666.009999999995</v>
      </c>
      <c r="G569" s="88">
        <v>0</v>
      </c>
      <c r="H569" s="134">
        <v>0</v>
      </c>
      <c r="I569" s="669">
        <f t="shared" si="28"/>
        <v>0</v>
      </c>
      <c r="J569" t="s">
        <v>1807</v>
      </c>
    </row>
    <row r="570" spans="1:10" hidden="1" outlineLevel="1">
      <c r="A570" s="374" t="s">
        <v>1336</v>
      </c>
      <c r="B570" s="492">
        <v>88136.59</v>
      </c>
      <c r="C570" s="406">
        <v>0</v>
      </c>
      <c r="D570" s="406">
        <v>0</v>
      </c>
      <c r="E570" s="406">
        <v>0</v>
      </c>
      <c r="F570" s="87">
        <f t="shared" si="27"/>
        <v>88136.59</v>
      </c>
      <c r="G570" s="88">
        <v>0</v>
      </c>
      <c r="H570" s="134">
        <v>0</v>
      </c>
      <c r="I570" s="669">
        <f t="shared" si="28"/>
        <v>0</v>
      </c>
      <c r="J570" t="s">
        <v>1337</v>
      </c>
    </row>
    <row r="571" spans="1:10" hidden="1" outlineLevel="1">
      <c r="A571" s="374" t="s">
        <v>1257</v>
      </c>
      <c r="B571" s="492">
        <v>7455.52</v>
      </c>
      <c r="C571" s="406">
        <v>0</v>
      </c>
      <c r="D571" s="406">
        <v>0</v>
      </c>
      <c r="E571" s="406">
        <v>0</v>
      </c>
      <c r="F571" s="87">
        <f t="shared" si="27"/>
        <v>7455.52</v>
      </c>
      <c r="G571" s="88">
        <v>0</v>
      </c>
      <c r="H571" s="134">
        <v>0</v>
      </c>
      <c r="I571" s="669">
        <f t="shared" si="28"/>
        <v>0</v>
      </c>
      <c r="J571" t="s">
        <v>1258</v>
      </c>
    </row>
    <row r="572" spans="1:10" hidden="1" outlineLevel="1">
      <c r="A572" s="374" t="s">
        <v>1644</v>
      </c>
      <c r="B572" s="492">
        <v>29850.36</v>
      </c>
      <c r="C572" s="406">
        <v>0</v>
      </c>
      <c r="D572" s="406">
        <v>0</v>
      </c>
      <c r="E572" s="406">
        <v>0</v>
      </c>
      <c r="F572" s="87">
        <f t="shared" si="27"/>
        <v>29850.36</v>
      </c>
      <c r="G572" s="88">
        <v>0</v>
      </c>
      <c r="H572" s="134">
        <v>0</v>
      </c>
      <c r="I572" s="669">
        <f t="shared" si="28"/>
        <v>0</v>
      </c>
      <c r="J572" t="s">
        <v>1645</v>
      </c>
    </row>
    <row r="573" spans="1:10" hidden="1" outlineLevel="1">
      <c r="A573" s="374" t="s">
        <v>1658</v>
      </c>
      <c r="B573" s="492">
        <v>27036.37</v>
      </c>
      <c r="C573" s="406">
        <v>0</v>
      </c>
      <c r="D573" s="406">
        <v>0</v>
      </c>
      <c r="E573" s="406">
        <v>0</v>
      </c>
      <c r="F573" s="87">
        <f t="shared" si="27"/>
        <v>27036.37</v>
      </c>
      <c r="G573" s="88">
        <v>0</v>
      </c>
      <c r="H573" s="134">
        <v>0</v>
      </c>
      <c r="I573" s="669">
        <f t="shared" si="28"/>
        <v>0</v>
      </c>
      <c r="J573" t="s">
        <v>1659</v>
      </c>
    </row>
    <row r="574" spans="1:10" hidden="1" outlineLevel="1">
      <c r="A574" s="374" t="s">
        <v>1616</v>
      </c>
      <c r="B574" s="492">
        <v>39681.520000000004</v>
      </c>
      <c r="C574" s="406">
        <v>0</v>
      </c>
      <c r="D574" s="406">
        <v>0</v>
      </c>
      <c r="E574" s="406">
        <v>0</v>
      </c>
      <c r="F574" s="87">
        <f t="shared" si="27"/>
        <v>39681.520000000004</v>
      </c>
      <c r="G574" s="88">
        <v>7881.2800000000007</v>
      </c>
      <c r="H574" s="134">
        <v>0</v>
      </c>
      <c r="I574" s="669">
        <f t="shared" si="28"/>
        <v>7881.2800000000007</v>
      </c>
      <c r="J574" t="s">
        <v>1617</v>
      </c>
    </row>
    <row r="575" spans="1:10" hidden="1" outlineLevel="1">
      <c r="A575" s="374" t="s">
        <v>1822</v>
      </c>
      <c r="B575" s="492">
        <v>29540.84</v>
      </c>
      <c r="C575" s="406">
        <v>0</v>
      </c>
      <c r="D575" s="406">
        <v>0</v>
      </c>
      <c r="E575" s="406">
        <v>0</v>
      </c>
      <c r="F575" s="87">
        <f t="shared" si="27"/>
        <v>29540.84</v>
      </c>
      <c r="G575" s="88">
        <v>0</v>
      </c>
      <c r="H575" s="134">
        <v>0</v>
      </c>
      <c r="I575" s="669">
        <f t="shared" si="28"/>
        <v>0</v>
      </c>
      <c r="J575" t="s">
        <v>1823</v>
      </c>
    </row>
    <row r="576" spans="1:10" hidden="1" outlineLevel="1">
      <c r="A576" s="374" t="s">
        <v>1283</v>
      </c>
      <c r="B576" s="492">
        <v>261854.81999999998</v>
      </c>
      <c r="C576" s="406">
        <v>0</v>
      </c>
      <c r="D576" s="406">
        <v>0</v>
      </c>
      <c r="E576" s="406">
        <v>0</v>
      </c>
      <c r="F576" s="87">
        <f t="shared" si="27"/>
        <v>261854.81999999998</v>
      </c>
      <c r="G576" s="88">
        <v>8641.67</v>
      </c>
      <c r="H576" s="134">
        <v>0</v>
      </c>
      <c r="I576" s="669">
        <f t="shared" si="28"/>
        <v>8641.67</v>
      </c>
      <c r="J576" t="s">
        <v>1284</v>
      </c>
    </row>
    <row r="577" spans="1:10" hidden="1" outlineLevel="1">
      <c r="A577" s="374" t="s">
        <v>1438</v>
      </c>
      <c r="B577" s="492">
        <v>46341.08</v>
      </c>
      <c r="C577" s="406">
        <v>0</v>
      </c>
      <c r="D577" s="406">
        <v>0</v>
      </c>
      <c r="E577" s="406">
        <v>0</v>
      </c>
      <c r="F577" s="87">
        <f t="shared" si="27"/>
        <v>46341.08</v>
      </c>
      <c r="G577" s="88">
        <v>0</v>
      </c>
      <c r="H577" s="134">
        <v>0</v>
      </c>
      <c r="I577" s="669">
        <f t="shared" si="28"/>
        <v>0</v>
      </c>
      <c r="J577" t="s">
        <v>1439</v>
      </c>
    </row>
    <row r="578" spans="1:10" hidden="1" outlineLevel="1">
      <c r="A578" s="374" t="s">
        <v>1436</v>
      </c>
      <c r="B578" s="492">
        <v>97337.36</v>
      </c>
      <c r="C578" s="406">
        <v>0</v>
      </c>
      <c r="D578" s="406">
        <v>0</v>
      </c>
      <c r="E578" s="406">
        <v>0</v>
      </c>
      <c r="F578" s="87">
        <f t="shared" si="27"/>
        <v>97337.36</v>
      </c>
      <c r="G578" s="88">
        <v>0</v>
      </c>
      <c r="H578" s="134">
        <v>0</v>
      </c>
      <c r="I578" s="669">
        <f t="shared" si="28"/>
        <v>0</v>
      </c>
      <c r="J578" t="s">
        <v>1437</v>
      </c>
    </row>
    <row r="579" spans="1:10" hidden="1" outlineLevel="1">
      <c r="A579" s="374" t="s">
        <v>1410</v>
      </c>
      <c r="B579" s="492">
        <v>381601.14999999997</v>
      </c>
      <c r="C579" s="406">
        <v>0</v>
      </c>
      <c r="D579" s="406">
        <v>0</v>
      </c>
      <c r="E579" s="406">
        <v>0</v>
      </c>
      <c r="F579" s="87">
        <f t="shared" si="27"/>
        <v>381601.14999999997</v>
      </c>
      <c r="G579" s="88">
        <v>0</v>
      </c>
      <c r="H579" s="134">
        <v>0</v>
      </c>
      <c r="I579" s="669">
        <f t="shared" si="28"/>
        <v>0</v>
      </c>
      <c r="J579" t="s">
        <v>1411</v>
      </c>
    </row>
    <row r="580" spans="1:10" hidden="1" outlineLevel="1">
      <c r="A580" s="374" t="s">
        <v>1307</v>
      </c>
      <c r="B580" s="492">
        <v>18160.7</v>
      </c>
      <c r="C580" s="406">
        <v>0</v>
      </c>
      <c r="D580" s="406">
        <v>0</v>
      </c>
      <c r="E580" s="406">
        <v>0</v>
      </c>
      <c r="F580" s="87">
        <f t="shared" si="27"/>
        <v>18160.7</v>
      </c>
      <c r="G580" s="88">
        <v>0</v>
      </c>
      <c r="H580" s="134">
        <v>0</v>
      </c>
      <c r="I580" s="669">
        <f t="shared" si="28"/>
        <v>0</v>
      </c>
      <c r="J580" t="s">
        <v>1308</v>
      </c>
    </row>
    <row r="581" spans="1:10" hidden="1" outlineLevel="1">
      <c r="A581" s="374" t="s">
        <v>1316</v>
      </c>
      <c r="B581" s="492">
        <v>20985519.040000003</v>
      </c>
      <c r="C581" s="406">
        <v>0</v>
      </c>
      <c r="D581" s="406">
        <v>0</v>
      </c>
      <c r="E581" s="406">
        <v>0</v>
      </c>
      <c r="F581" s="87">
        <f t="shared" si="27"/>
        <v>20985519.040000003</v>
      </c>
      <c r="G581" s="88">
        <v>0</v>
      </c>
      <c r="H581" s="134">
        <v>0</v>
      </c>
      <c r="I581" s="669">
        <f t="shared" si="28"/>
        <v>0</v>
      </c>
      <c r="J581" t="s">
        <v>1317</v>
      </c>
    </row>
    <row r="582" spans="1:10" hidden="1" outlineLevel="1">
      <c r="A582" s="374" t="s">
        <v>1820</v>
      </c>
      <c r="B582" s="492">
        <v>203385.96</v>
      </c>
      <c r="C582" s="406">
        <v>0</v>
      </c>
      <c r="D582" s="406">
        <v>0</v>
      </c>
      <c r="E582" s="406">
        <v>0</v>
      </c>
      <c r="F582" s="87">
        <f t="shared" si="27"/>
        <v>203385.96</v>
      </c>
      <c r="G582" s="88">
        <v>0</v>
      </c>
      <c r="H582" s="134">
        <v>0</v>
      </c>
      <c r="I582" s="669">
        <f t="shared" si="28"/>
        <v>0</v>
      </c>
      <c r="J582" t="s">
        <v>1821</v>
      </c>
    </row>
    <row r="583" spans="1:10" hidden="1" outlineLevel="1">
      <c r="A583" s="374" t="s">
        <v>1774</v>
      </c>
      <c r="B583" s="492">
        <v>438302.31</v>
      </c>
      <c r="C583" s="406">
        <v>0</v>
      </c>
      <c r="D583" s="406">
        <v>0</v>
      </c>
      <c r="E583" s="406">
        <v>0</v>
      </c>
      <c r="F583" s="87">
        <f t="shared" si="27"/>
        <v>438302.31</v>
      </c>
      <c r="G583" s="88">
        <v>0</v>
      </c>
      <c r="H583" s="134">
        <v>0</v>
      </c>
      <c r="I583" s="669">
        <f t="shared" si="28"/>
        <v>0</v>
      </c>
      <c r="J583" t="s">
        <v>1775</v>
      </c>
    </row>
    <row r="584" spans="1:10" hidden="1" outlineLevel="1">
      <c r="A584" s="374" t="s">
        <v>1259</v>
      </c>
      <c r="B584" s="492">
        <v>26369.74</v>
      </c>
      <c r="C584" s="406">
        <v>0</v>
      </c>
      <c r="D584" s="406">
        <v>0</v>
      </c>
      <c r="E584" s="406">
        <v>0</v>
      </c>
      <c r="F584" s="87">
        <f t="shared" si="27"/>
        <v>26369.74</v>
      </c>
      <c r="G584" s="88">
        <v>0</v>
      </c>
      <c r="H584" s="134">
        <v>0</v>
      </c>
      <c r="I584" s="669">
        <f t="shared" si="28"/>
        <v>0</v>
      </c>
      <c r="J584" t="s">
        <v>1260</v>
      </c>
    </row>
    <row r="585" spans="1:10" hidden="1" outlineLevel="1">
      <c r="A585" s="374" t="s">
        <v>1584</v>
      </c>
      <c r="B585" s="492">
        <v>419147.69</v>
      </c>
      <c r="C585" s="406">
        <v>0</v>
      </c>
      <c r="D585" s="406">
        <v>0</v>
      </c>
      <c r="E585" s="406">
        <v>0</v>
      </c>
      <c r="F585" s="87">
        <f t="shared" si="27"/>
        <v>419147.69</v>
      </c>
      <c r="G585" s="88">
        <v>0</v>
      </c>
      <c r="H585" s="134">
        <v>0</v>
      </c>
      <c r="I585" s="669">
        <f t="shared" si="28"/>
        <v>0</v>
      </c>
      <c r="J585" t="s">
        <v>1585</v>
      </c>
    </row>
    <row r="586" spans="1:10" hidden="1" outlineLevel="1">
      <c r="A586" s="374" t="s">
        <v>1726</v>
      </c>
      <c r="B586" s="492">
        <v>21434.71</v>
      </c>
      <c r="C586" s="406">
        <v>0</v>
      </c>
      <c r="D586" s="406">
        <v>0</v>
      </c>
      <c r="E586" s="406">
        <v>0</v>
      </c>
      <c r="F586" s="87">
        <f t="shared" si="27"/>
        <v>21434.71</v>
      </c>
      <c r="G586" s="88">
        <v>0</v>
      </c>
      <c r="H586" s="134">
        <v>0</v>
      </c>
      <c r="I586" s="669">
        <f t="shared" si="28"/>
        <v>0</v>
      </c>
      <c r="J586" t="s">
        <v>1727</v>
      </c>
    </row>
    <row r="587" spans="1:10" hidden="1" outlineLevel="1">
      <c r="A587" s="374" t="s">
        <v>1526</v>
      </c>
      <c r="B587" s="492">
        <v>68217.649999999994</v>
      </c>
      <c r="C587" s="406">
        <v>0</v>
      </c>
      <c r="D587" s="406">
        <v>0</v>
      </c>
      <c r="E587" s="406">
        <v>0</v>
      </c>
      <c r="F587" s="87">
        <f t="shared" si="27"/>
        <v>68217.649999999994</v>
      </c>
      <c r="G587" s="88">
        <v>0</v>
      </c>
      <c r="H587" s="134">
        <v>0</v>
      </c>
      <c r="I587" s="669">
        <f t="shared" si="28"/>
        <v>0</v>
      </c>
      <c r="J587" t="s">
        <v>1527</v>
      </c>
    </row>
    <row r="588" spans="1:10" hidden="1" outlineLevel="1">
      <c r="A588" s="374" t="s">
        <v>1468</v>
      </c>
      <c r="B588" s="492">
        <v>129909.79</v>
      </c>
      <c r="C588" s="406">
        <v>0</v>
      </c>
      <c r="D588" s="406">
        <v>0</v>
      </c>
      <c r="E588" s="406">
        <v>0</v>
      </c>
      <c r="F588" s="87">
        <f t="shared" si="27"/>
        <v>129909.79</v>
      </c>
      <c r="G588" s="88">
        <v>0</v>
      </c>
      <c r="H588" s="134">
        <v>0</v>
      </c>
      <c r="I588" s="669">
        <f t="shared" si="28"/>
        <v>0</v>
      </c>
      <c r="J588" t="s">
        <v>1469</v>
      </c>
    </row>
    <row r="589" spans="1:10" hidden="1" outlineLevel="1">
      <c r="A589" s="374" t="s">
        <v>1744</v>
      </c>
      <c r="B589" s="492">
        <v>213602.35</v>
      </c>
      <c r="C589" s="406">
        <v>0</v>
      </c>
      <c r="D589" s="406">
        <v>0</v>
      </c>
      <c r="E589" s="406">
        <v>0</v>
      </c>
      <c r="F589" s="87">
        <f t="shared" si="27"/>
        <v>213602.35</v>
      </c>
      <c r="G589" s="88">
        <v>6683.619999999999</v>
      </c>
      <c r="H589" s="134">
        <v>0</v>
      </c>
      <c r="I589" s="669">
        <f t="shared" si="28"/>
        <v>6683.619999999999</v>
      </c>
      <c r="J589" t="s">
        <v>1745</v>
      </c>
    </row>
    <row r="590" spans="1:10" hidden="1" outlineLevel="1">
      <c r="A590" s="374" t="s">
        <v>1281</v>
      </c>
      <c r="B590" s="492">
        <v>163292.43</v>
      </c>
      <c r="C590" s="406">
        <v>0</v>
      </c>
      <c r="D590" s="406">
        <v>0</v>
      </c>
      <c r="E590" s="406">
        <v>0</v>
      </c>
      <c r="F590" s="87">
        <f t="shared" si="27"/>
        <v>163292.43</v>
      </c>
      <c r="G590" s="88">
        <v>10351.040000000001</v>
      </c>
      <c r="H590" s="134">
        <v>0</v>
      </c>
      <c r="I590" s="669">
        <f t="shared" si="28"/>
        <v>10351.040000000001</v>
      </c>
      <c r="J590" t="s">
        <v>1282</v>
      </c>
    </row>
    <row r="591" spans="1:10" hidden="1" outlineLevel="1">
      <c r="A591" s="374" t="s">
        <v>1530</v>
      </c>
      <c r="B591" s="492">
        <v>67006.62</v>
      </c>
      <c r="C591" s="406">
        <v>0</v>
      </c>
      <c r="D591" s="406">
        <v>0</v>
      </c>
      <c r="E591" s="406">
        <v>0</v>
      </c>
      <c r="F591" s="87">
        <f t="shared" si="27"/>
        <v>67006.62</v>
      </c>
      <c r="G591" s="88">
        <v>0</v>
      </c>
      <c r="H591" s="134">
        <v>0</v>
      </c>
      <c r="I591" s="669">
        <f t="shared" si="28"/>
        <v>0</v>
      </c>
      <c r="J591" t="s">
        <v>1531</v>
      </c>
    </row>
    <row r="592" spans="1:10" hidden="1" outlineLevel="1">
      <c r="A592" s="374" t="s">
        <v>1730</v>
      </c>
      <c r="B592" s="492">
        <v>10568.25</v>
      </c>
      <c r="C592" s="406">
        <v>0</v>
      </c>
      <c r="D592" s="406">
        <v>0</v>
      </c>
      <c r="E592" s="406">
        <v>0</v>
      </c>
      <c r="F592" s="87">
        <f t="shared" si="27"/>
        <v>10568.25</v>
      </c>
      <c r="G592" s="88">
        <v>0</v>
      </c>
      <c r="H592" s="134">
        <v>0</v>
      </c>
      <c r="I592" s="669">
        <f t="shared" si="28"/>
        <v>0</v>
      </c>
      <c r="J592" t="s">
        <v>1731</v>
      </c>
    </row>
    <row r="593" spans="1:10" hidden="1" outlineLevel="1">
      <c r="A593" s="374" t="s">
        <v>1420</v>
      </c>
      <c r="B593" s="492">
        <v>10549.99</v>
      </c>
      <c r="C593" s="406">
        <v>0</v>
      </c>
      <c r="D593" s="406">
        <v>0</v>
      </c>
      <c r="E593" s="406">
        <v>0</v>
      </c>
      <c r="F593" s="87">
        <f t="shared" si="27"/>
        <v>10549.99</v>
      </c>
      <c r="G593" s="88">
        <v>0</v>
      </c>
      <c r="H593" s="134">
        <v>0</v>
      </c>
      <c r="I593" s="669">
        <f t="shared" si="28"/>
        <v>0</v>
      </c>
      <c r="J593" t="s">
        <v>1421</v>
      </c>
    </row>
    <row r="594" spans="1:10" hidden="1" outlineLevel="1">
      <c r="A594" s="374" t="s">
        <v>1424</v>
      </c>
      <c r="B594" s="492">
        <v>81641.320000000007</v>
      </c>
      <c r="C594" s="406">
        <v>0</v>
      </c>
      <c r="D594" s="406">
        <v>0</v>
      </c>
      <c r="E594" s="406">
        <v>0</v>
      </c>
      <c r="F594" s="87">
        <f t="shared" si="27"/>
        <v>81641.320000000007</v>
      </c>
      <c r="G594" s="88">
        <v>0</v>
      </c>
      <c r="H594" s="134">
        <v>0</v>
      </c>
      <c r="I594" s="669">
        <f t="shared" si="28"/>
        <v>0</v>
      </c>
      <c r="J594" t="s">
        <v>1425</v>
      </c>
    </row>
    <row r="595" spans="1:10" hidden="1" outlineLevel="1">
      <c r="A595" s="374" t="s">
        <v>1706</v>
      </c>
      <c r="B595" s="492">
        <v>640855.91</v>
      </c>
      <c r="C595" s="406">
        <v>0</v>
      </c>
      <c r="D595" s="406">
        <v>0</v>
      </c>
      <c r="E595" s="406">
        <v>0</v>
      </c>
      <c r="F595" s="87">
        <f t="shared" si="27"/>
        <v>640855.91</v>
      </c>
      <c r="G595" s="88">
        <v>0</v>
      </c>
      <c r="H595" s="134">
        <v>0</v>
      </c>
      <c r="I595" s="669">
        <f t="shared" si="28"/>
        <v>0</v>
      </c>
      <c r="J595" t="s">
        <v>1707</v>
      </c>
    </row>
    <row r="596" spans="1:10" hidden="1" outlineLevel="1">
      <c r="A596" s="374" t="s">
        <v>1568</v>
      </c>
      <c r="B596" s="492">
        <v>49.77</v>
      </c>
      <c r="C596" s="406">
        <v>0</v>
      </c>
      <c r="D596" s="406">
        <v>0</v>
      </c>
      <c r="E596" s="406">
        <v>0</v>
      </c>
      <c r="F596" s="87">
        <f t="shared" si="27"/>
        <v>49.77</v>
      </c>
      <c r="G596" s="88">
        <v>0</v>
      </c>
      <c r="H596" s="134">
        <v>0</v>
      </c>
      <c r="I596" s="669">
        <f t="shared" si="28"/>
        <v>0</v>
      </c>
      <c r="J596" t="s">
        <v>1569</v>
      </c>
    </row>
    <row r="597" spans="1:10" hidden="1" outlineLevel="1">
      <c r="A597" s="374" t="s">
        <v>1604</v>
      </c>
      <c r="B597" s="492">
        <v>49707.76</v>
      </c>
      <c r="C597" s="406">
        <v>0</v>
      </c>
      <c r="D597" s="406">
        <v>0</v>
      </c>
      <c r="E597" s="406">
        <v>0</v>
      </c>
      <c r="F597" s="87">
        <f t="shared" si="27"/>
        <v>49707.76</v>
      </c>
      <c r="G597" s="88">
        <v>43692.600000000006</v>
      </c>
      <c r="H597" s="134">
        <v>0</v>
      </c>
      <c r="I597" s="669">
        <f t="shared" si="28"/>
        <v>43692.600000000006</v>
      </c>
      <c r="J597" t="s">
        <v>1605</v>
      </c>
    </row>
    <row r="598" spans="1:10" hidden="1" outlineLevel="1">
      <c r="A598" s="374" t="s">
        <v>1510</v>
      </c>
      <c r="B598" s="492">
        <v>122154.4</v>
      </c>
      <c r="C598" s="406">
        <v>0</v>
      </c>
      <c r="D598" s="406">
        <v>0</v>
      </c>
      <c r="E598" s="406">
        <v>0</v>
      </c>
      <c r="F598" s="87">
        <f t="shared" ref="F598:F661" si="29">SUM(B598:E598)</f>
        <v>122154.4</v>
      </c>
      <c r="G598" s="88">
        <v>0</v>
      </c>
      <c r="H598" s="134">
        <v>0</v>
      </c>
      <c r="I598" s="669">
        <f t="shared" ref="I598:I661" si="30">G598+H598</f>
        <v>0</v>
      </c>
      <c r="J598" t="s">
        <v>1511</v>
      </c>
    </row>
    <row r="599" spans="1:10" hidden="1" outlineLevel="1">
      <c r="A599" s="374" t="s">
        <v>1232</v>
      </c>
      <c r="B599" s="492">
        <v>131297.05000000002</v>
      </c>
      <c r="C599" s="406">
        <v>0</v>
      </c>
      <c r="D599" s="406">
        <v>0</v>
      </c>
      <c r="E599" s="406">
        <v>0</v>
      </c>
      <c r="F599" s="87">
        <f t="shared" si="29"/>
        <v>131297.05000000002</v>
      </c>
      <c r="G599" s="88">
        <v>28715.88</v>
      </c>
      <c r="H599" s="134">
        <v>0</v>
      </c>
      <c r="I599" s="669">
        <f t="shared" si="30"/>
        <v>28715.88</v>
      </c>
      <c r="J599" t="s">
        <v>1233</v>
      </c>
    </row>
    <row r="600" spans="1:10" hidden="1" outlineLevel="1">
      <c r="A600" s="374" t="s">
        <v>1476</v>
      </c>
      <c r="B600" s="492">
        <v>17954.52</v>
      </c>
      <c r="C600" s="406">
        <v>0</v>
      </c>
      <c r="D600" s="406">
        <v>0</v>
      </c>
      <c r="E600" s="406">
        <v>0</v>
      </c>
      <c r="F600" s="87">
        <f t="shared" si="29"/>
        <v>17954.52</v>
      </c>
      <c r="G600" s="88">
        <v>2601.44</v>
      </c>
      <c r="H600" s="134">
        <v>0</v>
      </c>
      <c r="I600" s="669">
        <f t="shared" si="30"/>
        <v>2601.44</v>
      </c>
      <c r="J600" t="s">
        <v>1477</v>
      </c>
    </row>
    <row r="601" spans="1:10" hidden="1" outlineLevel="1">
      <c r="A601" s="374" t="s">
        <v>1394</v>
      </c>
      <c r="B601" s="492">
        <v>143833.35</v>
      </c>
      <c r="C601" s="406">
        <v>0</v>
      </c>
      <c r="D601" s="406">
        <v>0</v>
      </c>
      <c r="E601" s="406">
        <v>0</v>
      </c>
      <c r="F601" s="87">
        <f t="shared" si="29"/>
        <v>143833.35</v>
      </c>
      <c r="G601" s="88">
        <v>0</v>
      </c>
      <c r="H601" s="134">
        <v>0</v>
      </c>
      <c r="I601" s="669">
        <f t="shared" si="30"/>
        <v>0</v>
      </c>
      <c r="J601" t="s">
        <v>1395</v>
      </c>
    </row>
    <row r="602" spans="1:10" hidden="1" outlineLevel="1">
      <c r="A602" s="374" t="s">
        <v>1612</v>
      </c>
      <c r="B602" s="492">
        <v>22520.28</v>
      </c>
      <c r="C602" s="406">
        <v>0</v>
      </c>
      <c r="D602" s="406">
        <v>0</v>
      </c>
      <c r="E602" s="406">
        <v>0</v>
      </c>
      <c r="F602" s="87">
        <f t="shared" si="29"/>
        <v>22520.28</v>
      </c>
      <c r="G602" s="88">
        <v>0</v>
      </c>
      <c r="H602" s="134">
        <v>0</v>
      </c>
      <c r="I602" s="669">
        <f t="shared" si="30"/>
        <v>0</v>
      </c>
      <c r="J602" t="s">
        <v>1613</v>
      </c>
    </row>
    <row r="603" spans="1:10" hidden="1" outlineLevel="1">
      <c r="A603" s="374" t="s">
        <v>1596</v>
      </c>
      <c r="B603" s="492">
        <v>47067.44</v>
      </c>
      <c r="C603" s="406">
        <v>0</v>
      </c>
      <c r="D603" s="406">
        <v>0</v>
      </c>
      <c r="E603" s="406">
        <v>0</v>
      </c>
      <c r="F603" s="87">
        <f t="shared" si="29"/>
        <v>47067.44</v>
      </c>
      <c r="G603" s="88">
        <v>0</v>
      </c>
      <c r="H603" s="134">
        <v>0</v>
      </c>
      <c r="I603" s="669">
        <f t="shared" si="30"/>
        <v>0</v>
      </c>
      <c r="J603" t="s">
        <v>1597</v>
      </c>
    </row>
    <row r="604" spans="1:10" hidden="1" outlineLevel="1">
      <c r="A604" s="374" t="s">
        <v>1358</v>
      </c>
      <c r="B604" s="492">
        <v>864388.30999999994</v>
      </c>
      <c r="C604" s="406">
        <v>0</v>
      </c>
      <c r="D604" s="406">
        <v>0</v>
      </c>
      <c r="E604" s="406">
        <v>0</v>
      </c>
      <c r="F604" s="87">
        <f t="shared" si="29"/>
        <v>864388.30999999994</v>
      </c>
      <c r="G604" s="88">
        <v>288636.96999999997</v>
      </c>
      <c r="H604" s="134">
        <v>0</v>
      </c>
      <c r="I604" s="669">
        <f t="shared" si="30"/>
        <v>288636.96999999997</v>
      </c>
      <c r="J604" t="s">
        <v>1359</v>
      </c>
    </row>
    <row r="605" spans="1:10" hidden="1" outlineLevel="1">
      <c r="A605" s="374" t="s">
        <v>1406</v>
      </c>
      <c r="B605" s="492">
        <v>19394.400000000001</v>
      </c>
      <c r="C605" s="406">
        <v>0</v>
      </c>
      <c r="D605" s="406">
        <v>0</v>
      </c>
      <c r="E605" s="406">
        <v>0</v>
      </c>
      <c r="F605" s="87">
        <f t="shared" si="29"/>
        <v>19394.400000000001</v>
      </c>
      <c r="G605" s="88">
        <v>0</v>
      </c>
      <c r="H605" s="134">
        <v>0</v>
      </c>
      <c r="I605" s="669">
        <f t="shared" si="30"/>
        <v>0</v>
      </c>
      <c r="J605" t="s">
        <v>1407</v>
      </c>
    </row>
    <row r="606" spans="1:10" hidden="1" outlineLevel="1">
      <c r="A606" s="374" t="s">
        <v>1728</v>
      </c>
      <c r="B606" s="492">
        <v>2033.54</v>
      </c>
      <c r="C606" s="406">
        <v>0</v>
      </c>
      <c r="D606" s="406">
        <v>0</v>
      </c>
      <c r="E606" s="406">
        <v>0</v>
      </c>
      <c r="F606" s="87">
        <f t="shared" si="29"/>
        <v>2033.54</v>
      </c>
      <c r="G606" s="88">
        <v>0</v>
      </c>
      <c r="H606" s="134">
        <v>0</v>
      </c>
      <c r="I606" s="669">
        <f t="shared" si="30"/>
        <v>0</v>
      </c>
      <c r="J606" t="s">
        <v>1729</v>
      </c>
    </row>
    <row r="607" spans="1:10" hidden="1" outlineLevel="1">
      <c r="A607" s="374" t="s">
        <v>1508</v>
      </c>
      <c r="B607" s="492">
        <v>82817.01999999999</v>
      </c>
      <c r="C607" s="406">
        <v>0</v>
      </c>
      <c r="D607" s="406">
        <v>0</v>
      </c>
      <c r="E607" s="406">
        <v>0</v>
      </c>
      <c r="F607" s="87">
        <f t="shared" si="29"/>
        <v>82817.01999999999</v>
      </c>
      <c r="G607" s="88">
        <v>-1074.06</v>
      </c>
      <c r="H607" s="134">
        <v>0</v>
      </c>
      <c r="I607" s="669">
        <f t="shared" si="30"/>
        <v>-1074.06</v>
      </c>
      <c r="J607" t="s">
        <v>1509</v>
      </c>
    </row>
    <row r="608" spans="1:10" hidden="1" outlineLevel="1">
      <c r="A608" s="374" t="s">
        <v>1472</v>
      </c>
      <c r="B608" s="492">
        <v>4199.4400000000005</v>
      </c>
      <c r="C608" s="406">
        <v>0</v>
      </c>
      <c r="D608" s="406">
        <v>0</v>
      </c>
      <c r="E608" s="406">
        <v>0</v>
      </c>
      <c r="F608" s="87">
        <f t="shared" si="29"/>
        <v>4199.4400000000005</v>
      </c>
      <c r="G608" s="88">
        <v>0</v>
      </c>
      <c r="H608" s="134">
        <v>0</v>
      </c>
      <c r="I608" s="669">
        <f t="shared" si="30"/>
        <v>0</v>
      </c>
      <c r="J608" t="s">
        <v>1473</v>
      </c>
    </row>
    <row r="609" spans="1:10" hidden="1" outlineLevel="1">
      <c r="A609" s="374" t="s">
        <v>1628</v>
      </c>
      <c r="B609" s="492">
        <v>2298872.5700000003</v>
      </c>
      <c r="C609" s="406">
        <v>0</v>
      </c>
      <c r="D609" s="406">
        <v>0</v>
      </c>
      <c r="E609" s="406">
        <v>0</v>
      </c>
      <c r="F609" s="87">
        <f t="shared" si="29"/>
        <v>2298872.5700000003</v>
      </c>
      <c r="G609" s="88">
        <v>0</v>
      </c>
      <c r="H609" s="134">
        <v>0</v>
      </c>
      <c r="I609" s="669">
        <f t="shared" si="30"/>
        <v>0</v>
      </c>
      <c r="J609" t="s">
        <v>1629</v>
      </c>
    </row>
    <row r="610" spans="1:10" hidden="1" outlineLevel="1">
      <c r="A610" s="374" t="s">
        <v>1273</v>
      </c>
      <c r="B610" s="492">
        <v>110141.16</v>
      </c>
      <c r="C610" s="406">
        <v>0</v>
      </c>
      <c r="D610" s="406">
        <v>0</v>
      </c>
      <c r="E610" s="406">
        <v>0</v>
      </c>
      <c r="F610" s="87">
        <f t="shared" si="29"/>
        <v>110141.16</v>
      </c>
      <c r="G610" s="88">
        <v>0</v>
      </c>
      <c r="H610" s="134">
        <v>0</v>
      </c>
      <c r="I610" s="669">
        <f t="shared" si="30"/>
        <v>0</v>
      </c>
      <c r="J610" t="s">
        <v>1274</v>
      </c>
    </row>
    <row r="611" spans="1:10" hidden="1" outlineLevel="1">
      <c r="A611" s="374" t="s">
        <v>1675</v>
      </c>
      <c r="B611" s="492">
        <v>923300.53</v>
      </c>
      <c r="C611" s="406">
        <v>0</v>
      </c>
      <c r="D611" s="406">
        <v>0</v>
      </c>
      <c r="E611" s="406">
        <v>0</v>
      </c>
      <c r="F611" s="87">
        <f t="shared" si="29"/>
        <v>923300.53</v>
      </c>
      <c r="G611" s="88">
        <v>260048.9</v>
      </c>
      <c r="H611" s="134">
        <v>0</v>
      </c>
      <c r="I611" s="669">
        <f t="shared" si="30"/>
        <v>260048.9</v>
      </c>
      <c r="J611" t="s">
        <v>1676</v>
      </c>
    </row>
    <row r="612" spans="1:10" hidden="1" outlineLevel="1">
      <c r="A612" s="374" t="s">
        <v>1550</v>
      </c>
      <c r="B612" s="492">
        <v>57331.280000000006</v>
      </c>
      <c r="C612" s="406">
        <v>0</v>
      </c>
      <c r="D612" s="406">
        <v>0</v>
      </c>
      <c r="E612" s="406">
        <v>0</v>
      </c>
      <c r="F612" s="87">
        <f t="shared" si="29"/>
        <v>57331.280000000006</v>
      </c>
      <c r="G612" s="88">
        <v>0</v>
      </c>
      <c r="H612" s="134">
        <v>0</v>
      </c>
      <c r="I612" s="669">
        <f t="shared" si="30"/>
        <v>0</v>
      </c>
      <c r="J612" t="s">
        <v>1551</v>
      </c>
    </row>
    <row r="613" spans="1:10" hidden="1" outlineLevel="1">
      <c r="A613" s="374" t="s">
        <v>1677</v>
      </c>
      <c r="B613" s="492">
        <v>36440.119999999995</v>
      </c>
      <c r="C613" s="406">
        <v>0</v>
      </c>
      <c r="D613" s="406">
        <v>0</v>
      </c>
      <c r="E613" s="406">
        <v>0</v>
      </c>
      <c r="F613" s="87">
        <f t="shared" si="29"/>
        <v>36440.119999999995</v>
      </c>
      <c r="G613" s="88">
        <v>4012.69</v>
      </c>
      <c r="H613" s="134">
        <v>0</v>
      </c>
      <c r="I613" s="669">
        <f t="shared" si="30"/>
        <v>4012.69</v>
      </c>
      <c r="J613" t="s">
        <v>1678</v>
      </c>
    </row>
    <row r="614" spans="1:10" hidden="1" outlineLevel="1">
      <c r="A614" s="374" t="s">
        <v>1724</v>
      </c>
      <c r="B614" s="492">
        <v>486103.63</v>
      </c>
      <c r="C614" s="406">
        <v>0</v>
      </c>
      <c r="D614" s="406">
        <v>0</v>
      </c>
      <c r="E614" s="406">
        <v>0</v>
      </c>
      <c r="F614" s="87">
        <f t="shared" si="29"/>
        <v>486103.63</v>
      </c>
      <c r="G614" s="88">
        <v>7498.66</v>
      </c>
      <c r="H614" s="134">
        <v>0</v>
      </c>
      <c r="I614" s="669">
        <f t="shared" si="30"/>
        <v>7498.66</v>
      </c>
      <c r="J614" t="s">
        <v>1725</v>
      </c>
    </row>
    <row r="615" spans="1:10" hidden="1" outlineLevel="1">
      <c r="A615" s="374" t="s">
        <v>1798</v>
      </c>
      <c r="B615" s="492">
        <v>299110.46999999997</v>
      </c>
      <c r="C615" s="406">
        <v>0</v>
      </c>
      <c r="D615" s="406">
        <v>0</v>
      </c>
      <c r="E615" s="406">
        <v>0</v>
      </c>
      <c r="F615" s="87">
        <f t="shared" si="29"/>
        <v>299110.46999999997</v>
      </c>
      <c r="G615" s="88">
        <v>3075.48</v>
      </c>
      <c r="H615" s="134">
        <v>0</v>
      </c>
      <c r="I615" s="669">
        <f t="shared" si="30"/>
        <v>3075.48</v>
      </c>
      <c r="J615" t="s">
        <v>1799</v>
      </c>
    </row>
    <row r="616" spans="1:10" hidden="1" outlineLevel="1">
      <c r="A616" s="374" t="s">
        <v>1546</v>
      </c>
      <c r="B616" s="492">
        <v>85841.69</v>
      </c>
      <c r="C616" s="406">
        <v>0</v>
      </c>
      <c r="D616" s="406">
        <v>0</v>
      </c>
      <c r="E616" s="406">
        <v>0</v>
      </c>
      <c r="F616" s="87">
        <f t="shared" si="29"/>
        <v>85841.69</v>
      </c>
      <c r="G616" s="88">
        <v>0</v>
      </c>
      <c r="H616" s="134">
        <v>0</v>
      </c>
      <c r="I616" s="669">
        <f t="shared" si="30"/>
        <v>0</v>
      </c>
      <c r="J616" t="s">
        <v>1547</v>
      </c>
    </row>
    <row r="617" spans="1:10" hidden="1" outlineLevel="1">
      <c r="A617" s="374" t="s">
        <v>1610</v>
      </c>
      <c r="B617" s="492">
        <v>65731.02</v>
      </c>
      <c r="C617" s="406">
        <v>0</v>
      </c>
      <c r="D617" s="406">
        <v>0</v>
      </c>
      <c r="E617" s="406">
        <v>0</v>
      </c>
      <c r="F617" s="87">
        <f t="shared" si="29"/>
        <v>65731.02</v>
      </c>
      <c r="G617" s="88">
        <v>0</v>
      </c>
      <c r="H617" s="134">
        <v>0</v>
      </c>
      <c r="I617" s="669">
        <f t="shared" si="30"/>
        <v>0</v>
      </c>
      <c r="J617" t="s">
        <v>1611</v>
      </c>
    </row>
    <row r="618" spans="1:10" hidden="1" outlineLevel="1">
      <c r="A618" s="374" t="s">
        <v>1792</v>
      </c>
      <c r="B618" s="492">
        <v>27922.66</v>
      </c>
      <c r="C618" s="406">
        <v>0</v>
      </c>
      <c r="D618" s="406">
        <v>0</v>
      </c>
      <c r="E618" s="406">
        <v>0</v>
      </c>
      <c r="F618" s="87">
        <f t="shared" si="29"/>
        <v>27922.66</v>
      </c>
      <c r="G618" s="88">
        <v>0</v>
      </c>
      <c r="H618" s="134">
        <v>0</v>
      </c>
      <c r="I618" s="669">
        <f t="shared" si="30"/>
        <v>0</v>
      </c>
      <c r="J618" t="s">
        <v>1793</v>
      </c>
    </row>
    <row r="619" spans="1:10" hidden="1" outlineLevel="1">
      <c r="A619" s="374" t="s">
        <v>1396</v>
      </c>
      <c r="B619" s="492">
        <v>54451.75</v>
      </c>
      <c r="C619" s="406">
        <v>0</v>
      </c>
      <c r="D619" s="406">
        <v>0</v>
      </c>
      <c r="E619" s="406">
        <v>0</v>
      </c>
      <c r="F619" s="87">
        <f t="shared" si="29"/>
        <v>54451.75</v>
      </c>
      <c r="G619" s="88">
        <v>0</v>
      </c>
      <c r="H619" s="134">
        <v>0</v>
      </c>
      <c r="I619" s="669">
        <f t="shared" si="30"/>
        <v>0</v>
      </c>
      <c r="J619" t="s">
        <v>1397</v>
      </c>
    </row>
    <row r="620" spans="1:10" hidden="1" outlineLevel="1">
      <c r="A620" s="374" t="s">
        <v>1388</v>
      </c>
      <c r="B620" s="492">
        <v>132652.10999999999</v>
      </c>
      <c r="C620" s="406">
        <v>0</v>
      </c>
      <c r="D620" s="406">
        <v>0</v>
      </c>
      <c r="E620" s="406">
        <v>0</v>
      </c>
      <c r="F620" s="87">
        <f t="shared" si="29"/>
        <v>132652.10999999999</v>
      </c>
      <c r="G620" s="88">
        <v>0</v>
      </c>
      <c r="H620" s="134">
        <v>0</v>
      </c>
      <c r="I620" s="669">
        <f t="shared" si="30"/>
        <v>0</v>
      </c>
      <c r="J620" t="s">
        <v>1389</v>
      </c>
    </row>
    <row r="621" spans="1:10" hidden="1" outlineLevel="1">
      <c r="A621" s="374" t="s">
        <v>1780</v>
      </c>
      <c r="B621" s="492">
        <v>1686214.97</v>
      </c>
      <c r="C621" s="406">
        <v>0</v>
      </c>
      <c r="D621" s="406">
        <v>0</v>
      </c>
      <c r="E621" s="406">
        <v>0</v>
      </c>
      <c r="F621" s="87">
        <f t="shared" si="29"/>
        <v>1686214.97</v>
      </c>
      <c r="G621" s="88">
        <v>58771.64</v>
      </c>
      <c r="H621" s="134">
        <v>0</v>
      </c>
      <c r="I621" s="669">
        <f t="shared" si="30"/>
        <v>58771.64</v>
      </c>
      <c r="J621" t="s">
        <v>1781</v>
      </c>
    </row>
    <row r="622" spans="1:10" hidden="1" outlineLevel="1">
      <c r="A622" s="374" t="s">
        <v>1518</v>
      </c>
      <c r="B622" s="492">
        <v>41264.94</v>
      </c>
      <c r="C622" s="406">
        <v>0</v>
      </c>
      <c r="D622" s="406">
        <v>0</v>
      </c>
      <c r="E622" s="406">
        <v>0</v>
      </c>
      <c r="F622" s="87">
        <f t="shared" si="29"/>
        <v>41264.94</v>
      </c>
      <c r="G622" s="88">
        <v>0</v>
      </c>
      <c r="H622" s="134">
        <v>0</v>
      </c>
      <c r="I622" s="669">
        <f t="shared" si="30"/>
        <v>0</v>
      </c>
      <c r="J622" t="s">
        <v>1519</v>
      </c>
    </row>
    <row r="623" spans="1:10" hidden="1" outlineLevel="1">
      <c r="A623" s="374" t="s">
        <v>1576</v>
      </c>
      <c r="B623" s="492">
        <v>84798.93</v>
      </c>
      <c r="C623" s="406">
        <v>0</v>
      </c>
      <c r="D623" s="406">
        <v>0</v>
      </c>
      <c r="E623" s="406">
        <v>0</v>
      </c>
      <c r="F623" s="87">
        <f t="shared" si="29"/>
        <v>84798.93</v>
      </c>
      <c r="G623" s="88">
        <v>0</v>
      </c>
      <c r="H623" s="134">
        <v>0</v>
      </c>
      <c r="I623" s="669">
        <f t="shared" si="30"/>
        <v>0</v>
      </c>
      <c r="J623" t="s">
        <v>1577</v>
      </c>
    </row>
    <row r="624" spans="1:10" hidden="1" outlineLevel="1">
      <c r="A624" s="374" t="s">
        <v>1618</v>
      </c>
      <c r="B624" s="492">
        <v>18136.32</v>
      </c>
      <c r="C624" s="406">
        <v>0</v>
      </c>
      <c r="D624" s="406">
        <v>0</v>
      </c>
      <c r="E624" s="406">
        <v>0</v>
      </c>
      <c r="F624" s="87">
        <f t="shared" si="29"/>
        <v>18136.32</v>
      </c>
      <c r="G624" s="88">
        <v>0</v>
      </c>
      <c r="H624" s="134">
        <v>0</v>
      </c>
      <c r="I624" s="669">
        <f t="shared" si="30"/>
        <v>0</v>
      </c>
      <c r="J624" t="s">
        <v>1619</v>
      </c>
    </row>
    <row r="625" spans="1:10" hidden="1" outlineLevel="1">
      <c r="A625" s="374" t="s">
        <v>1632</v>
      </c>
      <c r="B625" s="492">
        <v>758130.19</v>
      </c>
      <c r="C625" s="406">
        <v>0</v>
      </c>
      <c r="D625" s="406">
        <v>0</v>
      </c>
      <c r="E625" s="406">
        <v>0</v>
      </c>
      <c r="F625" s="87">
        <f t="shared" si="29"/>
        <v>758130.19</v>
      </c>
      <c r="G625" s="88">
        <v>0</v>
      </c>
      <c r="H625" s="134">
        <v>0</v>
      </c>
      <c r="I625" s="669">
        <f t="shared" si="30"/>
        <v>0</v>
      </c>
      <c r="J625" t="s">
        <v>1633</v>
      </c>
    </row>
    <row r="626" spans="1:10" hidden="1" outlineLevel="1">
      <c r="A626" s="374" t="s">
        <v>1432</v>
      </c>
      <c r="B626" s="492">
        <v>24507.34</v>
      </c>
      <c r="C626" s="406">
        <v>0</v>
      </c>
      <c r="D626" s="406">
        <v>0</v>
      </c>
      <c r="E626" s="406">
        <v>0</v>
      </c>
      <c r="F626" s="87">
        <f t="shared" si="29"/>
        <v>24507.34</v>
      </c>
      <c r="G626" s="88">
        <v>0</v>
      </c>
      <c r="H626" s="134">
        <v>0</v>
      </c>
      <c r="I626" s="669">
        <f t="shared" si="30"/>
        <v>0</v>
      </c>
      <c r="J626" t="s">
        <v>1433</v>
      </c>
    </row>
    <row r="627" spans="1:10" hidden="1" outlineLevel="1">
      <c r="A627" s="374" t="s">
        <v>1692</v>
      </c>
      <c r="B627" s="492">
        <v>11561.960000000001</v>
      </c>
      <c r="C627" s="406">
        <v>0</v>
      </c>
      <c r="D627" s="406">
        <v>0</v>
      </c>
      <c r="E627" s="406">
        <v>0</v>
      </c>
      <c r="F627" s="87">
        <f t="shared" si="29"/>
        <v>11561.960000000001</v>
      </c>
      <c r="G627" s="88">
        <v>0</v>
      </c>
      <c r="H627" s="134">
        <v>0</v>
      </c>
      <c r="I627" s="669">
        <f t="shared" si="30"/>
        <v>0</v>
      </c>
      <c r="J627" t="s">
        <v>1693</v>
      </c>
    </row>
    <row r="628" spans="1:10" hidden="1" outlineLevel="1">
      <c r="A628" s="374" t="s">
        <v>1536</v>
      </c>
      <c r="B628" s="492">
        <v>31851.120000000003</v>
      </c>
      <c r="C628" s="406">
        <v>0</v>
      </c>
      <c r="D628" s="406">
        <v>0</v>
      </c>
      <c r="E628" s="406">
        <v>0</v>
      </c>
      <c r="F628" s="87">
        <f t="shared" si="29"/>
        <v>31851.120000000003</v>
      </c>
      <c r="G628" s="88">
        <v>0</v>
      </c>
      <c r="H628" s="134">
        <v>0</v>
      </c>
      <c r="I628" s="669">
        <f t="shared" si="30"/>
        <v>0</v>
      </c>
      <c r="J628" t="s">
        <v>1537</v>
      </c>
    </row>
    <row r="629" spans="1:10" hidden="1" outlineLevel="1">
      <c r="A629" s="374" t="s">
        <v>1293</v>
      </c>
      <c r="B629" s="492">
        <v>110932.63999999998</v>
      </c>
      <c r="C629" s="406">
        <v>0</v>
      </c>
      <c r="D629" s="406">
        <v>0</v>
      </c>
      <c r="E629" s="406">
        <v>0</v>
      </c>
      <c r="F629" s="87">
        <f t="shared" si="29"/>
        <v>110932.63999999998</v>
      </c>
      <c r="G629" s="88">
        <v>5533.35</v>
      </c>
      <c r="H629" s="134">
        <v>0</v>
      </c>
      <c r="I629" s="669">
        <f t="shared" si="30"/>
        <v>5533.35</v>
      </c>
      <c r="J629" t="s">
        <v>1294</v>
      </c>
    </row>
    <row r="630" spans="1:10" hidden="1" outlineLevel="1">
      <c r="A630" s="374" t="s">
        <v>1532</v>
      </c>
      <c r="B630" s="492">
        <v>217618.10999999996</v>
      </c>
      <c r="C630" s="406">
        <v>0</v>
      </c>
      <c r="D630" s="406">
        <v>0</v>
      </c>
      <c r="E630" s="406">
        <v>0</v>
      </c>
      <c r="F630" s="87">
        <f t="shared" si="29"/>
        <v>217618.10999999996</v>
      </c>
      <c r="G630" s="88">
        <v>2529.16</v>
      </c>
      <c r="H630" s="134">
        <v>0</v>
      </c>
      <c r="I630" s="669">
        <f t="shared" si="30"/>
        <v>2529.16</v>
      </c>
      <c r="J630" t="s">
        <v>1533</v>
      </c>
    </row>
    <row r="631" spans="1:10" hidden="1" outlineLevel="1">
      <c r="A631" s="374" t="s">
        <v>1542</v>
      </c>
      <c r="B631" s="492">
        <v>64977.42</v>
      </c>
      <c r="C631" s="406">
        <v>0</v>
      </c>
      <c r="D631" s="406">
        <v>0</v>
      </c>
      <c r="E631" s="406">
        <v>0</v>
      </c>
      <c r="F631" s="87">
        <f t="shared" si="29"/>
        <v>64977.42</v>
      </c>
      <c r="G631" s="88">
        <v>0</v>
      </c>
      <c r="H631" s="134">
        <v>0</v>
      </c>
      <c r="I631" s="669">
        <f t="shared" si="30"/>
        <v>0</v>
      </c>
      <c r="J631" t="s">
        <v>1543</v>
      </c>
    </row>
    <row r="632" spans="1:10" hidden="1" outlineLevel="1">
      <c r="A632" s="374" t="s">
        <v>1291</v>
      </c>
      <c r="B632" s="492">
        <v>31361.879999999997</v>
      </c>
      <c r="C632" s="406">
        <v>0</v>
      </c>
      <c r="D632" s="406">
        <v>0</v>
      </c>
      <c r="E632" s="406">
        <v>0</v>
      </c>
      <c r="F632" s="87">
        <f t="shared" si="29"/>
        <v>31361.879999999997</v>
      </c>
      <c r="G632" s="88">
        <v>0</v>
      </c>
      <c r="H632" s="134">
        <v>0</v>
      </c>
      <c r="I632" s="669">
        <f t="shared" si="30"/>
        <v>0</v>
      </c>
      <c r="J632" t="s">
        <v>1292</v>
      </c>
    </row>
    <row r="633" spans="1:10" hidden="1" outlineLevel="1">
      <c r="A633" s="374" t="s">
        <v>1494</v>
      </c>
      <c r="B633" s="492">
        <v>127634.62</v>
      </c>
      <c r="C633" s="406">
        <v>0</v>
      </c>
      <c r="D633" s="406">
        <v>0</v>
      </c>
      <c r="E633" s="406">
        <v>0</v>
      </c>
      <c r="F633" s="87">
        <f t="shared" si="29"/>
        <v>127634.62</v>
      </c>
      <c r="G633" s="88">
        <v>4008.67</v>
      </c>
      <c r="H633" s="134">
        <v>0</v>
      </c>
      <c r="I633" s="669">
        <f t="shared" si="30"/>
        <v>4008.67</v>
      </c>
      <c r="J633" t="s">
        <v>1495</v>
      </c>
    </row>
    <row r="634" spans="1:10" hidden="1" outlineLevel="1">
      <c r="A634" s="374" t="s">
        <v>1342</v>
      </c>
      <c r="B634" s="492">
        <v>80214.570000000007</v>
      </c>
      <c r="C634" s="406">
        <v>0</v>
      </c>
      <c r="D634" s="406">
        <v>0</v>
      </c>
      <c r="E634" s="406">
        <v>0</v>
      </c>
      <c r="F634" s="87">
        <f t="shared" si="29"/>
        <v>80214.570000000007</v>
      </c>
      <c r="G634" s="88">
        <v>0</v>
      </c>
      <c r="H634" s="134">
        <v>0</v>
      </c>
      <c r="I634" s="669">
        <f t="shared" si="30"/>
        <v>0</v>
      </c>
      <c r="J634" t="s">
        <v>1343</v>
      </c>
    </row>
    <row r="635" spans="1:10" hidden="1" outlineLevel="1">
      <c r="A635" s="374" t="s">
        <v>1326</v>
      </c>
      <c r="B635" s="492">
        <v>21076.43</v>
      </c>
      <c r="C635" s="406">
        <v>0</v>
      </c>
      <c r="D635" s="406">
        <v>0</v>
      </c>
      <c r="E635" s="406">
        <v>0</v>
      </c>
      <c r="F635" s="87">
        <f t="shared" si="29"/>
        <v>21076.43</v>
      </c>
      <c r="G635" s="88">
        <v>0</v>
      </c>
      <c r="H635" s="134">
        <v>0</v>
      </c>
      <c r="I635" s="669">
        <f t="shared" si="30"/>
        <v>0</v>
      </c>
      <c r="J635" t="s">
        <v>1327</v>
      </c>
    </row>
    <row r="636" spans="1:10" hidden="1" outlineLevel="1">
      <c r="A636" s="374" t="s">
        <v>1794</v>
      </c>
      <c r="B636" s="492">
        <v>4823904.1400000006</v>
      </c>
      <c r="C636" s="406">
        <v>0</v>
      </c>
      <c r="D636" s="406">
        <v>0</v>
      </c>
      <c r="E636" s="406">
        <v>0</v>
      </c>
      <c r="F636" s="87">
        <f t="shared" si="29"/>
        <v>4823904.1400000006</v>
      </c>
      <c r="G636" s="88">
        <v>3452.45</v>
      </c>
      <c r="H636" s="134">
        <v>0</v>
      </c>
      <c r="I636" s="669">
        <f t="shared" si="30"/>
        <v>3452.45</v>
      </c>
      <c r="J636" t="s">
        <v>1795</v>
      </c>
    </row>
    <row r="637" spans="1:10" hidden="1" outlineLevel="1">
      <c r="A637" s="374" t="s">
        <v>1698</v>
      </c>
      <c r="B637" s="492">
        <v>310417.90000000002</v>
      </c>
      <c r="C637" s="406">
        <v>0</v>
      </c>
      <c r="D637" s="406">
        <v>0</v>
      </c>
      <c r="E637" s="406">
        <v>0</v>
      </c>
      <c r="F637" s="87">
        <f t="shared" si="29"/>
        <v>310417.90000000002</v>
      </c>
      <c r="G637" s="88">
        <v>0</v>
      </c>
      <c r="H637" s="134">
        <v>0</v>
      </c>
      <c r="I637" s="669">
        <f t="shared" si="30"/>
        <v>0</v>
      </c>
      <c r="J637" t="s">
        <v>1699</v>
      </c>
    </row>
    <row r="638" spans="1:10" hidden="1" outlineLevel="1">
      <c r="A638" s="374" t="s">
        <v>1348</v>
      </c>
      <c r="B638" s="492">
        <v>45727.680000000008</v>
      </c>
      <c r="C638" s="406">
        <v>0</v>
      </c>
      <c r="D638" s="406">
        <v>0</v>
      </c>
      <c r="E638" s="406">
        <v>0</v>
      </c>
      <c r="F638" s="87">
        <f t="shared" si="29"/>
        <v>45727.680000000008</v>
      </c>
      <c r="G638" s="88">
        <v>0</v>
      </c>
      <c r="H638" s="134">
        <v>0</v>
      </c>
      <c r="I638" s="669">
        <f t="shared" si="30"/>
        <v>0</v>
      </c>
      <c r="J638" t="s">
        <v>1349</v>
      </c>
    </row>
    <row r="639" spans="1:10" hidden="1" outlineLevel="1">
      <c r="A639" s="374" t="s">
        <v>1608</v>
      </c>
      <c r="B639" s="492">
        <v>84924.62</v>
      </c>
      <c r="C639" s="406">
        <v>0</v>
      </c>
      <c r="D639" s="406">
        <v>0</v>
      </c>
      <c r="E639" s="406">
        <v>0</v>
      </c>
      <c r="F639" s="87">
        <f t="shared" si="29"/>
        <v>84924.62</v>
      </c>
      <c r="G639" s="88">
        <v>0</v>
      </c>
      <c r="H639" s="134">
        <v>0</v>
      </c>
      <c r="I639" s="669">
        <f t="shared" si="30"/>
        <v>0</v>
      </c>
      <c r="J639" t="s">
        <v>1609</v>
      </c>
    </row>
    <row r="640" spans="1:10" hidden="1" outlineLevel="1">
      <c r="A640" s="374" t="s">
        <v>1722</v>
      </c>
      <c r="B640" s="492">
        <v>24199</v>
      </c>
      <c r="C640" s="406">
        <v>0</v>
      </c>
      <c r="D640" s="406">
        <v>0</v>
      </c>
      <c r="E640" s="406">
        <v>0</v>
      </c>
      <c r="F640" s="87">
        <f t="shared" si="29"/>
        <v>24199</v>
      </c>
      <c r="G640" s="88">
        <v>0</v>
      </c>
      <c r="H640" s="134">
        <v>0</v>
      </c>
      <c r="I640" s="669">
        <f t="shared" si="30"/>
        <v>0</v>
      </c>
      <c r="J640" t="s">
        <v>1723</v>
      </c>
    </row>
    <row r="641" spans="1:10" hidden="1" outlineLevel="1">
      <c r="A641" s="374" t="s">
        <v>1322</v>
      </c>
      <c r="B641" s="492">
        <v>1755.33</v>
      </c>
      <c r="C641" s="406">
        <v>0</v>
      </c>
      <c r="D641" s="406">
        <v>0</v>
      </c>
      <c r="E641" s="406">
        <v>0</v>
      </c>
      <c r="F641" s="87">
        <f t="shared" si="29"/>
        <v>1755.33</v>
      </c>
      <c r="G641" s="88">
        <v>0</v>
      </c>
      <c r="H641" s="134">
        <v>0</v>
      </c>
      <c r="I641" s="669">
        <f t="shared" si="30"/>
        <v>0</v>
      </c>
      <c r="J641" t="s">
        <v>1323</v>
      </c>
    </row>
    <row r="642" spans="1:10" hidden="1" outlineLevel="1">
      <c r="A642" s="374" t="s">
        <v>1788</v>
      </c>
      <c r="B642" s="492">
        <v>22036.799999999999</v>
      </c>
      <c r="C642" s="406">
        <v>0</v>
      </c>
      <c r="D642" s="406">
        <v>0</v>
      </c>
      <c r="E642" s="406">
        <v>0</v>
      </c>
      <c r="F642" s="87">
        <f t="shared" si="29"/>
        <v>22036.799999999999</v>
      </c>
      <c r="G642" s="88">
        <v>0</v>
      </c>
      <c r="H642" s="134">
        <v>0</v>
      </c>
      <c r="I642" s="669">
        <f t="shared" si="30"/>
        <v>0</v>
      </c>
      <c r="J642" t="s">
        <v>1789</v>
      </c>
    </row>
    <row r="643" spans="1:10" hidden="1" outlineLevel="1">
      <c r="A643" s="374" t="s">
        <v>1506</v>
      </c>
      <c r="B643" s="492">
        <v>15469.759999999998</v>
      </c>
      <c r="C643" s="406">
        <v>0</v>
      </c>
      <c r="D643" s="406">
        <v>0</v>
      </c>
      <c r="E643" s="406">
        <v>0</v>
      </c>
      <c r="F643" s="87">
        <f t="shared" si="29"/>
        <v>15469.759999999998</v>
      </c>
      <c r="G643" s="88">
        <v>0</v>
      </c>
      <c r="H643" s="134">
        <v>0</v>
      </c>
      <c r="I643" s="669">
        <f t="shared" si="30"/>
        <v>0</v>
      </c>
      <c r="J643" t="s">
        <v>1507</v>
      </c>
    </row>
    <row r="644" spans="1:10" hidden="1" outlineLevel="1">
      <c r="A644" s="374" t="s">
        <v>1588</v>
      </c>
      <c r="B644" s="492">
        <v>151806.47</v>
      </c>
      <c r="C644" s="406">
        <v>0</v>
      </c>
      <c r="D644" s="406">
        <v>-5600</v>
      </c>
      <c r="E644" s="406">
        <v>0</v>
      </c>
      <c r="F644" s="87">
        <f t="shared" si="29"/>
        <v>146206.47</v>
      </c>
      <c r="G644" s="88">
        <v>-1861.9799999999996</v>
      </c>
      <c r="H644" s="134">
        <v>-2.72</v>
      </c>
      <c r="I644" s="669">
        <f t="shared" si="30"/>
        <v>-1864.6999999999996</v>
      </c>
      <c r="J644" t="s">
        <v>1589</v>
      </c>
    </row>
    <row r="645" spans="1:10" hidden="1" outlineLevel="1">
      <c r="A645" s="374" t="s">
        <v>1480</v>
      </c>
      <c r="B645" s="492">
        <v>1371.76</v>
      </c>
      <c r="C645" s="406">
        <v>0</v>
      </c>
      <c r="D645" s="406">
        <v>0</v>
      </c>
      <c r="E645" s="406">
        <v>0</v>
      </c>
      <c r="F645" s="87">
        <f t="shared" si="29"/>
        <v>1371.76</v>
      </c>
      <c r="G645" s="88">
        <v>0</v>
      </c>
      <c r="H645" s="134">
        <v>0</v>
      </c>
      <c r="I645" s="669">
        <f t="shared" si="30"/>
        <v>0</v>
      </c>
      <c r="J645" t="s">
        <v>1481</v>
      </c>
    </row>
    <row r="646" spans="1:10" hidden="1" outlineLevel="1">
      <c r="A646" s="374" t="s">
        <v>1320</v>
      </c>
      <c r="B646" s="492">
        <v>150494.49</v>
      </c>
      <c r="C646" s="406">
        <v>0</v>
      </c>
      <c r="D646" s="406">
        <v>0</v>
      </c>
      <c r="E646" s="406">
        <v>0</v>
      </c>
      <c r="F646" s="87">
        <f t="shared" si="29"/>
        <v>150494.49</v>
      </c>
      <c r="G646" s="88">
        <v>-2.4900000000000002</v>
      </c>
      <c r="H646" s="134">
        <v>0</v>
      </c>
      <c r="I646" s="669">
        <f t="shared" si="30"/>
        <v>-2.4900000000000002</v>
      </c>
      <c r="J646" t="s">
        <v>1321</v>
      </c>
    </row>
    <row r="647" spans="1:10" hidden="1" outlineLevel="1">
      <c r="A647" s="374" t="s">
        <v>1578</v>
      </c>
      <c r="B647" s="492">
        <v>111057.84999999999</v>
      </c>
      <c r="C647" s="406">
        <v>0</v>
      </c>
      <c r="D647" s="406">
        <v>0</v>
      </c>
      <c r="E647" s="406">
        <v>0</v>
      </c>
      <c r="F647" s="87">
        <f t="shared" si="29"/>
        <v>111057.84999999999</v>
      </c>
      <c r="G647" s="88">
        <v>0</v>
      </c>
      <c r="H647" s="134">
        <v>0</v>
      </c>
      <c r="I647" s="669">
        <f t="shared" si="30"/>
        <v>0</v>
      </c>
      <c r="J647" t="s">
        <v>1579</v>
      </c>
    </row>
    <row r="648" spans="1:10" hidden="1" outlineLevel="1">
      <c r="A648" s="374" t="s">
        <v>1482</v>
      </c>
      <c r="B648" s="492">
        <v>67431.429999999993</v>
      </c>
      <c r="C648" s="406">
        <v>0</v>
      </c>
      <c r="D648" s="406">
        <v>0</v>
      </c>
      <c r="E648" s="406">
        <v>0</v>
      </c>
      <c r="F648" s="87">
        <f t="shared" si="29"/>
        <v>67431.429999999993</v>
      </c>
      <c r="G648" s="88">
        <v>0</v>
      </c>
      <c r="H648" s="134">
        <v>0</v>
      </c>
      <c r="I648" s="669">
        <f t="shared" si="30"/>
        <v>0</v>
      </c>
      <c r="J648" t="s">
        <v>1483</v>
      </c>
    </row>
    <row r="649" spans="1:10" hidden="1" outlineLevel="1">
      <c r="A649" s="374" t="s">
        <v>1534</v>
      </c>
      <c r="B649" s="492">
        <v>104976.85999999999</v>
      </c>
      <c r="C649" s="406">
        <v>-1622.16</v>
      </c>
      <c r="D649" s="406">
        <v>0</v>
      </c>
      <c r="E649" s="406">
        <v>0</v>
      </c>
      <c r="F649" s="87">
        <f t="shared" si="29"/>
        <v>103354.69999999998</v>
      </c>
      <c r="G649" s="88">
        <v>0</v>
      </c>
      <c r="H649" s="134">
        <v>0</v>
      </c>
      <c r="I649" s="669">
        <f t="shared" si="30"/>
        <v>0</v>
      </c>
      <c r="J649" t="s">
        <v>1535</v>
      </c>
    </row>
    <row r="650" spans="1:10" hidden="1" outlineLevel="1">
      <c r="A650" s="374" t="s">
        <v>1694</v>
      </c>
      <c r="B650" s="492">
        <v>85635</v>
      </c>
      <c r="C650" s="406">
        <v>0</v>
      </c>
      <c r="D650" s="406">
        <v>0</v>
      </c>
      <c r="E650" s="406">
        <v>0</v>
      </c>
      <c r="F650" s="87">
        <f t="shared" si="29"/>
        <v>85635</v>
      </c>
      <c r="G650" s="88">
        <v>0</v>
      </c>
      <c r="H650" s="134">
        <v>0</v>
      </c>
      <c r="I650" s="669">
        <f t="shared" si="30"/>
        <v>0</v>
      </c>
      <c r="J650" t="s">
        <v>1695</v>
      </c>
    </row>
    <row r="651" spans="1:10" hidden="1" outlineLevel="1">
      <c r="A651" s="374" t="s">
        <v>1458</v>
      </c>
      <c r="B651" s="492">
        <v>700206.57000000007</v>
      </c>
      <c r="C651" s="406">
        <v>0</v>
      </c>
      <c r="D651" s="406">
        <v>0</v>
      </c>
      <c r="E651" s="406">
        <v>0</v>
      </c>
      <c r="F651" s="87">
        <f t="shared" si="29"/>
        <v>700206.57000000007</v>
      </c>
      <c r="G651" s="88">
        <v>0</v>
      </c>
      <c r="H651" s="134">
        <v>0</v>
      </c>
      <c r="I651" s="669">
        <f t="shared" si="30"/>
        <v>0</v>
      </c>
      <c r="J651" t="s">
        <v>1459</v>
      </c>
    </row>
    <row r="652" spans="1:10" hidden="1" outlineLevel="1">
      <c r="A652" s="374" t="s">
        <v>1664</v>
      </c>
      <c r="B652" s="492">
        <v>272912.10000000003</v>
      </c>
      <c r="C652" s="406">
        <v>0</v>
      </c>
      <c r="D652" s="406">
        <v>0</v>
      </c>
      <c r="E652" s="406">
        <v>0</v>
      </c>
      <c r="F652" s="87">
        <f t="shared" si="29"/>
        <v>272912.10000000003</v>
      </c>
      <c r="G652" s="88">
        <v>0</v>
      </c>
      <c r="H652" s="134">
        <v>0</v>
      </c>
      <c r="I652" s="669">
        <f t="shared" si="30"/>
        <v>0</v>
      </c>
      <c r="J652" t="s">
        <v>1665</v>
      </c>
    </row>
    <row r="653" spans="1:10" hidden="1" outlineLevel="1">
      <c r="A653" s="374" t="s">
        <v>1826</v>
      </c>
      <c r="B653" s="492">
        <v>300421.71000000002</v>
      </c>
      <c r="C653" s="406">
        <v>0</v>
      </c>
      <c r="D653" s="406">
        <v>0</v>
      </c>
      <c r="E653" s="406">
        <v>0</v>
      </c>
      <c r="F653" s="87">
        <f t="shared" si="29"/>
        <v>300421.71000000002</v>
      </c>
      <c r="G653" s="88">
        <v>62427.78</v>
      </c>
      <c r="H653" s="134">
        <v>0</v>
      </c>
      <c r="I653" s="669">
        <f t="shared" si="30"/>
        <v>62427.78</v>
      </c>
      <c r="J653" t="s">
        <v>1827</v>
      </c>
    </row>
    <row r="654" spans="1:10" hidden="1" outlineLevel="1">
      <c r="A654" s="374" t="s">
        <v>1418</v>
      </c>
      <c r="B654" s="492">
        <v>12128.49</v>
      </c>
      <c r="C654" s="406">
        <v>0</v>
      </c>
      <c r="D654" s="406">
        <v>0</v>
      </c>
      <c r="E654" s="406">
        <v>0</v>
      </c>
      <c r="F654" s="87">
        <f t="shared" si="29"/>
        <v>12128.49</v>
      </c>
      <c r="G654" s="88">
        <v>0</v>
      </c>
      <c r="H654" s="134">
        <v>0</v>
      </c>
      <c r="I654" s="669">
        <f t="shared" si="30"/>
        <v>0</v>
      </c>
      <c r="J654" t="s">
        <v>1419</v>
      </c>
    </row>
    <row r="655" spans="1:10" hidden="1" outlineLevel="1">
      <c r="A655" s="374" t="s">
        <v>1434</v>
      </c>
      <c r="B655" s="492">
        <v>52292.43</v>
      </c>
      <c r="C655" s="406">
        <v>0</v>
      </c>
      <c r="D655" s="406">
        <v>0</v>
      </c>
      <c r="E655" s="406">
        <v>0</v>
      </c>
      <c r="F655" s="87">
        <f t="shared" si="29"/>
        <v>52292.43</v>
      </c>
      <c r="G655" s="88">
        <v>0</v>
      </c>
      <c r="H655" s="134">
        <v>0</v>
      </c>
      <c r="I655" s="669">
        <f t="shared" si="30"/>
        <v>0</v>
      </c>
      <c r="J655" t="s">
        <v>1435</v>
      </c>
    </row>
    <row r="656" spans="1:10" hidden="1" outlineLevel="1">
      <c r="A656" s="374" t="s">
        <v>1704</v>
      </c>
      <c r="B656" s="492">
        <v>98600.639999999999</v>
      </c>
      <c r="C656" s="406">
        <v>0</v>
      </c>
      <c r="D656" s="406">
        <v>0</v>
      </c>
      <c r="E656" s="406">
        <v>0</v>
      </c>
      <c r="F656" s="87">
        <f t="shared" si="29"/>
        <v>98600.639999999999</v>
      </c>
      <c r="G656" s="88">
        <v>0</v>
      </c>
      <c r="H656" s="134">
        <v>0</v>
      </c>
      <c r="I656" s="669">
        <f t="shared" si="30"/>
        <v>0</v>
      </c>
      <c r="J656" t="s">
        <v>1705</v>
      </c>
    </row>
    <row r="657" spans="1:10" hidden="1" outlineLevel="1">
      <c r="A657" s="374" t="s">
        <v>1263</v>
      </c>
      <c r="B657" s="492">
        <v>26023.489999999998</v>
      </c>
      <c r="C657" s="406">
        <v>0</v>
      </c>
      <c r="D657" s="406">
        <v>0</v>
      </c>
      <c r="E657" s="406">
        <v>0</v>
      </c>
      <c r="F657" s="87">
        <f t="shared" si="29"/>
        <v>26023.489999999998</v>
      </c>
      <c r="G657" s="88">
        <v>4195.0200000000004</v>
      </c>
      <c r="H657" s="134">
        <v>0</v>
      </c>
      <c r="I657" s="669">
        <f t="shared" si="30"/>
        <v>4195.0200000000004</v>
      </c>
      <c r="J657" t="s">
        <v>1264</v>
      </c>
    </row>
    <row r="658" spans="1:10" hidden="1" outlineLevel="1">
      <c r="A658" s="374" t="s">
        <v>1614</v>
      </c>
      <c r="B658" s="492">
        <v>89944.200000000012</v>
      </c>
      <c r="C658" s="406">
        <v>0</v>
      </c>
      <c r="D658" s="406">
        <v>0</v>
      </c>
      <c r="E658" s="406">
        <v>0</v>
      </c>
      <c r="F658" s="87">
        <f t="shared" si="29"/>
        <v>89944.200000000012</v>
      </c>
      <c r="G658" s="88">
        <v>0</v>
      </c>
      <c r="H658" s="134">
        <v>0</v>
      </c>
      <c r="I658" s="669">
        <f t="shared" si="30"/>
        <v>0</v>
      </c>
      <c r="J658" t="s">
        <v>1615</v>
      </c>
    </row>
    <row r="659" spans="1:10" hidden="1" outlineLevel="1">
      <c r="A659" s="374" t="s">
        <v>1490</v>
      </c>
      <c r="B659" s="492">
        <v>4101.6000000000004</v>
      </c>
      <c r="C659" s="406">
        <v>0</v>
      </c>
      <c r="D659" s="406">
        <v>0</v>
      </c>
      <c r="E659" s="406">
        <v>0</v>
      </c>
      <c r="F659" s="87">
        <f t="shared" si="29"/>
        <v>4101.6000000000004</v>
      </c>
      <c r="G659" s="88">
        <v>0</v>
      </c>
      <c r="H659" s="134">
        <v>0</v>
      </c>
      <c r="I659" s="669">
        <f t="shared" si="30"/>
        <v>0</v>
      </c>
      <c r="J659" t="s">
        <v>1491</v>
      </c>
    </row>
    <row r="660" spans="1:10" hidden="1" outlineLevel="1">
      <c r="A660" s="374" t="s">
        <v>1338</v>
      </c>
      <c r="B660" s="492">
        <v>28684.16</v>
      </c>
      <c r="C660" s="406">
        <v>0</v>
      </c>
      <c r="D660" s="406">
        <v>0</v>
      </c>
      <c r="E660" s="406">
        <v>0</v>
      </c>
      <c r="F660" s="87">
        <f t="shared" si="29"/>
        <v>28684.16</v>
      </c>
      <c r="G660" s="88">
        <v>0</v>
      </c>
      <c r="H660" s="134">
        <v>0</v>
      </c>
      <c r="I660" s="669">
        <f t="shared" si="30"/>
        <v>0</v>
      </c>
      <c r="J660" t="s">
        <v>1339</v>
      </c>
    </row>
    <row r="661" spans="1:10" hidden="1" outlineLevel="1">
      <c r="A661" s="374" t="s">
        <v>1592</v>
      </c>
      <c r="B661" s="492">
        <v>125230.05000000002</v>
      </c>
      <c r="C661" s="406">
        <v>0</v>
      </c>
      <c r="D661" s="406">
        <v>0</v>
      </c>
      <c r="E661" s="406">
        <v>0</v>
      </c>
      <c r="F661" s="87">
        <f t="shared" si="29"/>
        <v>125230.05000000002</v>
      </c>
      <c r="G661" s="88">
        <v>0</v>
      </c>
      <c r="H661" s="134">
        <v>0</v>
      </c>
      <c r="I661" s="669">
        <f t="shared" si="30"/>
        <v>0</v>
      </c>
      <c r="J661" t="s">
        <v>1593</v>
      </c>
    </row>
    <row r="662" spans="1:10" hidden="1" outlineLevel="1">
      <c r="A662" s="374" t="s">
        <v>1392</v>
      </c>
      <c r="B662" s="492">
        <v>67529.739999999991</v>
      </c>
      <c r="C662" s="406">
        <v>0</v>
      </c>
      <c r="D662" s="406">
        <v>0</v>
      </c>
      <c r="E662" s="406">
        <v>0</v>
      </c>
      <c r="F662" s="87">
        <f t="shared" ref="F662:F725" si="31">SUM(B662:E662)</f>
        <v>67529.739999999991</v>
      </c>
      <c r="G662" s="88">
        <v>0</v>
      </c>
      <c r="H662" s="134">
        <v>0</v>
      </c>
      <c r="I662" s="669">
        <f t="shared" ref="I662:I725" si="32">G662+H662</f>
        <v>0</v>
      </c>
      <c r="J662" t="s">
        <v>1393</v>
      </c>
    </row>
    <row r="663" spans="1:10" hidden="1" outlineLevel="1">
      <c r="A663" s="374" t="s">
        <v>1638</v>
      </c>
      <c r="B663" s="492">
        <v>22050.33</v>
      </c>
      <c r="C663" s="406">
        <v>0</v>
      </c>
      <c r="D663" s="406">
        <v>0</v>
      </c>
      <c r="E663" s="406">
        <v>0</v>
      </c>
      <c r="F663" s="87">
        <f t="shared" si="31"/>
        <v>22050.33</v>
      </c>
      <c r="G663" s="88">
        <v>0</v>
      </c>
      <c r="H663" s="134">
        <v>0</v>
      </c>
      <c r="I663" s="669">
        <f t="shared" si="32"/>
        <v>0</v>
      </c>
      <c r="J663" t="s">
        <v>1639</v>
      </c>
    </row>
    <row r="664" spans="1:10" hidden="1" outlineLevel="1">
      <c r="A664" s="374" t="s">
        <v>1810</v>
      </c>
      <c r="B664" s="492">
        <v>28326.199999999997</v>
      </c>
      <c r="C664" s="406">
        <v>0</v>
      </c>
      <c r="D664" s="406">
        <v>0</v>
      </c>
      <c r="E664" s="406">
        <v>0</v>
      </c>
      <c r="F664" s="87">
        <f t="shared" si="31"/>
        <v>28326.199999999997</v>
      </c>
      <c r="G664" s="88">
        <v>0</v>
      </c>
      <c r="H664" s="134">
        <v>0</v>
      </c>
      <c r="I664" s="669">
        <f t="shared" si="32"/>
        <v>0</v>
      </c>
      <c r="J664" t="s">
        <v>1811</v>
      </c>
    </row>
    <row r="665" spans="1:10" hidden="1" outlineLevel="1">
      <c r="A665" s="374" t="s">
        <v>1772</v>
      </c>
      <c r="B665" s="492">
        <v>10679.919999999998</v>
      </c>
      <c r="C665" s="406">
        <v>0</v>
      </c>
      <c r="D665" s="406">
        <v>0</v>
      </c>
      <c r="E665" s="406">
        <v>0</v>
      </c>
      <c r="F665" s="87">
        <f t="shared" si="31"/>
        <v>10679.919999999998</v>
      </c>
      <c r="G665" s="88">
        <v>0</v>
      </c>
      <c r="H665" s="134">
        <v>0</v>
      </c>
      <c r="I665" s="669">
        <f t="shared" si="32"/>
        <v>0</v>
      </c>
      <c r="J665" t="s">
        <v>1773</v>
      </c>
    </row>
    <row r="666" spans="1:10" hidden="1" outlineLevel="1">
      <c r="A666" s="374" t="s">
        <v>1580</v>
      </c>
      <c r="B666" s="492">
        <v>2849.28</v>
      </c>
      <c r="C666" s="406">
        <v>0</v>
      </c>
      <c r="D666" s="406">
        <v>0</v>
      </c>
      <c r="E666" s="406">
        <v>0</v>
      </c>
      <c r="F666" s="87">
        <f t="shared" si="31"/>
        <v>2849.28</v>
      </c>
      <c r="G666" s="88">
        <v>0</v>
      </c>
      <c r="H666" s="134">
        <v>0</v>
      </c>
      <c r="I666" s="669">
        <f t="shared" si="32"/>
        <v>0</v>
      </c>
      <c r="J666" t="s">
        <v>1581</v>
      </c>
    </row>
    <row r="667" spans="1:10" hidden="1" outlineLevel="1">
      <c r="A667" s="374" t="s">
        <v>1662</v>
      </c>
      <c r="B667" s="492">
        <v>11689.6</v>
      </c>
      <c r="C667" s="406">
        <v>0</v>
      </c>
      <c r="D667" s="406">
        <v>0</v>
      </c>
      <c r="E667" s="406">
        <v>0</v>
      </c>
      <c r="F667" s="87">
        <f t="shared" si="31"/>
        <v>11689.6</v>
      </c>
      <c r="G667" s="88">
        <v>0</v>
      </c>
      <c r="H667" s="134">
        <v>0</v>
      </c>
      <c r="I667" s="669">
        <f t="shared" si="32"/>
        <v>0</v>
      </c>
      <c r="J667" t="s">
        <v>1663</v>
      </c>
    </row>
    <row r="668" spans="1:10" hidden="1" outlineLevel="1">
      <c r="A668" s="374" t="s">
        <v>1234</v>
      </c>
      <c r="B668" s="492">
        <v>54120.979999999996</v>
      </c>
      <c r="C668" s="406">
        <v>0</v>
      </c>
      <c r="D668" s="406">
        <v>0</v>
      </c>
      <c r="E668" s="406">
        <v>0</v>
      </c>
      <c r="F668" s="87">
        <f t="shared" si="31"/>
        <v>54120.979999999996</v>
      </c>
      <c r="G668" s="88">
        <v>0</v>
      </c>
      <c r="H668" s="134">
        <v>0</v>
      </c>
      <c r="I668" s="669">
        <f t="shared" si="32"/>
        <v>0</v>
      </c>
      <c r="J668" t="s">
        <v>1235</v>
      </c>
    </row>
    <row r="669" spans="1:10" hidden="1" outlineLevel="1">
      <c r="A669" s="374" t="s">
        <v>1360</v>
      </c>
      <c r="B669" s="492">
        <v>55664.04</v>
      </c>
      <c r="C669" s="406">
        <v>0</v>
      </c>
      <c r="D669" s="406">
        <v>0</v>
      </c>
      <c r="E669" s="406">
        <v>0</v>
      </c>
      <c r="F669" s="87">
        <f t="shared" si="31"/>
        <v>55664.04</v>
      </c>
      <c r="G669" s="88">
        <v>0</v>
      </c>
      <c r="H669" s="134">
        <v>0</v>
      </c>
      <c r="I669" s="669">
        <f t="shared" si="32"/>
        <v>0</v>
      </c>
      <c r="J669" t="s">
        <v>1361</v>
      </c>
    </row>
    <row r="670" spans="1:10" hidden="1" outlineLevel="1">
      <c r="A670" s="374" t="s">
        <v>1690</v>
      </c>
      <c r="B670" s="492">
        <v>468855.05</v>
      </c>
      <c r="C670" s="406">
        <v>0</v>
      </c>
      <c r="D670" s="406">
        <v>0</v>
      </c>
      <c r="E670" s="406">
        <v>0</v>
      </c>
      <c r="F670" s="87">
        <f t="shared" si="31"/>
        <v>468855.05</v>
      </c>
      <c r="G670" s="88">
        <v>0</v>
      </c>
      <c r="H670" s="134">
        <v>0</v>
      </c>
      <c r="I670" s="669">
        <f t="shared" si="32"/>
        <v>0</v>
      </c>
      <c r="J670" t="s">
        <v>1691</v>
      </c>
    </row>
    <row r="671" spans="1:10" hidden="1" outlineLevel="1">
      <c r="A671" s="374" t="s">
        <v>869</v>
      </c>
      <c r="B671" s="492">
        <v>27156.7</v>
      </c>
      <c r="C671" s="406">
        <v>0</v>
      </c>
      <c r="D671" s="406">
        <v>0</v>
      </c>
      <c r="E671" s="406">
        <v>0</v>
      </c>
      <c r="F671" s="87">
        <f t="shared" si="31"/>
        <v>27156.7</v>
      </c>
      <c r="G671" s="88">
        <v>0</v>
      </c>
      <c r="H671" s="134">
        <v>0</v>
      </c>
      <c r="I671" s="669">
        <f t="shared" si="32"/>
        <v>0</v>
      </c>
      <c r="J671" t="s">
        <v>870</v>
      </c>
    </row>
    <row r="672" spans="1:10" hidden="1" outlineLevel="1">
      <c r="A672" s="374" t="s">
        <v>1620</v>
      </c>
      <c r="B672" s="492">
        <v>62582.34</v>
      </c>
      <c r="C672" s="406">
        <v>0</v>
      </c>
      <c r="D672" s="406">
        <v>0</v>
      </c>
      <c r="E672" s="406">
        <v>0</v>
      </c>
      <c r="F672" s="87">
        <f t="shared" si="31"/>
        <v>62582.34</v>
      </c>
      <c r="G672" s="88">
        <v>0</v>
      </c>
      <c r="H672" s="134">
        <v>0</v>
      </c>
      <c r="I672" s="669">
        <f t="shared" si="32"/>
        <v>0</v>
      </c>
      <c r="J672" t="s">
        <v>1621</v>
      </c>
    </row>
    <row r="673" spans="1:10" hidden="1" outlineLevel="1">
      <c r="A673" s="374" t="s">
        <v>1314</v>
      </c>
      <c r="B673" s="492">
        <v>688.08</v>
      </c>
      <c r="C673" s="406">
        <v>0</v>
      </c>
      <c r="D673" s="406">
        <v>0</v>
      </c>
      <c r="E673" s="406">
        <v>0</v>
      </c>
      <c r="F673" s="87">
        <f t="shared" si="31"/>
        <v>688.08</v>
      </c>
      <c r="G673" s="88">
        <v>0</v>
      </c>
      <c r="H673" s="134">
        <v>0</v>
      </c>
      <c r="I673" s="669">
        <f t="shared" si="32"/>
        <v>0</v>
      </c>
      <c r="J673" t="s">
        <v>1315</v>
      </c>
    </row>
    <row r="674" spans="1:10" hidden="1" outlineLevel="1">
      <c r="A674" s="374" t="s">
        <v>1299</v>
      </c>
      <c r="B674" s="492">
        <v>22359.559999999998</v>
      </c>
      <c r="C674" s="406">
        <v>0</v>
      </c>
      <c r="D674" s="406">
        <v>0</v>
      </c>
      <c r="E674" s="406">
        <v>0</v>
      </c>
      <c r="F674" s="87">
        <f t="shared" si="31"/>
        <v>22359.559999999998</v>
      </c>
      <c r="G674" s="88">
        <v>4745.5200000000004</v>
      </c>
      <c r="H674" s="134">
        <v>0</v>
      </c>
      <c r="I674" s="669">
        <f t="shared" si="32"/>
        <v>4745.5200000000004</v>
      </c>
      <c r="J674" t="s">
        <v>1300</v>
      </c>
    </row>
    <row r="675" spans="1:10" hidden="1" outlineLevel="1">
      <c r="A675" s="374" t="s">
        <v>1560</v>
      </c>
      <c r="B675" s="492">
        <v>6954.28</v>
      </c>
      <c r="C675" s="406">
        <v>0</v>
      </c>
      <c r="D675" s="406">
        <v>0</v>
      </c>
      <c r="E675" s="406">
        <v>0</v>
      </c>
      <c r="F675" s="87">
        <f t="shared" si="31"/>
        <v>6954.28</v>
      </c>
      <c r="G675" s="88">
        <v>0</v>
      </c>
      <c r="H675" s="134">
        <v>0</v>
      </c>
      <c r="I675" s="669">
        <f t="shared" si="32"/>
        <v>0</v>
      </c>
      <c r="J675" t="s">
        <v>1561</v>
      </c>
    </row>
    <row r="676" spans="1:10" hidden="1" outlineLevel="1">
      <c r="A676" s="374" t="s">
        <v>1673</v>
      </c>
      <c r="B676" s="492">
        <v>54632.490000000005</v>
      </c>
      <c r="C676" s="406">
        <v>0</v>
      </c>
      <c r="D676" s="406">
        <v>0</v>
      </c>
      <c r="E676" s="406">
        <v>0</v>
      </c>
      <c r="F676" s="87">
        <f t="shared" si="31"/>
        <v>54632.490000000005</v>
      </c>
      <c r="G676" s="88">
        <v>0</v>
      </c>
      <c r="H676" s="134">
        <v>0</v>
      </c>
      <c r="I676" s="669">
        <f t="shared" si="32"/>
        <v>0</v>
      </c>
      <c r="J676" t="s">
        <v>1674</v>
      </c>
    </row>
    <row r="677" spans="1:10" hidden="1" outlineLevel="1">
      <c r="A677" s="374" t="s">
        <v>1414</v>
      </c>
      <c r="B677" s="492">
        <v>28571.89</v>
      </c>
      <c r="C677" s="406">
        <v>0</v>
      </c>
      <c r="D677" s="406">
        <v>0</v>
      </c>
      <c r="E677" s="406">
        <v>0</v>
      </c>
      <c r="F677" s="87">
        <f t="shared" si="31"/>
        <v>28571.89</v>
      </c>
      <c r="G677" s="88">
        <v>0</v>
      </c>
      <c r="H677" s="134">
        <v>0</v>
      </c>
      <c r="I677" s="669">
        <f t="shared" si="32"/>
        <v>0</v>
      </c>
      <c r="J677" t="s">
        <v>1415</v>
      </c>
    </row>
    <row r="678" spans="1:10" hidden="1" outlineLevel="1">
      <c r="A678" s="374" t="s">
        <v>1758</v>
      </c>
      <c r="B678" s="492">
        <v>35195.81</v>
      </c>
      <c r="C678" s="406">
        <v>0</v>
      </c>
      <c r="D678" s="406">
        <v>0</v>
      </c>
      <c r="E678" s="406">
        <v>0</v>
      </c>
      <c r="F678" s="87">
        <f t="shared" si="31"/>
        <v>35195.81</v>
      </c>
      <c r="G678" s="88">
        <v>0</v>
      </c>
      <c r="H678" s="134">
        <v>0</v>
      </c>
      <c r="I678" s="669">
        <f t="shared" si="32"/>
        <v>0</v>
      </c>
      <c r="J678" t="s">
        <v>1759</v>
      </c>
    </row>
    <row r="679" spans="1:10" hidden="1" outlineLevel="1">
      <c r="A679" s="374" t="s">
        <v>1404</v>
      </c>
      <c r="B679" s="492">
        <v>13438.68</v>
      </c>
      <c r="C679" s="406">
        <v>0</v>
      </c>
      <c r="D679" s="406">
        <v>0</v>
      </c>
      <c r="E679" s="406">
        <v>0</v>
      </c>
      <c r="F679" s="87">
        <f t="shared" si="31"/>
        <v>13438.68</v>
      </c>
      <c r="G679" s="88">
        <v>0</v>
      </c>
      <c r="H679" s="134">
        <v>0</v>
      </c>
      <c r="I679" s="669">
        <f t="shared" si="32"/>
        <v>0</v>
      </c>
      <c r="J679" t="s">
        <v>1405</v>
      </c>
    </row>
    <row r="680" spans="1:10" hidden="1" outlineLevel="1">
      <c r="A680" s="374" t="s">
        <v>1734</v>
      </c>
      <c r="B680" s="492">
        <v>34472.18</v>
      </c>
      <c r="C680" s="406">
        <v>0</v>
      </c>
      <c r="D680" s="406">
        <v>0</v>
      </c>
      <c r="E680" s="406">
        <v>0</v>
      </c>
      <c r="F680" s="87">
        <f t="shared" si="31"/>
        <v>34472.18</v>
      </c>
      <c r="G680" s="88">
        <v>0</v>
      </c>
      <c r="H680" s="134">
        <v>0</v>
      </c>
      <c r="I680" s="669">
        <f t="shared" si="32"/>
        <v>0</v>
      </c>
      <c r="J680" t="s">
        <v>1735</v>
      </c>
    </row>
    <row r="681" spans="1:10" hidden="1" outlineLevel="1">
      <c r="A681" s="374" t="s">
        <v>1382</v>
      </c>
      <c r="B681" s="492">
        <v>26977.35</v>
      </c>
      <c r="C681" s="406">
        <v>0</v>
      </c>
      <c r="D681" s="406">
        <v>0</v>
      </c>
      <c r="E681" s="406">
        <v>0</v>
      </c>
      <c r="F681" s="87">
        <f t="shared" si="31"/>
        <v>26977.35</v>
      </c>
      <c r="G681" s="88">
        <v>0</v>
      </c>
      <c r="H681" s="134">
        <v>0</v>
      </c>
      <c r="I681" s="669">
        <f t="shared" si="32"/>
        <v>0</v>
      </c>
      <c r="J681" t="s">
        <v>1383</v>
      </c>
    </row>
    <row r="682" spans="1:10" hidden="1" outlineLevel="1">
      <c r="A682" s="374" t="s">
        <v>1324</v>
      </c>
      <c r="B682" s="492">
        <v>35197.960000000006</v>
      </c>
      <c r="C682" s="406">
        <v>0</v>
      </c>
      <c r="D682" s="406">
        <v>0</v>
      </c>
      <c r="E682" s="406">
        <v>0</v>
      </c>
      <c r="F682" s="87">
        <f t="shared" si="31"/>
        <v>35197.960000000006</v>
      </c>
      <c r="G682" s="88">
        <v>0</v>
      </c>
      <c r="H682" s="134">
        <v>0</v>
      </c>
      <c r="I682" s="669">
        <f t="shared" si="32"/>
        <v>0</v>
      </c>
      <c r="J682" t="s">
        <v>1325</v>
      </c>
    </row>
    <row r="683" spans="1:10" hidden="1" outlineLevel="1">
      <c r="A683" s="374" t="s">
        <v>1488</v>
      </c>
      <c r="B683" s="492">
        <v>180834.43</v>
      </c>
      <c r="C683" s="406">
        <v>0</v>
      </c>
      <c r="D683" s="406">
        <v>0</v>
      </c>
      <c r="E683" s="406">
        <v>0</v>
      </c>
      <c r="F683" s="87">
        <f t="shared" si="31"/>
        <v>180834.43</v>
      </c>
      <c r="G683" s="88">
        <v>0</v>
      </c>
      <c r="H683" s="134">
        <v>0</v>
      </c>
      <c r="I683" s="669">
        <f t="shared" si="32"/>
        <v>0</v>
      </c>
      <c r="J683" t="s">
        <v>1489</v>
      </c>
    </row>
    <row r="684" spans="1:10" hidden="1" outlineLevel="1">
      <c r="A684" s="374" t="s">
        <v>1782</v>
      </c>
      <c r="B684" s="492">
        <v>104764.73999999999</v>
      </c>
      <c r="C684" s="406">
        <v>0</v>
      </c>
      <c r="D684" s="406">
        <v>0</v>
      </c>
      <c r="E684" s="406">
        <v>0</v>
      </c>
      <c r="F684" s="87">
        <f t="shared" si="31"/>
        <v>104764.73999999999</v>
      </c>
      <c r="G684" s="88">
        <v>9399.0399999999972</v>
      </c>
      <c r="H684" s="134">
        <v>0</v>
      </c>
      <c r="I684" s="669">
        <f t="shared" si="32"/>
        <v>9399.0399999999972</v>
      </c>
      <c r="J684" t="s">
        <v>1783</v>
      </c>
    </row>
    <row r="685" spans="1:10" hidden="1" outlineLevel="1">
      <c r="A685" s="374" t="s">
        <v>1364</v>
      </c>
      <c r="B685" s="492">
        <v>69966.17</v>
      </c>
      <c r="C685" s="406">
        <v>0</v>
      </c>
      <c r="D685" s="406">
        <v>0</v>
      </c>
      <c r="E685" s="406">
        <v>0</v>
      </c>
      <c r="F685" s="87">
        <f t="shared" si="31"/>
        <v>69966.17</v>
      </c>
      <c r="G685" s="88">
        <v>46817.64</v>
      </c>
      <c r="H685" s="134">
        <v>0</v>
      </c>
      <c r="I685" s="669">
        <f t="shared" si="32"/>
        <v>46817.64</v>
      </c>
      <c r="J685" t="s">
        <v>1365</v>
      </c>
    </row>
    <row r="686" spans="1:10" hidden="1" outlineLevel="1">
      <c r="A686" s="374" t="s">
        <v>1422</v>
      </c>
      <c r="B686" s="492">
        <v>50099.71</v>
      </c>
      <c r="C686" s="406">
        <v>0</v>
      </c>
      <c r="D686" s="406">
        <v>0</v>
      </c>
      <c r="E686" s="406">
        <v>0</v>
      </c>
      <c r="F686" s="87">
        <f t="shared" si="31"/>
        <v>50099.71</v>
      </c>
      <c r="G686" s="88">
        <v>0</v>
      </c>
      <c r="H686" s="134">
        <v>0</v>
      </c>
      <c r="I686" s="669">
        <f t="shared" si="32"/>
        <v>0</v>
      </c>
      <c r="J686" t="s">
        <v>1423</v>
      </c>
    </row>
    <row r="687" spans="1:10" hidden="1" outlineLevel="1">
      <c r="A687" s="374" t="s">
        <v>1242</v>
      </c>
      <c r="B687" s="492">
        <v>14485.04</v>
      </c>
      <c r="C687" s="406">
        <v>0</v>
      </c>
      <c r="D687" s="406">
        <v>0</v>
      </c>
      <c r="E687" s="406">
        <v>0</v>
      </c>
      <c r="F687" s="87">
        <f t="shared" si="31"/>
        <v>14485.04</v>
      </c>
      <c r="G687" s="88">
        <v>0</v>
      </c>
      <c r="H687" s="134">
        <v>0</v>
      </c>
      <c r="I687" s="669">
        <f t="shared" si="32"/>
        <v>0</v>
      </c>
      <c r="J687" t="s">
        <v>1243</v>
      </c>
    </row>
    <row r="688" spans="1:10" hidden="1" outlineLevel="1">
      <c r="A688" s="374" t="s">
        <v>1271</v>
      </c>
      <c r="B688" s="492">
        <v>181887.38</v>
      </c>
      <c r="C688" s="406">
        <v>0</v>
      </c>
      <c r="D688" s="406">
        <v>0</v>
      </c>
      <c r="E688" s="406">
        <v>0</v>
      </c>
      <c r="F688" s="87">
        <f t="shared" si="31"/>
        <v>181887.38</v>
      </c>
      <c r="G688" s="88">
        <v>0</v>
      </c>
      <c r="H688" s="134">
        <v>0</v>
      </c>
      <c r="I688" s="669">
        <f t="shared" si="32"/>
        <v>0</v>
      </c>
      <c r="J688" t="s">
        <v>1272</v>
      </c>
    </row>
    <row r="689" spans="1:10" hidden="1" outlineLevel="1">
      <c r="A689" s="374" t="s">
        <v>1540</v>
      </c>
      <c r="B689" s="492">
        <v>1814</v>
      </c>
      <c r="C689" s="406">
        <v>0</v>
      </c>
      <c r="D689" s="406">
        <v>0</v>
      </c>
      <c r="E689" s="406">
        <v>0</v>
      </c>
      <c r="F689" s="87">
        <f t="shared" si="31"/>
        <v>1814</v>
      </c>
      <c r="G689" s="88">
        <v>0</v>
      </c>
      <c r="H689" s="134">
        <v>0</v>
      </c>
      <c r="I689" s="669">
        <f t="shared" si="32"/>
        <v>0</v>
      </c>
      <c r="J689" t="s">
        <v>1541</v>
      </c>
    </row>
    <row r="690" spans="1:10" hidden="1" outlineLevel="1">
      <c r="A690" s="374" t="s">
        <v>1442</v>
      </c>
      <c r="B690" s="492">
        <v>10743.52</v>
      </c>
      <c r="C690" s="406">
        <v>0</v>
      </c>
      <c r="D690" s="406">
        <v>0</v>
      </c>
      <c r="E690" s="406">
        <v>0</v>
      </c>
      <c r="F690" s="87">
        <f t="shared" si="31"/>
        <v>10743.52</v>
      </c>
      <c r="G690" s="88">
        <v>0</v>
      </c>
      <c r="H690" s="134">
        <v>0</v>
      </c>
      <c r="I690" s="669">
        <f t="shared" si="32"/>
        <v>0</v>
      </c>
      <c r="J690" t="s">
        <v>1443</v>
      </c>
    </row>
    <row r="691" spans="1:10" hidden="1" outlineLevel="1">
      <c r="A691" s="374" t="s">
        <v>1764</v>
      </c>
      <c r="B691" s="492">
        <v>16050.8</v>
      </c>
      <c r="C691" s="406">
        <v>0</v>
      </c>
      <c r="D691" s="406">
        <v>0</v>
      </c>
      <c r="E691" s="406">
        <v>0</v>
      </c>
      <c r="F691" s="87">
        <f t="shared" si="31"/>
        <v>16050.8</v>
      </c>
      <c r="G691" s="88">
        <v>0</v>
      </c>
      <c r="H691" s="134">
        <v>0</v>
      </c>
      <c r="I691" s="669">
        <f t="shared" si="32"/>
        <v>0</v>
      </c>
      <c r="J691" t="s">
        <v>1765</v>
      </c>
    </row>
    <row r="692" spans="1:10" hidden="1" outlineLevel="1">
      <c r="A692" s="374" t="s">
        <v>1552</v>
      </c>
      <c r="B692" s="492">
        <v>37362.130000000005</v>
      </c>
      <c r="C692" s="406">
        <v>0</v>
      </c>
      <c r="D692" s="406">
        <v>0</v>
      </c>
      <c r="E692" s="406">
        <v>0</v>
      </c>
      <c r="F692" s="87">
        <f t="shared" si="31"/>
        <v>37362.130000000005</v>
      </c>
      <c r="G692" s="88">
        <v>0</v>
      </c>
      <c r="H692" s="134">
        <v>0</v>
      </c>
      <c r="I692" s="669">
        <f t="shared" si="32"/>
        <v>0</v>
      </c>
      <c r="J692" t="s">
        <v>1553</v>
      </c>
    </row>
    <row r="693" spans="1:10" hidden="1" outlineLevel="1">
      <c r="A693" s="374" t="s">
        <v>1646</v>
      </c>
      <c r="B693" s="492">
        <v>297012.33</v>
      </c>
      <c r="C693" s="406">
        <v>0</v>
      </c>
      <c r="D693" s="406">
        <v>0</v>
      </c>
      <c r="E693" s="406">
        <v>0</v>
      </c>
      <c r="F693" s="87">
        <f t="shared" si="31"/>
        <v>297012.33</v>
      </c>
      <c r="G693" s="88">
        <v>0</v>
      </c>
      <c r="H693" s="134">
        <v>0</v>
      </c>
      <c r="I693" s="669">
        <f t="shared" si="32"/>
        <v>0</v>
      </c>
      <c r="J693" t="s">
        <v>1647</v>
      </c>
    </row>
    <row r="694" spans="1:10" hidden="1" outlineLevel="1">
      <c r="A694" s="374" t="s">
        <v>1760</v>
      </c>
      <c r="B694" s="492">
        <v>20239.23</v>
      </c>
      <c r="C694" s="406">
        <v>0</v>
      </c>
      <c r="D694" s="406">
        <v>0</v>
      </c>
      <c r="E694" s="406">
        <v>0</v>
      </c>
      <c r="F694" s="87">
        <f t="shared" si="31"/>
        <v>20239.23</v>
      </c>
      <c r="G694" s="88">
        <v>-8842.43</v>
      </c>
      <c r="H694" s="134">
        <v>0</v>
      </c>
      <c r="I694" s="669">
        <f t="shared" si="32"/>
        <v>-8842.43</v>
      </c>
      <c r="J694" t="s">
        <v>1761</v>
      </c>
    </row>
    <row r="695" spans="1:10" hidden="1" outlineLevel="1">
      <c r="A695" s="374" t="s">
        <v>1297</v>
      </c>
      <c r="B695" s="492">
        <v>22448.720000000001</v>
      </c>
      <c r="C695" s="406">
        <v>0</v>
      </c>
      <c r="D695" s="406">
        <v>0</v>
      </c>
      <c r="E695" s="406">
        <v>0</v>
      </c>
      <c r="F695" s="87">
        <f t="shared" si="31"/>
        <v>22448.720000000001</v>
      </c>
      <c r="G695" s="88">
        <v>0</v>
      </c>
      <c r="H695" s="134">
        <v>0</v>
      </c>
      <c r="I695" s="669">
        <f t="shared" si="32"/>
        <v>0</v>
      </c>
      <c r="J695" t="s">
        <v>1298</v>
      </c>
    </row>
    <row r="696" spans="1:10" hidden="1" outlineLevel="1">
      <c r="A696" s="374" t="s">
        <v>1681</v>
      </c>
      <c r="B696" s="492">
        <v>26460527.100000001</v>
      </c>
      <c r="C696" s="406">
        <v>0</v>
      </c>
      <c r="D696" s="406">
        <v>0</v>
      </c>
      <c r="E696" s="406">
        <v>0</v>
      </c>
      <c r="F696" s="87">
        <f t="shared" si="31"/>
        <v>26460527.100000001</v>
      </c>
      <c r="G696" s="88">
        <v>138948.32999999999</v>
      </c>
      <c r="H696" s="134">
        <v>-2600</v>
      </c>
      <c r="I696" s="669">
        <f t="shared" si="32"/>
        <v>136348.32999999999</v>
      </c>
      <c r="J696" t="s">
        <v>1682</v>
      </c>
    </row>
    <row r="697" spans="1:10" hidden="1" outlineLevel="1">
      <c r="A697" s="374" t="s">
        <v>2230</v>
      </c>
      <c r="B697" s="492">
        <v>0</v>
      </c>
      <c r="C697" s="406">
        <v>0</v>
      </c>
      <c r="D697" s="406">
        <v>0</v>
      </c>
      <c r="E697" s="406">
        <v>0</v>
      </c>
      <c r="F697" s="87">
        <f t="shared" si="31"/>
        <v>0</v>
      </c>
      <c r="G697" s="88">
        <v>0</v>
      </c>
      <c r="H697" s="134">
        <v>0</v>
      </c>
      <c r="I697" s="669">
        <f t="shared" si="32"/>
        <v>0</v>
      </c>
      <c r="J697" t="s">
        <v>2231</v>
      </c>
    </row>
    <row r="698" spans="1:10" hidden="1" outlineLevel="1">
      <c r="A698" s="374" t="s">
        <v>1650</v>
      </c>
      <c r="B698" s="492">
        <v>53642751.020000003</v>
      </c>
      <c r="C698" s="406">
        <v>0</v>
      </c>
      <c r="D698" s="406">
        <v>0</v>
      </c>
      <c r="E698" s="406">
        <v>19980927.68</v>
      </c>
      <c r="F698" s="87">
        <f t="shared" si="31"/>
        <v>73623678.700000003</v>
      </c>
      <c r="G698" s="88">
        <v>717025.36</v>
      </c>
      <c r="H698" s="134">
        <v>0</v>
      </c>
      <c r="I698" s="669">
        <f t="shared" si="32"/>
        <v>717025.36</v>
      </c>
      <c r="J698" t="s">
        <v>1651</v>
      </c>
    </row>
    <row r="699" spans="1:10" hidden="1" outlineLevel="1">
      <c r="A699" s="374" t="s">
        <v>1486</v>
      </c>
      <c r="B699" s="492">
        <v>84690.36</v>
      </c>
      <c r="C699" s="406">
        <v>0</v>
      </c>
      <c r="D699" s="406">
        <v>0</v>
      </c>
      <c r="E699" s="406">
        <v>0</v>
      </c>
      <c r="F699" s="87">
        <f t="shared" si="31"/>
        <v>84690.36</v>
      </c>
      <c r="G699" s="88">
        <v>0</v>
      </c>
      <c r="H699" s="134">
        <v>0</v>
      </c>
      <c r="I699" s="669">
        <f t="shared" si="32"/>
        <v>0</v>
      </c>
      <c r="J699" t="s">
        <v>1487</v>
      </c>
    </row>
    <row r="700" spans="1:10" hidden="1" outlineLevel="1">
      <c r="A700" s="374" t="s">
        <v>1736</v>
      </c>
      <c r="B700" s="492">
        <v>42028.19</v>
      </c>
      <c r="C700" s="406">
        <v>0</v>
      </c>
      <c r="D700" s="406">
        <v>0</v>
      </c>
      <c r="E700" s="406">
        <v>0</v>
      </c>
      <c r="F700" s="87">
        <f t="shared" si="31"/>
        <v>42028.19</v>
      </c>
      <c r="G700" s="88">
        <v>0</v>
      </c>
      <c r="H700" s="134">
        <v>0</v>
      </c>
      <c r="I700" s="669">
        <f t="shared" si="32"/>
        <v>0</v>
      </c>
      <c r="J700" t="s">
        <v>1737</v>
      </c>
    </row>
    <row r="701" spans="1:10" hidden="1" outlineLevel="1">
      <c r="A701" s="374" t="s">
        <v>1636</v>
      </c>
      <c r="B701" s="492">
        <v>1751379.58</v>
      </c>
      <c r="C701" s="406">
        <v>0</v>
      </c>
      <c r="D701" s="406">
        <v>0</v>
      </c>
      <c r="E701" s="406">
        <v>0</v>
      </c>
      <c r="F701" s="87">
        <f t="shared" si="31"/>
        <v>1751379.58</v>
      </c>
      <c r="G701" s="88">
        <v>0</v>
      </c>
      <c r="H701" s="134">
        <v>0</v>
      </c>
      <c r="I701" s="669">
        <f t="shared" si="32"/>
        <v>0</v>
      </c>
      <c r="J701" t="s">
        <v>1637</v>
      </c>
    </row>
    <row r="702" spans="1:10" hidden="1" outlineLevel="1">
      <c r="A702" s="374" t="s">
        <v>1114</v>
      </c>
      <c r="B702" s="492">
        <v>50262.899999999994</v>
      </c>
      <c r="C702" s="406">
        <v>0</v>
      </c>
      <c r="D702" s="406">
        <v>0</v>
      </c>
      <c r="E702" s="406">
        <v>0</v>
      </c>
      <c r="F702" s="87">
        <f t="shared" si="31"/>
        <v>50262.899999999994</v>
      </c>
      <c r="G702" s="88">
        <v>0</v>
      </c>
      <c r="H702" s="134">
        <v>0</v>
      </c>
      <c r="I702" s="669">
        <f t="shared" si="32"/>
        <v>0</v>
      </c>
      <c r="J702" t="s">
        <v>1689</v>
      </c>
    </row>
    <row r="703" spans="1:10" hidden="1" outlineLevel="1">
      <c r="A703" s="374" t="s">
        <v>1656</v>
      </c>
      <c r="B703" s="492">
        <v>818537.48</v>
      </c>
      <c r="C703" s="406">
        <v>0</v>
      </c>
      <c r="D703" s="406">
        <v>0</v>
      </c>
      <c r="E703" s="406">
        <v>0</v>
      </c>
      <c r="F703" s="87">
        <f t="shared" si="31"/>
        <v>818537.48</v>
      </c>
      <c r="G703" s="88">
        <v>0</v>
      </c>
      <c r="H703" s="134">
        <v>0</v>
      </c>
      <c r="I703" s="669">
        <f t="shared" si="32"/>
        <v>0</v>
      </c>
      <c r="J703" t="s">
        <v>1657</v>
      </c>
    </row>
    <row r="704" spans="1:10" hidden="1" outlineLevel="1">
      <c r="A704" s="374" t="s">
        <v>1756</v>
      </c>
      <c r="B704" s="492">
        <v>1516960.9900000002</v>
      </c>
      <c r="C704" s="406">
        <v>0</v>
      </c>
      <c r="D704" s="406">
        <v>0</v>
      </c>
      <c r="E704" s="406">
        <v>0</v>
      </c>
      <c r="F704" s="87">
        <f t="shared" si="31"/>
        <v>1516960.9900000002</v>
      </c>
      <c r="G704" s="88">
        <v>181540.13</v>
      </c>
      <c r="H704" s="134">
        <v>0</v>
      </c>
      <c r="I704" s="669">
        <f t="shared" si="32"/>
        <v>181540.13</v>
      </c>
      <c r="J704" t="s">
        <v>1757</v>
      </c>
    </row>
    <row r="705" spans="1:10" hidden="1" outlineLevel="1">
      <c r="A705" s="374" t="s">
        <v>1556</v>
      </c>
      <c r="B705" s="492">
        <v>112938.99</v>
      </c>
      <c r="C705" s="406">
        <v>0</v>
      </c>
      <c r="D705" s="406">
        <v>0</v>
      </c>
      <c r="E705" s="406">
        <v>0</v>
      </c>
      <c r="F705" s="87">
        <f t="shared" si="31"/>
        <v>112938.99</v>
      </c>
      <c r="G705" s="88">
        <v>0</v>
      </c>
      <c r="H705" s="134">
        <v>0</v>
      </c>
      <c r="I705" s="669">
        <f t="shared" si="32"/>
        <v>0</v>
      </c>
      <c r="J705" t="s">
        <v>1557</v>
      </c>
    </row>
    <row r="706" spans="1:10" hidden="1" outlineLevel="1">
      <c r="A706" s="374" t="s">
        <v>1227</v>
      </c>
      <c r="B706" s="492">
        <v>119601.20000000001</v>
      </c>
      <c r="C706" s="406">
        <v>0</v>
      </c>
      <c r="D706" s="406">
        <v>0</v>
      </c>
      <c r="E706" s="406">
        <v>0</v>
      </c>
      <c r="F706" s="87">
        <f t="shared" si="31"/>
        <v>119601.20000000001</v>
      </c>
      <c r="G706" s="88">
        <v>0</v>
      </c>
      <c r="H706" s="134">
        <v>0</v>
      </c>
      <c r="I706" s="669">
        <f t="shared" si="32"/>
        <v>0</v>
      </c>
      <c r="J706" t="s">
        <v>1228</v>
      </c>
    </row>
    <row r="707" spans="1:10" hidden="1" outlineLevel="1">
      <c r="A707" s="374" t="s">
        <v>580</v>
      </c>
      <c r="B707" s="492">
        <v>164003.29</v>
      </c>
      <c r="C707" s="406">
        <v>0</v>
      </c>
      <c r="D707" s="406">
        <v>0</v>
      </c>
      <c r="E707" s="406">
        <v>0</v>
      </c>
      <c r="F707" s="87">
        <f t="shared" si="31"/>
        <v>164003.29</v>
      </c>
      <c r="G707" s="88">
        <v>3207.76</v>
      </c>
      <c r="H707" s="134">
        <v>0</v>
      </c>
      <c r="I707" s="669">
        <f t="shared" si="32"/>
        <v>3207.76</v>
      </c>
      <c r="J707" t="s">
        <v>581</v>
      </c>
    </row>
    <row r="708" spans="1:10" hidden="1" outlineLevel="1">
      <c r="A708" s="374" t="s">
        <v>1287</v>
      </c>
      <c r="B708" s="492">
        <v>29870.37</v>
      </c>
      <c r="C708" s="406">
        <v>0</v>
      </c>
      <c r="D708" s="406">
        <v>0</v>
      </c>
      <c r="E708" s="406">
        <v>0</v>
      </c>
      <c r="F708" s="87">
        <f t="shared" si="31"/>
        <v>29870.37</v>
      </c>
      <c r="G708" s="88">
        <v>0</v>
      </c>
      <c r="H708" s="134">
        <v>0</v>
      </c>
      <c r="I708" s="669">
        <f t="shared" si="32"/>
        <v>0</v>
      </c>
      <c r="J708" t="s">
        <v>1288</v>
      </c>
    </row>
    <row r="709" spans="1:10" hidden="1" outlineLevel="1">
      <c r="A709" s="374" t="s">
        <v>1362</v>
      </c>
      <c r="B709" s="492">
        <v>137714.17000000001</v>
      </c>
      <c r="C709" s="406">
        <v>0</v>
      </c>
      <c r="D709" s="406">
        <v>0</v>
      </c>
      <c r="E709" s="406">
        <v>0</v>
      </c>
      <c r="F709" s="87">
        <f t="shared" si="31"/>
        <v>137714.17000000001</v>
      </c>
      <c r="G709" s="88">
        <v>3645.39</v>
      </c>
      <c r="H709" s="134">
        <v>0</v>
      </c>
      <c r="I709" s="669">
        <f t="shared" si="32"/>
        <v>3645.39</v>
      </c>
      <c r="J709" t="s">
        <v>1363</v>
      </c>
    </row>
    <row r="710" spans="1:10" hidden="1" outlineLevel="1">
      <c r="A710" s="374" t="s">
        <v>1380</v>
      </c>
      <c r="B710" s="492">
        <v>374411.41000000003</v>
      </c>
      <c r="C710" s="406">
        <v>0</v>
      </c>
      <c r="D710" s="406">
        <v>0</v>
      </c>
      <c r="E710" s="406">
        <v>0</v>
      </c>
      <c r="F710" s="87">
        <f t="shared" si="31"/>
        <v>374411.41000000003</v>
      </c>
      <c r="G710" s="88">
        <v>0</v>
      </c>
      <c r="H710" s="134">
        <v>0</v>
      </c>
      <c r="I710" s="669">
        <f t="shared" si="32"/>
        <v>0</v>
      </c>
      <c r="J710" t="s">
        <v>1381</v>
      </c>
    </row>
    <row r="711" spans="1:10" hidden="1" outlineLevel="1">
      <c r="A711" s="374" t="s">
        <v>1752</v>
      </c>
      <c r="B711" s="492">
        <v>9726.18</v>
      </c>
      <c r="C711" s="406">
        <v>0</v>
      </c>
      <c r="D711" s="406">
        <v>0</v>
      </c>
      <c r="E711" s="406">
        <v>0</v>
      </c>
      <c r="F711" s="87">
        <f t="shared" si="31"/>
        <v>9726.18</v>
      </c>
      <c r="G711" s="88">
        <v>1550.24</v>
      </c>
      <c r="H711" s="134">
        <v>0</v>
      </c>
      <c r="I711" s="669">
        <f t="shared" si="32"/>
        <v>1550.24</v>
      </c>
      <c r="J711" t="s">
        <v>1753</v>
      </c>
    </row>
    <row r="712" spans="1:10" hidden="1" outlineLevel="1">
      <c r="A712" s="374" t="s">
        <v>1679</v>
      </c>
      <c r="B712" s="492">
        <v>8743.9599999999991</v>
      </c>
      <c r="C712" s="406">
        <v>0</v>
      </c>
      <c r="D712" s="406">
        <v>0</v>
      </c>
      <c r="E712" s="406">
        <v>0</v>
      </c>
      <c r="F712" s="87">
        <f t="shared" si="31"/>
        <v>8743.9599999999991</v>
      </c>
      <c r="G712" s="88">
        <v>-664.64</v>
      </c>
      <c r="H712" s="134">
        <v>0</v>
      </c>
      <c r="I712" s="669">
        <f t="shared" si="32"/>
        <v>-664.64</v>
      </c>
      <c r="J712" t="s">
        <v>1680</v>
      </c>
    </row>
    <row r="713" spans="1:10" hidden="1" outlineLevel="1">
      <c r="A713" s="374" t="s">
        <v>692</v>
      </c>
      <c r="B713" s="492">
        <v>55584.630000000005</v>
      </c>
      <c r="C713" s="406">
        <v>0</v>
      </c>
      <c r="D713" s="406">
        <v>0</v>
      </c>
      <c r="E713" s="406">
        <v>0</v>
      </c>
      <c r="F713" s="87">
        <f t="shared" si="31"/>
        <v>55584.630000000005</v>
      </c>
      <c r="G713" s="88">
        <v>-1542.16</v>
      </c>
      <c r="H713" s="134">
        <v>0</v>
      </c>
      <c r="I713" s="669">
        <f t="shared" si="32"/>
        <v>-1542.16</v>
      </c>
      <c r="J713" t="s">
        <v>1668</v>
      </c>
    </row>
    <row r="714" spans="1:10" hidden="1" outlineLevel="1">
      <c r="A714" s="374" t="s">
        <v>1289</v>
      </c>
      <c r="B714" s="492">
        <v>59281.79</v>
      </c>
      <c r="C714" s="406">
        <v>0</v>
      </c>
      <c r="D714" s="406">
        <v>0</v>
      </c>
      <c r="E714" s="406">
        <v>0</v>
      </c>
      <c r="F714" s="87">
        <f t="shared" si="31"/>
        <v>59281.79</v>
      </c>
      <c r="G714" s="88">
        <v>0</v>
      </c>
      <c r="H714" s="134">
        <v>0</v>
      </c>
      <c r="I714" s="669">
        <f t="shared" si="32"/>
        <v>0</v>
      </c>
      <c r="J714" t="s">
        <v>1290</v>
      </c>
    </row>
    <row r="715" spans="1:10" hidden="1" outlineLevel="1">
      <c r="A715" s="374" t="s">
        <v>1398</v>
      </c>
      <c r="B715" s="492">
        <v>67581.850000000006</v>
      </c>
      <c r="C715" s="406">
        <v>0</v>
      </c>
      <c r="D715" s="406">
        <v>0</v>
      </c>
      <c r="E715" s="406">
        <v>0</v>
      </c>
      <c r="F715" s="87">
        <f t="shared" si="31"/>
        <v>67581.850000000006</v>
      </c>
      <c r="G715" s="88">
        <v>0</v>
      </c>
      <c r="H715" s="134">
        <v>0</v>
      </c>
      <c r="I715" s="669">
        <f t="shared" si="32"/>
        <v>0</v>
      </c>
      <c r="J715" t="s">
        <v>1399</v>
      </c>
    </row>
    <row r="716" spans="1:10" hidden="1" outlineLevel="1">
      <c r="A716" s="374" t="s">
        <v>1474</v>
      </c>
      <c r="B716" s="492">
        <v>6832.6399999999994</v>
      </c>
      <c r="C716" s="406">
        <v>0</v>
      </c>
      <c r="D716" s="406">
        <v>0</v>
      </c>
      <c r="E716" s="406">
        <v>0</v>
      </c>
      <c r="F716" s="87">
        <f t="shared" si="31"/>
        <v>6832.6399999999994</v>
      </c>
      <c r="G716" s="88">
        <v>0</v>
      </c>
      <c r="H716" s="134">
        <v>0</v>
      </c>
      <c r="I716" s="669">
        <f t="shared" si="32"/>
        <v>0</v>
      </c>
      <c r="J716" t="s">
        <v>1475</v>
      </c>
    </row>
    <row r="717" spans="1:10" hidden="1" outlineLevel="1">
      <c r="A717" s="374" t="s">
        <v>1718</v>
      </c>
      <c r="B717" s="492">
        <v>15158817.01</v>
      </c>
      <c r="C717" s="406">
        <v>0</v>
      </c>
      <c r="D717" s="406">
        <v>0</v>
      </c>
      <c r="E717" s="406">
        <v>0</v>
      </c>
      <c r="F717" s="87">
        <f t="shared" si="31"/>
        <v>15158817.01</v>
      </c>
      <c r="G717" s="88">
        <v>0</v>
      </c>
      <c r="H717" s="134">
        <v>0</v>
      </c>
      <c r="I717" s="669">
        <f t="shared" si="32"/>
        <v>0</v>
      </c>
      <c r="J717" t="s">
        <v>1719</v>
      </c>
    </row>
    <row r="718" spans="1:10" hidden="1" outlineLevel="1">
      <c r="A718" s="374" t="s">
        <v>1478</v>
      </c>
      <c r="B718" s="492">
        <v>124932.43999999999</v>
      </c>
      <c r="C718" s="406">
        <v>0</v>
      </c>
      <c r="D718" s="406">
        <v>0</v>
      </c>
      <c r="E718" s="406">
        <v>0</v>
      </c>
      <c r="F718" s="87">
        <f t="shared" si="31"/>
        <v>124932.43999999999</v>
      </c>
      <c r="G718" s="88">
        <v>0</v>
      </c>
      <c r="H718" s="134">
        <v>0</v>
      </c>
      <c r="I718" s="669">
        <f t="shared" si="32"/>
        <v>0</v>
      </c>
      <c r="J718" t="s">
        <v>1479</v>
      </c>
    </row>
    <row r="719" spans="1:10" hidden="1" outlineLevel="1">
      <c r="A719" s="374" t="s">
        <v>1370</v>
      </c>
      <c r="B719" s="491">
        <v>123333.1</v>
      </c>
      <c r="C719" s="405">
        <v>0</v>
      </c>
      <c r="D719" s="405">
        <v>0</v>
      </c>
      <c r="E719" s="405">
        <v>0</v>
      </c>
      <c r="F719" s="87">
        <f t="shared" si="31"/>
        <v>123333.1</v>
      </c>
      <c r="G719" s="88">
        <v>0</v>
      </c>
      <c r="H719" s="134">
        <v>0</v>
      </c>
      <c r="I719" s="669">
        <f t="shared" si="32"/>
        <v>0</v>
      </c>
      <c r="J719" t="s">
        <v>1371</v>
      </c>
    </row>
    <row r="720" spans="1:10" hidden="1" outlineLevel="1">
      <c r="A720" s="374" t="s">
        <v>1446</v>
      </c>
      <c r="B720" s="491">
        <v>9402648.8300000019</v>
      </c>
      <c r="C720" s="405">
        <v>0</v>
      </c>
      <c r="D720" s="405">
        <v>0</v>
      </c>
      <c r="E720" s="405">
        <v>14895000</v>
      </c>
      <c r="F720" s="87">
        <f t="shared" si="31"/>
        <v>24297648.830000002</v>
      </c>
      <c r="G720" s="88">
        <v>804391.89999999991</v>
      </c>
      <c r="H720" s="134">
        <v>0</v>
      </c>
      <c r="I720" s="669">
        <f t="shared" si="32"/>
        <v>804391.89999999991</v>
      </c>
      <c r="J720" t="s">
        <v>1447</v>
      </c>
    </row>
    <row r="721" spans="1:10" hidden="1" outlineLevel="1">
      <c r="A721" s="374" t="s">
        <v>1776</v>
      </c>
      <c r="B721" s="491">
        <v>261383.56</v>
      </c>
      <c r="C721" s="405">
        <v>0</v>
      </c>
      <c r="D721" s="405">
        <v>0</v>
      </c>
      <c r="E721" s="405">
        <v>0</v>
      </c>
      <c r="F721" s="87">
        <f t="shared" si="31"/>
        <v>261383.56</v>
      </c>
      <c r="G721" s="88">
        <v>132685.04999999999</v>
      </c>
      <c r="H721" s="134">
        <v>0</v>
      </c>
      <c r="I721" s="669">
        <f t="shared" si="32"/>
        <v>132685.04999999999</v>
      </c>
      <c r="J721" t="s">
        <v>1777</v>
      </c>
    </row>
    <row r="722" spans="1:10" hidden="1" outlineLevel="1">
      <c r="A722" s="374" t="s">
        <v>879</v>
      </c>
      <c r="B722" s="491">
        <v>1761427.6</v>
      </c>
      <c r="C722" s="405">
        <v>0</v>
      </c>
      <c r="D722" s="405">
        <v>0</v>
      </c>
      <c r="E722" s="405">
        <v>0</v>
      </c>
      <c r="F722" s="87">
        <f t="shared" si="31"/>
        <v>1761427.6</v>
      </c>
      <c r="G722" s="88">
        <v>508546.13</v>
      </c>
      <c r="H722" s="134">
        <v>-2598</v>
      </c>
      <c r="I722" s="669">
        <f t="shared" si="32"/>
        <v>505948.13</v>
      </c>
      <c r="J722" t="s">
        <v>880</v>
      </c>
    </row>
    <row r="723" spans="1:10" hidden="1" outlineLevel="1">
      <c r="A723" s="374" t="s">
        <v>839</v>
      </c>
      <c r="B723" s="491">
        <v>725323.02</v>
      </c>
      <c r="C723" s="405">
        <v>0</v>
      </c>
      <c r="D723" s="405">
        <v>0</v>
      </c>
      <c r="E723" s="405">
        <v>0</v>
      </c>
      <c r="F723" s="87">
        <f t="shared" si="31"/>
        <v>725323.02</v>
      </c>
      <c r="G723" s="88">
        <v>80376.56</v>
      </c>
      <c r="H723" s="134">
        <v>0</v>
      </c>
      <c r="I723" s="669">
        <f t="shared" si="32"/>
        <v>80376.56</v>
      </c>
      <c r="J723" t="s">
        <v>1311</v>
      </c>
    </row>
    <row r="724" spans="1:10" hidden="1" outlineLevel="1">
      <c r="A724" s="374" t="s">
        <v>1301</v>
      </c>
      <c r="B724" s="491">
        <v>57161.599999999999</v>
      </c>
      <c r="C724" s="405">
        <v>0</v>
      </c>
      <c r="D724" s="405">
        <v>0</v>
      </c>
      <c r="E724" s="405">
        <v>0</v>
      </c>
      <c r="F724" s="87">
        <f t="shared" si="31"/>
        <v>57161.599999999999</v>
      </c>
      <c r="G724" s="88">
        <v>0</v>
      </c>
      <c r="H724" s="134">
        <v>0</v>
      </c>
      <c r="I724" s="669">
        <f t="shared" si="32"/>
        <v>0</v>
      </c>
      <c r="J724" t="s">
        <v>1302</v>
      </c>
    </row>
    <row r="725" spans="1:10" hidden="1" outlineLevel="1">
      <c r="A725" s="374"/>
      <c r="B725" s="491"/>
      <c r="C725" s="405"/>
      <c r="D725" s="405"/>
      <c r="E725" s="405"/>
      <c r="F725" s="87">
        <f t="shared" si="31"/>
        <v>0</v>
      </c>
      <c r="G725" s="88">
        <f>SUMIFS('Anlage 1c_Korrekturen_NB'!$L$297:$L$473,'Anlage 1c_Korrekturen_NB'!$A$297:$A$473,'Anlage 3a_Zusammenfassung_KWKG'!$A725)</f>
        <v>0</v>
      </c>
      <c r="H725" s="134">
        <f>SUMIFS('Anlage 1c_Korrekturen_NB'!$D$631:$D$638,'Anlage 1c_Korrekturen_NB'!$A$631:$A$638,'Anlage 3a_Zusammenfassung_KWKG'!$A725)</f>
        <v>0</v>
      </c>
      <c r="I725" s="669">
        <f t="shared" si="32"/>
        <v>0</v>
      </c>
      <c r="J725" s="20"/>
    </row>
    <row r="726" spans="1:10" hidden="1" outlineLevel="1">
      <c r="A726" s="374"/>
      <c r="B726" s="491"/>
      <c r="C726" s="405"/>
      <c r="D726" s="405"/>
      <c r="E726" s="405"/>
      <c r="F726" s="87">
        <f t="shared" ref="F726:F731" si="33">SUM(B726:E726)</f>
        <v>0</v>
      </c>
      <c r="G726" s="88">
        <f>SUMIFS('Anlage 1c_Korrekturen_NB'!$L$297:$L$473,'Anlage 1c_Korrekturen_NB'!$A$297:$A$473,'Anlage 3a_Zusammenfassung_KWKG'!$A726)</f>
        <v>0</v>
      </c>
      <c r="H726" s="134">
        <f>SUMIFS('Anlage 1c_Korrekturen_NB'!$D$631:$D$638,'Anlage 1c_Korrekturen_NB'!$A$631:$A$638,'Anlage 3a_Zusammenfassung_KWKG'!$A726)</f>
        <v>0</v>
      </c>
      <c r="I726" s="669">
        <f t="shared" ref="I726:I731" si="34">G726+H726</f>
        <v>0</v>
      </c>
      <c r="J726" s="20"/>
    </row>
    <row r="727" spans="1:10" hidden="1" outlineLevel="1">
      <c r="A727" s="374"/>
      <c r="B727" s="491"/>
      <c r="C727" s="405"/>
      <c r="D727" s="405"/>
      <c r="E727" s="405"/>
      <c r="F727" s="87">
        <f t="shared" si="33"/>
        <v>0</v>
      </c>
      <c r="G727" s="88">
        <f>SUMIFS('Anlage 1c_Korrekturen_NB'!$L$297:$L$473,'Anlage 1c_Korrekturen_NB'!$A$297:$A$473,'Anlage 3a_Zusammenfassung_KWKG'!$A727)</f>
        <v>0</v>
      </c>
      <c r="H727" s="134">
        <f>SUMIFS('Anlage 1c_Korrekturen_NB'!$D$631:$D$638,'Anlage 1c_Korrekturen_NB'!$A$631:$A$638,'Anlage 3a_Zusammenfassung_KWKG'!$A727)</f>
        <v>0</v>
      </c>
      <c r="I727" s="669">
        <f t="shared" si="34"/>
        <v>0</v>
      </c>
      <c r="J727" s="20"/>
    </row>
    <row r="728" spans="1:10" hidden="1" outlineLevel="1">
      <c r="A728" s="374"/>
      <c r="B728" s="491"/>
      <c r="C728" s="405"/>
      <c r="D728" s="405"/>
      <c r="E728" s="405"/>
      <c r="F728" s="87">
        <f t="shared" si="33"/>
        <v>0</v>
      </c>
      <c r="G728" s="88">
        <f>SUMIFS('Anlage 1c_Korrekturen_NB'!$L$297:$L$473,'Anlage 1c_Korrekturen_NB'!$A$297:$A$473,'Anlage 3a_Zusammenfassung_KWKG'!$A728)</f>
        <v>0</v>
      </c>
      <c r="H728" s="134">
        <f>SUMIFS('Anlage 1c_Korrekturen_NB'!$D$631:$D$638,'Anlage 1c_Korrekturen_NB'!$A$631:$A$638,'Anlage 3a_Zusammenfassung_KWKG'!$A728)</f>
        <v>0</v>
      </c>
      <c r="I728" s="669">
        <f t="shared" si="34"/>
        <v>0</v>
      </c>
      <c r="J728" s="20"/>
    </row>
    <row r="729" spans="1:10" hidden="1" outlineLevel="1">
      <c r="A729" s="374"/>
      <c r="B729" s="491"/>
      <c r="C729" s="405"/>
      <c r="D729" s="405"/>
      <c r="E729" s="405"/>
      <c r="F729" s="87">
        <f t="shared" si="33"/>
        <v>0</v>
      </c>
      <c r="G729" s="88">
        <f>SUMIFS('Anlage 1c_Korrekturen_NB'!$L$297:$L$473,'Anlage 1c_Korrekturen_NB'!$A$297:$A$473,'Anlage 3a_Zusammenfassung_KWKG'!$A729)</f>
        <v>0</v>
      </c>
      <c r="H729" s="134">
        <f>SUMIFS('Anlage 1c_Korrekturen_NB'!$D$631:$D$638,'Anlage 1c_Korrekturen_NB'!$A$631:$A$638,'Anlage 3a_Zusammenfassung_KWKG'!$A729)</f>
        <v>0</v>
      </c>
      <c r="I729" s="669">
        <f t="shared" si="34"/>
        <v>0</v>
      </c>
      <c r="J729" s="20"/>
    </row>
    <row r="730" spans="1:10" hidden="1" outlineLevel="1">
      <c r="A730" s="374"/>
      <c r="B730" s="491"/>
      <c r="C730" s="405"/>
      <c r="D730" s="405"/>
      <c r="E730" s="405"/>
      <c r="F730" s="87">
        <f t="shared" si="33"/>
        <v>0</v>
      </c>
      <c r="G730" s="88">
        <f>SUMIFS('Anlage 1c_Korrekturen_NB'!$L$297:$L$473,'Anlage 1c_Korrekturen_NB'!$A$297:$A$473,'Anlage 3a_Zusammenfassung_KWKG'!$A730)</f>
        <v>0</v>
      </c>
      <c r="H730" s="134">
        <f>SUMIFS('Anlage 1c_Korrekturen_NB'!$D$631:$D$638,'Anlage 1c_Korrekturen_NB'!$A$631:$A$638,'Anlage 3a_Zusammenfassung_KWKG'!$A730)</f>
        <v>0</v>
      </c>
      <c r="I730" s="669">
        <f t="shared" si="34"/>
        <v>0</v>
      </c>
      <c r="J730" s="20"/>
    </row>
    <row r="731" spans="1:10" hidden="1" outlineLevel="1">
      <c r="A731" s="374"/>
      <c r="B731" s="491"/>
      <c r="C731" s="405"/>
      <c r="D731" s="405"/>
      <c r="E731" s="405"/>
      <c r="F731" s="87">
        <f t="shared" si="33"/>
        <v>0</v>
      </c>
      <c r="G731" s="88">
        <f>SUMIFS('Anlage 1c_Korrekturen_NB'!$L$297:$L$473,'Anlage 1c_Korrekturen_NB'!$A$297:$A$473,'Anlage 3a_Zusammenfassung_KWKG'!$A731)</f>
        <v>0</v>
      </c>
      <c r="H731" s="134">
        <f>SUMIFS('Anlage 1c_Korrekturen_NB'!$D$631:$D$638,'Anlage 1c_Korrekturen_NB'!$A$631:$A$638,'Anlage 3a_Zusammenfassung_KWKG'!$A731)</f>
        <v>0</v>
      </c>
      <c r="I731" s="669">
        <f t="shared" si="34"/>
        <v>0</v>
      </c>
      <c r="J731" s="20"/>
    </row>
    <row r="732" spans="1:10" hidden="1" outlineLevel="1">
      <c r="A732" s="374"/>
      <c r="B732" s="491"/>
      <c r="C732" s="405"/>
      <c r="D732" s="405"/>
      <c r="E732" s="405"/>
      <c r="F732" s="87"/>
      <c r="G732" s="87"/>
      <c r="H732" s="134"/>
      <c r="I732" s="669"/>
      <c r="J732" s="20"/>
    </row>
    <row r="733" spans="1:10" hidden="1" outlineLevel="1">
      <c r="A733" s="374"/>
      <c r="B733" s="491"/>
      <c r="C733" s="405"/>
      <c r="D733" s="405"/>
      <c r="E733" s="405"/>
      <c r="F733" s="87"/>
      <c r="G733" s="87"/>
      <c r="H733" s="134"/>
      <c r="I733" s="669"/>
      <c r="J733" s="20"/>
    </row>
    <row r="734" spans="1:10" hidden="1" outlineLevel="1">
      <c r="A734" s="374"/>
      <c r="B734" s="491"/>
      <c r="C734" s="405"/>
      <c r="D734" s="405"/>
      <c r="E734" s="405"/>
      <c r="F734" s="87"/>
      <c r="G734" s="87"/>
      <c r="H734" s="134"/>
      <c r="I734" s="669"/>
      <c r="J734" s="20"/>
    </row>
    <row r="735" spans="1:10" hidden="1" outlineLevel="1">
      <c r="A735" s="374"/>
      <c r="B735" s="491"/>
      <c r="C735" s="405"/>
      <c r="D735" s="405"/>
      <c r="E735" s="405"/>
      <c r="F735" s="87"/>
      <c r="G735" s="87"/>
      <c r="H735" s="134"/>
      <c r="I735" s="669"/>
      <c r="J735" s="20"/>
    </row>
    <row r="736" spans="1:10" hidden="1" outlineLevel="1">
      <c r="A736" s="374"/>
      <c r="B736" s="491"/>
      <c r="C736" s="405"/>
      <c r="D736" s="405"/>
      <c r="E736" s="405"/>
      <c r="F736" s="87"/>
      <c r="G736" s="87"/>
      <c r="H736" s="134"/>
      <c r="I736" s="669"/>
      <c r="J736" s="20"/>
    </row>
    <row r="737" spans="1:11" hidden="1" outlineLevel="1">
      <c r="A737" s="374"/>
      <c r="B737" s="491"/>
      <c r="C737" s="405"/>
      <c r="D737" s="405"/>
      <c r="E737" s="405"/>
      <c r="F737" s="87"/>
      <c r="G737" s="87"/>
      <c r="H737" s="134"/>
      <c r="I737" s="669"/>
      <c r="J737" s="20"/>
    </row>
    <row r="738" spans="1:11" hidden="1" outlineLevel="1">
      <c r="A738" s="374"/>
      <c r="B738" s="491"/>
      <c r="C738" s="405"/>
      <c r="D738" s="405"/>
      <c r="E738" s="405"/>
      <c r="F738" s="87"/>
      <c r="G738" s="87"/>
      <c r="H738" s="134"/>
      <c r="I738" s="669"/>
      <c r="J738" s="20"/>
    </row>
    <row r="739" spans="1:11" hidden="1" outlineLevel="1">
      <c r="A739" s="374"/>
      <c r="B739" s="491"/>
      <c r="C739" s="405"/>
      <c r="D739" s="405"/>
      <c r="E739" s="405"/>
      <c r="F739" s="87"/>
      <c r="G739" s="87"/>
      <c r="H739" s="134"/>
      <c r="I739" s="669"/>
      <c r="J739" s="20"/>
    </row>
    <row r="740" spans="1:11" hidden="1" outlineLevel="1">
      <c r="A740" s="374"/>
      <c r="B740" s="491"/>
      <c r="C740" s="405"/>
      <c r="D740" s="405"/>
      <c r="E740" s="405"/>
      <c r="F740" s="87"/>
      <c r="G740" s="87"/>
      <c r="H740" s="134"/>
      <c r="I740" s="669"/>
      <c r="J740" s="20"/>
    </row>
    <row r="741" spans="1:11" ht="13.5" collapsed="1" thickBot="1">
      <c r="A741" s="409" t="s">
        <v>1828</v>
      </c>
      <c r="B741" s="900">
        <f>SUM(B742:B865)</f>
        <v>82817854.270000011</v>
      </c>
      <c r="C741" s="1695">
        <f t="shared" ref="C741:D741" si="35">SUM(C742:C865)</f>
        <v>-75065.220000000016</v>
      </c>
      <c r="D741" s="1695">
        <f t="shared" si="35"/>
        <v>-2484</v>
      </c>
      <c r="E741" s="1695">
        <f>SUM(E742:E865)</f>
        <v>0</v>
      </c>
      <c r="F741" s="138">
        <f>SUM(B741:E741)</f>
        <v>82740305.050000012</v>
      </c>
      <c r="G741" s="138">
        <f>SUM(G742:G865)</f>
        <v>7803585.4099999992</v>
      </c>
      <c r="H741" s="139">
        <f>SUM(H742:H865)</f>
        <v>-17341.72</v>
      </c>
      <c r="I741" s="669">
        <f>F741+G741+H741</f>
        <v>90526548.74000001</v>
      </c>
      <c r="J741" s="746"/>
      <c r="K741" s="27"/>
    </row>
    <row r="742" spans="1:11" hidden="1" outlineLevel="1">
      <c r="A742" s="389" t="s">
        <v>1829</v>
      </c>
      <c r="B742" s="405">
        <v>353502.79</v>
      </c>
      <c r="C742" s="87">
        <v>0</v>
      </c>
      <c r="D742" s="87">
        <v>0</v>
      </c>
      <c r="E742" s="87">
        <v>0</v>
      </c>
      <c r="F742" s="87">
        <v>353502.79</v>
      </c>
      <c r="G742" s="87">
        <v>0</v>
      </c>
      <c r="H742" s="134">
        <v>0</v>
      </c>
      <c r="I742" s="134">
        <f t="shared" ref="I742:I805" si="36">F742+G742+H742</f>
        <v>353502.79</v>
      </c>
      <c r="J742" s="20" t="s">
        <v>1830</v>
      </c>
      <c r="K742" s="27"/>
    </row>
    <row r="743" spans="1:11" hidden="1" outlineLevel="1">
      <c r="A743" s="389" t="s">
        <v>1831</v>
      </c>
      <c r="B743" s="405">
        <v>419457.87</v>
      </c>
      <c r="C743" s="87">
        <v>0</v>
      </c>
      <c r="D743" s="87">
        <v>0</v>
      </c>
      <c r="E743" s="87">
        <v>0</v>
      </c>
      <c r="F743" s="87">
        <v>419457.87</v>
      </c>
      <c r="G743" s="87">
        <v>-16987.3</v>
      </c>
      <c r="H743" s="134">
        <v>0</v>
      </c>
      <c r="I743" s="134">
        <f t="shared" si="36"/>
        <v>402470.57</v>
      </c>
      <c r="J743" s="20" t="s">
        <v>1832</v>
      </c>
      <c r="K743" s="27"/>
    </row>
    <row r="744" spans="1:11" hidden="1" outlineLevel="1">
      <c r="A744" s="389" t="s">
        <v>1833</v>
      </c>
      <c r="B744" s="405">
        <v>2932068.16</v>
      </c>
      <c r="C744" s="87">
        <v>0</v>
      </c>
      <c r="D744" s="87">
        <v>0</v>
      </c>
      <c r="E744" s="87">
        <v>0</v>
      </c>
      <c r="F744" s="87">
        <v>2932068.16</v>
      </c>
      <c r="G744" s="87">
        <v>452245.77</v>
      </c>
      <c r="H744" s="134">
        <v>0</v>
      </c>
      <c r="I744" s="134">
        <f t="shared" si="36"/>
        <v>3384313.93</v>
      </c>
      <c r="J744" s="20" t="s">
        <v>1834</v>
      </c>
      <c r="K744" s="27"/>
    </row>
    <row r="745" spans="1:11" hidden="1" outlineLevel="1">
      <c r="A745" s="389" t="s">
        <v>1835</v>
      </c>
      <c r="B745" s="405">
        <v>311411.26</v>
      </c>
      <c r="C745" s="87">
        <v>0</v>
      </c>
      <c r="D745" s="87">
        <v>0</v>
      </c>
      <c r="E745" s="87">
        <v>0</v>
      </c>
      <c r="F745" s="87">
        <v>311411.26</v>
      </c>
      <c r="G745" s="87">
        <v>83080.479999999996</v>
      </c>
      <c r="H745" s="134">
        <v>0</v>
      </c>
      <c r="I745" s="134">
        <f t="shared" si="36"/>
        <v>394491.74</v>
      </c>
      <c r="J745" s="20" t="s">
        <v>1836</v>
      </c>
      <c r="K745" s="27"/>
    </row>
    <row r="746" spans="1:11" hidden="1" outlineLevel="1">
      <c r="A746" s="389" t="s">
        <v>1837</v>
      </c>
      <c r="B746" s="405">
        <v>351557.07</v>
      </c>
      <c r="C746" s="87">
        <v>0</v>
      </c>
      <c r="D746" s="87">
        <v>0</v>
      </c>
      <c r="E746" s="87">
        <v>0</v>
      </c>
      <c r="F746" s="87">
        <v>351557.07</v>
      </c>
      <c r="G746" s="87">
        <v>0</v>
      </c>
      <c r="H746" s="134">
        <v>0</v>
      </c>
      <c r="I746" s="134">
        <f t="shared" si="36"/>
        <v>351557.07</v>
      </c>
      <c r="J746" s="20" t="s">
        <v>1838</v>
      </c>
      <c r="K746" s="27"/>
    </row>
    <row r="747" spans="1:11" hidden="1" outlineLevel="1">
      <c r="A747" s="389" t="s">
        <v>1839</v>
      </c>
      <c r="B747" s="405">
        <v>76803.59</v>
      </c>
      <c r="C747" s="87">
        <v>0</v>
      </c>
      <c r="D747" s="87">
        <v>0</v>
      </c>
      <c r="E747" s="87">
        <v>0</v>
      </c>
      <c r="F747" s="87">
        <v>76803.59</v>
      </c>
      <c r="G747" s="87">
        <v>0</v>
      </c>
      <c r="H747" s="134">
        <v>0</v>
      </c>
      <c r="I747" s="134">
        <f t="shared" si="36"/>
        <v>76803.59</v>
      </c>
      <c r="J747" s="20" t="s">
        <v>1840</v>
      </c>
      <c r="K747" s="27"/>
    </row>
    <row r="748" spans="1:11" hidden="1" outlineLevel="1">
      <c r="A748" s="389" t="s">
        <v>1841</v>
      </c>
      <c r="B748" s="405">
        <v>6888.12</v>
      </c>
      <c r="C748" s="87">
        <v>0</v>
      </c>
      <c r="D748" s="87">
        <v>0</v>
      </c>
      <c r="E748" s="87">
        <v>0</v>
      </c>
      <c r="F748" s="87">
        <v>6888.12</v>
      </c>
      <c r="G748" s="87">
        <v>0</v>
      </c>
      <c r="H748" s="134">
        <v>0</v>
      </c>
      <c r="I748" s="134">
        <f t="shared" si="36"/>
        <v>6888.12</v>
      </c>
      <c r="J748" s="20" t="s">
        <v>1842</v>
      </c>
      <c r="K748" s="27"/>
    </row>
    <row r="749" spans="1:11" hidden="1" outlineLevel="1">
      <c r="A749" s="389" t="s">
        <v>1843</v>
      </c>
      <c r="B749" s="405">
        <v>0.56000000000000005</v>
      </c>
      <c r="C749" s="87">
        <v>0</v>
      </c>
      <c r="D749" s="87">
        <v>0</v>
      </c>
      <c r="E749" s="87">
        <v>0</v>
      </c>
      <c r="F749" s="87">
        <v>0.56000000000000005</v>
      </c>
      <c r="G749" s="87">
        <v>0</v>
      </c>
      <c r="H749" s="134">
        <v>0</v>
      </c>
      <c r="I749" s="134">
        <f t="shared" si="36"/>
        <v>0.56000000000000005</v>
      </c>
      <c r="J749" s="20" t="s">
        <v>1844</v>
      </c>
      <c r="K749" s="27"/>
    </row>
    <row r="750" spans="1:11" hidden="1" outlineLevel="1">
      <c r="A750" s="389" t="s">
        <v>1845</v>
      </c>
      <c r="B750" s="405">
        <v>51544.76</v>
      </c>
      <c r="C750" s="87">
        <v>0</v>
      </c>
      <c r="D750" s="87">
        <v>0</v>
      </c>
      <c r="E750" s="87">
        <v>0</v>
      </c>
      <c r="F750" s="87">
        <v>51544.76</v>
      </c>
      <c r="G750" s="87">
        <v>0</v>
      </c>
      <c r="H750" s="134">
        <v>0</v>
      </c>
      <c r="I750" s="134">
        <f t="shared" si="36"/>
        <v>51544.76</v>
      </c>
      <c r="J750" s="20" t="s">
        <v>1846</v>
      </c>
      <c r="K750" s="27"/>
    </row>
    <row r="751" spans="1:11" hidden="1" outlineLevel="1">
      <c r="A751" s="389" t="s">
        <v>1847</v>
      </c>
      <c r="B751" s="405">
        <v>76612.03</v>
      </c>
      <c r="C751" s="87">
        <v>-176.51</v>
      </c>
      <c r="D751" s="87">
        <v>0</v>
      </c>
      <c r="E751" s="87">
        <v>0</v>
      </c>
      <c r="F751" s="87">
        <v>76435.520000000004</v>
      </c>
      <c r="G751" s="87">
        <v>-2041.53</v>
      </c>
      <c r="H751" s="134">
        <v>0</v>
      </c>
      <c r="I751" s="134">
        <f t="shared" si="36"/>
        <v>74393.990000000005</v>
      </c>
      <c r="J751" s="20" t="s">
        <v>1848</v>
      </c>
      <c r="K751" s="27"/>
    </row>
    <row r="752" spans="1:11" hidden="1" outlineLevel="1">
      <c r="A752" s="389" t="s">
        <v>1849</v>
      </c>
      <c r="B752" s="405">
        <v>19175.64</v>
      </c>
      <c r="C752" s="87">
        <v>0</v>
      </c>
      <c r="D752" s="87">
        <v>0</v>
      </c>
      <c r="E752" s="87">
        <v>0</v>
      </c>
      <c r="F752" s="87">
        <v>19175.64</v>
      </c>
      <c r="G752" s="87">
        <v>0</v>
      </c>
      <c r="H752" s="134">
        <v>0</v>
      </c>
      <c r="I752" s="134">
        <f t="shared" si="36"/>
        <v>19175.64</v>
      </c>
      <c r="J752" s="20" t="s">
        <v>1850</v>
      </c>
      <c r="K752" s="27"/>
    </row>
    <row r="753" spans="1:11" hidden="1" outlineLevel="1">
      <c r="A753" s="389" t="s">
        <v>1851</v>
      </c>
      <c r="B753" s="405">
        <v>66944</v>
      </c>
      <c r="C753" s="87">
        <v>0</v>
      </c>
      <c r="D753" s="87">
        <v>0</v>
      </c>
      <c r="E753" s="87">
        <v>0</v>
      </c>
      <c r="F753" s="87">
        <v>66944</v>
      </c>
      <c r="G753" s="87">
        <v>0</v>
      </c>
      <c r="H753" s="134">
        <v>0</v>
      </c>
      <c r="I753" s="134">
        <f t="shared" si="36"/>
        <v>66944</v>
      </c>
      <c r="J753" s="20" t="s">
        <v>1852</v>
      </c>
      <c r="K753" s="27"/>
    </row>
    <row r="754" spans="1:11" hidden="1" outlineLevel="1">
      <c r="A754" s="389" t="s">
        <v>1853</v>
      </c>
      <c r="B754" s="405">
        <v>4020.74</v>
      </c>
      <c r="C754" s="87">
        <v>0</v>
      </c>
      <c r="D754" s="87">
        <v>0</v>
      </c>
      <c r="E754" s="87">
        <v>0</v>
      </c>
      <c r="F754" s="87">
        <v>4020.74</v>
      </c>
      <c r="G754" s="87">
        <v>0</v>
      </c>
      <c r="H754" s="134">
        <v>0</v>
      </c>
      <c r="I754" s="134">
        <f t="shared" si="36"/>
        <v>4020.74</v>
      </c>
      <c r="J754" s="20" t="s">
        <v>1854</v>
      </c>
      <c r="K754" s="27"/>
    </row>
    <row r="755" spans="1:11" hidden="1" outlineLevel="1">
      <c r="A755" s="389" t="s">
        <v>1855</v>
      </c>
      <c r="B755" s="405">
        <v>196779.33</v>
      </c>
      <c r="C755" s="87">
        <v>0</v>
      </c>
      <c r="D755" s="87">
        <v>0</v>
      </c>
      <c r="E755" s="87">
        <v>0</v>
      </c>
      <c r="F755" s="87">
        <v>196779.33</v>
      </c>
      <c r="G755" s="87">
        <v>5729.36</v>
      </c>
      <c r="H755" s="134">
        <v>0</v>
      </c>
      <c r="I755" s="134">
        <f t="shared" si="36"/>
        <v>202508.68999999997</v>
      </c>
      <c r="J755" s="20" t="s">
        <v>1856</v>
      </c>
      <c r="K755" s="27"/>
    </row>
    <row r="756" spans="1:11" hidden="1" outlineLevel="1">
      <c r="A756" s="389" t="s">
        <v>1857</v>
      </c>
      <c r="B756" s="405">
        <v>135088.92000000001</v>
      </c>
      <c r="C756" s="87">
        <v>0</v>
      </c>
      <c r="D756" s="87">
        <v>0</v>
      </c>
      <c r="E756" s="87">
        <v>0</v>
      </c>
      <c r="F756" s="87">
        <v>135088.92000000001</v>
      </c>
      <c r="G756" s="87">
        <v>0</v>
      </c>
      <c r="H756" s="134">
        <v>0</v>
      </c>
      <c r="I756" s="134">
        <f t="shared" si="36"/>
        <v>135088.92000000001</v>
      </c>
      <c r="J756" s="20" t="s">
        <v>1858</v>
      </c>
      <c r="K756" s="27"/>
    </row>
    <row r="757" spans="1:11" hidden="1" outlineLevel="1">
      <c r="A757" s="389" t="s">
        <v>1859</v>
      </c>
      <c r="B757" s="405">
        <v>313552.44</v>
      </c>
      <c r="C757" s="87">
        <v>0</v>
      </c>
      <c r="D757" s="87">
        <v>0</v>
      </c>
      <c r="E757" s="87">
        <v>0</v>
      </c>
      <c r="F757" s="87">
        <v>313552.44</v>
      </c>
      <c r="G757" s="87">
        <v>15194.22</v>
      </c>
      <c r="H757" s="134">
        <v>0</v>
      </c>
      <c r="I757" s="134">
        <f t="shared" si="36"/>
        <v>328746.65999999997</v>
      </c>
      <c r="J757" s="20" t="s">
        <v>1860</v>
      </c>
      <c r="K757" s="27"/>
    </row>
    <row r="758" spans="1:11" hidden="1" outlineLevel="1">
      <c r="A758" s="389" t="s">
        <v>1861</v>
      </c>
      <c r="B758" s="405">
        <v>2994.48</v>
      </c>
      <c r="C758" s="87">
        <v>0</v>
      </c>
      <c r="D758" s="87">
        <v>0</v>
      </c>
      <c r="E758" s="87">
        <v>0</v>
      </c>
      <c r="F758" s="87">
        <v>2994.48</v>
      </c>
      <c r="G758" s="87">
        <v>0</v>
      </c>
      <c r="H758" s="134">
        <v>0</v>
      </c>
      <c r="I758" s="134">
        <f t="shared" si="36"/>
        <v>2994.48</v>
      </c>
      <c r="J758" s="20" t="s">
        <v>1862</v>
      </c>
      <c r="K758" s="27"/>
    </row>
    <row r="759" spans="1:11" hidden="1" outlineLevel="1">
      <c r="A759" s="389" t="s">
        <v>1863</v>
      </c>
      <c r="B759" s="405">
        <v>211077.54</v>
      </c>
      <c r="C759" s="87">
        <v>0</v>
      </c>
      <c r="D759" s="87">
        <v>0</v>
      </c>
      <c r="E759" s="87">
        <v>0</v>
      </c>
      <c r="F759" s="87">
        <v>211077.54</v>
      </c>
      <c r="G759" s="87">
        <v>36981.279999999999</v>
      </c>
      <c r="H759" s="134">
        <v>-3360</v>
      </c>
      <c r="I759" s="134">
        <f t="shared" si="36"/>
        <v>244698.82</v>
      </c>
      <c r="J759" s="20" t="s">
        <v>1864</v>
      </c>
      <c r="K759" s="27"/>
    </row>
    <row r="760" spans="1:11" hidden="1" outlineLevel="1">
      <c r="A760" s="389" t="s">
        <v>1865</v>
      </c>
      <c r="B760" s="405">
        <v>61406.34</v>
      </c>
      <c r="C760" s="87">
        <v>0</v>
      </c>
      <c r="D760" s="87">
        <v>0</v>
      </c>
      <c r="E760" s="87">
        <v>0</v>
      </c>
      <c r="F760" s="87">
        <v>61406.34</v>
      </c>
      <c r="G760" s="87">
        <v>3740.8</v>
      </c>
      <c r="H760" s="134">
        <v>0</v>
      </c>
      <c r="I760" s="134">
        <f t="shared" si="36"/>
        <v>65147.14</v>
      </c>
      <c r="J760" s="20" t="s">
        <v>1866</v>
      </c>
      <c r="K760" s="27"/>
    </row>
    <row r="761" spans="1:11" hidden="1" outlineLevel="1">
      <c r="A761" s="389" t="s">
        <v>1867</v>
      </c>
      <c r="B761" s="405">
        <v>25245.07</v>
      </c>
      <c r="C761" s="87">
        <v>0</v>
      </c>
      <c r="D761" s="87">
        <v>0</v>
      </c>
      <c r="E761" s="87">
        <v>0</v>
      </c>
      <c r="F761" s="87">
        <v>25245.07</v>
      </c>
      <c r="G761" s="87">
        <v>0</v>
      </c>
      <c r="H761" s="134">
        <v>0</v>
      </c>
      <c r="I761" s="134">
        <f t="shared" si="36"/>
        <v>25245.07</v>
      </c>
      <c r="J761" s="20" t="s">
        <v>1868</v>
      </c>
      <c r="K761" s="27"/>
    </row>
    <row r="762" spans="1:11" hidden="1" outlineLevel="1">
      <c r="A762" s="389" t="s">
        <v>1869</v>
      </c>
      <c r="B762" s="405">
        <v>332581.56</v>
      </c>
      <c r="C762" s="87">
        <v>0</v>
      </c>
      <c r="D762" s="87">
        <v>0</v>
      </c>
      <c r="E762" s="87">
        <v>0</v>
      </c>
      <c r="F762" s="87">
        <v>332581.56</v>
      </c>
      <c r="G762" s="87">
        <v>11314.96</v>
      </c>
      <c r="H762" s="134">
        <v>0</v>
      </c>
      <c r="I762" s="134">
        <f t="shared" si="36"/>
        <v>343896.52</v>
      </c>
      <c r="J762" s="20" t="s">
        <v>1870</v>
      </c>
      <c r="K762" s="27"/>
    </row>
    <row r="763" spans="1:11" hidden="1" outlineLevel="1">
      <c r="A763" s="389" t="s">
        <v>1871</v>
      </c>
      <c r="B763" s="405">
        <v>28801.08</v>
      </c>
      <c r="C763" s="87">
        <v>-55697.64</v>
      </c>
      <c r="D763" s="87">
        <v>0</v>
      </c>
      <c r="E763" s="87">
        <v>0</v>
      </c>
      <c r="F763" s="87">
        <v>-26896.560000000001</v>
      </c>
      <c r="G763" s="87">
        <v>0</v>
      </c>
      <c r="H763" s="134">
        <v>0</v>
      </c>
      <c r="I763" s="134">
        <f t="shared" si="36"/>
        <v>-26896.560000000001</v>
      </c>
      <c r="J763" s="20" t="s">
        <v>1872</v>
      </c>
      <c r="K763" s="27"/>
    </row>
    <row r="764" spans="1:11" hidden="1" outlineLevel="1">
      <c r="A764" s="389" t="s">
        <v>1873</v>
      </c>
      <c r="B764" s="405">
        <v>858342.86</v>
      </c>
      <c r="C764" s="87">
        <v>0</v>
      </c>
      <c r="D764" s="87">
        <v>0</v>
      </c>
      <c r="E764" s="87">
        <v>0</v>
      </c>
      <c r="F764" s="87">
        <v>858342.86</v>
      </c>
      <c r="G764" s="87">
        <v>-412018.86</v>
      </c>
      <c r="H764" s="134">
        <v>0</v>
      </c>
      <c r="I764" s="134">
        <f t="shared" si="36"/>
        <v>446324</v>
      </c>
      <c r="J764" s="20" t="s">
        <v>1874</v>
      </c>
      <c r="K764" s="27"/>
    </row>
    <row r="765" spans="1:11" hidden="1" outlineLevel="1">
      <c r="A765" s="389" t="s">
        <v>799</v>
      </c>
      <c r="B765" s="405">
        <v>56000</v>
      </c>
      <c r="C765" s="87">
        <v>0</v>
      </c>
      <c r="D765" s="87">
        <v>0</v>
      </c>
      <c r="E765" s="87">
        <v>0</v>
      </c>
      <c r="F765" s="87">
        <v>56000</v>
      </c>
      <c r="G765" s="87">
        <v>0</v>
      </c>
      <c r="H765" s="134">
        <v>0</v>
      </c>
      <c r="I765" s="134">
        <f t="shared" si="36"/>
        <v>56000</v>
      </c>
      <c r="J765" s="20" t="s">
        <v>800</v>
      </c>
      <c r="K765" s="27"/>
    </row>
    <row r="766" spans="1:11" hidden="1" outlineLevel="1">
      <c r="A766" s="389" t="s">
        <v>1875</v>
      </c>
      <c r="B766" s="405">
        <v>27339.599999999999</v>
      </c>
      <c r="C766" s="87">
        <v>0</v>
      </c>
      <c r="D766" s="87">
        <v>0</v>
      </c>
      <c r="E766" s="87">
        <v>0</v>
      </c>
      <c r="F766" s="87">
        <v>27339.599999999999</v>
      </c>
      <c r="G766" s="87">
        <v>0</v>
      </c>
      <c r="H766" s="134">
        <v>0</v>
      </c>
      <c r="I766" s="134">
        <f t="shared" si="36"/>
        <v>27339.599999999999</v>
      </c>
      <c r="J766" s="20" t="s">
        <v>1876</v>
      </c>
      <c r="K766" s="27"/>
    </row>
    <row r="767" spans="1:11" hidden="1" outlineLevel="1">
      <c r="A767" s="389" t="s">
        <v>1877</v>
      </c>
      <c r="B767" s="405">
        <v>19414.099999999999</v>
      </c>
      <c r="C767" s="87">
        <v>-285.51</v>
      </c>
      <c r="D767" s="87">
        <v>0</v>
      </c>
      <c r="E767" s="87">
        <v>0</v>
      </c>
      <c r="F767" s="87">
        <v>19128.59</v>
      </c>
      <c r="G767" s="87">
        <v>0</v>
      </c>
      <c r="H767" s="134">
        <v>0</v>
      </c>
      <c r="I767" s="134">
        <f t="shared" si="36"/>
        <v>19128.59</v>
      </c>
      <c r="J767" s="20" t="s">
        <v>1878</v>
      </c>
      <c r="K767" s="27"/>
    </row>
    <row r="768" spans="1:11" hidden="1" outlineLevel="1">
      <c r="A768" s="389" t="s">
        <v>1879</v>
      </c>
      <c r="B768" s="405">
        <v>218769.95</v>
      </c>
      <c r="C768" s="87">
        <v>0</v>
      </c>
      <c r="D768" s="87">
        <v>0</v>
      </c>
      <c r="E768" s="87">
        <v>0</v>
      </c>
      <c r="F768" s="87">
        <v>218769.95</v>
      </c>
      <c r="G768" s="87">
        <v>0</v>
      </c>
      <c r="H768" s="134">
        <v>0</v>
      </c>
      <c r="I768" s="134">
        <f t="shared" si="36"/>
        <v>218769.95</v>
      </c>
      <c r="J768" s="20" t="s">
        <v>1880</v>
      </c>
      <c r="K768" s="27"/>
    </row>
    <row r="769" spans="1:11" hidden="1" outlineLevel="1">
      <c r="A769" s="389" t="s">
        <v>1881</v>
      </c>
      <c r="B769" s="405">
        <v>57578.59</v>
      </c>
      <c r="C769" s="87">
        <v>0</v>
      </c>
      <c r="D769" s="87">
        <v>0</v>
      </c>
      <c r="E769" s="87">
        <v>0</v>
      </c>
      <c r="F769" s="87">
        <v>57578.59</v>
      </c>
      <c r="G769" s="87">
        <v>0</v>
      </c>
      <c r="H769" s="134">
        <v>0</v>
      </c>
      <c r="I769" s="134">
        <f t="shared" si="36"/>
        <v>57578.59</v>
      </c>
      <c r="J769" s="20" t="s">
        <v>1882</v>
      </c>
      <c r="K769" s="27"/>
    </row>
    <row r="770" spans="1:11" hidden="1" outlineLevel="1">
      <c r="A770" s="389" t="s">
        <v>1883</v>
      </c>
      <c r="B770" s="405">
        <v>109331.32</v>
      </c>
      <c r="C770" s="87">
        <v>0</v>
      </c>
      <c r="D770" s="87">
        <v>0</v>
      </c>
      <c r="E770" s="87">
        <v>0</v>
      </c>
      <c r="F770" s="87">
        <v>109331.32</v>
      </c>
      <c r="G770" s="87">
        <v>0</v>
      </c>
      <c r="H770" s="134">
        <v>0</v>
      </c>
      <c r="I770" s="134">
        <f t="shared" si="36"/>
        <v>109331.32</v>
      </c>
      <c r="J770" s="20" t="s">
        <v>1884</v>
      </c>
      <c r="K770" s="27"/>
    </row>
    <row r="771" spans="1:11" hidden="1" outlineLevel="1">
      <c r="A771" s="389" t="s">
        <v>1885</v>
      </c>
      <c r="B771" s="405">
        <v>11765.32</v>
      </c>
      <c r="C771" s="87">
        <v>0</v>
      </c>
      <c r="D771" s="87">
        <v>0</v>
      </c>
      <c r="E771" s="87">
        <v>0</v>
      </c>
      <c r="F771" s="87">
        <v>11765.32</v>
      </c>
      <c r="G771" s="87">
        <v>1548.96</v>
      </c>
      <c r="H771" s="134">
        <v>0</v>
      </c>
      <c r="I771" s="134">
        <f t="shared" si="36"/>
        <v>13314.279999999999</v>
      </c>
      <c r="J771" s="20" t="s">
        <v>1886</v>
      </c>
      <c r="K771" s="27"/>
    </row>
    <row r="772" spans="1:11" hidden="1" outlineLevel="1">
      <c r="A772" s="389" t="s">
        <v>456</v>
      </c>
      <c r="B772" s="405">
        <v>18524.96</v>
      </c>
      <c r="C772" s="87">
        <v>0</v>
      </c>
      <c r="D772" s="87">
        <v>0</v>
      </c>
      <c r="E772" s="87">
        <v>0</v>
      </c>
      <c r="F772" s="87">
        <v>18524.96</v>
      </c>
      <c r="G772" s="87">
        <v>0</v>
      </c>
      <c r="H772" s="134">
        <v>0</v>
      </c>
      <c r="I772" s="134">
        <f t="shared" si="36"/>
        <v>18524.96</v>
      </c>
      <c r="J772" s="20" t="s">
        <v>457</v>
      </c>
      <c r="K772" s="27"/>
    </row>
    <row r="773" spans="1:11" hidden="1" outlineLevel="1">
      <c r="A773" s="389" t="s">
        <v>2077</v>
      </c>
      <c r="B773" s="405">
        <v>0</v>
      </c>
      <c r="C773" s="87">
        <v>0</v>
      </c>
      <c r="D773" s="87">
        <v>0</v>
      </c>
      <c r="E773" s="87">
        <v>0</v>
      </c>
      <c r="F773" s="87">
        <v>0</v>
      </c>
      <c r="G773" s="87">
        <v>-42.09</v>
      </c>
      <c r="H773" s="134">
        <v>0</v>
      </c>
      <c r="I773" s="134">
        <f t="shared" si="36"/>
        <v>-42.09</v>
      </c>
      <c r="J773" s="20" t="s">
        <v>2078</v>
      </c>
      <c r="K773" s="27"/>
    </row>
    <row r="774" spans="1:11" hidden="1" outlineLevel="1">
      <c r="A774" s="389" t="s">
        <v>1887</v>
      </c>
      <c r="B774" s="405">
        <v>1005621.92</v>
      </c>
      <c r="C774" s="87">
        <v>0</v>
      </c>
      <c r="D774" s="87">
        <v>0</v>
      </c>
      <c r="E774" s="87">
        <v>0</v>
      </c>
      <c r="F774" s="87">
        <v>1005621.92</v>
      </c>
      <c r="G774" s="87">
        <v>-387.61</v>
      </c>
      <c r="H774" s="134">
        <v>0</v>
      </c>
      <c r="I774" s="134">
        <f t="shared" si="36"/>
        <v>1005234.31</v>
      </c>
      <c r="J774" s="20" t="s">
        <v>1888</v>
      </c>
      <c r="K774" s="27"/>
    </row>
    <row r="775" spans="1:11" hidden="1" outlineLevel="1">
      <c r="A775" s="389" t="s">
        <v>1889</v>
      </c>
      <c r="B775" s="405">
        <v>254694.46</v>
      </c>
      <c r="C775" s="87">
        <v>0</v>
      </c>
      <c r="D775" s="87">
        <v>0</v>
      </c>
      <c r="E775" s="87">
        <v>0</v>
      </c>
      <c r="F775" s="87">
        <v>254694.46</v>
      </c>
      <c r="G775" s="87">
        <v>0</v>
      </c>
      <c r="H775" s="134">
        <v>0</v>
      </c>
      <c r="I775" s="134">
        <f t="shared" si="36"/>
        <v>254694.46</v>
      </c>
      <c r="J775" s="20" t="s">
        <v>1890</v>
      </c>
      <c r="K775" s="27"/>
    </row>
    <row r="776" spans="1:11" hidden="1" outlineLevel="1">
      <c r="A776" s="389" t="s">
        <v>1891</v>
      </c>
      <c r="B776" s="405">
        <v>1654.88</v>
      </c>
      <c r="C776" s="87">
        <v>0</v>
      </c>
      <c r="D776" s="87">
        <v>0</v>
      </c>
      <c r="E776" s="87">
        <v>0</v>
      </c>
      <c r="F776" s="87">
        <v>1654.88</v>
      </c>
      <c r="G776" s="87">
        <v>0</v>
      </c>
      <c r="H776" s="134">
        <v>0</v>
      </c>
      <c r="I776" s="134">
        <f t="shared" si="36"/>
        <v>1654.88</v>
      </c>
      <c r="J776" s="20" t="s">
        <v>1892</v>
      </c>
      <c r="K776" s="27"/>
    </row>
    <row r="777" spans="1:11" hidden="1" outlineLevel="1">
      <c r="A777" s="389" t="s">
        <v>1893</v>
      </c>
      <c r="B777" s="405">
        <v>1219391.04</v>
      </c>
      <c r="C777" s="87">
        <v>-138.97999999999999</v>
      </c>
      <c r="D777" s="87">
        <v>0</v>
      </c>
      <c r="E777" s="87">
        <v>0</v>
      </c>
      <c r="F777" s="87">
        <v>1219252.06</v>
      </c>
      <c r="G777" s="87">
        <v>0</v>
      </c>
      <c r="H777" s="134">
        <v>0</v>
      </c>
      <c r="I777" s="134">
        <f t="shared" si="36"/>
        <v>1219252.06</v>
      </c>
      <c r="J777" s="20" t="s">
        <v>1894</v>
      </c>
      <c r="K777" s="27"/>
    </row>
    <row r="778" spans="1:11" hidden="1" outlineLevel="1">
      <c r="A778" s="389" t="s">
        <v>1895</v>
      </c>
      <c r="B778" s="405">
        <v>1882047.65</v>
      </c>
      <c r="C778" s="87">
        <v>0</v>
      </c>
      <c r="D778" s="87">
        <v>0</v>
      </c>
      <c r="E778" s="87">
        <v>0</v>
      </c>
      <c r="F778" s="87">
        <v>1882047.65</v>
      </c>
      <c r="G778" s="87">
        <v>226898.99</v>
      </c>
      <c r="H778" s="134">
        <v>0</v>
      </c>
      <c r="I778" s="134">
        <f t="shared" si="36"/>
        <v>2108946.6399999997</v>
      </c>
      <c r="J778" s="20" t="s">
        <v>1896</v>
      </c>
      <c r="K778" s="27"/>
    </row>
    <row r="779" spans="1:11" hidden="1" outlineLevel="1">
      <c r="A779" s="389" t="s">
        <v>1683</v>
      </c>
      <c r="B779" s="405">
        <v>86959.69</v>
      </c>
      <c r="C779" s="87">
        <v>0</v>
      </c>
      <c r="D779" s="87">
        <v>0</v>
      </c>
      <c r="E779" s="87">
        <v>0</v>
      </c>
      <c r="F779" s="87">
        <v>86959.69</v>
      </c>
      <c r="G779" s="87">
        <v>0</v>
      </c>
      <c r="H779" s="134">
        <v>0</v>
      </c>
      <c r="I779" s="134">
        <f t="shared" si="36"/>
        <v>86959.69</v>
      </c>
      <c r="J779" s="20" t="s">
        <v>1684</v>
      </c>
      <c r="K779" s="27"/>
    </row>
    <row r="780" spans="1:11" hidden="1" outlineLevel="1">
      <c r="A780" s="389" t="s">
        <v>1897</v>
      </c>
      <c r="B780" s="405">
        <v>4902.91</v>
      </c>
      <c r="C780" s="87">
        <v>0</v>
      </c>
      <c r="D780" s="87">
        <v>0</v>
      </c>
      <c r="E780" s="87">
        <v>0</v>
      </c>
      <c r="F780" s="87">
        <v>4902.91</v>
      </c>
      <c r="G780" s="87">
        <v>0</v>
      </c>
      <c r="H780" s="134">
        <v>0</v>
      </c>
      <c r="I780" s="134">
        <f t="shared" si="36"/>
        <v>4902.91</v>
      </c>
      <c r="J780" s="20" t="s">
        <v>1898</v>
      </c>
      <c r="K780" s="27"/>
    </row>
    <row r="781" spans="1:11" hidden="1" outlineLevel="1">
      <c r="A781" s="389" t="s">
        <v>977</v>
      </c>
      <c r="B781" s="405">
        <v>17993212.940000001</v>
      </c>
      <c r="C781" s="87">
        <v>-2070.0700000000002</v>
      </c>
      <c r="D781" s="87">
        <v>-1624</v>
      </c>
      <c r="E781" s="87">
        <v>0</v>
      </c>
      <c r="F781" s="87">
        <v>17989518.870000001</v>
      </c>
      <c r="G781" s="87">
        <v>2734705.45</v>
      </c>
      <c r="H781" s="134">
        <v>-11553.72</v>
      </c>
      <c r="I781" s="134">
        <f t="shared" si="36"/>
        <v>20712670.600000001</v>
      </c>
      <c r="J781" s="20" t="s">
        <v>978</v>
      </c>
      <c r="K781" s="27"/>
    </row>
    <row r="782" spans="1:11" hidden="1" outlineLevel="1">
      <c r="A782" s="389" t="s">
        <v>1899</v>
      </c>
      <c r="B782" s="405">
        <v>200872.35</v>
      </c>
      <c r="C782" s="87">
        <v>0</v>
      </c>
      <c r="D782" s="87">
        <v>0</v>
      </c>
      <c r="E782" s="87">
        <v>0</v>
      </c>
      <c r="F782" s="87">
        <v>200872.35</v>
      </c>
      <c r="G782" s="87">
        <v>0</v>
      </c>
      <c r="H782" s="134">
        <v>0</v>
      </c>
      <c r="I782" s="134">
        <f t="shared" si="36"/>
        <v>200872.35</v>
      </c>
      <c r="J782" s="20" t="s">
        <v>1900</v>
      </c>
      <c r="K782" s="27"/>
    </row>
    <row r="783" spans="1:11" hidden="1" outlineLevel="1">
      <c r="A783" s="389" t="s">
        <v>1901</v>
      </c>
      <c r="B783" s="405">
        <v>35210.559999999998</v>
      </c>
      <c r="C783" s="87">
        <v>0</v>
      </c>
      <c r="D783" s="87">
        <v>0</v>
      </c>
      <c r="E783" s="87">
        <v>0</v>
      </c>
      <c r="F783" s="87">
        <v>35210.559999999998</v>
      </c>
      <c r="G783" s="87">
        <v>0</v>
      </c>
      <c r="H783" s="134">
        <v>0</v>
      </c>
      <c r="I783" s="134">
        <f t="shared" si="36"/>
        <v>35210.559999999998</v>
      </c>
      <c r="J783" s="20" t="s">
        <v>1902</v>
      </c>
      <c r="K783" s="27"/>
    </row>
    <row r="784" spans="1:11" hidden="1" outlineLevel="1">
      <c r="A784" s="389" t="s">
        <v>1903</v>
      </c>
      <c r="B784" s="405">
        <v>1044748.96</v>
      </c>
      <c r="C784" s="87">
        <v>-67.75</v>
      </c>
      <c r="D784" s="87">
        <v>0</v>
      </c>
      <c r="E784" s="87">
        <v>0</v>
      </c>
      <c r="F784" s="87">
        <v>1044681.21</v>
      </c>
      <c r="G784" s="87">
        <v>19262.96</v>
      </c>
      <c r="H784" s="134">
        <v>0</v>
      </c>
      <c r="I784" s="134">
        <f t="shared" si="36"/>
        <v>1063944.17</v>
      </c>
      <c r="J784" s="20" t="s">
        <v>1904</v>
      </c>
      <c r="K784" s="27"/>
    </row>
    <row r="785" spans="1:11" hidden="1" outlineLevel="1">
      <c r="A785" s="389" t="s">
        <v>1905</v>
      </c>
      <c r="B785" s="405">
        <v>247369.66</v>
      </c>
      <c r="C785" s="87">
        <v>0</v>
      </c>
      <c r="D785" s="87">
        <v>0</v>
      </c>
      <c r="E785" s="87">
        <v>0</v>
      </c>
      <c r="F785" s="87">
        <v>247369.66</v>
      </c>
      <c r="G785" s="87">
        <v>98884.47</v>
      </c>
      <c r="H785" s="134">
        <v>0</v>
      </c>
      <c r="I785" s="134">
        <f t="shared" si="36"/>
        <v>346254.13</v>
      </c>
      <c r="J785" s="20" t="s">
        <v>1906</v>
      </c>
      <c r="K785" s="27"/>
    </row>
    <row r="786" spans="1:11" hidden="1" outlineLevel="1">
      <c r="A786" s="389" t="s">
        <v>1907</v>
      </c>
      <c r="B786" s="405">
        <v>10259.84</v>
      </c>
      <c r="C786" s="87">
        <v>0</v>
      </c>
      <c r="D786" s="87">
        <v>0</v>
      </c>
      <c r="E786" s="87">
        <v>0</v>
      </c>
      <c r="F786" s="87">
        <v>10259.84</v>
      </c>
      <c r="G786" s="87">
        <v>0</v>
      </c>
      <c r="H786" s="134">
        <v>0</v>
      </c>
      <c r="I786" s="134">
        <f t="shared" si="36"/>
        <v>10259.84</v>
      </c>
      <c r="J786" s="20" t="s">
        <v>1908</v>
      </c>
      <c r="K786" s="27"/>
    </row>
    <row r="787" spans="1:11" hidden="1" outlineLevel="1">
      <c r="A787" s="389" t="s">
        <v>1909</v>
      </c>
      <c r="B787" s="405">
        <v>56909.9</v>
      </c>
      <c r="C787" s="87">
        <v>0</v>
      </c>
      <c r="D787" s="87">
        <v>0</v>
      </c>
      <c r="E787" s="87">
        <v>0</v>
      </c>
      <c r="F787" s="87">
        <v>56909.9</v>
      </c>
      <c r="G787" s="87">
        <v>0</v>
      </c>
      <c r="H787" s="134">
        <v>0</v>
      </c>
      <c r="I787" s="134">
        <f t="shared" si="36"/>
        <v>56909.9</v>
      </c>
      <c r="J787" s="20" t="s">
        <v>1910</v>
      </c>
      <c r="K787" s="27"/>
    </row>
    <row r="788" spans="1:11" hidden="1" outlineLevel="1">
      <c r="A788" s="389" t="s">
        <v>1911</v>
      </c>
      <c r="B788" s="405">
        <v>112764.5</v>
      </c>
      <c r="C788" s="87">
        <v>0</v>
      </c>
      <c r="D788" s="87">
        <v>0</v>
      </c>
      <c r="E788" s="87">
        <v>0</v>
      </c>
      <c r="F788" s="87">
        <v>112764.5</v>
      </c>
      <c r="G788" s="87">
        <v>7404.68</v>
      </c>
      <c r="H788" s="134">
        <v>0</v>
      </c>
      <c r="I788" s="134">
        <f t="shared" si="36"/>
        <v>120169.18</v>
      </c>
      <c r="J788" s="20" t="s">
        <v>1912</v>
      </c>
      <c r="K788" s="27"/>
    </row>
    <row r="789" spans="1:11" hidden="1" outlineLevel="1">
      <c r="A789" s="389" t="s">
        <v>1913</v>
      </c>
      <c r="B789" s="405">
        <v>203649.6</v>
      </c>
      <c r="C789" s="87">
        <v>0</v>
      </c>
      <c r="D789" s="87">
        <v>0</v>
      </c>
      <c r="E789" s="87">
        <v>0</v>
      </c>
      <c r="F789" s="87">
        <v>203649.6</v>
      </c>
      <c r="G789" s="87">
        <v>231.91</v>
      </c>
      <c r="H789" s="134">
        <v>0</v>
      </c>
      <c r="I789" s="134">
        <f t="shared" si="36"/>
        <v>203881.51</v>
      </c>
      <c r="J789" s="20" t="s">
        <v>1914</v>
      </c>
      <c r="K789" s="27"/>
    </row>
    <row r="790" spans="1:11" hidden="1" outlineLevel="1">
      <c r="A790" s="389" t="s">
        <v>1915</v>
      </c>
      <c r="B790" s="405">
        <v>664675.52</v>
      </c>
      <c r="C790" s="87">
        <v>0</v>
      </c>
      <c r="D790" s="87">
        <v>0</v>
      </c>
      <c r="E790" s="87">
        <v>0</v>
      </c>
      <c r="F790" s="87">
        <v>664675.52</v>
      </c>
      <c r="G790" s="87">
        <v>75430.350000000006</v>
      </c>
      <c r="H790" s="134">
        <v>0</v>
      </c>
      <c r="I790" s="134">
        <f t="shared" si="36"/>
        <v>740105.87</v>
      </c>
      <c r="J790" s="20" t="s">
        <v>1916</v>
      </c>
      <c r="K790" s="27"/>
    </row>
    <row r="791" spans="1:11" hidden="1" outlineLevel="1">
      <c r="A791" s="389" t="s">
        <v>1917</v>
      </c>
      <c r="B791" s="405">
        <v>156753.4</v>
      </c>
      <c r="C791" s="87">
        <v>0</v>
      </c>
      <c r="D791" s="87">
        <v>0</v>
      </c>
      <c r="E791" s="87">
        <v>0</v>
      </c>
      <c r="F791" s="87">
        <v>156753.4</v>
      </c>
      <c r="G791" s="87">
        <v>48103</v>
      </c>
      <c r="H791" s="134">
        <v>0</v>
      </c>
      <c r="I791" s="134">
        <f t="shared" si="36"/>
        <v>204856.4</v>
      </c>
      <c r="J791" s="20" t="s">
        <v>1918</v>
      </c>
      <c r="K791" s="27"/>
    </row>
    <row r="792" spans="1:11" hidden="1" outlineLevel="1">
      <c r="A792" s="389" t="s">
        <v>1919</v>
      </c>
      <c r="B792" s="405">
        <v>228384.89</v>
      </c>
      <c r="C792" s="87">
        <v>0</v>
      </c>
      <c r="D792" s="87">
        <v>0</v>
      </c>
      <c r="E792" s="87">
        <v>0</v>
      </c>
      <c r="F792" s="87">
        <v>228384.89</v>
      </c>
      <c r="G792" s="87">
        <v>0</v>
      </c>
      <c r="H792" s="134">
        <v>0</v>
      </c>
      <c r="I792" s="134">
        <f t="shared" si="36"/>
        <v>228384.89</v>
      </c>
      <c r="J792" s="20" t="s">
        <v>1920</v>
      </c>
      <c r="K792" s="27"/>
    </row>
    <row r="793" spans="1:11" hidden="1" outlineLevel="1">
      <c r="A793" s="389" t="s">
        <v>1921</v>
      </c>
      <c r="B793" s="405">
        <v>427963.63</v>
      </c>
      <c r="C793" s="87">
        <v>0</v>
      </c>
      <c r="D793" s="87">
        <v>0</v>
      </c>
      <c r="E793" s="87">
        <v>0</v>
      </c>
      <c r="F793" s="87">
        <v>427963.63</v>
      </c>
      <c r="G793" s="87">
        <v>0</v>
      </c>
      <c r="H793" s="134">
        <v>0</v>
      </c>
      <c r="I793" s="134">
        <f t="shared" si="36"/>
        <v>427963.63</v>
      </c>
      <c r="J793" s="20" t="s">
        <v>1922</v>
      </c>
      <c r="K793" s="27"/>
    </row>
    <row r="794" spans="1:11" hidden="1" outlineLevel="1">
      <c r="A794" s="389" t="s">
        <v>1923</v>
      </c>
      <c r="B794" s="405">
        <v>46765.71</v>
      </c>
      <c r="C794" s="87">
        <v>0</v>
      </c>
      <c r="D794" s="87">
        <v>0</v>
      </c>
      <c r="E794" s="87">
        <v>0</v>
      </c>
      <c r="F794" s="87">
        <v>46765.71</v>
      </c>
      <c r="G794" s="87">
        <v>-130.63999999999999</v>
      </c>
      <c r="H794" s="134">
        <v>0</v>
      </c>
      <c r="I794" s="134">
        <f t="shared" si="36"/>
        <v>46635.07</v>
      </c>
      <c r="J794" s="20" t="s">
        <v>1924</v>
      </c>
      <c r="K794" s="27"/>
    </row>
    <row r="795" spans="1:11" hidden="1" outlineLevel="1">
      <c r="A795" s="389" t="s">
        <v>1925</v>
      </c>
      <c r="B795" s="405">
        <v>4420.05</v>
      </c>
      <c r="C795" s="87">
        <v>-314.8</v>
      </c>
      <c r="D795" s="87">
        <v>0</v>
      </c>
      <c r="E795" s="87">
        <v>0</v>
      </c>
      <c r="F795" s="87">
        <v>4105.25</v>
      </c>
      <c r="G795" s="87">
        <v>-89.56</v>
      </c>
      <c r="H795" s="134">
        <v>0</v>
      </c>
      <c r="I795" s="134">
        <f t="shared" si="36"/>
        <v>4015.69</v>
      </c>
      <c r="J795" s="20" t="s">
        <v>1926</v>
      </c>
      <c r="K795" s="27"/>
    </row>
    <row r="796" spans="1:11" hidden="1" outlineLevel="1">
      <c r="A796" s="389" t="s">
        <v>1927</v>
      </c>
      <c r="B796" s="405">
        <v>84357.23</v>
      </c>
      <c r="C796" s="87">
        <v>0</v>
      </c>
      <c r="D796" s="87">
        <v>0</v>
      </c>
      <c r="E796" s="87">
        <v>0</v>
      </c>
      <c r="F796" s="87">
        <v>84357.23</v>
      </c>
      <c r="G796" s="87">
        <v>0</v>
      </c>
      <c r="H796" s="134">
        <v>0</v>
      </c>
      <c r="I796" s="134">
        <f t="shared" si="36"/>
        <v>84357.23</v>
      </c>
      <c r="J796" s="20" t="s">
        <v>1928</v>
      </c>
      <c r="K796" s="27"/>
    </row>
    <row r="797" spans="1:11" hidden="1" outlineLevel="1">
      <c r="A797" s="389" t="s">
        <v>1929</v>
      </c>
      <c r="B797" s="405">
        <v>37630.6</v>
      </c>
      <c r="C797" s="87">
        <v>-129.22999999999999</v>
      </c>
      <c r="D797" s="87">
        <v>0</v>
      </c>
      <c r="E797" s="87">
        <v>0</v>
      </c>
      <c r="F797" s="87">
        <v>37501.370000000003</v>
      </c>
      <c r="G797" s="87">
        <v>-147.52000000000001</v>
      </c>
      <c r="H797" s="134">
        <v>0</v>
      </c>
      <c r="I797" s="134">
        <f t="shared" si="36"/>
        <v>37353.850000000006</v>
      </c>
      <c r="J797" s="20" t="s">
        <v>1930</v>
      </c>
      <c r="K797" s="27"/>
    </row>
    <row r="798" spans="1:11" hidden="1" outlineLevel="1">
      <c r="A798" s="389" t="s">
        <v>1931</v>
      </c>
      <c r="B798" s="405">
        <v>146580.23000000001</v>
      </c>
      <c r="C798" s="87">
        <v>0</v>
      </c>
      <c r="D798" s="87">
        <v>0</v>
      </c>
      <c r="E798" s="87">
        <v>0</v>
      </c>
      <c r="F798" s="87">
        <v>146580.23000000001</v>
      </c>
      <c r="G798" s="87">
        <v>0</v>
      </c>
      <c r="H798" s="134">
        <v>0</v>
      </c>
      <c r="I798" s="134">
        <f t="shared" si="36"/>
        <v>146580.23000000001</v>
      </c>
      <c r="J798" s="20" t="s">
        <v>1932</v>
      </c>
      <c r="K798" s="27"/>
    </row>
    <row r="799" spans="1:11" hidden="1" outlineLevel="1">
      <c r="A799" s="389" t="s">
        <v>1933</v>
      </c>
      <c r="B799" s="405">
        <v>254878.65</v>
      </c>
      <c r="C799" s="87">
        <v>0</v>
      </c>
      <c r="D799" s="87">
        <v>0</v>
      </c>
      <c r="E799" s="87">
        <v>0</v>
      </c>
      <c r="F799" s="87">
        <v>254878.65</v>
      </c>
      <c r="G799" s="87">
        <v>0</v>
      </c>
      <c r="H799" s="134">
        <v>0</v>
      </c>
      <c r="I799" s="134">
        <f t="shared" si="36"/>
        <v>254878.65</v>
      </c>
      <c r="J799" s="20" t="s">
        <v>1934</v>
      </c>
      <c r="K799" s="27"/>
    </row>
    <row r="800" spans="1:11" hidden="1" outlineLevel="1">
      <c r="A800" s="389" t="s">
        <v>1935</v>
      </c>
      <c r="B800" s="405">
        <v>1012272.87</v>
      </c>
      <c r="C800" s="87">
        <v>0</v>
      </c>
      <c r="D800" s="87">
        <v>0</v>
      </c>
      <c r="E800" s="87">
        <v>0</v>
      </c>
      <c r="F800" s="87">
        <v>1012272.87</v>
      </c>
      <c r="G800" s="87">
        <v>609.44000000000005</v>
      </c>
      <c r="H800" s="134">
        <v>0</v>
      </c>
      <c r="I800" s="134">
        <f t="shared" si="36"/>
        <v>1012882.3099999999</v>
      </c>
      <c r="J800" s="20" t="s">
        <v>1936</v>
      </c>
      <c r="K800" s="27"/>
    </row>
    <row r="801" spans="1:11" hidden="1" outlineLevel="1">
      <c r="A801" s="389" t="s">
        <v>1937</v>
      </c>
      <c r="B801" s="405">
        <v>120241.18</v>
      </c>
      <c r="C801" s="87">
        <v>0</v>
      </c>
      <c r="D801" s="87">
        <v>0</v>
      </c>
      <c r="E801" s="87">
        <v>0</v>
      </c>
      <c r="F801" s="87">
        <v>120241.18</v>
      </c>
      <c r="G801" s="87">
        <v>0</v>
      </c>
      <c r="H801" s="134">
        <v>0</v>
      </c>
      <c r="I801" s="134">
        <f t="shared" si="36"/>
        <v>120241.18</v>
      </c>
      <c r="J801" s="20" t="s">
        <v>1938</v>
      </c>
      <c r="K801" s="27"/>
    </row>
    <row r="802" spans="1:11" hidden="1" outlineLevel="1">
      <c r="A802" s="389" t="s">
        <v>1939</v>
      </c>
      <c r="B802" s="405">
        <v>28505.99</v>
      </c>
      <c r="C802" s="87">
        <v>0</v>
      </c>
      <c r="D802" s="87">
        <v>0</v>
      </c>
      <c r="E802" s="87">
        <v>0</v>
      </c>
      <c r="F802" s="87">
        <v>28505.99</v>
      </c>
      <c r="G802" s="87">
        <v>-1305.8399999999999</v>
      </c>
      <c r="H802" s="134">
        <v>0</v>
      </c>
      <c r="I802" s="134">
        <f t="shared" si="36"/>
        <v>27200.15</v>
      </c>
      <c r="J802" s="20" t="s">
        <v>1940</v>
      </c>
      <c r="K802" s="27"/>
    </row>
    <row r="803" spans="1:11" hidden="1" outlineLevel="1">
      <c r="A803" s="389" t="s">
        <v>1941</v>
      </c>
      <c r="B803" s="405">
        <v>48055.44</v>
      </c>
      <c r="C803" s="87">
        <v>0</v>
      </c>
      <c r="D803" s="87">
        <v>0</v>
      </c>
      <c r="E803" s="87">
        <v>0</v>
      </c>
      <c r="F803" s="87">
        <v>48055.44</v>
      </c>
      <c r="G803" s="87">
        <v>0</v>
      </c>
      <c r="H803" s="134">
        <v>0</v>
      </c>
      <c r="I803" s="134">
        <f t="shared" si="36"/>
        <v>48055.44</v>
      </c>
      <c r="J803" s="20" t="s">
        <v>1942</v>
      </c>
      <c r="K803" s="27"/>
    </row>
    <row r="804" spans="1:11" hidden="1" outlineLevel="1">
      <c r="A804" s="389" t="s">
        <v>1943</v>
      </c>
      <c r="B804" s="405">
        <v>524630.93999999994</v>
      </c>
      <c r="C804" s="87">
        <v>0</v>
      </c>
      <c r="D804" s="87">
        <v>0</v>
      </c>
      <c r="E804" s="87">
        <v>0</v>
      </c>
      <c r="F804" s="87">
        <v>524630.93999999994</v>
      </c>
      <c r="G804" s="87">
        <v>0</v>
      </c>
      <c r="H804" s="134">
        <v>0</v>
      </c>
      <c r="I804" s="134">
        <f t="shared" si="36"/>
        <v>524630.93999999994</v>
      </c>
      <c r="J804" s="20" t="s">
        <v>1944</v>
      </c>
      <c r="K804" s="27"/>
    </row>
    <row r="805" spans="1:11" hidden="1" outlineLevel="1">
      <c r="A805" s="389" t="s">
        <v>1945</v>
      </c>
      <c r="B805" s="405">
        <v>122396.44</v>
      </c>
      <c r="C805" s="87">
        <v>0</v>
      </c>
      <c r="D805" s="87">
        <v>0</v>
      </c>
      <c r="E805" s="87">
        <v>0</v>
      </c>
      <c r="F805" s="87">
        <v>122396.44</v>
      </c>
      <c r="G805" s="87">
        <v>3762.8</v>
      </c>
      <c r="H805" s="134">
        <v>0</v>
      </c>
      <c r="I805" s="134">
        <f t="shared" si="36"/>
        <v>126159.24</v>
      </c>
      <c r="J805" s="20" t="s">
        <v>1946</v>
      </c>
      <c r="K805" s="27"/>
    </row>
    <row r="806" spans="1:11" hidden="1" outlineLevel="1">
      <c r="A806" s="389" t="s">
        <v>1947</v>
      </c>
      <c r="B806" s="405">
        <v>21729.09</v>
      </c>
      <c r="C806" s="87">
        <v>0</v>
      </c>
      <c r="D806" s="87">
        <v>0</v>
      </c>
      <c r="E806" s="87">
        <v>0</v>
      </c>
      <c r="F806" s="87">
        <v>21729.09</v>
      </c>
      <c r="G806" s="87">
        <v>0</v>
      </c>
      <c r="H806" s="134">
        <v>0</v>
      </c>
      <c r="I806" s="134">
        <f t="shared" ref="I806:I865" si="37">F806+G806+H806</f>
        <v>21729.09</v>
      </c>
      <c r="J806" s="20" t="s">
        <v>1948</v>
      </c>
      <c r="K806" s="27"/>
    </row>
    <row r="807" spans="1:11" hidden="1" outlineLevel="1">
      <c r="A807" s="389" t="s">
        <v>1949</v>
      </c>
      <c r="B807" s="405">
        <v>298824.81</v>
      </c>
      <c r="C807" s="87">
        <v>0</v>
      </c>
      <c r="D807" s="87">
        <v>-60</v>
      </c>
      <c r="E807" s="87">
        <v>0</v>
      </c>
      <c r="F807" s="87">
        <v>298764.81</v>
      </c>
      <c r="G807" s="87">
        <v>9309.44</v>
      </c>
      <c r="H807" s="134">
        <v>0</v>
      </c>
      <c r="I807" s="134">
        <f t="shared" si="37"/>
        <v>308074.25</v>
      </c>
      <c r="J807" s="20" t="s">
        <v>1950</v>
      </c>
      <c r="K807" s="27"/>
    </row>
    <row r="808" spans="1:11" hidden="1" outlineLevel="1">
      <c r="A808" s="389" t="s">
        <v>1951</v>
      </c>
      <c r="B808" s="405">
        <v>31949.65</v>
      </c>
      <c r="C808" s="87">
        <v>0</v>
      </c>
      <c r="D808" s="87">
        <v>0</v>
      </c>
      <c r="E808" s="87">
        <v>0</v>
      </c>
      <c r="F808" s="87">
        <v>31949.65</v>
      </c>
      <c r="G808" s="87">
        <v>0</v>
      </c>
      <c r="H808" s="134">
        <v>0</v>
      </c>
      <c r="I808" s="134">
        <f t="shared" si="37"/>
        <v>31949.65</v>
      </c>
      <c r="J808" s="20" t="s">
        <v>1952</v>
      </c>
      <c r="K808" s="27"/>
    </row>
    <row r="809" spans="1:11" hidden="1" outlineLevel="1">
      <c r="A809" s="389" t="s">
        <v>1953</v>
      </c>
      <c r="B809" s="405">
        <v>876244.67</v>
      </c>
      <c r="C809" s="87">
        <v>-297.72000000000003</v>
      </c>
      <c r="D809" s="87">
        <v>0</v>
      </c>
      <c r="E809" s="87">
        <v>0</v>
      </c>
      <c r="F809" s="87">
        <v>875946.95</v>
      </c>
      <c r="G809" s="87">
        <v>0</v>
      </c>
      <c r="H809" s="134">
        <v>0</v>
      </c>
      <c r="I809" s="134">
        <f t="shared" si="37"/>
        <v>875946.95</v>
      </c>
      <c r="J809" s="20" t="s">
        <v>1954</v>
      </c>
      <c r="K809" s="27"/>
    </row>
    <row r="810" spans="1:11" hidden="1" outlineLevel="1">
      <c r="A810" s="389" t="s">
        <v>1955</v>
      </c>
      <c r="B810" s="405">
        <v>245132.79</v>
      </c>
      <c r="C810" s="87">
        <v>0</v>
      </c>
      <c r="D810" s="87">
        <v>0</v>
      </c>
      <c r="E810" s="87">
        <v>0</v>
      </c>
      <c r="F810" s="87">
        <v>245132.79</v>
      </c>
      <c r="G810" s="87">
        <v>-3476.64</v>
      </c>
      <c r="H810" s="134">
        <v>0</v>
      </c>
      <c r="I810" s="134">
        <f t="shared" si="37"/>
        <v>241656.15</v>
      </c>
      <c r="J810" s="20" t="s">
        <v>1956</v>
      </c>
      <c r="K810" s="27"/>
    </row>
    <row r="811" spans="1:11" hidden="1" outlineLevel="1">
      <c r="A811" s="389" t="s">
        <v>1957</v>
      </c>
      <c r="B811" s="405">
        <v>108179.14</v>
      </c>
      <c r="C811" s="87">
        <v>0</v>
      </c>
      <c r="D811" s="87">
        <v>0</v>
      </c>
      <c r="E811" s="87">
        <v>0</v>
      </c>
      <c r="F811" s="87">
        <v>108179.14</v>
      </c>
      <c r="G811" s="87">
        <v>-134.91999999999999</v>
      </c>
      <c r="H811" s="134">
        <v>0</v>
      </c>
      <c r="I811" s="134">
        <f t="shared" si="37"/>
        <v>108044.22</v>
      </c>
      <c r="J811" s="20" t="s">
        <v>1958</v>
      </c>
      <c r="K811" s="27"/>
    </row>
    <row r="812" spans="1:11" hidden="1" outlineLevel="1">
      <c r="A812" s="389" t="s">
        <v>1959</v>
      </c>
      <c r="B812" s="405">
        <v>36718.28</v>
      </c>
      <c r="C812" s="87">
        <v>0</v>
      </c>
      <c r="D812" s="87">
        <v>0</v>
      </c>
      <c r="E812" s="87">
        <v>0</v>
      </c>
      <c r="F812" s="87">
        <v>36718.28</v>
      </c>
      <c r="G812" s="87">
        <v>-3862.64</v>
      </c>
      <c r="H812" s="134">
        <v>0</v>
      </c>
      <c r="I812" s="134">
        <f t="shared" si="37"/>
        <v>32855.64</v>
      </c>
      <c r="J812" s="20" t="s">
        <v>1960</v>
      </c>
      <c r="K812" s="27"/>
    </row>
    <row r="813" spans="1:11" hidden="1" outlineLevel="1">
      <c r="A813" s="389" t="s">
        <v>1961</v>
      </c>
      <c r="B813" s="405">
        <v>49416.2</v>
      </c>
      <c r="C813" s="87">
        <v>0</v>
      </c>
      <c r="D813" s="87">
        <v>0</v>
      </c>
      <c r="E813" s="87">
        <v>0</v>
      </c>
      <c r="F813" s="87">
        <v>49416.2</v>
      </c>
      <c r="G813" s="87">
        <v>-23144.560000000001</v>
      </c>
      <c r="H813" s="134">
        <v>0</v>
      </c>
      <c r="I813" s="134">
        <f t="shared" si="37"/>
        <v>26271.639999999996</v>
      </c>
      <c r="J813" s="20" t="s">
        <v>1962</v>
      </c>
      <c r="K813" s="27"/>
    </row>
    <row r="814" spans="1:11" hidden="1" outlineLevel="1">
      <c r="A814" s="389" t="s">
        <v>1963</v>
      </c>
      <c r="B814" s="405">
        <v>2662690.9900000002</v>
      </c>
      <c r="C814" s="87">
        <v>0</v>
      </c>
      <c r="D814" s="87">
        <v>0</v>
      </c>
      <c r="E814" s="87">
        <v>0</v>
      </c>
      <c r="F814" s="87">
        <v>2662690.9900000002</v>
      </c>
      <c r="G814" s="87">
        <v>2407903.11</v>
      </c>
      <c r="H814" s="134">
        <v>0</v>
      </c>
      <c r="I814" s="134">
        <f t="shared" si="37"/>
        <v>5070594.0999999996</v>
      </c>
      <c r="J814" s="20" t="s">
        <v>1964</v>
      </c>
      <c r="K814" s="27"/>
    </row>
    <row r="815" spans="1:11" hidden="1" outlineLevel="1">
      <c r="A815" s="389" t="s">
        <v>1965</v>
      </c>
      <c r="B815" s="405">
        <v>77037.899999999994</v>
      </c>
      <c r="C815" s="87">
        <v>0</v>
      </c>
      <c r="D815" s="87">
        <v>0</v>
      </c>
      <c r="E815" s="87">
        <v>0</v>
      </c>
      <c r="F815" s="87">
        <v>77037.899999999994</v>
      </c>
      <c r="G815" s="87">
        <v>0</v>
      </c>
      <c r="H815" s="134">
        <v>0</v>
      </c>
      <c r="I815" s="134">
        <f t="shared" si="37"/>
        <v>77037.899999999994</v>
      </c>
      <c r="J815" s="20" t="s">
        <v>1966</v>
      </c>
      <c r="K815" s="27"/>
    </row>
    <row r="816" spans="1:11" hidden="1" outlineLevel="1">
      <c r="A816" s="389" t="s">
        <v>1967</v>
      </c>
      <c r="B816" s="405">
        <v>1398242.5</v>
      </c>
      <c r="C816" s="87">
        <v>0</v>
      </c>
      <c r="D816" s="87">
        <v>0</v>
      </c>
      <c r="E816" s="87">
        <v>0</v>
      </c>
      <c r="F816" s="87">
        <v>1398242.5</v>
      </c>
      <c r="G816" s="87">
        <v>279618.07</v>
      </c>
      <c r="H816" s="134">
        <v>0</v>
      </c>
      <c r="I816" s="134">
        <f t="shared" si="37"/>
        <v>1677860.57</v>
      </c>
      <c r="J816" s="20" t="s">
        <v>1968</v>
      </c>
      <c r="K816" s="27"/>
    </row>
    <row r="817" spans="1:11" hidden="1" outlineLevel="1">
      <c r="A817" s="389" t="s">
        <v>1969</v>
      </c>
      <c r="B817" s="405">
        <v>818907.76</v>
      </c>
      <c r="C817" s="87">
        <v>0</v>
      </c>
      <c r="D817" s="87">
        <v>0</v>
      </c>
      <c r="E817" s="87">
        <v>0</v>
      </c>
      <c r="F817" s="87">
        <v>818907.76</v>
      </c>
      <c r="G817" s="87">
        <v>22214.44</v>
      </c>
      <c r="H817" s="134">
        <v>0</v>
      </c>
      <c r="I817" s="134">
        <f t="shared" si="37"/>
        <v>841122.2</v>
      </c>
      <c r="J817" s="20" t="s">
        <v>1970</v>
      </c>
      <c r="K817" s="27"/>
    </row>
    <row r="818" spans="1:11" hidden="1" outlineLevel="1">
      <c r="A818" s="389" t="s">
        <v>1971</v>
      </c>
      <c r="B818" s="405">
        <v>16514.05</v>
      </c>
      <c r="C818" s="87">
        <v>0</v>
      </c>
      <c r="D818" s="87">
        <v>0</v>
      </c>
      <c r="E818" s="87">
        <v>0</v>
      </c>
      <c r="F818" s="87">
        <v>16514.05</v>
      </c>
      <c r="G818" s="87">
        <v>0</v>
      </c>
      <c r="H818" s="134">
        <v>0</v>
      </c>
      <c r="I818" s="134">
        <f t="shared" si="37"/>
        <v>16514.05</v>
      </c>
      <c r="J818" s="20" t="s">
        <v>1972</v>
      </c>
      <c r="K818" s="27"/>
    </row>
    <row r="819" spans="1:11" hidden="1" outlineLevel="1">
      <c r="A819" s="389" t="s">
        <v>1132</v>
      </c>
      <c r="B819" s="405">
        <v>505799.75</v>
      </c>
      <c r="C819" s="87">
        <v>0</v>
      </c>
      <c r="D819" s="87">
        <v>0</v>
      </c>
      <c r="E819" s="87">
        <v>0</v>
      </c>
      <c r="F819" s="87">
        <v>505799.75</v>
      </c>
      <c r="G819" s="87">
        <v>11464.74</v>
      </c>
      <c r="H819" s="134">
        <v>0</v>
      </c>
      <c r="I819" s="134">
        <f t="shared" si="37"/>
        <v>517264.49</v>
      </c>
      <c r="J819" s="20" t="s">
        <v>1133</v>
      </c>
      <c r="K819" s="27"/>
    </row>
    <row r="820" spans="1:11" hidden="1" outlineLevel="1">
      <c r="A820" s="389" t="s">
        <v>1973</v>
      </c>
      <c r="B820" s="405">
        <v>58449.919999999998</v>
      </c>
      <c r="C820" s="87">
        <v>0</v>
      </c>
      <c r="D820" s="87">
        <v>0</v>
      </c>
      <c r="E820" s="87">
        <v>0</v>
      </c>
      <c r="F820" s="87">
        <v>58449.919999999998</v>
      </c>
      <c r="G820" s="87">
        <v>0</v>
      </c>
      <c r="H820" s="134">
        <v>0</v>
      </c>
      <c r="I820" s="134">
        <f t="shared" si="37"/>
        <v>58449.919999999998</v>
      </c>
      <c r="J820" s="20" t="s">
        <v>1974</v>
      </c>
      <c r="K820" s="27"/>
    </row>
    <row r="821" spans="1:11" hidden="1" outlineLevel="1">
      <c r="A821" s="389" t="s">
        <v>1975</v>
      </c>
      <c r="B821" s="405">
        <v>168574.85</v>
      </c>
      <c r="C821" s="87">
        <v>0</v>
      </c>
      <c r="D821" s="87">
        <v>0</v>
      </c>
      <c r="E821" s="87">
        <v>0</v>
      </c>
      <c r="F821" s="87">
        <v>168574.85</v>
      </c>
      <c r="G821" s="87">
        <v>8832</v>
      </c>
      <c r="H821" s="134">
        <v>0</v>
      </c>
      <c r="I821" s="134">
        <f t="shared" si="37"/>
        <v>177406.85</v>
      </c>
      <c r="J821" s="20" t="s">
        <v>1976</v>
      </c>
      <c r="K821" s="27"/>
    </row>
    <row r="822" spans="1:11" hidden="1" outlineLevel="1">
      <c r="A822" s="389" t="s">
        <v>1977</v>
      </c>
      <c r="B822" s="405">
        <v>144459.79</v>
      </c>
      <c r="C822" s="87">
        <v>0</v>
      </c>
      <c r="D822" s="87">
        <v>0</v>
      </c>
      <c r="E822" s="87">
        <v>0</v>
      </c>
      <c r="F822" s="87">
        <v>144459.79</v>
      </c>
      <c r="G822" s="87">
        <v>-633.28</v>
      </c>
      <c r="H822" s="134">
        <v>0</v>
      </c>
      <c r="I822" s="134">
        <f t="shared" si="37"/>
        <v>143826.51</v>
      </c>
      <c r="J822" s="20" t="s">
        <v>1978</v>
      </c>
      <c r="K822" s="27"/>
    </row>
    <row r="823" spans="1:11" hidden="1" outlineLevel="1">
      <c r="A823" s="389" t="s">
        <v>1979</v>
      </c>
      <c r="B823" s="405">
        <v>112084.98</v>
      </c>
      <c r="C823" s="87">
        <v>0</v>
      </c>
      <c r="D823" s="87">
        <v>0</v>
      </c>
      <c r="E823" s="87">
        <v>0</v>
      </c>
      <c r="F823" s="87">
        <v>112084.98</v>
      </c>
      <c r="G823" s="87">
        <v>0</v>
      </c>
      <c r="H823" s="134">
        <v>0</v>
      </c>
      <c r="I823" s="134">
        <f t="shared" si="37"/>
        <v>112084.98</v>
      </c>
      <c r="J823" s="20" t="s">
        <v>1980</v>
      </c>
      <c r="K823" s="27"/>
    </row>
    <row r="824" spans="1:11" hidden="1" outlineLevel="1">
      <c r="A824" s="389" t="s">
        <v>1981</v>
      </c>
      <c r="B824" s="405">
        <v>44874.03</v>
      </c>
      <c r="C824" s="87">
        <v>-66.92</v>
      </c>
      <c r="D824" s="87">
        <v>0</v>
      </c>
      <c r="E824" s="87">
        <v>0</v>
      </c>
      <c r="F824" s="87">
        <v>44807.11</v>
      </c>
      <c r="G824" s="87">
        <v>0</v>
      </c>
      <c r="H824" s="134">
        <v>0</v>
      </c>
      <c r="I824" s="134">
        <f t="shared" si="37"/>
        <v>44807.11</v>
      </c>
      <c r="J824" s="20" t="s">
        <v>1982</v>
      </c>
      <c r="K824" s="27"/>
    </row>
    <row r="825" spans="1:11" hidden="1" outlineLevel="1">
      <c r="A825" s="389" t="s">
        <v>1983</v>
      </c>
      <c r="B825" s="405">
        <v>28823.06</v>
      </c>
      <c r="C825" s="87">
        <v>0</v>
      </c>
      <c r="D825" s="87">
        <v>0</v>
      </c>
      <c r="E825" s="87">
        <v>0</v>
      </c>
      <c r="F825" s="87">
        <v>28823.06</v>
      </c>
      <c r="G825" s="87">
        <v>1673.52</v>
      </c>
      <c r="H825" s="134">
        <v>0</v>
      </c>
      <c r="I825" s="134">
        <f t="shared" si="37"/>
        <v>30496.58</v>
      </c>
      <c r="J825" s="20" t="s">
        <v>1984</v>
      </c>
      <c r="K825" s="27"/>
    </row>
    <row r="826" spans="1:11" hidden="1" outlineLevel="1">
      <c r="A826" s="389" t="s">
        <v>1985</v>
      </c>
      <c r="B826" s="405">
        <v>217093.74</v>
      </c>
      <c r="C826" s="87">
        <v>0</v>
      </c>
      <c r="D826" s="87">
        <v>0</v>
      </c>
      <c r="E826" s="87">
        <v>0</v>
      </c>
      <c r="F826" s="87">
        <v>217093.74</v>
      </c>
      <c r="G826" s="87">
        <v>0</v>
      </c>
      <c r="H826" s="134">
        <v>0</v>
      </c>
      <c r="I826" s="134">
        <f t="shared" si="37"/>
        <v>217093.74</v>
      </c>
      <c r="J826" s="20" t="s">
        <v>1986</v>
      </c>
      <c r="K826" s="27"/>
    </row>
    <row r="827" spans="1:11" hidden="1" outlineLevel="1">
      <c r="A827" s="389" t="s">
        <v>1987</v>
      </c>
      <c r="B827" s="405">
        <v>118813.5</v>
      </c>
      <c r="C827" s="87">
        <v>0</v>
      </c>
      <c r="D827" s="87">
        <v>0</v>
      </c>
      <c r="E827" s="87">
        <v>0</v>
      </c>
      <c r="F827" s="87">
        <v>118813.5</v>
      </c>
      <c r="G827" s="87">
        <v>1763.52</v>
      </c>
      <c r="H827" s="134">
        <v>0</v>
      </c>
      <c r="I827" s="134">
        <f t="shared" si="37"/>
        <v>120577.02</v>
      </c>
      <c r="J827" s="20" t="s">
        <v>1988</v>
      </c>
      <c r="K827" s="27"/>
    </row>
    <row r="828" spans="1:11" hidden="1" outlineLevel="1">
      <c r="A828" s="389" t="s">
        <v>1989</v>
      </c>
      <c r="B828" s="405">
        <v>136278.45000000001</v>
      </c>
      <c r="C828" s="87">
        <v>0</v>
      </c>
      <c r="D828" s="87">
        <v>0</v>
      </c>
      <c r="E828" s="87">
        <v>0</v>
      </c>
      <c r="F828" s="87">
        <v>136278.45000000001</v>
      </c>
      <c r="G828" s="87">
        <v>0</v>
      </c>
      <c r="H828" s="134">
        <v>0</v>
      </c>
      <c r="I828" s="134">
        <f t="shared" si="37"/>
        <v>136278.45000000001</v>
      </c>
      <c r="J828" s="20" t="s">
        <v>1990</v>
      </c>
      <c r="K828" s="27"/>
    </row>
    <row r="829" spans="1:11" hidden="1" outlineLevel="1">
      <c r="A829" s="389" t="s">
        <v>1991</v>
      </c>
      <c r="B829" s="405">
        <v>560456.99</v>
      </c>
      <c r="C829" s="87">
        <v>0</v>
      </c>
      <c r="D829" s="87">
        <v>0</v>
      </c>
      <c r="E829" s="87">
        <v>0</v>
      </c>
      <c r="F829" s="87">
        <v>560456.99</v>
      </c>
      <c r="G829" s="87">
        <v>40771.040000000001</v>
      </c>
      <c r="H829" s="134">
        <v>0</v>
      </c>
      <c r="I829" s="134">
        <f t="shared" si="37"/>
        <v>601228.03</v>
      </c>
      <c r="J829" s="20" t="s">
        <v>1992</v>
      </c>
      <c r="K829" s="27"/>
    </row>
    <row r="830" spans="1:11" hidden="1" outlineLevel="1">
      <c r="A830" s="389" t="s">
        <v>1993</v>
      </c>
      <c r="B830" s="405">
        <v>13975.28</v>
      </c>
      <c r="C830" s="87">
        <v>0</v>
      </c>
      <c r="D830" s="87">
        <v>0</v>
      </c>
      <c r="E830" s="87">
        <v>0</v>
      </c>
      <c r="F830" s="87">
        <v>13975.28</v>
      </c>
      <c r="G830" s="87">
        <v>0</v>
      </c>
      <c r="H830" s="134">
        <v>0</v>
      </c>
      <c r="I830" s="134">
        <f t="shared" si="37"/>
        <v>13975.28</v>
      </c>
      <c r="J830" s="20" t="s">
        <v>1994</v>
      </c>
      <c r="K830" s="27"/>
    </row>
    <row r="831" spans="1:11" hidden="1" outlineLevel="1">
      <c r="A831" s="389" t="s">
        <v>1995</v>
      </c>
      <c r="B831" s="405">
        <v>61200.78</v>
      </c>
      <c r="C831" s="87">
        <v>-15359.24</v>
      </c>
      <c r="D831" s="87">
        <v>0</v>
      </c>
      <c r="E831" s="87">
        <v>0</v>
      </c>
      <c r="F831" s="87">
        <v>45841.54</v>
      </c>
      <c r="G831" s="87">
        <v>11269.6</v>
      </c>
      <c r="H831" s="134">
        <v>0</v>
      </c>
      <c r="I831" s="134">
        <f t="shared" si="37"/>
        <v>57111.14</v>
      </c>
      <c r="J831" s="20" t="s">
        <v>1996</v>
      </c>
      <c r="K831" s="27"/>
    </row>
    <row r="832" spans="1:11" hidden="1" outlineLevel="1">
      <c r="A832" s="389" t="s">
        <v>1154</v>
      </c>
      <c r="B832" s="405">
        <v>1625222.28</v>
      </c>
      <c r="C832" s="87">
        <v>0</v>
      </c>
      <c r="D832" s="87">
        <v>0</v>
      </c>
      <c r="E832" s="87">
        <v>0</v>
      </c>
      <c r="F832" s="87">
        <v>1625222.28</v>
      </c>
      <c r="G832" s="87">
        <v>0</v>
      </c>
      <c r="H832" s="134">
        <v>0</v>
      </c>
      <c r="I832" s="134">
        <f t="shared" si="37"/>
        <v>1625222.28</v>
      </c>
      <c r="J832" s="20" t="s">
        <v>1155</v>
      </c>
      <c r="K832" s="27"/>
    </row>
    <row r="833" spans="1:11" hidden="1" outlineLevel="1">
      <c r="A833" s="389" t="s">
        <v>1997</v>
      </c>
      <c r="B833" s="405">
        <v>205222.51</v>
      </c>
      <c r="C833" s="87">
        <v>0</v>
      </c>
      <c r="D833" s="87">
        <v>0</v>
      </c>
      <c r="E833" s="87">
        <v>0</v>
      </c>
      <c r="F833" s="87">
        <v>205222.51</v>
      </c>
      <c r="G833" s="87">
        <v>30068</v>
      </c>
      <c r="H833" s="134">
        <v>0</v>
      </c>
      <c r="I833" s="134">
        <f t="shared" si="37"/>
        <v>235290.51</v>
      </c>
      <c r="J833" s="20" t="s">
        <v>1998</v>
      </c>
      <c r="K833" s="27"/>
    </row>
    <row r="834" spans="1:11" hidden="1" outlineLevel="1">
      <c r="A834" s="389" t="s">
        <v>1999</v>
      </c>
      <c r="B834" s="405">
        <v>595509.72</v>
      </c>
      <c r="C834" s="87">
        <v>0</v>
      </c>
      <c r="D834" s="87">
        <v>0</v>
      </c>
      <c r="E834" s="87">
        <v>0</v>
      </c>
      <c r="F834" s="87">
        <v>595509.72</v>
      </c>
      <c r="G834" s="87">
        <v>0</v>
      </c>
      <c r="H834" s="751">
        <v>0</v>
      </c>
      <c r="I834" s="134">
        <f t="shared" si="37"/>
        <v>595509.72</v>
      </c>
      <c r="J834" s="20" t="s">
        <v>2000</v>
      </c>
      <c r="K834" s="27"/>
    </row>
    <row r="835" spans="1:11" hidden="1" outlineLevel="1">
      <c r="A835" s="389" t="s">
        <v>2001</v>
      </c>
      <c r="B835" s="405">
        <v>6081.02</v>
      </c>
      <c r="C835" s="87">
        <v>0</v>
      </c>
      <c r="D835" s="87">
        <v>0</v>
      </c>
      <c r="E835" s="87">
        <v>0</v>
      </c>
      <c r="F835" s="87">
        <v>6081.02</v>
      </c>
      <c r="G835" s="87">
        <v>0</v>
      </c>
      <c r="H835" s="134">
        <v>0</v>
      </c>
      <c r="I835" s="134">
        <f t="shared" si="37"/>
        <v>6081.02</v>
      </c>
      <c r="J835" s="20" t="s">
        <v>2002</v>
      </c>
      <c r="K835" s="27"/>
    </row>
    <row r="836" spans="1:11" hidden="1" outlineLevel="1">
      <c r="A836" s="389" t="s">
        <v>2003</v>
      </c>
      <c r="B836" s="405">
        <v>1078904.45</v>
      </c>
      <c r="C836" s="87">
        <v>0</v>
      </c>
      <c r="D836" s="87">
        <v>0</v>
      </c>
      <c r="E836" s="87">
        <v>0</v>
      </c>
      <c r="F836" s="87">
        <v>1078904.45</v>
      </c>
      <c r="G836" s="87">
        <v>0</v>
      </c>
      <c r="H836" s="134">
        <v>0</v>
      </c>
      <c r="I836" s="134">
        <f t="shared" si="37"/>
        <v>1078904.45</v>
      </c>
      <c r="J836" s="20" t="s">
        <v>2004</v>
      </c>
      <c r="K836" s="27"/>
    </row>
    <row r="837" spans="1:11" hidden="1" outlineLevel="1">
      <c r="A837" s="389" t="s">
        <v>2005</v>
      </c>
      <c r="B837" s="405">
        <v>210315.37</v>
      </c>
      <c r="C837" s="87">
        <v>0</v>
      </c>
      <c r="D837" s="87">
        <v>0</v>
      </c>
      <c r="E837" s="87">
        <v>0</v>
      </c>
      <c r="F837" s="87">
        <v>210315.37</v>
      </c>
      <c r="G837" s="87">
        <v>49936.76</v>
      </c>
      <c r="H837" s="134">
        <v>0</v>
      </c>
      <c r="I837" s="134">
        <f t="shared" si="37"/>
        <v>260252.13</v>
      </c>
      <c r="J837" s="20" t="s">
        <v>2006</v>
      </c>
      <c r="K837" s="27"/>
    </row>
    <row r="838" spans="1:11" hidden="1" outlineLevel="1">
      <c r="A838" s="389" t="s">
        <v>911</v>
      </c>
      <c r="B838" s="405">
        <v>3321913.99</v>
      </c>
      <c r="C838" s="87">
        <v>0</v>
      </c>
      <c r="D838" s="87">
        <v>0</v>
      </c>
      <c r="E838" s="87">
        <v>0</v>
      </c>
      <c r="F838" s="87">
        <v>3321913.99</v>
      </c>
      <c r="G838" s="87">
        <v>0</v>
      </c>
      <c r="H838" s="134">
        <v>0</v>
      </c>
      <c r="I838" s="134">
        <f t="shared" si="37"/>
        <v>3321913.99</v>
      </c>
      <c r="J838" s="20" t="s">
        <v>912</v>
      </c>
      <c r="K838" s="27"/>
    </row>
    <row r="839" spans="1:11" hidden="1" outlineLevel="1">
      <c r="A839" s="389" t="s">
        <v>2007</v>
      </c>
      <c r="B839" s="405">
        <v>76824.09</v>
      </c>
      <c r="C839" s="87">
        <v>0</v>
      </c>
      <c r="D839" s="87">
        <v>0</v>
      </c>
      <c r="E839" s="87">
        <v>0</v>
      </c>
      <c r="F839" s="87">
        <v>76824.09</v>
      </c>
      <c r="G839" s="87">
        <v>238952.29</v>
      </c>
      <c r="H839" s="134">
        <v>0</v>
      </c>
      <c r="I839" s="134">
        <f t="shared" si="37"/>
        <v>315776.38</v>
      </c>
      <c r="J839" s="20" t="s">
        <v>2008</v>
      </c>
      <c r="K839" s="27"/>
    </row>
    <row r="840" spans="1:11" hidden="1" outlineLevel="1">
      <c r="A840" s="389" t="s">
        <v>2009</v>
      </c>
      <c r="B840" s="405">
        <v>812947.96</v>
      </c>
      <c r="C840" s="87">
        <v>0</v>
      </c>
      <c r="D840" s="87">
        <v>0</v>
      </c>
      <c r="E840" s="87">
        <v>0</v>
      </c>
      <c r="F840" s="87">
        <v>812947.96</v>
      </c>
      <c r="G840" s="87">
        <v>150852.46</v>
      </c>
      <c r="H840" s="134">
        <v>0</v>
      </c>
      <c r="I840" s="134">
        <f t="shared" si="37"/>
        <v>963800.41999999993</v>
      </c>
      <c r="J840" s="20" t="s">
        <v>2010</v>
      </c>
      <c r="K840" s="27"/>
    </row>
    <row r="841" spans="1:11" hidden="1" outlineLevel="1">
      <c r="A841" s="389" t="s">
        <v>2011</v>
      </c>
      <c r="B841" s="405">
        <v>169819.14</v>
      </c>
      <c r="C841" s="87">
        <v>0</v>
      </c>
      <c r="D841" s="87">
        <v>0</v>
      </c>
      <c r="E841" s="87">
        <v>0</v>
      </c>
      <c r="F841" s="87">
        <v>169819.14</v>
      </c>
      <c r="G841" s="87">
        <v>34804.44</v>
      </c>
      <c r="H841" s="134">
        <v>0</v>
      </c>
      <c r="I841" s="134">
        <f t="shared" si="37"/>
        <v>204623.58000000002</v>
      </c>
      <c r="J841" s="20" t="s">
        <v>2012</v>
      </c>
      <c r="K841" s="27"/>
    </row>
    <row r="842" spans="1:11" hidden="1" outlineLevel="1">
      <c r="A842" s="389" t="s">
        <v>2013</v>
      </c>
      <c r="B842" s="405">
        <v>157855.26</v>
      </c>
      <c r="C842" s="87">
        <v>0</v>
      </c>
      <c r="D842" s="87">
        <v>0</v>
      </c>
      <c r="E842" s="87">
        <v>0</v>
      </c>
      <c r="F842" s="87">
        <v>157855.26</v>
      </c>
      <c r="G842" s="87">
        <v>0</v>
      </c>
      <c r="H842" s="134">
        <v>0</v>
      </c>
      <c r="I842" s="134">
        <f t="shared" si="37"/>
        <v>157855.26</v>
      </c>
      <c r="J842" s="20" t="s">
        <v>2014</v>
      </c>
      <c r="K842" s="27"/>
    </row>
    <row r="843" spans="1:11" hidden="1" outlineLevel="1">
      <c r="A843" s="389" t="s">
        <v>2015</v>
      </c>
      <c r="B843" s="405">
        <v>73611.61</v>
      </c>
      <c r="C843" s="87">
        <v>0</v>
      </c>
      <c r="D843" s="87">
        <v>0</v>
      </c>
      <c r="E843" s="87">
        <v>0</v>
      </c>
      <c r="F843" s="87">
        <v>73611.61</v>
      </c>
      <c r="G843" s="87">
        <v>0</v>
      </c>
      <c r="H843" s="134">
        <v>0</v>
      </c>
      <c r="I843" s="134">
        <f t="shared" si="37"/>
        <v>73611.61</v>
      </c>
      <c r="J843" s="20" t="s">
        <v>2016</v>
      </c>
      <c r="K843" s="27"/>
    </row>
    <row r="844" spans="1:11" hidden="1" outlineLevel="1">
      <c r="A844" s="389" t="s">
        <v>2017</v>
      </c>
      <c r="B844" s="405">
        <v>18687.8</v>
      </c>
      <c r="C844" s="87">
        <v>-186.91</v>
      </c>
      <c r="D844" s="87">
        <v>0</v>
      </c>
      <c r="E844" s="87">
        <v>0</v>
      </c>
      <c r="F844" s="87">
        <v>18500.89</v>
      </c>
      <c r="G844" s="87">
        <v>0</v>
      </c>
      <c r="H844" s="134">
        <v>0</v>
      </c>
      <c r="I844" s="134">
        <f t="shared" si="37"/>
        <v>18500.89</v>
      </c>
      <c r="J844" s="20" t="s">
        <v>2018</v>
      </c>
      <c r="K844" s="27"/>
    </row>
    <row r="845" spans="1:11" hidden="1" outlineLevel="1">
      <c r="A845" s="389" t="s">
        <v>2019</v>
      </c>
      <c r="B845" s="405">
        <v>60967.92</v>
      </c>
      <c r="C845" s="87">
        <v>0</v>
      </c>
      <c r="D845" s="87">
        <v>0</v>
      </c>
      <c r="E845" s="87">
        <v>0</v>
      </c>
      <c r="F845" s="87">
        <v>60967.92</v>
      </c>
      <c r="G845" s="87">
        <v>0</v>
      </c>
      <c r="H845" s="134">
        <v>0</v>
      </c>
      <c r="I845" s="134">
        <f t="shared" si="37"/>
        <v>60967.92</v>
      </c>
      <c r="J845" s="20" t="s">
        <v>2020</v>
      </c>
      <c r="K845" s="27"/>
    </row>
    <row r="846" spans="1:11" hidden="1" outlineLevel="1">
      <c r="A846" s="389" t="s">
        <v>1314</v>
      </c>
      <c r="B846" s="405">
        <v>284423.08</v>
      </c>
      <c r="C846" s="87">
        <v>0</v>
      </c>
      <c r="D846" s="87">
        <v>0</v>
      </c>
      <c r="E846" s="87">
        <v>0</v>
      </c>
      <c r="F846" s="87">
        <v>284423.08</v>
      </c>
      <c r="G846" s="87">
        <v>270947.84000000003</v>
      </c>
      <c r="H846" s="134">
        <v>0</v>
      </c>
      <c r="I846" s="134">
        <f t="shared" si="37"/>
        <v>555370.92000000004</v>
      </c>
      <c r="J846" s="20" t="s">
        <v>1315</v>
      </c>
      <c r="K846" s="27"/>
    </row>
    <row r="847" spans="1:11" hidden="1" outlineLevel="1">
      <c r="A847" s="389" t="s">
        <v>2021</v>
      </c>
      <c r="B847" s="405">
        <v>97471.52</v>
      </c>
      <c r="C847" s="87">
        <v>0</v>
      </c>
      <c r="D847" s="87">
        <v>0</v>
      </c>
      <c r="E847" s="87">
        <v>0</v>
      </c>
      <c r="F847" s="87">
        <v>97471.52</v>
      </c>
      <c r="G847" s="87">
        <v>0</v>
      </c>
      <c r="H847" s="134">
        <v>0</v>
      </c>
      <c r="I847" s="134">
        <f t="shared" si="37"/>
        <v>97471.52</v>
      </c>
      <c r="J847" s="20" t="s">
        <v>2022</v>
      </c>
      <c r="K847" s="27"/>
    </row>
    <row r="848" spans="1:11" hidden="1" outlineLevel="1">
      <c r="A848" s="389" t="s">
        <v>2023</v>
      </c>
      <c r="B848" s="405">
        <v>131490.07</v>
      </c>
      <c r="C848" s="87">
        <v>-29.38</v>
      </c>
      <c r="D848" s="87">
        <v>0</v>
      </c>
      <c r="E848" s="87">
        <v>0</v>
      </c>
      <c r="F848" s="87">
        <v>131460.69</v>
      </c>
      <c r="G848" s="87">
        <v>148563.85</v>
      </c>
      <c r="H848" s="134">
        <v>0</v>
      </c>
      <c r="I848" s="134">
        <f t="shared" si="37"/>
        <v>280024.54000000004</v>
      </c>
      <c r="J848" s="20" t="s">
        <v>2024</v>
      </c>
      <c r="K848" s="27"/>
    </row>
    <row r="849" spans="1:11" hidden="1" outlineLevel="1">
      <c r="A849" s="389" t="s">
        <v>2025</v>
      </c>
      <c r="B849" s="405">
        <v>105610</v>
      </c>
      <c r="C849" s="87">
        <v>0</v>
      </c>
      <c r="D849" s="87">
        <v>0</v>
      </c>
      <c r="E849" s="87">
        <v>0</v>
      </c>
      <c r="F849" s="87">
        <v>105610</v>
      </c>
      <c r="G849" s="87">
        <v>0</v>
      </c>
      <c r="H849" s="134">
        <v>0</v>
      </c>
      <c r="I849" s="134">
        <f t="shared" si="37"/>
        <v>105610</v>
      </c>
      <c r="J849" s="20" t="s">
        <v>2026</v>
      </c>
      <c r="K849" s="27"/>
    </row>
    <row r="850" spans="1:11" hidden="1" outlineLevel="1">
      <c r="A850" s="389" t="s">
        <v>2027</v>
      </c>
      <c r="B850" s="405">
        <v>4165185.23</v>
      </c>
      <c r="C850" s="87">
        <v>0</v>
      </c>
      <c r="D850" s="87">
        <v>-800</v>
      </c>
      <c r="E850" s="87">
        <v>0</v>
      </c>
      <c r="F850" s="87">
        <v>4164385.23</v>
      </c>
      <c r="G850" s="87">
        <v>316578.76</v>
      </c>
      <c r="H850" s="134">
        <v>-2428</v>
      </c>
      <c r="I850" s="134">
        <f t="shared" si="37"/>
        <v>4478535.99</v>
      </c>
      <c r="J850" s="20" t="s">
        <v>2028</v>
      </c>
      <c r="K850" s="27"/>
    </row>
    <row r="851" spans="1:11" hidden="1" outlineLevel="1">
      <c r="A851" s="389" t="s">
        <v>2029</v>
      </c>
      <c r="B851" s="405">
        <v>345602.94</v>
      </c>
      <c r="C851" s="87">
        <v>0</v>
      </c>
      <c r="D851" s="87">
        <v>0</v>
      </c>
      <c r="E851" s="87">
        <v>0</v>
      </c>
      <c r="F851" s="87">
        <v>345602.94</v>
      </c>
      <c r="G851" s="87">
        <v>0</v>
      </c>
      <c r="H851" s="134">
        <v>0</v>
      </c>
      <c r="I851" s="134">
        <f t="shared" si="37"/>
        <v>345602.94</v>
      </c>
      <c r="J851" s="20" t="s">
        <v>2030</v>
      </c>
      <c r="K851" s="27"/>
    </row>
    <row r="852" spans="1:11" hidden="1" outlineLevel="1">
      <c r="A852" s="389" t="s">
        <v>2031</v>
      </c>
      <c r="B852" s="405">
        <v>5175740.72</v>
      </c>
      <c r="C852" s="87">
        <v>-24.29</v>
      </c>
      <c r="D852" s="87">
        <v>0</v>
      </c>
      <c r="E852" s="87">
        <v>0</v>
      </c>
      <c r="F852" s="87">
        <v>5175716.43</v>
      </c>
      <c r="G852" s="87">
        <v>70324.44</v>
      </c>
      <c r="H852" s="134">
        <v>0</v>
      </c>
      <c r="I852" s="134">
        <f t="shared" si="37"/>
        <v>5246040.87</v>
      </c>
      <c r="J852" s="20" t="s">
        <v>2032</v>
      </c>
      <c r="K852" s="27"/>
    </row>
    <row r="853" spans="1:11" hidden="1" outlineLevel="1">
      <c r="A853" s="389" t="s">
        <v>819</v>
      </c>
      <c r="B853" s="405">
        <v>50244.72</v>
      </c>
      <c r="C853" s="87">
        <v>0</v>
      </c>
      <c r="D853" s="87">
        <v>0</v>
      </c>
      <c r="E853" s="87">
        <v>0</v>
      </c>
      <c r="F853" s="87">
        <v>50244.72</v>
      </c>
      <c r="G853" s="87">
        <v>84906.93</v>
      </c>
      <c r="H853" s="134">
        <v>0</v>
      </c>
      <c r="I853" s="134">
        <f t="shared" si="37"/>
        <v>135151.65</v>
      </c>
      <c r="J853" s="20" t="s">
        <v>820</v>
      </c>
      <c r="K853" s="27"/>
    </row>
    <row r="854" spans="1:11" hidden="1" outlineLevel="1">
      <c r="A854" s="389" t="s">
        <v>2033</v>
      </c>
      <c r="B854" s="405">
        <v>5173.6400000000003</v>
      </c>
      <c r="C854" s="87">
        <v>-96.39</v>
      </c>
      <c r="D854" s="87">
        <v>0</v>
      </c>
      <c r="E854" s="87">
        <v>0</v>
      </c>
      <c r="F854" s="87">
        <v>5077.25</v>
      </c>
      <c r="G854" s="87">
        <v>0</v>
      </c>
      <c r="H854" s="134">
        <v>0</v>
      </c>
      <c r="I854" s="134">
        <f t="shared" si="37"/>
        <v>5077.25</v>
      </c>
      <c r="J854" s="20" t="s">
        <v>2034</v>
      </c>
      <c r="K854" s="27"/>
    </row>
    <row r="855" spans="1:11" hidden="1" outlineLevel="1">
      <c r="A855" s="389" t="s">
        <v>1202</v>
      </c>
      <c r="B855" s="405">
        <v>67608.28</v>
      </c>
      <c r="C855" s="87">
        <v>0</v>
      </c>
      <c r="D855" s="87">
        <v>0</v>
      </c>
      <c r="E855" s="87">
        <v>0</v>
      </c>
      <c r="F855" s="87">
        <v>67608.28</v>
      </c>
      <c r="G855" s="87">
        <v>0</v>
      </c>
      <c r="H855" s="134">
        <v>0</v>
      </c>
      <c r="I855" s="134">
        <f t="shared" si="37"/>
        <v>67608.28</v>
      </c>
      <c r="J855" s="20" t="s">
        <v>1203</v>
      </c>
      <c r="K855" s="27"/>
    </row>
    <row r="856" spans="1:11" hidden="1" outlineLevel="1">
      <c r="A856" s="389" t="s">
        <v>2035</v>
      </c>
      <c r="B856" s="405">
        <v>17462694.109999999</v>
      </c>
      <c r="C856" s="87">
        <v>0</v>
      </c>
      <c r="D856" s="87">
        <v>0</v>
      </c>
      <c r="E856" s="87">
        <v>0</v>
      </c>
      <c r="F856" s="87">
        <v>17462694.109999999</v>
      </c>
      <c r="G856" s="87">
        <v>0</v>
      </c>
      <c r="H856" s="134">
        <v>0</v>
      </c>
      <c r="I856" s="134">
        <f t="shared" si="37"/>
        <v>17462694.109999999</v>
      </c>
      <c r="J856" s="20" t="s">
        <v>2036</v>
      </c>
      <c r="K856" s="27"/>
    </row>
    <row r="857" spans="1:11" hidden="1" outlineLevel="1">
      <c r="A857" s="389" t="s">
        <v>2037</v>
      </c>
      <c r="B857" s="405">
        <v>254832.58</v>
      </c>
      <c r="C857" s="87">
        <v>-123.88</v>
      </c>
      <c r="D857" s="87">
        <v>0</v>
      </c>
      <c r="E857" s="87">
        <v>0</v>
      </c>
      <c r="F857" s="87">
        <v>254708.7</v>
      </c>
      <c r="G857" s="87">
        <v>43196.42</v>
      </c>
      <c r="H857" s="134">
        <v>0</v>
      </c>
      <c r="I857" s="134">
        <f t="shared" si="37"/>
        <v>297905.12</v>
      </c>
      <c r="J857" s="20" t="s">
        <v>2038</v>
      </c>
      <c r="K857" s="27"/>
    </row>
    <row r="858" spans="1:11" hidden="1" outlineLevel="1">
      <c r="A858" s="389" t="s">
        <v>2039</v>
      </c>
      <c r="B858" s="405">
        <v>4328.54</v>
      </c>
      <c r="C858" s="87">
        <v>0</v>
      </c>
      <c r="D858" s="87">
        <v>0</v>
      </c>
      <c r="E858" s="87">
        <v>0</v>
      </c>
      <c r="F858" s="87">
        <v>4328.54</v>
      </c>
      <c r="G858" s="87">
        <v>0</v>
      </c>
      <c r="H858" s="134">
        <v>0</v>
      </c>
      <c r="I858" s="134">
        <f t="shared" si="37"/>
        <v>4328.54</v>
      </c>
      <c r="J858" s="20" t="s">
        <v>2040</v>
      </c>
      <c r="K858" s="27"/>
    </row>
    <row r="859" spans="1:11" hidden="1" outlineLevel="1">
      <c r="A859" s="389" t="s">
        <v>2041</v>
      </c>
      <c r="B859" s="405">
        <v>1755217.95</v>
      </c>
      <c r="C859" s="87">
        <v>0</v>
      </c>
      <c r="D859" s="87">
        <v>0</v>
      </c>
      <c r="E859" s="87">
        <v>0</v>
      </c>
      <c r="F859" s="87">
        <v>1755217.95</v>
      </c>
      <c r="G859" s="87">
        <v>208906.85</v>
      </c>
      <c r="H859" s="134">
        <v>0</v>
      </c>
      <c r="I859" s="134">
        <f t="shared" si="37"/>
        <v>1964124.8</v>
      </c>
      <c r="J859" s="20" t="s">
        <v>2042</v>
      </c>
      <c r="K859" s="27"/>
    </row>
    <row r="860" spans="1:11" hidden="1" outlineLevel="1">
      <c r="A860" s="389" t="s">
        <v>2043</v>
      </c>
      <c r="B860" s="405">
        <v>22148.32</v>
      </c>
      <c r="C860" s="87">
        <v>0</v>
      </c>
      <c r="D860" s="87">
        <v>0</v>
      </c>
      <c r="E860" s="87">
        <v>0</v>
      </c>
      <c r="F860" s="87">
        <v>22148.32</v>
      </c>
      <c r="G860" s="87">
        <v>0</v>
      </c>
      <c r="H860" s="134">
        <v>0</v>
      </c>
      <c r="I860" s="134">
        <f t="shared" si="37"/>
        <v>22148.32</v>
      </c>
      <c r="J860" s="20" t="s">
        <v>2044</v>
      </c>
      <c r="K860" s="27"/>
    </row>
    <row r="861" spans="1:11" hidden="1" outlineLevel="1">
      <c r="A861" s="389" t="s">
        <v>2045</v>
      </c>
      <c r="B861" s="405">
        <v>40362.82</v>
      </c>
      <c r="C861" s="87">
        <v>0</v>
      </c>
      <c r="D861" s="87">
        <v>0</v>
      </c>
      <c r="E861" s="87">
        <v>0</v>
      </c>
      <c r="F861" s="87">
        <v>40362.82</v>
      </c>
      <c r="G861" s="87">
        <v>0</v>
      </c>
      <c r="H861" s="134">
        <v>0</v>
      </c>
      <c r="I861" s="134">
        <f t="shared" si="37"/>
        <v>40362.82</v>
      </c>
      <c r="J861" s="20" t="s">
        <v>2046</v>
      </c>
      <c r="K861" s="27"/>
    </row>
    <row r="862" spans="1:11" hidden="1" outlineLevel="1">
      <c r="A862" s="389"/>
      <c r="B862" s="405"/>
      <c r="C862" s="87"/>
      <c r="D862" s="87"/>
      <c r="E862" s="87"/>
      <c r="F862" s="87"/>
      <c r="G862" s="87"/>
      <c r="H862" s="134"/>
      <c r="I862" s="134">
        <f t="shared" si="37"/>
        <v>0</v>
      </c>
      <c r="J862" s="20"/>
      <c r="K862" s="27"/>
    </row>
    <row r="863" spans="1:11" hidden="1" outlineLevel="1">
      <c r="A863" s="389"/>
      <c r="B863" s="405"/>
      <c r="C863" s="87"/>
      <c r="D863" s="87"/>
      <c r="E863" s="87"/>
      <c r="F863" s="87"/>
      <c r="G863" s="87"/>
      <c r="H863" s="134"/>
      <c r="I863" s="134">
        <f t="shared" si="37"/>
        <v>0</v>
      </c>
      <c r="J863" s="20"/>
      <c r="K863" s="27"/>
    </row>
    <row r="864" spans="1:11" hidden="1" outlineLevel="1">
      <c r="A864" s="389"/>
      <c r="B864" s="405"/>
      <c r="C864" s="87"/>
      <c r="D864" s="87"/>
      <c r="E864" s="87"/>
      <c r="F864" s="87"/>
      <c r="G864" s="87"/>
      <c r="H864" s="134"/>
      <c r="I864" s="134">
        <f t="shared" si="37"/>
        <v>0</v>
      </c>
      <c r="J864" s="20"/>
      <c r="K864" s="27"/>
    </row>
    <row r="865" spans="1:11" hidden="1" outlineLevel="1">
      <c r="A865" s="389"/>
      <c r="B865" s="405"/>
      <c r="C865" s="87"/>
      <c r="D865" s="87"/>
      <c r="E865" s="87"/>
      <c r="F865" s="87"/>
      <c r="G865" s="87"/>
      <c r="H865" s="134"/>
      <c r="I865" s="134">
        <f t="shared" si="37"/>
        <v>0</v>
      </c>
      <c r="J865" s="20"/>
      <c r="K865" s="27"/>
    </row>
    <row r="866" spans="1:11" ht="13.5" collapsed="1" thickBot="1">
      <c r="A866" s="410" t="s">
        <v>2047</v>
      </c>
      <c r="B866" s="407">
        <f t="shared" ref="B866:I866" si="38">B7+B167+B403+B741</f>
        <v>930738853.74000013</v>
      </c>
      <c r="C866" s="136">
        <f t="shared" si="38"/>
        <v>-442086.39</v>
      </c>
      <c r="D866" s="136">
        <f t="shared" si="38"/>
        <v>-6608.7999999999993</v>
      </c>
      <c r="E866" s="136">
        <f t="shared" si="38"/>
        <v>57377127.68</v>
      </c>
      <c r="F866" s="136">
        <f t="shared" si="38"/>
        <v>987667286.23000026</v>
      </c>
      <c r="G866" s="136">
        <f t="shared" si="38"/>
        <v>91474689.330000013</v>
      </c>
      <c r="H866" s="137">
        <f t="shared" si="38"/>
        <v>-138068.44</v>
      </c>
      <c r="I866" s="137">
        <f t="shared" si="38"/>
        <v>1079003907.1200001</v>
      </c>
      <c r="J866" s="4"/>
    </row>
    <row r="867" spans="1:11">
      <c r="A867" s="13"/>
      <c r="B867" s="10"/>
      <c r="C867" s="10"/>
      <c r="D867" s="10"/>
      <c r="E867" s="10"/>
      <c r="F867" s="10"/>
      <c r="G867" s="10"/>
      <c r="H867" s="10"/>
      <c r="I867" s="4"/>
      <c r="J867" s="4"/>
    </row>
    <row r="868" spans="1:11">
      <c r="A868" s="13"/>
      <c r="B868" s="10"/>
      <c r="C868" s="10"/>
      <c r="D868" s="10"/>
      <c r="E868" s="10"/>
      <c r="F868" s="10"/>
      <c r="G868" s="10"/>
      <c r="H868" s="10"/>
      <c r="I868" s="8"/>
      <c r="J868" s="4"/>
    </row>
    <row r="869" spans="1:11" s="44" customFormat="1">
      <c r="A869" s="1733" t="s">
        <v>2444</v>
      </c>
      <c r="B869" s="18"/>
      <c r="C869" s="18"/>
      <c r="D869" s="18"/>
      <c r="E869" s="18"/>
      <c r="F869" s="18"/>
      <c r="G869" s="18"/>
      <c r="H869" s="18"/>
    </row>
    <row r="870" spans="1:11" s="44" customFormat="1" ht="13.5" thickBot="1">
      <c r="A870" s="8"/>
      <c r="B870" s="18"/>
      <c r="C870" s="18"/>
      <c r="D870" s="18"/>
      <c r="E870" s="18"/>
      <c r="F870" s="18"/>
      <c r="G870" s="18"/>
      <c r="H870" s="18"/>
    </row>
    <row r="871" spans="1:11" s="351" customFormat="1" ht="114.75">
      <c r="A871" s="490"/>
      <c r="B871" s="488" t="s">
        <v>2552</v>
      </c>
      <c r="C871" s="486" t="s">
        <v>2553</v>
      </c>
      <c r="D871" s="487" t="s">
        <v>2554</v>
      </c>
      <c r="E871" s="350"/>
      <c r="F871" s="350"/>
      <c r="G871" s="350"/>
      <c r="H871" s="350"/>
    </row>
    <row r="872" spans="1:11" s="8" customFormat="1" ht="13.5" thickBot="1">
      <c r="A872" s="489"/>
      <c r="B872" s="526" t="s">
        <v>454</v>
      </c>
      <c r="C872" s="528" t="s">
        <v>454</v>
      </c>
      <c r="D872" s="530" t="s">
        <v>454</v>
      </c>
      <c r="E872" s="18"/>
      <c r="F872" s="18"/>
      <c r="G872" s="18"/>
      <c r="H872" s="18"/>
    </row>
    <row r="873" spans="1:11" s="44" customFormat="1">
      <c r="A873" s="374" t="str">
        <f>A7</f>
        <v>Regelzone 50Hertz (gesamt)</v>
      </c>
      <c r="B873" s="491">
        <f>VLOOKUP($A873,'Anlage 1a_Zuschlagszahlungen_NB'!$A$8:$E$840,5,FALSE)</f>
        <v>6936171673</v>
      </c>
      <c r="C873" s="87">
        <f>SUMIFS('Anlage 1c_Korrekturen_NB'!$D$11:$D$103,'Anlage 1c_Korrekturen_NB'!$A$11:$A$103,'Anlage 3a_Zusammenfassung_KWKG'!$A873)+SUMIFS('Anlage 1c_Korrekturen_NB'!$F$11:$F$103,'Anlage 1c_Korrekturen_NB'!$A$11:$A$103,'Anlage 3a_Zusammenfassung_KWKG'!$A873)+SUMIFS('Anlage 1c_Korrekturen_NB'!$H$11:$H$103,'Anlage 1c_Korrekturen_NB'!$A$11:$A$103,'Anlage 3a_Zusammenfassung_KWKG'!$A873)</f>
        <v>506594203</v>
      </c>
      <c r="D873" s="134">
        <f>B873+C873</f>
        <v>7442765876</v>
      </c>
      <c r="E873" s="70"/>
      <c r="F873" s="70"/>
      <c r="G873" s="70"/>
      <c r="H873" s="70"/>
    </row>
    <row r="874" spans="1:11" s="44" customFormat="1" hidden="1" outlineLevel="1">
      <c r="A874" s="374" t="s">
        <v>456</v>
      </c>
      <c r="B874" s="491">
        <f>VLOOKUP($A874,'Anlage 1a_Zuschlagszahlungen_NB'!$A$8:$E$167,5,FALSE)</f>
        <v>942163</v>
      </c>
      <c r="C874" s="87">
        <f>SUMIFS('Anlage 1c_Korrekturen_NB'!$D$11:$D$103,'Anlage 1c_Korrekturen_NB'!$A$11:$A$103,'Anlage 3a_Zusammenfassung_KWKG'!$A874)+SUMIFS('Anlage 1c_Korrekturen_NB'!$F$11:$F$103,'Anlage 1c_Korrekturen_NB'!$A$11:$A$103,'Anlage 3a_Zusammenfassung_KWKG'!$A874)+SUMIFS('Anlage 1c_Korrekturen_NB'!$H$11:$H$103,'Anlage 1c_Korrekturen_NB'!$A$11:$A$103,'Anlage 3a_Zusammenfassung_KWKG'!$A874)</f>
        <v>0</v>
      </c>
      <c r="D874" s="134">
        <f t="shared" ref="D874:D1269" si="39">B874+C874</f>
        <v>942163</v>
      </c>
      <c r="E874" s="70"/>
      <c r="F874" s="70"/>
      <c r="G874" s="70"/>
      <c r="H874" s="70"/>
    </row>
    <row r="875" spans="1:11" s="44" customFormat="1" hidden="1" outlineLevel="1">
      <c r="A875" s="408" t="s">
        <v>458</v>
      </c>
      <c r="B875" s="492">
        <f>VLOOKUP($A875,'Anlage 1a_Zuschlagszahlungen_NB'!$A$8:$E$167,5,FALSE)</f>
        <v>256049</v>
      </c>
      <c r="C875" s="88">
        <f>SUMIFS('Anlage 1c_Korrekturen_NB'!$D$11:$D$103,'Anlage 1c_Korrekturen_NB'!$A$11:$A$103,'Anlage 3a_Zusammenfassung_KWKG'!$A875)+SUMIFS('Anlage 1c_Korrekturen_NB'!$F$11:$F$103,'Anlage 1c_Korrekturen_NB'!$A$11:$A$103,'Anlage 3a_Zusammenfassung_KWKG'!$A875)+SUMIFS('Anlage 1c_Korrekturen_NB'!$H$11:$H$103,'Anlage 1c_Korrekturen_NB'!$A$11:$A$103,'Anlage 3a_Zusammenfassung_KWKG'!$A875)</f>
        <v>0</v>
      </c>
      <c r="D875" s="135">
        <f t="shared" ref="D875:D881" si="40">B875+C875</f>
        <v>256049</v>
      </c>
      <c r="E875" s="133"/>
      <c r="F875" s="92"/>
      <c r="G875" s="92"/>
      <c r="H875" s="92"/>
    </row>
    <row r="876" spans="1:11" s="44" customFormat="1" hidden="1" outlineLevel="1">
      <c r="A876" s="408" t="s">
        <v>460</v>
      </c>
      <c r="B876" s="492">
        <f>VLOOKUP($A876,'Anlage 1a_Zuschlagszahlungen_NB'!$A$8:$E$167,5,FALSE)</f>
        <v>323587474</v>
      </c>
      <c r="C876" s="88">
        <f>SUMIFS('Anlage 1c_Korrekturen_NB'!$D$11:$D$103,'Anlage 1c_Korrekturen_NB'!$A$11:$A$103,'Anlage 3a_Zusammenfassung_KWKG'!$A876)+SUMIFS('Anlage 1c_Korrekturen_NB'!$F$11:$F$103,'Anlage 1c_Korrekturen_NB'!$A$11:$A$103,'Anlage 3a_Zusammenfassung_KWKG'!$A876)+SUMIFS('Anlage 1c_Korrekturen_NB'!$H$11:$H$103,'Anlage 1c_Korrekturen_NB'!$A$11:$A$103,'Anlage 3a_Zusammenfassung_KWKG'!$A876)</f>
        <v>0</v>
      </c>
      <c r="D876" s="135">
        <f t="shared" si="40"/>
        <v>323587474</v>
      </c>
      <c r="E876" s="133"/>
      <c r="F876" s="92"/>
      <c r="G876" s="92"/>
      <c r="H876" s="92"/>
    </row>
    <row r="877" spans="1:11" s="44" customFormat="1" hidden="1" outlineLevel="1">
      <c r="A877" s="408" t="s">
        <v>462</v>
      </c>
      <c r="B877" s="492">
        <f>VLOOKUP($A877,'Anlage 1a_Zuschlagszahlungen_NB'!$A$8:$E$167,5,FALSE)</f>
        <v>20751</v>
      </c>
      <c r="C877" s="88">
        <f>SUMIFS('Anlage 1c_Korrekturen_NB'!$D$11:$D$103,'Anlage 1c_Korrekturen_NB'!$A$11:$A$103,'Anlage 3a_Zusammenfassung_KWKG'!$A877)+SUMIFS('Anlage 1c_Korrekturen_NB'!$F$11:$F$103,'Anlage 1c_Korrekturen_NB'!$A$11:$A$103,'Anlage 3a_Zusammenfassung_KWKG'!$A877)+SUMIFS('Anlage 1c_Korrekturen_NB'!$H$11:$H$103,'Anlage 1c_Korrekturen_NB'!$A$11:$A$103,'Anlage 3a_Zusammenfassung_KWKG'!$A877)</f>
        <v>0</v>
      </c>
      <c r="D877" s="135">
        <f t="shared" si="40"/>
        <v>20751</v>
      </c>
      <c r="E877" s="133"/>
      <c r="F877" s="92"/>
      <c r="G877" s="92"/>
      <c r="H877" s="92"/>
    </row>
    <row r="878" spans="1:11" s="44" customFormat="1" hidden="1" outlineLevel="1">
      <c r="A878" s="408" t="s">
        <v>464</v>
      </c>
      <c r="B878" s="492">
        <f>VLOOKUP($A878,'Anlage 1a_Zuschlagszahlungen_NB'!$A$8:$E$167,5,FALSE)</f>
        <v>12350855</v>
      </c>
      <c r="C878" s="88">
        <f>SUMIFS('Anlage 1c_Korrekturen_NB'!$D$11:$D$103,'Anlage 1c_Korrekturen_NB'!$A$11:$A$103,'Anlage 3a_Zusammenfassung_KWKG'!$A878)+SUMIFS('Anlage 1c_Korrekturen_NB'!$F$11:$F$103,'Anlage 1c_Korrekturen_NB'!$A$11:$A$103,'Anlage 3a_Zusammenfassung_KWKG'!$A878)+SUMIFS('Anlage 1c_Korrekturen_NB'!$H$11:$H$103,'Anlage 1c_Korrekturen_NB'!$A$11:$A$103,'Anlage 3a_Zusammenfassung_KWKG'!$A878)</f>
        <v>0</v>
      </c>
      <c r="D878" s="135">
        <f t="shared" si="40"/>
        <v>12350855</v>
      </c>
      <c r="E878" s="133"/>
      <c r="F878" s="92"/>
      <c r="G878" s="92"/>
      <c r="H878" s="92"/>
    </row>
    <row r="879" spans="1:11" s="44" customFormat="1" hidden="1" outlineLevel="1">
      <c r="A879" s="408" t="s">
        <v>466</v>
      </c>
      <c r="B879" s="492">
        <f>VLOOKUP($A879,'Anlage 1a_Zuschlagszahlungen_NB'!$A$8:$E$167,5,FALSE)</f>
        <v>182803374</v>
      </c>
      <c r="C879" s="88">
        <f>SUMIFS('Anlage 1c_Korrekturen_NB'!$D$11:$D$103,'Anlage 1c_Korrekturen_NB'!$A$11:$A$103,'Anlage 3a_Zusammenfassung_KWKG'!$A879)+SUMIFS('Anlage 1c_Korrekturen_NB'!$F$11:$F$103,'Anlage 1c_Korrekturen_NB'!$A$11:$A$103,'Anlage 3a_Zusammenfassung_KWKG'!$A879)+SUMIFS('Anlage 1c_Korrekturen_NB'!$H$11:$H$103,'Anlage 1c_Korrekturen_NB'!$A$11:$A$103,'Anlage 3a_Zusammenfassung_KWKG'!$A879)</f>
        <v>0</v>
      </c>
      <c r="D879" s="135">
        <f t="shared" si="40"/>
        <v>182803374</v>
      </c>
      <c r="E879" s="133"/>
      <c r="F879" s="92"/>
      <c r="G879" s="92"/>
      <c r="H879" s="92"/>
    </row>
    <row r="880" spans="1:11" s="44" customFormat="1" hidden="1" outlineLevel="1">
      <c r="A880" s="408" t="s">
        <v>468</v>
      </c>
      <c r="B880" s="492">
        <f>VLOOKUP($A880,'Anlage 1a_Zuschlagszahlungen_NB'!$A$8:$E$167,5,FALSE)</f>
        <v>548957</v>
      </c>
      <c r="C880" s="88">
        <f>SUMIFS('Anlage 1c_Korrekturen_NB'!$D$11:$D$103,'Anlage 1c_Korrekturen_NB'!$A$11:$A$103,'Anlage 3a_Zusammenfassung_KWKG'!$A880)+SUMIFS('Anlage 1c_Korrekturen_NB'!$F$11:$F$103,'Anlage 1c_Korrekturen_NB'!$A$11:$A$103,'Anlage 3a_Zusammenfassung_KWKG'!$A880)+SUMIFS('Anlage 1c_Korrekturen_NB'!$H$11:$H$103,'Anlage 1c_Korrekturen_NB'!$A$11:$A$103,'Anlage 3a_Zusammenfassung_KWKG'!$A880)</f>
        <v>0</v>
      </c>
      <c r="D880" s="135">
        <f t="shared" si="40"/>
        <v>548957</v>
      </c>
      <c r="E880" s="133"/>
      <c r="F880" s="92"/>
      <c r="G880" s="92"/>
      <c r="H880" s="92"/>
    </row>
    <row r="881" spans="1:8" s="44" customFormat="1" hidden="1" outlineLevel="1">
      <c r="A881" s="408" t="s">
        <v>470</v>
      </c>
      <c r="B881" s="492">
        <f>VLOOKUP($A881,'Anlage 1a_Zuschlagszahlungen_NB'!$A$8:$E$167,5,FALSE)</f>
        <v>7091057</v>
      </c>
      <c r="C881" s="88">
        <f>SUMIFS('Anlage 1c_Korrekturen_NB'!$D$11:$D$103,'Anlage 1c_Korrekturen_NB'!$A$11:$A$103,'Anlage 3a_Zusammenfassung_KWKG'!$A881)+SUMIFS('Anlage 1c_Korrekturen_NB'!$F$11:$F$103,'Anlage 1c_Korrekturen_NB'!$A$11:$A$103,'Anlage 3a_Zusammenfassung_KWKG'!$A881)+SUMIFS('Anlage 1c_Korrekturen_NB'!$H$11:$H$103,'Anlage 1c_Korrekturen_NB'!$A$11:$A$103,'Anlage 3a_Zusammenfassung_KWKG'!$A881)</f>
        <v>24059</v>
      </c>
      <c r="D881" s="135">
        <f t="shared" si="40"/>
        <v>7115116</v>
      </c>
      <c r="E881" s="133"/>
      <c r="F881" s="92"/>
      <c r="G881" s="92"/>
      <c r="H881" s="92"/>
    </row>
    <row r="882" spans="1:8" s="44" customFormat="1" hidden="1" outlineLevel="1">
      <c r="A882" s="374" t="s">
        <v>472</v>
      </c>
      <c r="B882" s="491">
        <f>VLOOKUP($A882,'Anlage 1a_Zuschlagszahlungen_NB'!$A$8:$E$167,5,FALSE)</f>
        <v>25122373</v>
      </c>
      <c r="C882" s="87">
        <f>SUMIFS('Anlage 1c_Korrekturen_NB'!$D$11:$D$103,'Anlage 1c_Korrekturen_NB'!$A$11:$A$103,'Anlage 3a_Zusammenfassung_KWKG'!$A882)+SUMIFS('Anlage 1c_Korrekturen_NB'!$F$11:$F$103,'Anlage 1c_Korrekturen_NB'!$A$11:$A$103,'Anlage 3a_Zusammenfassung_KWKG'!$A882)+SUMIFS('Anlage 1c_Korrekturen_NB'!$H$11:$H$103,'Anlage 1c_Korrekturen_NB'!$A$11:$A$103,'Anlage 3a_Zusammenfassung_KWKG'!$A882)</f>
        <v>3034</v>
      </c>
      <c r="D882" s="134">
        <f t="shared" si="39"/>
        <v>25125407</v>
      </c>
      <c r="E882" s="70"/>
      <c r="F882" s="70"/>
      <c r="G882" s="70"/>
      <c r="H882" s="70"/>
    </row>
    <row r="883" spans="1:8" s="44" customFormat="1" hidden="1" outlineLevel="1">
      <c r="A883" s="408" t="s">
        <v>474</v>
      </c>
      <c r="B883" s="492">
        <f>VLOOKUP($A883,'Anlage 1a_Zuschlagszahlungen_NB'!$A$8:$E$167,5,FALSE)</f>
        <v>35918</v>
      </c>
      <c r="C883" s="88">
        <f>SUMIFS('Anlage 1c_Korrekturen_NB'!$D$11:$D$103,'Anlage 1c_Korrekturen_NB'!$A$11:$A$103,'Anlage 3a_Zusammenfassung_KWKG'!$A883)+SUMIFS('Anlage 1c_Korrekturen_NB'!$F$11:$F$103,'Anlage 1c_Korrekturen_NB'!$A$11:$A$103,'Anlage 3a_Zusammenfassung_KWKG'!$A883)+SUMIFS('Anlage 1c_Korrekturen_NB'!$H$11:$H$103,'Anlage 1c_Korrekturen_NB'!$A$11:$A$103,'Anlage 3a_Zusammenfassung_KWKG'!$A883)</f>
        <v>0</v>
      </c>
      <c r="D883" s="135">
        <f t="shared" ref="D883:D914" si="41">B883+C883</f>
        <v>35918</v>
      </c>
      <c r="E883" s="133"/>
      <c r="F883" s="92"/>
      <c r="G883" s="92"/>
      <c r="H883" s="92"/>
    </row>
    <row r="884" spans="1:8" s="44" customFormat="1" hidden="1" outlineLevel="1">
      <c r="A884" s="408" t="s">
        <v>476</v>
      </c>
      <c r="B884" s="492">
        <f>VLOOKUP($A884,'Anlage 1a_Zuschlagszahlungen_NB'!$A$8:$E$167,5,FALSE)</f>
        <v>30408531</v>
      </c>
      <c r="C884" s="88">
        <f>SUMIFS('Anlage 1c_Korrekturen_NB'!$D$11:$D$103,'Anlage 1c_Korrekturen_NB'!$A$11:$A$103,'Anlage 3a_Zusammenfassung_KWKG'!$A884)+SUMIFS('Anlage 1c_Korrekturen_NB'!$F$11:$F$103,'Anlage 1c_Korrekturen_NB'!$A$11:$A$103,'Anlage 3a_Zusammenfassung_KWKG'!$A884)+SUMIFS('Anlage 1c_Korrekturen_NB'!$H$11:$H$103,'Anlage 1c_Korrekturen_NB'!$A$11:$A$103,'Anlage 3a_Zusammenfassung_KWKG'!$A884)</f>
        <v>0</v>
      </c>
      <c r="D884" s="135">
        <f t="shared" si="41"/>
        <v>30408531</v>
      </c>
      <c r="E884" s="133"/>
      <c r="F884" s="92"/>
      <c r="G884" s="92"/>
      <c r="H884" s="92"/>
    </row>
    <row r="885" spans="1:8" s="44" customFormat="1" hidden="1" outlineLevel="1">
      <c r="A885" s="408" t="s">
        <v>478</v>
      </c>
      <c r="B885" s="492">
        <f>VLOOKUP($A885,'Anlage 1a_Zuschlagszahlungen_NB'!$A$8:$E$167,5,FALSE)</f>
        <v>15278</v>
      </c>
      <c r="C885" s="88">
        <f>SUMIFS('Anlage 1c_Korrekturen_NB'!$D$11:$D$103,'Anlage 1c_Korrekturen_NB'!$A$11:$A$103,'Anlage 3a_Zusammenfassung_KWKG'!$A885)+SUMIFS('Anlage 1c_Korrekturen_NB'!$F$11:$F$103,'Anlage 1c_Korrekturen_NB'!$A$11:$A$103,'Anlage 3a_Zusammenfassung_KWKG'!$A885)+SUMIFS('Anlage 1c_Korrekturen_NB'!$H$11:$H$103,'Anlage 1c_Korrekturen_NB'!$A$11:$A$103,'Anlage 3a_Zusammenfassung_KWKG'!$A885)</f>
        <v>0</v>
      </c>
      <c r="D885" s="135">
        <f t="shared" si="41"/>
        <v>15278</v>
      </c>
      <c r="E885" s="133"/>
      <c r="F885" s="92"/>
      <c r="G885" s="92"/>
      <c r="H885" s="92"/>
    </row>
    <row r="886" spans="1:8" s="44" customFormat="1" hidden="1" outlineLevel="1">
      <c r="A886" s="408" t="s">
        <v>480</v>
      </c>
      <c r="B886" s="492">
        <f>VLOOKUP($A886,'Anlage 1a_Zuschlagszahlungen_NB'!$A$8:$E$167,5,FALSE)</f>
        <v>0</v>
      </c>
      <c r="C886" s="88">
        <f>SUMIFS('Anlage 1c_Korrekturen_NB'!$D$11:$D$103,'Anlage 1c_Korrekturen_NB'!$A$11:$A$103,'Anlage 3a_Zusammenfassung_KWKG'!$A886)+SUMIFS('Anlage 1c_Korrekturen_NB'!$F$11:$F$103,'Anlage 1c_Korrekturen_NB'!$A$11:$A$103,'Anlage 3a_Zusammenfassung_KWKG'!$A886)+SUMIFS('Anlage 1c_Korrekturen_NB'!$H$11:$H$103,'Anlage 1c_Korrekturen_NB'!$A$11:$A$103,'Anlage 3a_Zusammenfassung_KWKG'!$A886)</f>
        <v>0</v>
      </c>
      <c r="D886" s="135">
        <f t="shared" si="41"/>
        <v>0</v>
      </c>
      <c r="E886" s="133"/>
      <c r="F886" s="92"/>
      <c r="G886" s="92"/>
      <c r="H886" s="92"/>
    </row>
    <row r="887" spans="1:8" s="44" customFormat="1" hidden="1" outlineLevel="1">
      <c r="A887" s="408" t="s">
        <v>482</v>
      </c>
      <c r="B887" s="492">
        <f>VLOOKUP($A887,'Anlage 1a_Zuschlagszahlungen_NB'!$A$8:$E$167,5,FALSE)</f>
        <v>31788916</v>
      </c>
      <c r="C887" s="88">
        <f>SUMIFS('Anlage 1c_Korrekturen_NB'!$D$11:$D$103,'Anlage 1c_Korrekturen_NB'!$A$11:$A$103,'Anlage 3a_Zusammenfassung_KWKG'!$A887)+SUMIFS('Anlage 1c_Korrekturen_NB'!$F$11:$F$103,'Anlage 1c_Korrekturen_NB'!$A$11:$A$103,'Anlage 3a_Zusammenfassung_KWKG'!$A887)+SUMIFS('Anlage 1c_Korrekturen_NB'!$H$11:$H$103,'Anlage 1c_Korrekturen_NB'!$A$11:$A$103,'Anlage 3a_Zusammenfassung_KWKG'!$A887)</f>
        <v>0</v>
      </c>
      <c r="D887" s="135">
        <f t="shared" si="41"/>
        <v>31788916</v>
      </c>
      <c r="E887" s="133"/>
      <c r="F887" s="92"/>
      <c r="G887" s="92"/>
      <c r="H887" s="92"/>
    </row>
    <row r="888" spans="1:8" s="44" customFormat="1" hidden="1" outlineLevel="1">
      <c r="A888" s="408" t="s">
        <v>484</v>
      </c>
      <c r="B888" s="492">
        <f>VLOOKUP($A888,'Anlage 1a_Zuschlagszahlungen_NB'!$A$8:$E$167,5,FALSE)</f>
        <v>1166414663</v>
      </c>
      <c r="C888" s="88">
        <f>SUMIFS('Anlage 1c_Korrekturen_NB'!$D$11:$D$103,'Anlage 1c_Korrekturen_NB'!$A$11:$A$103,'Anlage 3a_Zusammenfassung_KWKG'!$A888)+SUMIFS('Anlage 1c_Korrekturen_NB'!$F$11:$F$103,'Anlage 1c_Korrekturen_NB'!$A$11:$A$103,'Anlage 3a_Zusammenfassung_KWKG'!$A888)+SUMIFS('Anlage 1c_Korrekturen_NB'!$H$11:$H$103,'Anlage 1c_Korrekturen_NB'!$A$11:$A$103,'Anlage 3a_Zusammenfassung_KWKG'!$A888)</f>
        <v>37558113</v>
      </c>
      <c r="D888" s="135">
        <f t="shared" si="41"/>
        <v>1203972776</v>
      </c>
      <c r="E888" s="133"/>
      <c r="F888" s="92"/>
      <c r="G888" s="92"/>
      <c r="H888" s="92"/>
    </row>
    <row r="889" spans="1:8" s="44" customFormat="1" hidden="1" outlineLevel="1">
      <c r="A889" s="408" t="s">
        <v>486</v>
      </c>
      <c r="B889" s="492">
        <f>VLOOKUP($A889,'Anlage 1a_Zuschlagszahlungen_NB'!$A$8:$E$167,5,FALSE)</f>
        <v>529195504</v>
      </c>
      <c r="C889" s="88">
        <f>SUMIFS('Anlage 1c_Korrekturen_NB'!$D$11:$D$103,'Anlage 1c_Korrekturen_NB'!$A$11:$A$103,'Anlage 3a_Zusammenfassung_KWKG'!$A889)+SUMIFS('Anlage 1c_Korrekturen_NB'!$F$11:$F$103,'Anlage 1c_Korrekturen_NB'!$A$11:$A$103,'Anlage 3a_Zusammenfassung_KWKG'!$A889)+SUMIFS('Anlage 1c_Korrekturen_NB'!$H$11:$H$103,'Anlage 1c_Korrekturen_NB'!$A$11:$A$103,'Anlage 3a_Zusammenfassung_KWKG'!$A889)</f>
        <v>53469544</v>
      </c>
      <c r="D889" s="135">
        <f t="shared" si="41"/>
        <v>582665048</v>
      </c>
      <c r="E889" s="133"/>
      <c r="F889" s="92"/>
      <c r="G889" s="92"/>
      <c r="H889" s="92"/>
    </row>
    <row r="890" spans="1:8" s="44" customFormat="1" hidden="1" outlineLevel="1">
      <c r="A890" s="408" t="s">
        <v>488</v>
      </c>
      <c r="B890" s="492">
        <f>VLOOKUP($A890,'Anlage 1a_Zuschlagszahlungen_NB'!$A$8:$E$167,5,FALSE)</f>
        <v>59616733</v>
      </c>
      <c r="C890" s="88">
        <f>SUMIFS('Anlage 1c_Korrekturen_NB'!$D$11:$D$103,'Anlage 1c_Korrekturen_NB'!$A$11:$A$103,'Anlage 3a_Zusammenfassung_KWKG'!$A890)+SUMIFS('Anlage 1c_Korrekturen_NB'!$F$11:$F$103,'Anlage 1c_Korrekturen_NB'!$A$11:$A$103,'Anlage 3a_Zusammenfassung_KWKG'!$A890)+SUMIFS('Anlage 1c_Korrekturen_NB'!$H$11:$H$103,'Anlage 1c_Korrekturen_NB'!$A$11:$A$103,'Anlage 3a_Zusammenfassung_KWKG'!$A890)</f>
        <v>96533250</v>
      </c>
      <c r="D890" s="135">
        <f t="shared" si="41"/>
        <v>156149983</v>
      </c>
      <c r="E890" s="133"/>
      <c r="F890" s="92"/>
      <c r="G890" s="92"/>
      <c r="H890" s="92"/>
    </row>
    <row r="891" spans="1:8" s="44" customFormat="1" hidden="1" outlineLevel="1">
      <c r="A891" s="408" t="s">
        <v>490</v>
      </c>
      <c r="B891" s="492">
        <f>VLOOKUP($A891,'Anlage 1a_Zuschlagszahlungen_NB'!$A$8:$E$167,5,FALSE)</f>
        <v>530187</v>
      </c>
      <c r="C891" s="88">
        <f>SUMIFS('Anlage 1c_Korrekturen_NB'!$D$11:$D$103,'Anlage 1c_Korrekturen_NB'!$A$11:$A$103,'Anlage 3a_Zusammenfassung_KWKG'!$A891)+SUMIFS('Anlage 1c_Korrekturen_NB'!$F$11:$F$103,'Anlage 1c_Korrekturen_NB'!$A$11:$A$103,'Anlage 3a_Zusammenfassung_KWKG'!$A891)+SUMIFS('Anlage 1c_Korrekturen_NB'!$H$11:$H$103,'Anlage 1c_Korrekturen_NB'!$A$11:$A$103,'Anlage 3a_Zusammenfassung_KWKG'!$A891)</f>
        <v>0</v>
      </c>
      <c r="D891" s="135">
        <f t="shared" si="41"/>
        <v>530187</v>
      </c>
      <c r="E891" s="133"/>
      <c r="F891" s="92"/>
      <c r="G891" s="92"/>
      <c r="H891" s="92"/>
    </row>
    <row r="892" spans="1:8" s="44" customFormat="1" hidden="1" outlineLevel="1">
      <c r="A892" s="408" t="s">
        <v>492</v>
      </c>
      <c r="B892" s="492">
        <f>VLOOKUP($A892,'Anlage 1a_Zuschlagszahlungen_NB'!$A$8:$E$167,5,FALSE)</f>
        <v>211970</v>
      </c>
      <c r="C892" s="88">
        <f>SUMIFS('Anlage 1c_Korrekturen_NB'!$D$11:$D$103,'Anlage 1c_Korrekturen_NB'!$A$11:$A$103,'Anlage 3a_Zusammenfassung_KWKG'!$A892)+SUMIFS('Anlage 1c_Korrekturen_NB'!$F$11:$F$103,'Anlage 1c_Korrekturen_NB'!$A$11:$A$103,'Anlage 3a_Zusammenfassung_KWKG'!$A892)+SUMIFS('Anlage 1c_Korrekturen_NB'!$H$11:$H$103,'Anlage 1c_Korrekturen_NB'!$A$11:$A$103,'Anlage 3a_Zusammenfassung_KWKG'!$A892)</f>
        <v>0</v>
      </c>
      <c r="D892" s="135">
        <f t="shared" si="41"/>
        <v>211970</v>
      </c>
      <c r="E892" s="133"/>
      <c r="F892" s="92"/>
      <c r="G892" s="92"/>
      <c r="H892" s="92"/>
    </row>
    <row r="893" spans="1:8" s="44" customFormat="1" hidden="1" outlineLevel="1">
      <c r="A893" s="408" t="s">
        <v>494</v>
      </c>
      <c r="B893" s="492">
        <f>VLOOKUP($A893,'Anlage 1a_Zuschlagszahlungen_NB'!$A$8:$E$167,5,FALSE)</f>
        <v>31500</v>
      </c>
      <c r="C893" s="88">
        <f>SUMIFS('Anlage 1c_Korrekturen_NB'!$D$11:$D$103,'Anlage 1c_Korrekturen_NB'!$A$11:$A$103,'Anlage 3a_Zusammenfassung_KWKG'!$A893)+SUMIFS('Anlage 1c_Korrekturen_NB'!$F$11:$F$103,'Anlage 1c_Korrekturen_NB'!$A$11:$A$103,'Anlage 3a_Zusammenfassung_KWKG'!$A893)+SUMIFS('Anlage 1c_Korrekturen_NB'!$H$11:$H$103,'Anlage 1c_Korrekturen_NB'!$A$11:$A$103,'Anlage 3a_Zusammenfassung_KWKG'!$A893)</f>
        <v>0</v>
      </c>
      <c r="D893" s="135">
        <f t="shared" si="41"/>
        <v>31500</v>
      </c>
      <c r="E893" s="133"/>
      <c r="F893" s="92"/>
      <c r="G893" s="92"/>
      <c r="H893" s="92"/>
    </row>
    <row r="894" spans="1:8" s="44" customFormat="1" hidden="1" outlineLevel="1">
      <c r="A894" s="408" t="s">
        <v>496</v>
      </c>
      <c r="B894" s="492">
        <f>VLOOKUP($A894,'Anlage 1a_Zuschlagszahlungen_NB'!$A$8:$E$167,5,FALSE)</f>
        <v>6763764</v>
      </c>
      <c r="C894" s="88">
        <f>SUMIFS('Anlage 1c_Korrekturen_NB'!$D$11:$D$103,'Anlage 1c_Korrekturen_NB'!$A$11:$A$103,'Anlage 3a_Zusammenfassung_KWKG'!$A894)+SUMIFS('Anlage 1c_Korrekturen_NB'!$F$11:$F$103,'Anlage 1c_Korrekturen_NB'!$A$11:$A$103,'Anlage 3a_Zusammenfassung_KWKG'!$A894)+SUMIFS('Anlage 1c_Korrekturen_NB'!$H$11:$H$103,'Anlage 1c_Korrekturen_NB'!$A$11:$A$103,'Anlage 3a_Zusammenfassung_KWKG'!$A894)</f>
        <v>196163</v>
      </c>
      <c r="D894" s="135">
        <f t="shared" si="41"/>
        <v>6959927</v>
      </c>
      <c r="E894" s="133"/>
      <c r="F894" s="92"/>
      <c r="G894" s="92"/>
      <c r="H894" s="92"/>
    </row>
    <row r="895" spans="1:8" s="44" customFormat="1" hidden="1" outlineLevel="1">
      <c r="A895" s="408" t="s">
        <v>498</v>
      </c>
      <c r="B895" s="492">
        <f>VLOOKUP($A895,'Anlage 1a_Zuschlagszahlungen_NB'!$A$8:$E$167,5,FALSE)</f>
        <v>82549</v>
      </c>
      <c r="C895" s="88">
        <f>SUMIFS('Anlage 1c_Korrekturen_NB'!$D$11:$D$103,'Anlage 1c_Korrekturen_NB'!$A$11:$A$103,'Anlage 3a_Zusammenfassung_KWKG'!$A895)+SUMIFS('Anlage 1c_Korrekturen_NB'!$F$11:$F$103,'Anlage 1c_Korrekturen_NB'!$A$11:$A$103,'Anlage 3a_Zusammenfassung_KWKG'!$A895)+SUMIFS('Anlage 1c_Korrekturen_NB'!$H$11:$H$103,'Anlage 1c_Korrekturen_NB'!$A$11:$A$103,'Anlage 3a_Zusammenfassung_KWKG'!$A895)</f>
        <v>0</v>
      </c>
      <c r="D895" s="135">
        <f t="shared" si="41"/>
        <v>82549</v>
      </c>
      <c r="E895" s="133"/>
      <c r="F895" s="92"/>
      <c r="G895" s="92"/>
      <c r="H895" s="92"/>
    </row>
    <row r="896" spans="1:8" s="44" customFormat="1" hidden="1" outlineLevel="1">
      <c r="A896" s="408" t="s">
        <v>500</v>
      </c>
      <c r="B896" s="492">
        <f>VLOOKUP($A896,'Anlage 1a_Zuschlagszahlungen_NB'!$A$8:$E$167,5,FALSE)</f>
        <v>225907</v>
      </c>
      <c r="C896" s="88">
        <f>SUMIFS('Anlage 1c_Korrekturen_NB'!$D$11:$D$103,'Anlage 1c_Korrekturen_NB'!$A$11:$A$103,'Anlage 3a_Zusammenfassung_KWKG'!$A896)+SUMIFS('Anlage 1c_Korrekturen_NB'!$F$11:$F$103,'Anlage 1c_Korrekturen_NB'!$A$11:$A$103,'Anlage 3a_Zusammenfassung_KWKG'!$A896)+SUMIFS('Anlage 1c_Korrekturen_NB'!$H$11:$H$103,'Anlage 1c_Korrekturen_NB'!$A$11:$A$103,'Anlage 3a_Zusammenfassung_KWKG'!$A896)</f>
        <v>0</v>
      </c>
      <c r="D896" s="135">
        <f t="shared" si="41"/>
        <v>225907</v>
      </c>
      <c r="E896" s="133"/>
      <c r="F896" s="92"/>
      <c r="G896" s="92"/>
      <c r="H896" s="92"/>
    </row>
    <row r="897" spans="1:8" s="44" customFormat="1" hidden="1" outlineLevel="1">
      <c r="A897" s="408" t="s">
        <v>502</v>
      </c>
      <c r="B897" s="492">
        <f>VLOOKUP($A897,'Anlage 1a_Zuschlagszahlungen_NB'!$A$8:$E$167,5,FALSE)</f>
        <v>4153016</v>
      </c>
      <c r="C897" s="88">
        <f>SUMIFS('Anlage 1c_Korrekturen_NB'!$D$11:$D$103,'Anlage 1c_Korrekturen_NB'!$A$11:$A$103,'Anlage 3a_Zusammenfassung_KWKG'!$A897)+SUMIFS('Anlage 1c_Korrekturen_NB'!$F$11:$F$103,'Anlage 1c_Korrekturen_NB'!$A$11:$A$103,'Anlage 3a_Zusammenfassung_KWKG'!$A897)+SUMIFS('Anlage 1c_Korrekturen_NB'!$H$11:$H$103,'Anlage 1c_Korrekturen_NB'!$A$11:$A$103,'Anlage 3a_Zusammenfassung_KWKG'!$A897)</f>
        <v>0</v>
      </c>
      <c r="D897" s="135">
        <f t="shared" si="41"/>
        <v>4153016</v>
      </c>
      <c r="E897" s="133"/>
      <c r="F897" s="92"/>
      <c r="G897" s="92"/>
      <c r="H897" s="92"/>
    </row>
    <row r="898" spans="1:8" s="44" customFormat="1" hidden="1" outlineLevel="1">
      <c r="A898" s="408" t="s">
        <v>504</v>
      </c>
      <c r="B898" s="492">
        <f>VLOOKUP($A898,'Anlage 1a_Zuschlagszahlungen_NB'!$A$8:$E$167,5,FALSE)</f>
        <v>2236257</v>
      </c>
      <c r="C898" s="88">
        <f>SUMIFS('Anlage 1c_Korrekturen_NB'!$D$11:$D$103,'Anlage 1c_Korrekturen_NB'!$A$11:$A$103,'Anlage 3a_Zusammenfassung_KWKG'!$A898)+SUMIFS('Anlage 1c_Korrekturen_NB'!$F$11:$F$103,'Anlage 1c_Korrekturen_NB'!$A$11:$A$103,'Anlage 3a_Zusammenfassung_KWKG'!$A898)+SUMIFS('Anlage 1c_Korrekturen_NB'!$H$11:$H$103,'Anlage 1c_Korrekturen_NB'!$A$11:$A$103,'Anlage 3a_Zusammenfassung_KWKG'!$A898)</f>
        <v>0</v>
      </c>
      <c r="D898" s="135">
        <f t="shared" si="41"/>
        <v>2236257</v>
      </c>
      <c r="E898" s="133"/>
      <c r="F898" s="92"/>
      <c r="G898" s="92"/>
      <c r="H898" s="92"/>
    </row>
    <row r="899" spans="1:8" s="44" customFormat="1" hidden="1" outlineLevel="1">
      <c r="A899" s="408" t="s">
        <v>506</v>
      </c>
      <c r="B899" s="492">
        <f>VLOOKUP($A899,'Anlage 1a_Zuschlagszahlungen_NB'!$A$8:$E$167,5,FALSE)</f>
        <v>15524307</v>
      </c>
      <c r="C899" s="88">
        <f>SUMIFS('Anlage 1c_Korrekturen_NB'!$D$11:$D$103,'Anlage 1c_Korrekturen_NB'!$A$11:$A$103,'Anlage 3a_Zusammenfassung_KWKG'!$A899)+SUMIFS('Anlage 1c_Korrekturen_NB'!$F$11:$F$103,'Anlage 1c_Korrekturen_NB'!$A$11:$A$103,'Anlage 3a_Zusammenfassung_KWKG'!$A899)+SUMIFS('Anlage 1c_Korrekturen_NB'!$H$11:$H$103,'Anlage 1c_Korrekturen_NB'!$A$11:$A$103,'Anlage 3a_Zusammenfassung_KWKG'!$A899)</f>
        <v>-703048</v>
      </c>
      <c r="D899" s="135">
        <f t="shared" si="41"/>
        <v>14821259</v>
      </c>
      <c r="E899" s="133"/>
      <c r="F899" s="92"/>
      <c r="G899" s="92"/>
      <c r="H899" s="92"/>
    </row>
    <row r="900" spans="1:8" s="44" customFormat="1" hidden="1" outlineLevel="1">
      <c r="A900" s="408" t="s">
        <v>508</v>
      </c>
      <c r="B900" s="492">
        <f>VLOOKUP($A900,'Anlage 1a_Zuschlagszahlungen_NB'!$A$8:$E$167,5,FALSE)</f>
        <v>2222500</v>
      </c>
      <c r="C900" s="88">
        <f>SUMIFS('Anlage 1c_Korrekturen_NB'!$D$11:$D$103,'Anlage 1c_Korrekturen_NB'!$A$11:$A$103,'Anlage 3a_Zusammenfassung_KWKG'!$A900)+SUMIFS('Anlage 1c_Korrekturen_NB'!$F$11:$F$103,'Anlage 1c_Korrekturen_NB'!$A$11:$A$103,'Anlage 3a_Zusammenfassung_KWKG'!$A900)+SUMIFS('Anlage 1c_Korrekturen_NB'!$H$11:$H$103,'Anlage 1c_Korrekturen_NB'!$A$11:$A$103,'Anlage 3a_Zusammenfassung_KWKG'!$A900)</f>
        <v>0</v>
      </c>
      <c r="D900" s="135">
        <f t="shared" si="41"/>
        <v>2222500</v>
      </c>
      <c r="E900" s="133"/>
      <c r="F900" s="92"/>
      <c r="G900" s="92"/>
      <c r="H900" s="92"/>
    </row>
    <row r="901" spans="1:8" s="44" customFormat="1" hidden="1" outlineLevel="1">
      <c r="A901" s="408" t="s">
        <v>510</v>
      </c>
      <c r="B901" s="492">
        <f>VLOOKUP($A901,'Anlage 1a_Zuschlagszahlungen_NB'!$A$8:$E$167,5,FALSE)</f>
        <v>172294</v>
      </c>
      <c r="C901" s="88">
        <f>SUMIFS('Anlage 1c_Korrekturen_NB'!$D$11:$D$103,'Anlage 1c_Korrekturen_NB'!$A$11:$A$103,'Anlage 3a_Zusammenfassung_KWKG'!$A901)+SUMIFS('Anlage 1c_Korrekturen_NB'!$F$11:$F$103,'Anlage 1c_Korrekturen_NB'!$A$11:$A$103,'Anlage 3a_Zusammenfassung_KWKG'!$A901)+SUMIFS('Anlage 1c_Korrekturen_NB'!$H$11:$H$103,'Anlage 1c_Korrekturen_NB'!$A$11:$A$103,'Anlage 3a_Zusammenfassung_KWKG'!$A901)</f>
        <v>0</v>
      </c>
      <c r="D901" s="135">
        <f t="shared" si="41"/>
        <v>172294</v>
      </c>
      <c r="E901" s="133"/>
      <c r="F901" s="92"/>
      <c r="G901" s="92"/>
      <c r="H901" s="92"/>
    </row>
    <row r="902" spans="1:8" s="44" customFormat="1" hidden="1" outlineLevel="1">
      <c r="A902" s="408" t="s">
        <v>512</v>
      </c>
      <c r="B902" s="492">
        <f>VLOOKUP($A902,'Anlage 1a_Zuschlagszahlungen_NB'!$A$8:$E$167,5,FALSE)</f>
        <v>448428</v>
      </c>
      <c r="C902" s="88">
        <f>SUMIFS('Anlage 1c_Korrekturen_NB'!$D$11:$D$103,'Anlage 1c_Korrekturen_NB'!$A$11:$A$103,'Anlage 3a_Zusammenfassung_KWKG'!$A902)+SUMIFS('Anlage 1c_Korrekturen_NB'!$F$11:$F$103,'Anlage 1c_Korrekturen_NB'!$A$11:$A$103,'Anlage 3a_Zusammenfassung_KWKG'!$A902)+SUMIFS('Anlage 1c_Korrekturen_NB'!$H$11:$H$103,'Anlage 1c_Korrekturen_NB'!$A$11:$A$103,'Anlage 3a_Zusammenfassung_KWKG'!$A902)</f>
        <v>0</v>
      </c>
      <c r="D902" s="135">
        <f t="shared" si="41"/>
        <v>448428</v>
      </c>
      <c r="E902" s="133"/>
      <c r="F902" s="92"/>
      <c r="G902" s="92"/>
      <c r="H902" s="92"/>
    </row>
    <row r="903" spans="1:8" s="44" customFormat="1" hidden="1" outlineLevel="1">
      <c r="A903" s="408" t="s">
        <v>514</v>
      </c>
      <c r="B903" s="492">
        <f>VLOOKUP($A903,'Anlage 1a_Zuschlagszahlungen_NB'!$A$8:$E$167,5,FALSE)</f>
        <v>3396052</v>
      </c>
      <c r="C903" s="88">
        <f>SUMIFS('Anlage 1c_Korrekturen_NB'!$D$11:$D$103,'Anlage 1c_Korrekturen_NB'!$A$11:$A$103,'Anlage 3a_Zusammenfassung_KWKG'!$A903)+SUMIFS('Anlage 1c_Korrekturen_NB'!$F$11:$F$103,'Anlage 1c_Korrekturen_NB'!$A$11:$A$103,'Anlage 3a_Zusammenfassung_KWKG'!$A903)+SUMIFS('Anlage 1c_Korrekturen_NB'!$H$11:$H$103,'Anlage 1c_Korrekturen_NB'!$A$11:$A$103,'Anlage 3a_Zusammenfassung_KWKG'!$A903)</f>
        <v>-14415</v>
      </c>
      <c r="D903" s="135">
        <f t="shared" si="41"/>
        <v>3381637</v>
      </c>
      <c r="E903" s="133"/>
      <c r="F903" s="92"/>
      <c r="G903" s="92"/>
      <c r="H903" s="92"/>
    </row>
    <row r="904" spans="1:8" s="44" customFormat="1" hidden="1" outlineLevel="1">
      <c r="A904" s="408" t="s">
        <v>516</v>
      </c>
      <c r="B904" s="492">
        <f>VLOOKUP($A904,'Anlage 1a_Zuschlagszahlungen_NB'!$A$8:$E$167,5,FALSE)</f>
        <v>3441805</v>
      </c>
      <c r="C904" s="88">
        <f>SUMIFS('Anlage 1c_Korrekturen_NB'!$D$11:$D$103,'Anlage 1c_Korrekturen_NB'!$A$11:$A$103,'Anlage 3a_Zusammenfassung_KWKG'!$A904)+SUMIFS('Anlage 1c_Korrekturen_NB'!$F$11:$F$103,'Anlage 1c_Korrekturen_NB'!$A$11:$A$103,'Anlage 3a_Zusammenfassung_KWKG'!$A904)+SUMIFS('Anlage 1c_Korrekturen_NB'!$H$11:$H$103,'Anlage 1c_Korrekturen_NB'!$A$11:$A$103,'Anlage 3a_Zusammenfassung_KWKG'!$A904)</f>
        <v>0</v>
      </c>
      <c r="D904" s="135">
        <f t="shared" si="41"/>
        <v>3441805</v>
      </c>
      <c r="E904" s="133"/>
      <c r="F904" s="92"/>
      <c r="G904" s="92"/>
      <c r="H904" s="92"/>
    </row>
    <row r="905" spans="1:8" s="44" customFormat="1" hidden="1" outlineLevel="1">
      <c r="A905" s="408" t="s">
        <v>518</v>
      </c>
      <c r="B905" s="492">
        <f>VLOOKUP($A905,'Anlage 1a_Zuschlagszahlungen_NB'!$A$8:$E$167,5,FALSE)</f>
        <v>2655175</v>
      </c>
      <c r="C905" s="88">
        <f>SUMIFS('Anlage 1c_Korrekturen_NB'!$D$11:$D$103,'Anlage 1c_Korrekturen_NB'!$A$11:$A$103,'Anlage 3a_Zusammenfassung_KWKG'!$A905)+SUMIFS('Anlage 1c_Korrekturen_NB'!$F$11:$F$103,'Anlage 1c_Korrekturen_NB'!$A$11:$A$103,'Anlage 3a_Zusammenfassung_KWKG'!$A905)+SUMIFS('Anlage 1c_Korrekturen_NB'!$H$11:$H$103,'Anlage 1c_Korrekturen_NB'!$A$11:$A$103,'Anlage 3a_Zusammenfassung_KWKG'!$A905)</f>
        <v>34461</v>
      </c>
      <c r="D905" s="135">
        <f t="shared" si="41"/>
        <v>2689636</v>
      </c>
      <c r="E905" s="133"/>
      <c r="F905" s="92"/>
      <c r="G905" s="92"/>
      <c r="H905" s="92"/>
    </row>
    <row r="906" spans="1:8" s="44" customFormat="1" hidden="1" outlineLevel="1">
      <c r="A906" s="408" t="s">
        <v>520</v>
      </c>
      <c r="B906" s="492">
        <f>VLOOKUP($A906,'Anlage 1a_Zuschlagszahlungen_NB'!$A$8:$E$167,5,FALSE)</f>
        <v>17843075</v>
      </c>
      <c r="C906" s="88">
        <f>SUMIFS('Anlage 1c_Korrekturen_NB'!$D$11:$D$103,'Anlage 1c_Korrekturen_NB'!$A$11:$A$103,'Anlage 3a_Zusammenfassung_KWKG'!$A906)+SUMIFS('Anlage 1c_Korrekturen_NB'!$F$11:$F$103,'Anlage 1c_Korrekturen_NB'!$A$11:$A$103,'Anlage 3a_Zusammenfassung_KWKG'!$A906)+SUMIFS('Anlage 1c_Korrekturen_NB'!$H$11:$H$103,'Anlage 1c_Korrekturen_NB'!$A$11:$A$103,'Anlage 3a_Zusammenfassung_KWKG'!$A906)</f>
        <v>0</v>
      </c>
      <c r="D906" s="135">
        <f t="shared" si="41"/>
        <v>17843075</v>
      </c>
      <c r="E906" s="133"/>
      <c r="F906" s="92"/>
      <c r="G906" s="92"/>
      <c r="H906" s="92"/>
    </row>
    <row r="907" spans="1:8" s="44" customFormat="1" hidden="1" outlineLevel="1">
      <c r="A907" s="408" t="s">
        <v>522</v>
      </c>
      <c r="B907" s="492">
        <f>VLOOKUP($A907,'Anlage 1a_Zuschlagszahlungen_NB'!$A$8:$E$167,5,FALSE)</f>
        <v>30634</v>
      </c>
      <c r="C907" s="88">
        <f>SUMIFS('Anlage 1c_Korrekturen_NB'!$D$11:$D$103,'Anlage 1c_Korrekturen_NB'!$A$11:$A$103,'Anlage 3a_Zusammenfassung_KWKG'!$A907)+SUMIFS('Anlage 1c_Korrekturen_NB'!$F$11:$F$103,'Anlage 1c_Korrekturen_NB'!$A$11:$A$103,'Anlage 3a_Zusammenfassung_KWKG'!$A907)+SUMIFS('Anlage 1c_Korrekturen_NB'!$H$11:$H$103,'Anlage 1c_Korrekturen_NB'!$A$11:$A$103,'Anlage 3a_Zusammenfassung_KWKG'!$A907)</f>
        <v>0</v>
      </c>
      <c r="D907" s="135">
        <f t="shared" si="41"/>
        <v>30634</v>
      </c>
      <c r="E907" s="133"/>
      <c r="F907" s="92"/>
      <c r="G907" s="92"/>
      <c r="H907" s="92"/>
    </row>
    <row r="908" spans="1:8" s="44" customFormat="1" hidden="1" outlineLevel="1">
      <c r="A908" s="408" t="s">
        <v>524</v>
      </c>
      <c r="B908" s="492">
        <f>VLOOKUP($A908,'Anlage 1a_Zuschlagszahlungen_NB'!$A$8:$E$167,5,FALSE)</f>
        <v>44747290</v>
      </c>
      <c r="C908" s="88">
        <f>SUMIFS('Anlage 1c_Korrekturen_NB'!$D$11:$D$103,'Anlage 1c_Korrekturen_NB'!$A$11:$A$103,'Anlage 3a_Zusammenfassung_KWKG'!$A908)+SUMIFS('Anlage 1c_Korrekturen_NB'!$F$11:$F$103,'Anlage 1c_Korrekturen_NB'!$A$11:$A$103,'Anlage 3a_Zusammenfassung_KWKG'!$A908)+SUMIFS('Anlage 1c_Korrekturen_NB'!$H$11:$H$103,'Anlage 1c_Korrekturen_NB'!$A$11:$A$103,'Anlage 3a_Zusammenfassung_KWKG'!$A908)</f>
        <v>0</v>
      </c>
      <c r="D908" s="135">
        <f t="shared" si="41"/>
        <v>44747290</v>
      </c>
      <c r="E908" s="133"/>
      <c r="F908" s="92"/>
      <c r="G908" s="92"/>
      <c r="H908" s="92"/>
    </row>
    <row r="909" spans="1:8" s="44" customFormat="1" hidden="1" outlineLevel="1">
      <c r="A909" s="408" t="s">
        <v>526</v>
      </c>
      <c r="B909" s="492">
        <f>VLOOKUP($A909,'Anlage 1a_Zuschlagszahlungen_NB'!$A$8:$E$167,5,FALSE)</f>
        <v>3184242</v>
      </c>
      <c r="C909" s="88">
        <f>SUMIFS('Anlage 1c_Korrekturen_NB'!$D$11:$D$103,'Anlage 1c_Korrekturen_NB'!$A$11:$A$103,'Anlage 3a_Zusammenfassung_KWKG'!$A909)+SUMIFS('Anlage 1c_Korrekturen_NB'!$F$11:$F$103,'Anlage 1c_Korrekturen_NB'!$A$11:$A$103,'Anlage 3a_Zusammenfassung_KWKG'!$A909)+SUMIFS('Anlage 1c_Korrekturen_NB'!$H$11:$H$103,'Anlage 1c_Korrekturen_NB'!$A$11:$A$103,'Anlage 3a_Zusammenfassung_KWKG'!$A909)</f>
        <v>0</v>
      </c>
      <c r="D909" s="135">
        <f t="shared" si="41"/>
        <v>3184242</v>
      </c>
      <c r="E909" s="133"/>
      <c r="F909" s="92"/>
      <c r="G909" s="92"/>
      <c r="H909" s="92"/>
    </row>
    <row r="910" spans="1:8" s="44" customFormat="1" hidden="1" outlineLevel="1">
      <c r="A910" s="408" t="s">
        <v>528</v>
      </c>
      <c r="B910" s="492">
        <f>VLOOKUP($A910,'Anlage 1a_Zuschlagszahlungen_NB'!$A$8:$E$167,5,FALSE)</f>
        <v>16669940</v>
      </c>
      <c r="C910" s="88">
        <f>SUMIFS('Anlage 1c_Korrekturen_NB'!$D$11:$D$103,'Anlage 1c_Korrekturen_NB'!$A$11:$A$103,'Anlage 3a_Zusammenfassung_KWKG'!$A910)+SUMIFS('Anlage 1c_Korrekturen_NB'!$F$11:$F$103,'Anlage 1c_Korrekturen_NB'!$A$11:$A$103,'Anlage 3a_Zusammenfassung_KWKG'!$A910)+SUMIFS('Anlage 1c_Korrekturen_NB'!$H$11:$H$103,'Anlage 1c_Korrekturen_NB'!$A$11:$A$103,'Anlage 3a_Zusammenfassung_KWKG'!$A910)</f>
        <v>0</v>
      </c>
      <c r="D910" s="135">
        <f t="shared" si="41"/>
        <v>16669940</v>
      </c>
      <c r="E910" s="133"/>
      <c r="F910" s="92"/>
      <c r="G910" s="92"/>
      <c r="H910" s="92"/>
    </row>
    <row r="911" spans="1:8" s="44" customFormat="1" hidden="1" outlineLevel="1">
      <c r="A911" s="408" t="s">
        <v>530</v>
      </c>
      <c r="B911" s="492">
        <f>VLOOKUP($A911,'Anlage 1a_Zuschlagszahlungen_NB'!$A$8:$E$167,5,FALSE)</f>
        <v>763122</v>
      </c>
      <c r="C911" s="88">
        <f>SUMIFS('Anlage 1c_Korrekturen_NB'!$D$11:$D$103,'Anlage 1c_Korrekturen_NB'!$A$11:$A$103,'Anlage 3a_Zusammenfassung_KWKG'!$A911)+SUMIFS('Anlage 1c_Korrekturen_NB'!$F$11:$F$103,'Anlage 1c_Korrekturen_NB'!$A$11:$A$103,'Anlage 3a_Zusammenfassung_KWKG'!$A911)+SUMIFS('Anlage 1c_Korrekturen_NB'!$H$11:$H$103,'Anlage 1c_Korrekturen_NB'!$A$11:$A$103,'Anlage 3a_Zusammenfassung_KWKG'!$A911)</f>
        <v>0</v>
      </c>
      <c r="D911" s="135">
        <f t="shared" si="41"/>
        <v>763122</v>
      </c>
      <c r="E911" s="133"/>
      <c r="F911" s="92"/>
      <c r="G911" s="92"/>
      <c r="H911" s="92"/>
    </row>
    <row r="912" spans="1:8" s="44" customFormat="1" hidden="1" outlineLevel="1">
      <c r="A912" s="408" t="s">
        <v>532</v>
      </c>
      <c r="B912" s="492">
        <f>VLOOKUP($A912,'Anlage 1a_Zuschlagszahlungen_NB'!$A$8:$E$167,5,FALSE)</f>
        <v>41699</v>
      </c>
      <c r="C912" s="88">
        <f>SUMIFS('Anlage 1c_Korrekturen_NB'!$D$11:$D$103,'Anlage 1c_Korrekturen_NB'!$A$11:$A$103,'Anlage 3a_Zusammenfassung_KWKG'!$A912)+SUMIFS('Anlage 1c_Korrekturen_NB'!$F$11:$F$103,'Anlage 1c_Korrekturen_NB'!$A$11:$A$103,'Anlage 3a_Zusammenfassung_KWKG'!$A912)+SUMIFS('Anlage 1c_Korrekturen_NB'!$H$11:$H$103,'Anlage 1c_Korrekturen_NB'!$A$11:$A$103,'Anlage 3a_Zusammenfassung_KWKG'!$A912)</f>
        <v>0</v>
      </c>
      <c r="D912" s="135">
        <f t="shared" si="41"/>
        <v>41699</v>
      </c>
      <c r="E912" s="133"/>
      <c r="F912" s="92"/>
      <c r="G912" s="92"/>
      <c r="H912" s="92"/>
    </row>
    <row r="913" spans="1:8" s="44" customFormat="1" hidden="1" outlineLevel="1">
      <c r="A913" s="408" t="s">
        <v>534</v>
      </c>
      <c r="B913" s="492">
        <f>VLOOKUP($A913,'Anlage 1a_Zuschlagszahlungen_NB'!$A$8:$E$167,5,FALSE)</f>
        <v>964935</v>
      </c>
      <c r="C913" s="88">
        <f>SUMIFS('Anlage 1c_Korrekturen_NB'!$D$11:$D$103,'Anlage 1c_Korrekturen_NB'!$A$11:$A$103,'Anlage 3a_Zusammenfassung_KWKG'!$A913)+SUMIFS('Anlage 1c_Korrekturen_NB'!$F$11:$F$103,'Anlage 1c_Korrekturen_NB'!$A$11:$A$103,'Anlage 3a_Zusammenfassung_KWKG'!$A913)+SUMIFS('Anlage 1c_Korrekturen_NB'!$H$11:$H$103,'Anlage 1c_Korrekturen_NB'!$A$11:$A$103,'Anlage 3a_Zusammenfassung_KWKG'!$A913)</f>
        <v>0</v>
      </c>
      <c r="D913" s="135">
        <f t="shared" si="41"/>
        <v>964935</v>
      </c>
      <c r="E913" s="133"/>
      <c r="F913" s="92"/>
      <c r="G913" s="92"/>
      <c r="H913" s="92"/>
    </row>
    <row r="914" spans="1:8" s="44" customFormat="1" hidden="1" outlineLevel="1">
      <c r="A914" s="408" t="s">
        <v>536</v>
      </c>
      <c r="B914" s="492">
        <f>VLOOKUP($A914,'Anlage 1a_Zuschlagszahlungen_NB'!$A$8:$E$167,5,FALSE)</f>
        <v>6354112</v>
      </c>
      <c r="C914" s="88">
        <f>SUMIFS('Anlage 1c_Korrekturen_NB'!$D$11:$D$103,'Anlage 1c_Korrekturen_NB'!$A$11:$A$103,'Anlage 3a_Zusammenfassung_KWKG'!$A914)+SUMIFS('Anlage 1c_Korrekturen_NB'!$F$11:$F$103,'Anlage 1c_Korrekturen_NB'!$A$11:$A$103,'Anlage 3a_Zusammenfassung_KWKG'!$A914)+SUMIFS('Anlage 1c_Korrekturen_NB'!$H$11:$H$103,'Anlage 1c_Korrekturen_NB'!$A$11:$A$103,'Anlage 3a_Zusammenfassung_KWKG'!$A914)</f>
        <v>235844</v>
      </c>
      <c r="D914" s="135">
        <f t="shared" si="41"/>
        <v>6589956</v>
      </c>
      <c r="E914" s="133"/>
      <c r="F914" s="92"/>
      <c r="G914" s="92"/>
      <c r="H914" s="92"/>
    </row>
    <row r="915" spans="1:8" s="44" customFormat="1" hidden="1" outlineLevel="1">
      <c r="A915" s="408" t="s">
        <v>538</v>
      </c>
      <c r="B915" s="492">
        <f>VLOOKUP($A915,'Anlage 1a_Zuschlagszahlungen_NB'!$A$8:$E$167,5,FALSE)</f>
        <v>1137965</v>
      </c>
      <c r="C915" s="88">
        <f>SUMIFS('Anlage 1c_Korrekturen_NB'!$D$11:$D$103,'Anlage 1c_Korrekturen_NB'!$A$11:$A$103,'Anlage 3a_Zusammenfassung_KWKG'!$A915)+SUMIFS('Anlage 1c_Korrekturen_NB'!$F$11:$F$103,'Anlage 1c_Korrekturen_NB'!$A$11:$A$103,'Anlage 3a_Zusammenfassung_KWKG'!$A915)+SUMIFS('Anlage 1c_Korrekturen_NB'!$H$11:$H$103,'Anlage 1c_Korrekturen_NB'!$A$11:$A$103,'Anlage 3a_Zusammenfassung_KWKG'!$A915)</f>
        <v>315240</v>
      </c>
      <c r="D915" s="135">
        <f t="shared" ref="D915:D946" si="42">B915+C915</f>
        <v>1453205</v>
      </c>
      <c r="E915" s="133"/>
      <c r="F915" s="92"/>
      <c r="G915" s="92"/>
      <c r="H915" s="92"/>
    </row>
    <row r="916" spans="1:8" s="44" customFormat="1" hidden="1" outlineLevel="1">
      <c r="A916" s="408" t="s">
        <v>540</v>
      </c>
      <c r="B916" s="492">
        <f>VLOOKUP($A916,'Anlage 1a_Zuschlagszahlungen_NB'!$A$8:$E$167,5,FALSE)</f>
        <v>1109316</v>
      </c>
      <c r="C916" s="88">
        <f>SUMIFS('Anlage 1c_Korrekturen_NB'!$D$11:$D$103,'Anlage 1c_Korrekturen_NB'!$A$11:$A$103,'Anlage 3a_Zusammenfassung_KWKG'!$A916)+SUMIFS('Anlage 1c_Korrekturen_NB'!$F$11:$F$103,'Anlage 1c_Korrekturen_NB'!$A$11:$A$103,'Anlage 3a_Zusammenfassung_KWKG'!$A916)+SUMIFS('Anlage 1c_Korrekturen_NB'!$H$11:$H$103,'Anlage 1c_Korrekturen_NB'!$A$11:$A$103,'Anlage 3a_Zusammenfassung_KWKG'!$A916)</f>
        <v>0</v>
      </c>
      <c r="D916" s="135">
        <f t="shared" si="42"/>
        <v>1109316</v>
      </c>
      <c r="E916" s="133"/>
      <c r="F916" s="92"/>
      <c r="G916" s="92"/>
      <c r="H916" s="92"/>
    </row>
    <row r="917" spans="1:8" s="44" customFormat="1" hidden="1" outlineLevel="1">
      <c r="A917" s="408" t="s">
        <v>542</v>
      </c>
      <c r="B917" s="492">
        <f>VLOOKUP($A917,'Anlage 1a_Zuschlagszahlungen_NB'!$A$8:$E$167,5,FALSE)</f>
        <v>0</v>
      </c>
      <c r="C917" s="88">
        <f>SUMIFS('Anlage 1c_Korrekturen_NB'!$D$11:$D$103,'Anlage 1c_Korrekturen_NB'!$A$11:$A$103,'Anlage 3a_Zusammenfassung_KWKG'!$A917)+SUMIFS('Anlage 1c_Korrekturen_NB'!$F$11:$F$103,'Anlage 1c_Korrekturen_NB'!$A$11:$A$103,'Anlage 3a_Zusammenfassung_KWKG'!$A917)+SUMIFS('Anlage 1c_Korrekturen_NB'!$H$11:$H$103,'Anlage 1c_Korrekturen_NB'!$A$11:$A$103,'Anlage 3a_Zusammenfassung_KWKG'!$A917)</f>
        <v>0</v>
      </c>
      <c r="D917" s="135">
        <f t="shared" si="42"/>
        <v>0</v>
      </c>
      <c r="E917" s="133"/>
      <c r="F917" s="92"/>
      <c r="G917" s="92"/>
      <c r="H917" s="92"/>
    </row>
    <row r="918" spans="1:8" s="44" customFormat="1" hidden="1" outlineLevel="1">
      <c r="A918" s="408" t="s">
        <v>544</v>
      </c>
      <c r="B918" s="492">
        <f>VLOOKUP($A918,'Anlage 1a_Zuschlagszahlungen_NB'!$A$8:$E$167,5,FALSE)</f>
        <v>0</v>
      </c>
      <c r="C918" s="88">
        <f>SUMIFS('Anlage 1c_Korrekturen_NB'!$D$11:$D$103,'Anlage 1c_Korrekturen_NB'!$A$11:$A$103,'Anlage 3a_Zusammenfassung_KWKG'!$A918)+SUMIFS('Anlage 1c_Korrekturen_NB'!$F$11:$F$103,'Anlage 1c_Korrekturen_NB'!$A$11:$A$103,'Anlage 3a_Zusammenfassung_KWKG'!$A918)+SUMIFS('Anlage 1c_Korrekturen_NB'!$H$11:$H$103,'Anlage 1c_Korrekturen_NB'!$A$11:$A$103,'Anlage 3a_Zusammenfassung_KWKG'!$A918)</f>
        <v>0</v>
      </c>
      <c r="D918" s="135">
        <f t="shared" si="42"/>
        <v>0</v>
      </c>
      <c r="E918" s="133"/>
      <c r="F918" s="92"/>
      <c r="G918" s="92"/>
      <c r="H918" s="92"/>
    </row>
    <row r="919" spans="1:8" s="44" customFormat="1" hidden="1" outlineLevel="1">
      <c r="A919" s="408" t="s">
        <v>546</v>
      </c>
      <c r="B919" s="492">
        <f>VLOOKUP($A919,'Anlage 1a_Zuschlagszahlungen_NB'!$A$8:$E$167,5,FALSE)</f>
        <v>161496699</v>
      </c>
      <c r="C919" s="88">
        <f>SUMIFS('Anlage 1c_Korrekturen_NB'!$D$11:$D$103,'Anlage 1c_Korrekturen_NB'!$A$11:$A$103,'Anlage 3a_Zusammenfassung_KWKG'!$A919)+SUMIFS('Anlage 1c_Korrekturen_NB'!$F$11:$F$103,'Anlage 1c_Korrekturen_NB'!$A$11:$A$103,'Anlage 3a_Zusammenfassung_KWKG'!$A919)+SUMIFS('Anlage 1c_Korrekturen_NB'!$H$11:$H$103,'Anlage 1c_Korrekturen_NB'!$A$11:$A$103,'Anlage 3a_Zusammenfassung_KWKG'!$A919)</f>
        <v>0</v>
      </c>
      <c r="D919" s="135">
        <f t="shared" si="42"/>
        <v>161496699</v>
      </c>
      <c r="E919" s="133"/>
      <c r="F919" s="92"/>
      <c r="G919" s="92"/>
      <c r="H919" s="92"/>
    </row>
    <row r="920" spans="1:8" s="44" customFormat="1" hidden="1" outlineLevel="1">
      <c r="A920" s="408" t="s">
        <v>548</v>
      </c>
      <c r="B920" s="492">
        <f>VLOOKUP($A920,'Anlage 1a_Zuschlagszahlungen_NB'!$A$8:$E$167,5,FALSE)</f>
        <v>6580838</v>
      </c>
      <c r="C920" s="88">
        <f>SUMIFS('Anlage 1c_Korrekturen_NB'!$D$11:$D$103,'Anlage 1c_Korrekturen_NB'!$A$11:$A$103,'Anlage 3a_Zusammenfassung_KWKG'!$A920)+SUMIFS('Anlage 1c_Korrekturen_NB'!$F$11:$F$103,'Anlage 1c_Korrekturen_NB'!$A$11:$A$103,'Anlage 3a_Zusammenfassung_KWKG'!$A920)+SUMIFS('Anlage 1c_Korrekturen_NB'!$H$11:$H$103,'Anlage 1c_Korrekturen_NB'!$A$11:$A$103,'Anlage 3a_Zusammenfassung_KWKG'!$A920)</f>
        <v>0</v>
      </c>
      <c r="D920" s="135">
        <f t="shared" si="42"/>
        <v>6580838</v>
      </c>
      <c r="E920" s="133"/>
      <c r="F920" s="92"/>
      <c r="G920" s="92"/>
      <c r="H920" s="92"/>
    </row>
    <row r="921" spans="1:8" s="44" customFormat="1" hidden="1" outlineLevel="1">
      <c r="A921" s="408" t="s">
        <v>550</v>
      </c>
      <c r="B921" s="492">
        <f>VLOOKUP($A921,'Anlage 1a_Zuschlagszahlungen_NB'!$A$8:$E$167,5,FALSE)</f>
        <v>21000000</v>
      </c>
      <c r="C921" s="88">
        <f>SUMIFS('Anlage 1c_Korrekturen_NB'!$D$11:$D$103,'Anlage 1c_Korrekturen_NB'!$A$11:$A$103,'Anlage 3a_Zusammenfassung_KWKG'!$A921)+SUMIFS('Anlage 1c_Korrekturen_NB'!$F$11:$F$103,'Anlage 1c_Korrekturen_NB'!$A$11:$A$103,'Anlage 3a_Zusammenfassung_KWKG'!$A921)+SUMIFS('Anlage 1c_Korrekturen_NB'!$H$11:$H$103,'Anlage 1c_Korrekturen_NB'!$A$11:$A$103,'Anlage 3a_Zusammenfassung_KWKG'!$A921)</f>
        <v>0</v>
      </c>
      <c r="D921" s="135">
        <f t="shared" si="42"/>
        <v>21000000</v>
      </c>
      <c r="E921" s="133"/>
      <c r="F921" s="92"/>
      <c r="G921" s="92"/>
      <c r="H921" s="92"/>
    </row>
    <row r="922" spans="1:8" s="44" customFormat="1" hidden="1" outlineLevel="1">
      <c r="A922" s="408" t="s">
        <v>552</v>
      </c>
      <c r="B922" s="492">
        <f>VLOOKUP($A922,'Anlage 1a_Zuschlagszahlungen_NB'!$A$8:$E$167,5,FALSE)</f>
        <v>11956471</v>
      </c>
      <c r="C922" s="88">
        <f>SUMIFS('Anlage 1c_Korrekturen_NB'!$D$11:$D$103,'Anlage 1c_Korrekturen_NB'!$A$11:$A$103,'Anlage 3a_Zusammenfassung_KWKG'!$A922)+SUMIFS('Anlage 1c_Korrekturen_NB'!$F$11:$F$103,'Anlage 1c_Korrekturen_NB'!$A$11:$A$103,'Anlage 3a_Zusammenfassung_KWKG'!$A922)+SUMIFS('Anlage 1c_Korrekturen_NB'!$H$11:$H$103,'Anlage 1c_Korrekturen_NB'!$A$11:$A$103,'Anlage 3a_Zusammenfassung_KWKG'!$A922)</f>
        <v>0</v>
      </c>
      <c r="D922" s="135">
        <f t="shared" si="42"/>
        <v>11956471</v>
      </c>
      <c r="E922" s="133"/>
      <c r="F922" s="92"/>
      <c r="G922" s="92"/>
      <c r="H922" s="92"/>
    </row>
    <row r="923" spans="1:8" s="44" customFormat="1" hidden="1" outlineLevel="1">
      <c r="A923" s="408" t="s">
        <v>554</v>
      </c>
      <c r="B923" s="492">
        <f>VLOOKUP($A923,'Anlage 1a_Zuschlagszahlungen_NB'!$A$8:$E$167,5,FALSE)</f>
        <v>221938</v>
      </c>
      <c r="C923" s="88">
        <f>SUMIFS('Anlage 1c_Korrekturen_NB'!$D$11:$D$103,'Anlage 1c_Korrekturen_NB'!$A$11:$A$103,'Anlage 3a_Zusammenfassung_KWKG'!$A923)+SUMIFS('Anlage 1c_Korrekturen_NB'!$F$11:$F$103,'Anlage 1c_Korrekturen_NB'!$A$11:$A$103,'Anlage 3a_Zusammenfassung_KWKG'!$A923)+SUMIFS('Anlage 1c_Korrekturen_NB'!$H$11:$H$103,'Anlage 1c_Korrekturen_NB'!$A$11:$A$103,'Anlage 3a_Zusammenfassung_KWKG'!$A923)</f>
        <v>0</v>
      </c>
      <c r="D923" s="135">
        <f t="shared" si="42"/>
        <v>221938</v>
      </c>
      <c r="E923" s="133"/>
      <c r="F923" s="92"/>
      <c r="G923" s="92"/>
      <c r="H923" s="92"/>
    </row>
    <row r="924" spans="1:8" s="44" customFormat="1" hidden="1" outlineLevel="1">
      <c r="A924" s="408" t="s">
        <v>556</v>
      </c>
      <c r="B924" s="492">
        <f>VLOOKUP($A924,'Anlage 1a_Zuschlagszahlungen_NB'!$A$8:$E$167,5,FALSE)</f>
        <v>3047175</v>
      </c>
      <c r="C924" s="88">
        <f>SUMIFS('Anlage 1c_Korrekturen_NB'!$D$11:$D$103,'Anlage 1c_Korrekturen_NB'!$A$11:$A$103,'Anlage 3a_Zusammenfassung_KWKG'!$A924)+SUMIFS('Anlage 1c_Korrekturen_NB'!$F$11:$F$103,'Anlage 1c_Korrekturen_NB'!$A$11:$A$103,'Anlage 3a_Zusammenfassung_KWKG'!$A924)+SUMIFS('Anlage 1c_Korrekturen_NB'!$H$11:$H$103,'Anlage 1c_Korrekturen_NB'!$A$11:$A$103,'Anlage 3a_Zusammenfassung_KWKG'!$A924)</f>
        <v>0</v>
      </c>
      <c r="D924" s="135">
        <f t="shared" si="42"/>
        <v>3047175</v>
      </c>
      <c r="E924" s="133"/>
      <c r="F924" s="92"/>
      <c r="G924" s="92"/>
      <c r="H924" s="92"/>
    </row>
    <row r="925" spans="1:8" s="44" customFormat="1" hidden="1" outlineLevel="1">
      <c r="A925" s="408" t="s">
        <v>558</v>
      </c>
      <c r="B925" s="492">
        <f>VLOOKUP($A925,'Anlage 1a_Zuschlagszahlungen_NB'!$A$8:$E$167,5,FALSE)</f>
        <v>576426</v>
      </c>
      <c r="C925" s="88">
        <f>SUMIFS('Anlage 1c_Korrekturen_NB'!$D$11:$D$103,'Anlage 1c_Korrekturen_NB'!$A$11:$A$103,'Anlage 3a_Zusammenfassung_KWKG'!$A925)+SUMIFS('Anlage 1c_Korrekturen_NB'!$F$11:$F$103,'Anlage 1c_Korrekturen_NB'!$A$11:$A$103,'Anlage 3a_Zusammenfassung_KWKG'!$A925)+SUMIFS('Anlage 1c_Korrekturen_NB'!$H$11:$H$103,'Anlage 1c_Korrekturen_NB'!$A$11:$A$103,'Anlage 3a_Zusammenfassung_KWKG'!$A925)</f>
        <v>19926</v>
      </c>
      <c r="D925" s="135">
        <f t="shared" si="42"/>
        <v>596352</v>
      </c>
      <c r="E925" s="133"/>
      <c r="F925" s="92"/>
      <c r="G925" s="92"/>
      <c r="H925" s="92"/>
    </row>
    <row r="926" spans="1:8" s="44" customFormat="1" hidden="1" outlineLevel="1">
      <c r="A926" s="408" t="s">
        <v>560</v>
      </c>
      <c r="B926" s="492">
        <f>VLOOKUP($A926,'Anlage 1a_Zuschlagszahlungen_NB'!$A$8:$E$167,5,FALSE)</f>
        <v>2084093</v>
      </c>
      <c r="C926" s="88">
        <f>SUMIFS('Anlage 1c_Korrekturen_NB'!$D$11:$D$103,'Anlage 1c_Korrekturen_NB'!$A$11:$A$103,'Anlage 3a_Zusammenfassung_KWKG'!$A926)+SUMIFS('Anlage 1c_Korrekturen_NB'!$F$11:$F$103,'Anlage 1c_Korrekturen_NB'!$A$11:$A$103,'Anlage 3a_Zusammenfassung_KWKG'!$A926)+SUMIFS('Anlage 1c_Korrekturen_NB'!$H$11:$H$103,'Anlage 1c_Korrekturen_NB'!$A$11:$A$103,'Anlage 3a_Zusammenfassung_KWKG'!$A926)</f>
        <v>27390</v>
      </c>
      <c r="D926" s="135">
        <f t="shared" si="42"/>
        <v>2111483</v>
      </c>
      <c r="E926" s="133"/>
      <c r="F926" s="92"/>
      <c r="G926" s="92"/>
      <c r="H926" s="92"/>
    </row>
    <row r="927" spans="1:8" s="44" customFormat="1" hidden="1" outlineLevel="1">
      <c r="A927" s="408" t="s">
        <v>562</v>
      </c>
      <c r="B927" s="492">
        <f>VLOOKUP($A927,'Anlage 1a_Zuschlagszahlungen_NB'!$A$8:$E$167,5,FALSE)</f>
        <v>0</v>
      </c>
      <c r="C927" s="88">
        <f>SUMIFS('Anlage 1c_Korrekturen_NB'!$D$11:$D$103,'Anlage 1c_Korrekturen_NB'!$A$11:$A$103,'Anlage 3a_Zusammenfassung_KWKG'!$A927)+SUMIFS('Anlage 1c_Korrekturen_NB'!$F$11:$F$103,'Anlage 1c_Korrekturen_NB'!$A$11:$A$103,'Anlage 3a_Zusammenfassung_KWKG'!$A927)+SUMIFS('Anlage 1c_Korrekturen_NB'!$H$11:$H$103,'Anlage 1c_Korrekturen_NB'!$A$11:$A$103,'Anlage 3a_Zusammenfassung_KWKG'!$A927)</f>
        <v>0</v>
      </c>
      <c r="D927" s="135">
        <f t="shared" si="42"/>
        <v>0</v>
      </c>
      <c r="E927" s="133"/>
      <c r="F927" s="92"/>
      <c r="G927" s="92"/>
      <c r="H927" s="92"/>
    </row>
    <row r="928" spans="1:8" s="44" customFormat="1" hidden="1" outlineLevel="1">
      <c r="A928" s="408" t="s">
        <v>564</v>
      </c>
      <c r="B928" s="492">
        <f>VLOOKUP($A928,'Anlage 1a_Zuschlagszahlungen_NB'!$A$8:$E$167,5,FALSE)</f>
        <v>0</v>
      </c>
      <c r="C928" s="88">
        <f>SUMIFS('Anlage 1c_Korrekturen_NB'!$D$11:$D$103,'Anlage 1c_Korrekturen_NB'!$A$11:$A$103,'Anlage 3a_Zusammenfassung_KWKG'!$A928)+SUMIFS('Anlage 1c_Korrekturen_NB'!$F$11:$F$103,'Anlage 1c_Korrekturen_NB'!$A$11:$A$103,'Anlage 3a_Zusammenfassung_KWKG'!$A928)+SUMIFS('Anlage 1c_Korrekturen_NB'!$H$11:$H$103,'Anlage 1c_Korrekturen_NB'!$A$11:$A$103,'Anlage 3a_Zusammenfassung_KWKG'!$A928)</f>
        <v>0</v>
      </c>
      <c r="D928" s="135">
        <f t="shared" si="42"/>
        <v>0</v>
      </c>
      <c r="E928" s="133"/>
      <c r="F928" s="92"/>
      <c r="G928" s="92"/>
      <c r="H928" s="92"/>
    </row>
    <row r="929" spans="1:8" s="44" customFormat="1" hidden="1" outlineLevel="1">
      <c r="A929" s="408" t="s">
        <v>566</v>
      </c>
      <c r="B929" s="492">
        <f>VLOOKUP($A929,'Anlage 1a_Zuschlagszahlungen_NB'!$A$8:$E$167,5,FALSE)</f>
        <v>0</v>
      </c>
      <c r="C929" s="88">
        <f>SUMIFS('Anlage 1c_Korrekturen_NB'!$D$11:$D$103,'Anlage 1c_Korrekturen_NB'!$A$11:$A$103,'Anlage 3a_Zusammenfassung_KWKG'!$A929)+SUMIFS('Anlage 1c_Korrekturen_NB'!$F$11:$F$103,'Anlage 1c_Korrekturen_NB'!$A$11:$A$103,'Anlage 3a_Zusammenfassung_KWKG'!$A929)+SUMIFS('Anlage 1c_Korrekturen_NB'!$H$11:$H$103,'Anlage 1c_Korrekturen_NB'!$A$11:$A$103,'Anlage 3a_Zusammenfassung_KWKG'!$A929)</f>
        <v>0</v>
      </c>
      <c r="D929" s="135">
        <f t="shared" si="42"/>
        <v>0</v>
      </c>
      <c r="E929" s="133"/>
      <c r="F929" s="92"/>
      <c r="G929" s="92"/>
      <c r="H929" s="92"/>
    </row>
    <row r="930" spans="1:8" s="44" customFormat="1" hidden="1" outlineLevel="1">
      <c r="A930" s="408" t="s">
        <v>568</v>
      </c>
      <c r="B930" s="492">
        <f>VLOOKUP($A930,'Anlage 1a_Zuschlagszahlungen_NB'!$A$8:$E$167,5,FALSE)</f>
        <v>939058</v>
      </c>
      <c r="C930" s="88">
        <f>SUMIFS('Anlage 1c_Korrekturen_NB'!$D$11:$D$103,'Anlage 1c_Korrekturen_NB'!$A$11:$A$103,'Anlage 3a_Zusammenfassung_KWKG'!$A930)+SUMIFS('Anlage 1c_Korrekturen_NB'!$F$11:$F$103,'Anlage 1c_Korrekturen_NB'!$A$11:$A$103,'Anlage 3a_Zusammenfassung_KWKG'!$A930)+SUMIFS('Anlage 1c_Korrekturen_NB'!$H$11:$H$103,'Anlage 1c_Korrekturen_NB'!$A$11:$A$103,'Anlage 3a_Zusammenfassung_KWKG'!$A930)</f>
        <v>6331</v>
      </c>
      <c r="D930" s="135">
        <f t="shared" si="42"/>
        <v>945389</v>
      </c>
      <c r="E930" s="133"/>
      <c r="F930" s="92"/>
      <c r="G930" s="92"/>
      <c r="H930" s="92"/>
    </row>
    <row r="931" spans="1:8" s="44" customFormat="1" hidden="1" outlineLevel="1">
      <c r="A931" s="408" t="s">
        <v>570</v>
      </c>
      <c r="B931" s="492">
        <f>VLOOKUP($A931,'Anlage 1a_Zuschlagszahlungen_NB'!$A$8:$E$167,5,FALSE)</f>
        <v>8760170</v>
      </c>
      <c r="C931" s="88">
        <f>SUMIFS('Anlage 1c_Korrekturen_NB'!$D$11:$D$103,'Anlage 1c_Korrekturen_NB'!$A$11:$A$103,'Anlage 3a_Zusammenfassung_KWKG'!$A931)+SUMIFS('Anlage 1c_Korrekturen_NB'!$F$11:$F$103,'Anlage 1c_Korrekturen_NB'!$A$11:$A$103,'Anlage 3a_Zusammenfassung_KWKG'!$A931)+SUMIFS('Anlage 1c_Korrekturen_NB'!$H$11:$H$103,'Anlage 1c_Korrekturen_NB'!$A$11:$A$103,'Anlage 3a_Zusammenfassung_KWKG'!$A931)</f>
        <v>0</v>
      </c>
      <c r="D931" s="135">
        <f t="shared" si="42"/>
        <v>8760170</v>
      </c>
      <c r="E931" s="133"/>
      <c r="F931" s="92"/>
      <c r="G931" s="92"/>
      <c r="H931" s="92"/>
    </row>
    <row r="932" spans="1:8" s="44" customFormat="1" hidden="1" outlineLevel="1">
      <c r="A932" s="408" t="s">
        <v>572</v>
      </c>
      <c r="B932" s="492">
        <f>VLOOKUP($A932,'Anlage 1a_Zuschlagszahlungen_NB'!$A$8:$E$167,5,FALSE)</f>
        <v>913463</v>
      </c>
      <c r="C932" s="88">
        <f>SUMIFS('Anlage 1c_Korrekturen_NB'!$D$11:$D$103,'Anlage 1c_Korrekturen_NB'!$A$11:$A$103,'Anlage 3a_Zusammenfassung_KWKG'!$A932)+SUMIFS('Anlage 1c_Korrekturen_NB'!$F$11:$F$103,'Anlage 1c_Korrekturen_NB'!$A$11:$A$103,'Anlage 3a_Zusammenfassung_KWKG'!$A932)+SUMIFS('Anlage 1c_Korrekturen_NB'!$H$11:$H$103,'Anlage 1c_Korrekturen_NB'!$A$11:$A$103,'Anlage 3a_Zusammenfassung_KWKG'!$A932)</f>
        <v>0</v>
      </c>
      <c r="D932" s="135">
        <f t="shared" si="42"/>
        <v>913463</v>
      </c>
      <c r="E932" s="133"/>
      <c r="F932" s="92"/>
      <c r="G932" s="92"/>
      <c r="H932" s="92"/>
    </row>
    <row r="933" spans="1:8" s="44" customFormat="1" hidden="1" outlineLevel="1">
      <c r="A933" s="408" t="s">
        <v>574</v>
      </c>
      <c r="B933" s="492">
        <f>VLOOKUP($A933,'Anlage 1a_Zuschlagszahlungen_NB'!$A$8:$E$167,5,FALSE)</f>
        <v>873902</v>
      </c>
      <c r="C933" s="88">
        <f>SUMIFS('Anlage 1c_Korrekturen_NB'!$D$11:$D$103,'Anlage 1c_Korrekturen_NB'!$A$11:$A$103,'Anlage 3a_Zusammenfassung_KWKG'!$A933)+SUMIFS('Anlage 1c_Korrekturen_NB'!$F$11:$F$103,'Anlage 1c_Korrekturen_NB'!$A$11:$A$103,'Anlage 3a_Zusammenfassung_KWKG'!$A933)+SUMIFS('Anlage 1c_Korrekturen_NB'!$H$11:$H$103,'Anlage 1c_Korrekturen_NB'!$A$11:$A$103,'Anlage 3a_Zusammenfassung_KWKG'!$A933)</f>
        <v>0</v>
      </c>
      <c r="D933" s="135">
        <f t="shared" si="42"/>
        <v>873902</v>
      </c>
      <c r="E933" s="133"/>
      <c r="F933" s="92"/>
      <c r="G933" s="92"/>
      <c r="H933" s="92"/>
    </row>
    <row r="934" spans="1:8" s="44" customFormat="1" hidden="1" outlineLevel="1">
      <c r="A934" s="408" t="s">
        <v>576</v>
      </c>
      <c r="B934" s="492">
        <f>VLOOKUP($A934,'Anlage 1a_Zuschlagszahlungen_NB'!$A$8:$E$167,5,FALSE)</f>
        <v>0</v>
      </c>
      <c r="C934" s="88">
        <f>SUMIFS('Anlage 1c_Korrekturen_NB'!$D$11:$D$103,'Anlage 1c_Korrekturen_NB'!$A$11:$A$103,'Anlage 3a_Zusammenfassung_KWKG'!$A934)+SUMIFS('Anlage 1c_Korrekturen_NB'!$F$11:$F$103,'Anlage 1c_Korrekturen_NB'!$A$11:$A$103,'Anlage 3a_Zusammenfassung_KWKG'!$A934)+SUMIFS('Anlage 1c_Korrekturen_NB'!$H$11:$H$103,'Anlage 1c_Korrekturen_NB'!$A$11:$A$103,'Anlage 3a_Zusammenfassung_KWKG'!$A934)</f>
        <v>0</v>
      </c>
      <c r="D934" s="135">
        <f t="shared" si="42"/>
        <v>0</v>
      </c>
      <c r="E934" s="133"/>
      <c r="F934" s="92"/>
      <c r="G934" s="92"/>
      <c r="H934" s="92"/>
    </row>
    <row r="935" spans="1:8" s="44" customFormat="1" hidden="1" outlineLevel="1">
      <c r="A935" s="408" t="s">
        <v>578</v>
      </c>
      <c r="B935" s="492">
        <f>VLOOKUP($A935,'Anlage 1a_Zuschlagszahlungen_NB'!$A$8:$E$167,5,FALSE)</f>
        <v>2393704</v>
      </c>
      <c r="C935" s="88">
        <f>SUMIFS('Anlage 1c_Korrekturen_NB'!$D$11:$D$103,'Anlage 1c_Korrekturen_NB'!$A$11:$A$103,'Anlage 3a_Zusammenfassung_KWKG'!$A935)+SUMIFS('Anlage 1c_Korrekturen_NB'!$F$11:$F$103,'Anlage 1c_Korrekturen_NB'!$A$11:$A$103,'Anlage 3a_Zusammenfassung_KWKG'!$A935)+SUMIFS('Anlage 1c_Korrekturen_NB'!$H$11:$H$103,'Anlage 1c_Korrekturen_NB'!$A$11:$A$103,'Anlage 3a_Zusammenfassung_KWKG'!$A935)</f>
        <v>0</v>
      </c>
      <c r="D935" s="135">
        <f t="shared" si="42"/>
        <v>2393704</v>
      </c>
      <c r="E935" s="133"/>
      <c r="F935" s="92"/>
      <c r="G935" s="92"/>
      <c r="H935" s="92"/>
    </row>
    <row r="936" spans="1:8" s="44" customFormat="1" hidden="1" outlineLevel="1">
      <c r="A936" s="408" t="s">
        <v>580</v>
      </c>
      <c r="B936" s="492">
        <f>VLOOKUP($A936,'Anlage 1a_Zuschlagszahlungen_NB'!$A$8:$E$167,5,FALSE)</f>
        <v>190284</v>
      </c>
      <c r="C936" s="88">
        <f>SUMIFS('Anlage 1c_Korrekturen_NB'!$D$11:$D$103,'Anlage 1c_Korrekturen_NB'!$A$11:$A$103,'Anlage 3a_Zusammenfassung_KWKG'!$A936)+SUMIFS('Anlage 1c_Korrekturen_NB'!$F$11:$F$103,'Anlage 1c_Korrekturen_NB'!$A$11:$A$103,'Anlage 3a_Zusammenfassung_KWKG'!$A936)+SUMIFS('Anlage 1c_Korrekturen_NB'!$H$11:$H$103,'Anlage 1c_Korrekturen_NB'!$A$11:$A$103,'Anlage 3a_Zusammenfassung_KWKG'!$A936)</f>
        <v>0</v>
      </c>
      <c r="D936" s="135">
        <f t="shared" si="42"/>
        <v>190284</v>
      </c>
      <c r="E936" s="133"/>
      <c r="F936" s="92"/>
      <c r="G936" s="92"/>
      <c r="H936" s="92"/>
    </row>
    <row r="937" spans="1:8" s="44" customFormat="1" hidden="1" outlineLevel="1">
      <c r="A937" s="408" t="s">
        <v>582</v>
      </c>
      <c r="B937" s="492">
        <f>VLOOKUP($A937,'Anlage 1a_Zuschlagszahlungen_NB'!$A$8:$E$167,5,FALSE)</f>
        <v>3893822</v>
      </c>
      <c r="C937" s="88">
        <f>SUMIFS('Anlage 1c_Korrekturen_NB'!$D$11:$D$103,'Anlage 1c_Korrekturen_NB'!$A$11:$A$103,'Anlage 3a_Zusammenfassung_KWKG'!$A937)+SUMIFS('Anlage 1c_Korrekturen_NB'!$F$11:$F$103,'Anlage 1c_Korrekturen_NB'!$A$11:$A$103,'Anlage 3a_Zusammenfassung_KWKG'!$A937)+SUMIFS('Anlage 1c_Korrekturen_NB'!$H$11:$H$103,'Anlage 1c_Korrekturen_NB'!$A$11:$A$103,'Anlage 3a_Zusammenfassung_KWKG'!$A937)</f>
        <v>0</v>
      </c>
      <c r="D937" s="135">
        <f t="shared" si="42"/>
        <v>3893822</v>
      </c>
      <c r="E937" s="133"/>
      <c r="F937" s="92"/>
      <c r="G937" s="92"/>
      <c r="H937" s="92"/>
    </row>
    <row r="938" spans="1:8" s="44" customFormat="1" hidden="1" outlineLevel="1">
      <c r="A938" s="408" t="s">
        <v>584</v>
      </c>
      <c r="B938" s="492">
        <f>VLOOKUP($A938,'Anlage 1a_Zuschlagszahlungen_NB'!$A$8:$E$167,5,FALSE)</f>
        <v>779556</v>
      </c>
      <c r="C938" s="88">
        <f>SUMIFS('Anlage 1c_Korrekturen_NB'!$D$11:$D$103,'Anlage 1c_Korrekturen_NB'!$A$11:$A$103,'Anlage 3a_Zusammenfassung_KWKG'!$A938)+SUMIFS('Anlage 1c_Korrekturen_NB'!$F$11:$F$103,'Anlage 1c_Korrekturen_NB'!$A$11:$A$103,'Anlage 3a_Zusammenfassung_KWKG'!$A938)+SUMIFS('Anlage 1c_Korrekturen_NB'!$H$11:$H$103,'Anlage 1c_Korrekturen_NB'!$A$11:$A$103,'Anlage 3a_Zusammenfassung_KWKG'!$A938)</f>
        <v>0</v>
      </c>
      <c r="D938" s="135">
        <f t="shared" si="42"/>
        <v>779556</v>
      </c>
      <c r="E938" s="133"/>
      <c r="F938" s="92"/>
      <c r="G938" s="92"/>
      <c r="H938" s="92"/>
    </row>
    <row r="939" spans="1:8" s="44" customFormat="1" hidden="1" outlineLevel="1">
      <c r="A939" s="408" t="s">
        <v>586</v>
      </c>
      <c r="B939" s="492">
        <f>VLOOKUP($A939,'Anlage 1a_Zuschlagszahlungen_NB'!$A$8:$E$167,5,FALSE)</f>
        <v>7984788</v>
      </c>
      <c r="C939" s="88">
        <f>SUMIFS('Anlage 1c_Korrekturen_NB'!$D$11:$D$103,'Anlage 1c_Korrekturen_NB'!$A$11:$A$103,'Anlage 3a_Zusammenfassung_KWKG'!$A939)+SUMIFS('Anlage 1c_Korrekturen_NB'!$F$11:$F$103,'Anlage 1c_Korrekturen_NB'!$A$11:$A$103,'Anlage 3a_Zusammenfassung_KWKG'!$A939)+SUMIFS('Anlage 1c_Korrekturen_NB'!$H$11:$H$103,'Anlage 1c_Korrekturen_NB'!$A$11:$A$103,'Anlage 3a_Zusammenfassung_KWKG'!$A939)</f>
        <v>240000</v>
      </c>
      <c r="D939" s="135">
        <f t="shared" si="42"/>
        <v>8224788</v>
      </c>
      <c r="E939" s="133"/>
      <c r="F939" s="92"/>
      <c r="G939" s="92"/>
      <c r="H939" s="92"/>
    </row>
    <row r="940" spans="1:8" s="44" customFormat="1" hidden="1" outlineLevel="1">
      <c r="A940" s="408" t="s">
        <v>588</v>
      </c>
      <c r="B940" s="492">
        <f>VLOOKUP($A940,'Anlage 1a_Zuschlagszahlungen_NB'!$A$8:$E$167,5,FALSE)</f>
        <v>308546</v>
      </c>
      <c r="C940" s="88">
        <f>SUMIFS('Anlage 1c_Korrekturen_NB'!$D$11:$D$103,'Anlage 1c_Korrekturen_NB'!$A$11:$A$103,'Anlage 3a_Zusammenfassung_KWKG'!$A940)+SUMIFS('Anlage 1c_Korrekturen_NB'!$F$11:$F$103,'Anlage 1c_Korrekturen_NB'!$A$11:$A$103,'Anlage 3a_Zusammenfassung_KWKG'!$A940)+SUMIFS('Anlage 1c_Korrekturen_NB'!$H$11:$H$103,'Anlage 1c_Korrekturen_NB'!$A$11:$A$103,'Anlage 3a_Zusammenfassung_KWKG'!$A940)</f>
        <v>0</v>
      </c>
      <c r="D940" s="135">
        <f t="shared" si="42"/>
        <v>308546</v>
      </c>
      <c r="E940" s="133"/>
      <c r="F940" s="92"/>
      <c r="G940" s="92"/>
      <c r="H940" s="92"/>
    </row>
    <row r="941" spans="1:8" s="44" customFormat="1" hidden="1" outlineLevel="1">
      <c r="A941" s="408" t="s">
        <v>590</v>
      </c>
      <c r="B941" s="492">
        <f>VLOOKUP($A941,'Anlage 1a_Zuschlagszahlungen_NB'!$A$8:$E$167,5,FALSE)</f>
        <v>758072</v>
      </c>
      <c r="C941" s="88">
        <f>SUMIFS('Anlage 1c_Korrekturen_NB'!$D$11:$D$103,'Anlage 1c_Korrekturen_NB'!$A$11:$A$103,'Anlage 3a_Zusammenfassung_KWKG'!$A941)+SUMIFS('Anlage 1c_Korrekturen_NB'!$F$11:$F$103,'Anlage 1c_Korrekturen_NB'!$A$11:$A$103,'Anlage 3a_Zusammenfassung_KWKG'!$A941)+SUMIFS('Anlage 1c_Korrekturen_NB'!$H$11:$H$103,'Anlage 1c_Korrekturen_NB'!$A$11:$A$103,'Anlage 3a_Zusammenfassung_KWKG'!$A941)</f>
        <v>0</v>
      </c>
      <c r="D941" s="135">
        <f t="shared" si="42"/>
        <v>758072</v>
      </c>
      <c r="E941" s="133"/>
      <c r="F941" s="92"/>
      <c r="G941" s="92"/>
      <c r="H941" s="92"/>
    </row>
    <row r="942" spans="1:8" s="44" customFormat="1" hidden="1" outlineLevel="1">
      <c r="A942" s="408" t="s">
        <v>592</v>
      </c>
      <c r="B942" s="492">
        <f>VLOOKUP($A942,'Anlage 1a_Zuschlagszahlungen_NB'!$A$8:$E$167,5,FALSE)</f>
        <v>7569695</v>
      </c>
      <c r="C942" s="88">
        <f>SUMIFS('Anlage 1c_Korrekturen_NB'!$D$11:$D$103,'Anlage 1c_Korrekturen_NB'!$A$11:$A$103,'Anlage 3a_Zusammenfassung_KWKG'!$A942)+SUMIFS('Anlage 1c_Korrekturen_NB'!$F$11:$F$103,'Anlage 1c_Korrekturen_NB'!$A$11:$A$103,'Anlage 3a_Zusammenfassung_KWKG'!$A942)+SUMIFS('Anlage 1c_Korrekturen_NB'!$H$11:$H$103,'Anlage 1c_Korrekturen_NB'!$A$11:$A$103,'Anlage 3a_Zusammenfassung_KWKG'!$A942)</f>
        <v>0</v>
      </c>
      <c r="D942" s="135">
        <f t="shared" si="42"/>
        <v>7569695</v>
      </c>
      <c r="E942" s="133"/>
      <c r="F942" s="92"/>
      <c r="G942" s="92"/>
      <c r="H942" s="92"/>
    </row>
    <row r="943" spans="1:8" s="44" customFormat="1" hidden="1" outlineLevel="1">
      <c r="A943" s="408" t="s">
        <v>594</v>
      </c>
      <c r="B943" s="492">
        <f>VLOOKUP($A943,'Anlage 1a_Zuschlagszahlungen_NB'!$A$8:$E$167,5,FALSE)</f>
        <v>2239987</v>
      </c>
      <c r="C943" s="88">
        <f>SUMIFS('Anlage 1c_Korrekturen_NB'!$D$11:$D$103,'Anlage 1c_Korrekturen_NB'!$A$11:$A$103,'Anlage 3a_Zusammenfassung_KWKG'!$A943)+SUMIFS('Anlage 1c_Korrekturen_NB'!$F$11:$F$103,'Anlage 1c_Korrekturen_NB'!$A$11:$A$103,'Anlage 3a_Zusammenfassung_KWKG'!$A943)+SUMIFS('Anlage 1c_Korrekturen_NB'!$H$11:$H$103,'Anlage 1c_Korrekturen_NB'!$A$11:$A$103,'Anlage 3a_Zusammenfassung_KWKG'!$A943)</f>
        <v>0</v>
      </c>
      <c r="D943" s="135">
        <f t="shared" si="42"/>
        <v>2239987</v>
      </c>
      <c r="E943" s="133"/>
      <c r="F943" s="92"/>
      <c r="G943" s="92"/>
      <c r="H943" s="92"/>
    </row>
    <row r="944" spans="1:8" s="44" customFormat="1" hidden="1" outlineLevel="1">
      <c r="A944" s="408" t="s">
        <v>596</v>
      </c>
      <c r="B944" s="492">
        <f>VLOOKUP($A944,'Anlage 1a_Zuschlagszahlungen_NB'!$A$8:$E$167,5,FALSE)</f>
        <v>435166</v>
      </c>
      <c r="C944" s="88">
        <f>SUMIFS('Anlage 1c_Korrekturen_NB'!$D$11:$D$103,'Anlage 1c_Korrekturen_NB'!$A$11:$A$103,'Anlage 3a_Zusammenfassung_KWKG'!$A944)+SUMIFS('Anlage 1c_Korrekturen_NB'!$F$11:$F$103,'Anlage 1c_Korrekturen_NB'!$A$11:$A$103,'Anlage 3a_Zusammenfassung_KWKG'!$A944)+SUMIFS('Anlage 1c_Korrekturen_NB'!$H$11:$H$103,'Anlage 1c_Korrekturen_NB'!$A$11:$A$103,'Anlage 3a_Zusammenfassung_KWKG'!$A944)</f>
        <v>0</v>
      </c>
      <c r="D944" s="135">
        <f t="shared" si="42"/>
        <v>435166</v>
      </c>
      <c r="E944" s="133"/>
      <c r="F944" s="92"/>
      <c r="G944" s="92"/>
      <c r="H944" s="92"/>
    </row>
    <row r="945" spans="1:8" s="44" customFormat="1" hidden="1" outlineLevel="1">
      <c r="A945" s="408" t="s">
        <v>598</v>
      </c>
      <c r="B945" s="492">
        <f>VLOOKUP($A945,'Anlage 1a_Zuschlagszahlungen_NB'!$A$8:$E$167,5,FALSE)</f>
        <v>205809076</v>
      </c>
      <c r="C945" s="88">
        <f>SUMIFS('Anlage 1c_Korrekturen_NB'!$D$11:$D$103,'Anlage 1c_Korrekturen_NB'!$A$11:$A$103,'Anlage 3a_Zusammenfassung_KWKG'!$A945)+SUMIFS('Anlage 1c_Korrekturen_NB'!$F$11:$F$103,'Anlage 1c_Korrekturen_NB'!$A$11:$A$103,'Anlage 3a_Zusammenfassung_KWKG'!$A945)+SUMIFS('Anlage 1c_Korrekturen_NB'!$H$11:$H$103,'Anlage 1c_Korrekturen_NB'!$A$11:$A$103,'Anlage 3a_Zusammenfassung_KWKG'!$A945)</f>
        <v>205633503</v>
      </c>
      <c r="D945" s="135">
        <f t="shared" si="42"/>
        <v>411442579</v>
      </c>
      <c r="E945" s="133"/>
      <c r="F945" s="92"/>
      <c r="G945" s="92"/>
      <c r="H945" s="92"/>
    </row>
    <row r="946" spans="1:8" s="44" customFormat="1" hidden="1" outlineLevel="1">
      <c r="A946" s="408" t="s">
        <v>600</v>
      </c>
      <c r="B946" s="492">
        <f>VLOOKUP($A946,'Anlage 1a_Zuschlagszahlungen_NB'!$A$8:$E$167,5,FALSE)</f>
        <v>2299535</v>
      </c>
      <c r="C946" s="88">
        <f>SUMIFS('Anlage 1c_Korrekturen_NB'!$D$11:$D$103,'Anlage 1c_Korrekturen_NB'!$A$11:$A$103,'Anlage 3a_Zusammenfassung_KWKG'!$A946)+SUMIFS('Anlage 1c_Korrekturen_NB'!$F$11:$F$103,'Anlage 1c_Korrekturen_NB'!$A$11:$A$103,'Anlage 3a_Zusammenfassung_KWKG'!$A946)+SUMIFS('Anlage 1c_Korrekturen_NB'!$H$11:$H$103,'Anlage 1c_Korrekturen_NB'!$A$11:$A$103,'Anlage 3a_Zusammenfassung_KWKG'!$A946)</f>
        <v>0</v>
      </c>
      <c r="D946" s="135">
        <f t="shared" si="42"/>
        <v>2299535</v>
      </c>
      <c r="E946" s="133"/>
      <c r="F946" s="92"/>
      <c r="G946" s="92"/>
      <c r="H946" s="92"/>
    </row>
    <row r="947" spans="1:8" s="44" customFormat="1" hidden="1" outlineLevel="1">
      <c r="A947" s="408" t="s">
        <v>602</v>
      </c>
      <c r="B947" s="492">
        <f>VLOOKUP($A947,'Anlage 1a_Zuschlagszahlungen_NB'!$A$8:$E$167,5,FALSE)</f>
        <v>78501</v>
      </c>
      <c r="C947" s="88">
        <f>SUMIFS('Anlage 1c_Korrekturen_NB'!$D$11:$D$103,'Anlage 1c_Korrekturen_NB'!$A$11:$A$103,'Anlage 3a_Zusammenfassung_KWKG'!$A947)+SUMIFS('Anlage 1c_Korrekturen_NB'!$F$11:$F$103,'Anlage 1c_Korrekturen_NB'!$A$11:$A$103,'Anlage 3a_Zusammenfassung_KWKG'!$A947)+SUMIFS('Anlage 1c_Korrekturen_NB'!$H$11:$H$103,'Anlage 1c_Korrekturen_NB'!$A$11:$A$103,'Anlage 3a_Zusammenfassung_KWKG'!$A947)</f>
        <v>-8772</v>
      </c>
      <c r="D947" s="135">
        <f t="shared" ref="D947:D978" si="43">B947+C947</f>
        <v>69729</v>
      </c>
      <c r="E947" s="133"/>
      <c r="F947" s="92"/>
      <c r="G947" s="92"/>
      <c r="H947" s="92"/>
    </row>
    <row r="948" spans="1:8" s="44" customFormat="1" hidden="1" outlineLevel="1">
      <c r="A948" s="408" t="s">
        <v>604</v>
      </c>
      <c r="B948" s="492">
        <f>VLOOKUP($A948,'Anlage 1a_Zuschlagszahlungen_NB'!$A$8:$E$167,5,FALSE)</f>
        <v>1172906</v>
      </c>
      <c r="C948" s="88">
        <f>SUMIFS('Anlage 1c_Korrekturen_NB'!$D$11:$D$103,'Anlage 1c_Korrekturen_NB'!$A$11:$A$103,'Anlage 3a_Zusammenfassung_KWKG'!$A948)+SUMIFS('Anlage 1c_Korrekturen_NB'!$F$11:$F$103,'Anlage 1c_Korrekturen_NB'!$A$11:$A$103,'Anlage 3a_Zusammenfassung_KWKG'!$A948)+SUMIFS('Anlage 1c_Korrekturen_NB'!$H$11:$H$103,'Anlage 1c_Korrekturen_NB'!$A$11:$A$103,'Anlage 3a_Zusammenfassung_KWKG'!$A948)</f>
        <v>0</v>
      </c>
      <c r="D948" s="135">
        <f t="shared" si="43"/>
        <v>1172906</v>
      </c>
      <c r="E948" s="133"/>
      <c r="F948" s="92"/>
      <c r="G948" s="92"/>
      <c r="H948" s="92"/>
    </row>
    <row r="949" spans="1:8" s="44" customFormat="1" hidden="1" outlineLevel="1">
      <c r="A949" s="408" t="s">
        <v>606</v>
      </c>
      <c r="B949" s="492">
        <f>VLOOKUP($A949,'Anlage 1a_Zuschlagszahlungen_NB'!$A$8:$E$167,5,FALSE)</f>
        <v>335804</v>
      </c>
      <c r="C949" s="88">
        <f>SUMIFS('Anlage 1c_Korrekturen_NB'!$D$11:$D$103,'Anlage 1c_Korrekturen_NB'!$A$11:$A$103,'Anlage 3a_Zusammenfassung_KWKG'!$A949)+SUMIFS('Anlage 1c_Korrekturen_NB'!$F$11:$F$103,'Anlage 1c_Korrekturen_NB'!$A$11:$A$103,'Anlage 3a_Zusammenfassung_KWKG'!$A949)+SUMIFS('Anlage 1c_Korrekturen_NB'!$H$11:$H$103,'Anlage 1c_Korrekturen_NB'!$A$11:$A$103,'Anlage 3a_Zusammenfassung_KWKG'!$A949)</f>
        <v>0</v>
      </c>
      <c r="D949" s="135">
        <f t="shared" si="43"/>
        <v>335804</v>
      </c>
      <c r="E949" s="133"/>
      <c r="F949" s="92"/>
      <c r="G949" s="92"/>
      <c r="H949" s="92"/>
    </row>
    <row r="950" spans="1:8" s="44" customFormat="1" hidden="1" outlineLevel="1">
      <c r="A950" s="408" t="s">
        <v>608</v>
      </c>
      <c r="B950" s="492">
        <f>VLOOKUP($A950,'Anlage 1a_Zuschlagszahlungen_NB'!$A$8:$E$167,5,FALSE)</f>
        <v>7981708</v>
      </c>
      <c r="C950" s="88">
        <f>SUMIFS('Anlage 1c_Korrekturen_NB'!$D$11:$D$103,'Anlage 1c_Korrekturen_NB'!$A$11:$A$103,'Anlage 3a_Zusammenfassung_KWKG'!$A950)+SUMIFS('Anlage 1c_Korrekturen_NB'!$F$11:$F$103,'Anlage 1c_Korrekturen_NB'!$A$11:$A$103,'Anlage 3a_Zusammenfassung_KWKG'!$A950)+SUMIFS('Anlage 1c_Korrekturen_NB'!$H$11:$H$103,'Anlage 1c_Korrekturen_NB'!$A$11:$A$103,'Anlage 3a_Zusammenfassung_KWKG'!$A950)</f>
        <v>220026</v>
      </c>
      <c r="D950" s="135">
        <f t="shared" si="43"/>
        <v>8201734</v>
      </c>
      <c r="E950" s="133"/>
      <c r="F950" s="92"/>
      <c r="G950" s="92"/>
      <c r="H950" s="92"/>
    </row>
    <row r="951" spans="1:8" s="44" customFormat="1" hidden="1" outlineLevel="1">
      <c r="A951" s="408" t="s">
        <v>610</v>
      </c>
      <c r="B951" s="492">
        <f>VLOOKUP($A951,'Anlage 1a_Zuschlagszahlungen_NB'!$A$8:$E$167,5,FALSE)</f>
        <v>2282548</v>
      </c>
      <c r="C951" s="88">
        <f>SUMIFS('Anlage 1c_Korrekturen_NB'!$D$11:$D$103,'Anlage 1c_Korrekturen_NB'!$A$11:$A$103,'Anlage 3a_Zusammenfassung_KWKG'!$A951)+SUMIFS('Anlage 1c_Korrekturen_NB'!$F$11:$F$103,'Anlage 1c_Korrekturen_NB'!$A$11:$A$103,'Anlage 3a_Zusammenfassung_KWKG'!$A951)+SUMIFS('Anlage 1c_Korrekturen_NB'!$H$11:$H$103,'Anlage 1c_Korrekturen_NB'!$A$11:$A$103,'Anlage 3a_Zusammenfassung_KWKG'!$A951)</f>
        <v>10301</v>
      </c>
      <c r="D951" s="135">
        <f t="shared" si="43"/>
        <v>2292849</v>
      </c>
      <c r="E951" s="133"/>
      <c r="F951" s="92"/>
      <c r="G951" s="92"/>
      <c r="H951" s="92"/>
    </row>
    <row r="952" spans="1:8" s="44" customFormat="1" hidden="1" outlineLevel="1">
      <c r="A952" s="408" t="s">
        <v>612</v>
      </c>
      <c r="B952" s="492">
        <f>VLOOKUP($A952,'Anlage 1a_Zuschlagszahlungen_NB'!$A$8:$E$167,5,FALSE)</f>
        <v>218864</v>
      </c>
      <c r="C952" s="88">
        <f>SUMIFS('Anlage 1c_Korrekturen_NB'!$D$11:$D$103,'Anlage 1c_Korrekturen_NB'!$A$11:$A$103,'Anlage 3a_Zusammenfassung_KWKG'!$A952)+SUMIFS('Anlage 1c_Korrekturen_NB'!$F$11:$F$103,'Anlage 1c_Korrekturen_NB'!$A$11:$A$103,'Anlage 3a_Zusammenfassung_KWKG'!$A952)+SUMIFS('Anlage 1c_Korrekturen_NB'!$H$11:$H$103,'Anlage 1c_Korrekturen_NB'!$A$11:$A$103,'Anlage 3a_Zusammenfassung_KWKG'!$A952)</f>
        <v>0</v>
      </c>
      <c r="D952" s="135">
        <f t="shared" si="43"/>
        <v>218864</v>
      </c>
      <c r="E952" s="133"/>
      <c r="F952" s="92"/>
      <c r="G952" s="92"/>
      <c r="H952" s="92"/>
    </row>
    <row r="953" spans="1:8" s="44" customFormat="1" hidden="1" outlineLevel="1">
      <c r="A953" s="408" t="s">
        <v>614</v>
      </c>
      <c r="B953" s="492">
        <f>VLOOKUP($A953,'Anlage 1a_Zuschlagszahlungen_NB'!$A$8:$E$167,5,FALSE)</f>
        <v>1787252</v>
      </c>
      <c r="C953" s="88">
        <f>SUMIFS('Anlage 1c_Korrekturen_NB'!$D$11:$D$103,'Anlage 1c_Korrekturen_NB'!$A$11:$A$103,'Anlage 3a_Zusammenfassung_KWKG'!$A953)+SUMIFS('Anlage 1c_Korrekturen_NB'!$F$11:$F$103,'Anlage 1c_Korrekturen_NB'!$A$11:$A$103,'Anlage 3a_Zusammenfassung_KWKG'!$A953)+SUMIFS('Anlage 1c_Korrekturen_NB'!$H$11:$H$103,'Anlage 1c_Korrekturen_NB'!$A$11:$A$103,'Anlage 3a_Zusammenfassung_KWKG'!$A953)</f>
        <v>0</v>
      </c>
      <c r="D953" s="135">
        <f t="shared" si="43"/>
        <v>1787252</v>
      </c>
      <c r="E953" s="133"/>
      <c r="F953" s="92"/>
      <c r="G953" s="92"/>
      <c r="H953" s="92"/>
    </row>
    <row r="954" spans="1:8" s="44" customFormat="1" hidden="1" outlineLevel="1">
      <c r="A954" s="408" t="s">
        <v>616</v>
      </c>
      <c r="B954" s="492">
        <f>VLOOKUP($A954,'Anlage 1a_Zuschlagszahlungen_NB'!$A$8:$E$167,5,FALSE)</f>
        <v>70000</v>
      </c>
      <c r="C954" s="88">
        <f>SUMIFS('Anlage 1c_Korrekturen_NB'!$D$11:$D$103,'Anlage 1c_Korrekturen_NB'!$A$11:$A$103,'Anlage 3a_Zusammenfassung_KWKG'!$A954)+SUMIFS('Anlage 1c_Korrekturen_NB'!$F$11:$F$103,'Anlage 1c_Korrekturen_NB'!$A$11:$A$103,'Anlage 3a_Zusammenfassung_KWKG'!$A954)+SUMIFS('Anlage 1c_Korrekturen_NB'!$H$11:$H$103,'Anlage 1c_Korrekturen_NB'!$A$11:$A$103,'Anlage 3a_Zusammenfassung_KWKG'!$A954)</f>
        <v>0</v>
      </c>
      <c r="D954" s="135">
        <f t="shared" si="43"/>
        <v>70000</v>
      </c>
      <c r="E954" s="133"/>
      <c r="F954" s="92"/>
      <c r="G954" s="92"/>
      <c r="H954" s="92"/>
    </row>
    <row r="955" spans="1:8" s="44" customFormat="1" hidden="1" outlineLevel="1">
      <c r="A955" s="408" t="s">
        <v>618</v>
      </c>
      <c r="B955" s="492">
        <f>VLOOKUP($A955,'Anlage 1a_Zuschlagszahlungen_NB'!$A$8:$E$167,5,FALSE)</f>
        <v>113321390</v>
      </c>
      <c r="C955" s="88">
        <f>SUMIFS('Anlage 1c_Korrekturen_NB'!$D$11:$D$103,'Anlage 1c_Korrekturen_NB'!$A$11:$A$103,'Anlage 3a_Zusammenfassung_KWKG'!$A955)+SUMIFS('Anlage 1c_Korrekturen_NB'!$F$11:$F$103,'Anlage 1c_Korrekturen_NB'!$A$11:$A$103,'Anlage 3a_Zusammenfassung_KWKG'!$A955)+SUMIFS('Anlage 1c_Korrekturen_NB'!$H$11:$H$103,'Anlage 1c_Korrekturen_NB'!$A$11:$A$103,'Anlage 3a_Zusammenfassung_KWKG'!$A955)</f>
        <v>0</v>
      </c>
      <c r="D955" s="135">
        <f t="shared" si="43"/>
        <v>113321390</v>
      </c>
      <c r="E955" s="133"/>
      <c r="F955" s="92"/>
      <c r="G955" s="92"/>
      <c r="H955" s="92"/>
    </row>
    <row r="956" spans="1:8" s="44" customFormat="1" hidden="1" outlineLevel="1">
      <c r="A956" s="408" t="s">
        <v>620</v>
      </c>
      <c r="B956" s="492">
        <f>VLOOKUP($A956,'Anlage 1a_Zuschlagszahlungen_NB'!$A$8:$E$167,5,FALSE)</f>
        <v>71186028</v>
      </c>
      <c r="C956" s="88">
        <f>SUMIFS('Anlage 1c_Korrekturen_NB'!$D$11:$D$103,'Anlage 1c_Korrekturen_NB'!$A$11:$A$103,'Anlage 3a_Zusammenfassung_KWKG'!$A956)+SUMIFS('Anlage 1c_Korrekturen_NB'!$F$11:$F$103,'Anlage 1c_Korrekturen_NB'!$A$11:$A$103,'Anlage 3a_Zusammenfassung_KWKG'!$A956)+SUMIFS('Anlage 1c_Korrekturen_NB'!$H$11:$H$103,'Anlage 1c_Korrekturen_NB'!$A$11:$A$103,'Anlage 3a_Zusammenfassung_KWKG'!$A956)</f>
        <v>6114544</v>
      </c>
      <c r="D956" s="135">
        <f t="shared" si="43"/>
        <v>77300572</v>
      </c>
      <c r="E956" s="133"/>
      <c r="F956" s="92"/>
      <c r="G956" s="92"/>
      <c r="H956" s="92"/>
    </row>
    <row r="957" spans="1:8" s="44" customFormat="1" hidden="1" outlineLevel="1">
      <c r="A957" s="408" t="s">
        <v>622</v>
      </c>
      <c r="B957" s="492">
        <f>VLOOKUP($A957,'Anlage 1a_Zuschlagszahlungen_NB'!$A$8:$E$167,5,FALSE)</f>
        <v>418189847</v>
      </c>
      <c r="C957" s="88">
        <f>SUMIFS('Anlage 1c_Korrekturen_NB'!$D$11:$D$103,'Anlage 1c_Korrekturen_NB'!$A$11:$A$103,'Anlage 3a_Zusammenfassung_KWKG'!$A957)+SUMIFS('Anlage 1c_Korrekturen_NB'!$F$11:$F$103,'Anlage 1c_Korrekturen_NB'!$A$11:$A$103,'Anlage 3a_Zusammenfassung_KWKG'!$A957)+SUMIFS('Anlage 1c_Korrekturen_NB'!$H$11:$H$103,'Anlage 1c_Korrekturen_NB'!$A$11:$A$103,'Anlage 3a_Zusammenfassung_KWKG'!$A957)</f>
        <v>1655451</v>
      </c>
      <c r="D957" s="135">
        <f t="shared" si="43"/>
        <v>419845298</v>
      </c>
      <c r="E957" s="133"/>
      <c r="F957" s="92"/>
      <c r="G957" s="92"/>
      <c r="H957" s="92"/>
    </row>
    <row r="958" spans="1:8" s="44" customFormat="1" hidden="1" outlineLevel="1">
      <c r="A958" s="408" t="s">
        <v>624</v>
      </c>
      <c r="B958" s="492">
        <f>VLOOKUP($A958,'Anlage 1a_Zuschlagszahlungen_NB'!$A$8:$E$167,5,FALSE)</f>
        <v>14511372</v>
      </c>
      <c r="C958" s="88">
        <f>SUMIFS('Anlage 1c_Korrekturen_NB'!$D$11:$D$103,'Anlage 1c_Korrekturen_NB'!$A$11:$A$103,'Anlage 3a_Zusammenfassung_KWKG'!$A958)+SUMIFS('Anlage 1c_Korrekturen_NB'!$F$11:$F$103,'Anlage 1c_Korrekturen_NB'!$A$11:$A$103,'Anlage 3a_Zusammenfassung_KWKG'!$A958)+SUMIFS('Anlage 1c_Korrekturen_NB'!$H$11:$H$103,'Anlage 1c_Korrekturen_NB'!$A$11:$A$103,'Anlage 3a_Zusammenfassung_KWKG'!$A958)</f>
        <v>25154</v>
      </c>
      <c r="D958" s="135">
        <f t="shared" si="43"/>
        <v>14536526</v>
      </c>
      <c r="E958" s="133"/>
      <c r="F958" s="92"/>
      <c r="G958" s="92"/>
      <c r="H958" s="92"/>
    </row>
    <row r="959" spans="1:8" s="44" customFormat="1" hidden="1" outlineLevel="1">
      <c r="A959" s="408" t="s">
        <v>626</v>
      </c>
      <c r="B959" s="492">
        <f>VLOOKUP($A959,'Anlage 1a_Zuschlagszahlungen_NB'!$A$8:$E$167,5,FALSE)</f>
        <v>17963850</v>
      </c>
      <c r="C959" s="88">
        <f>SUMIFS('Anlage 1c_Korrekturen_NB'!$D$11:$D$103,'Anlage 1c_Korrekturen_NB'!$A$11:$A$103,'Anlage 3a_Zusammenfassung_KWKG'!$A959)+SUMIFS('Anlage 1c_Korrekturen_NB'!$F$11:$F$103,'Anlage 1c_Korrekturen_NB'!$A$11:$A$103,'Anlage 3a_Zusammenfassung_KWKG'!$A959)+SUMIFS('Anlage 1c_Korrekturen_NB'!$H$11:$H$103,'Anlage 1c_Korrekturen_NB'!$A$11:$A$103,'Anlage 3a_Zusammenfassung_KWKG'!$A959)</f>
        <v>0</v>
      </c>
      <c r="D959" s="135">
        <f t="shared" si="43"/>
        <v>17963850</v>
      </c>
      <c r="E959" s="133"/>
      <c r="F959" s="92"/>
      <c r="G959" s="92"/>
      <c r="H959" s="92"/>
    </row>
    <row r="960" spans="1:8" s="44" customFormat="1" hidden="1" outlineLevel="1">
      <c r="A960" s="408" t="s">
        <v>628</v>
      </c>
      <c r="B960" s="492">
        <f>VLOOKUP($A960,'Anlage 1a_Zuschlagszahlungen_NB'!$A$8:$E$167,5,FALSE)</f>
        <v>519295</v>
      </c>
      <c r="C960" s="88">
        <f>SUMIFS('Anlage 1c_Korrekturen_NB'!$D$11:$D$103,'Anlage 1c_Korrekturen_NB'!$A$11:$A$103,'Anlage 3a_Zusammenfassung_KWKG'!$A960)+SUMIFS('Anlage 1c_Korrekturen_NB'!$F$11:$F$103,'Anlage 1c_Korrekturen_NB'!$A$11:$A$103,'Anlage 3a_Zusammenfassung_KWKG'!$A960)+SUMIFS('Anlage 1c_Korrekturen_NB'!$H$11:$H$103,'Anlage 1c_Korrekturen_NB'!$A$11:$A$103,'Anlage 3a_Zusammenfassung_KWKG'!$A960)</f>
        <v>0</v>
      </c>
      <c r="D960" s="135">
        <f t="shared" si="43"/>
        <v>519295</v>
      </c>
      <c r="E960" s="133"/>
      <c r="F960" s="92"/>
      <c r="G960" s="92"/>
      <c r="H960" s="92"/>
    </row>
    <row r="961" spans="1:8" s="44" customFormat="1" hidden="1" outlineLevel="1">
      <c r="A961" s="408" t="s">
        <v>630</v>
      </c>
      <c r="B961" s="492">
        <f>VLOOKUP($A961,'Anlage 1a_Zuschlagszahlungen_NB'!$A$8:$E$167,5,FALSE)</f>
        <v>178081</v>
      </c>
      <c r="C961" s="88">
        <f>SUMIFS('Anlage 1c_Korrekturen_NB'!$D$11:$D$103,'Anlage 1c_Korrekturen_NB'!$A$11:$A$103,'Anlage 3a_Zusammenfassung_KWKG'!$A961)+SUMIFS('Anlage 1c_Korrekturen_NB'!$F$11:$F$103,'Anlage 1c_Korrekturen_NB'!$A$11:$A$103,'Anlage 3a_Zusammenfassung_KWKG'!$A961)+SUMIFS('Anlage 1c_Korrekturen_NB'!$H$11:$H$103,'Anlage 1c_Korrekturen_NB'!$A$11:$A$103,'Anlage 3a_Zusammenfassung_KWKG'!$A961)</f>
        <v>0</v>
      </c>
      <c r="D961" s="135">
        <f t="shared" si="43"/>
        <v>178081</v>
      </c>
      <c r="E961" s="133"/>
      <c r="F961" s="92"/>
      <c r="G961" s="92"/>
      <c r="H961" s="92"/>
    </row>
    <row r="962" spans="1:8" s="44" customFormat="1" hidden="1" outlineLevel="1">
      <c r="A962" s="408" t="s">
        <v>632</v>
      </c>
      <c r="B962" s="492">
        <f>VLOOKUP($A962,'Anlage 1a_Zuschlagszahlungen_NB'!$A$8:$E$167,5,FALSE)</f>
        <v>14314506</v>
      </c>
      <c r="C962" s="88">
        <f>SUMIFS('Anlage 1c_Korrekturen_NB'!$D$11:$D$103,'Anlage 1c_Korrekturen_NB'!$A$11:$A$103,'Anlage 3a_Zusammenfassung_KWKG'!$A962)+SUMIFS('Anlage 1c_Korrekturen_NB'!$F$11:$F$103,'Anlage 1c_Korrekturen_NB'!$A$11:$A$103,'Anlage 3a_Zusammenfassung_KWKG'!$A962)+SUMIFS('Anlage 1c_Korrekturen_NB'!$H$11:$H$103,'Anlage 1c_Korrekturen_NB'!$A$11:$A$103,'Anlage 3a_Zusammenfassung_KWKG'!$A962)</f>
        <v>0</v>
      </c>
      <c r="D962" s="135">
        <f t="shared" si="43"/>
        <v>14314506</v>
      </c>
      <c r="E962" s="133"/>
      <c r="F962" s="92"/>
      <c r="G962" s="92"/>
      <c r="H962" s="92"/>
    </row>
    <row r="963" spans="1:8" s="44" customFormat="1" hidden="1" outlineLevel="1">
      <c r="A963" s="408" t="s">
        <v>634</v>
      </c>
      <c r="B963" s="492">
        <f>VLOOKUP($A963,'Anlage 1a_Zuschlagszahlungen_NB'!$A$8:$E$167,5,FALSE)</f>
        <v>514597</v>
      </c>
      <c r="C963" s="88">
        <f>SUMIFS('Anlage 1c_Korrekturen_NB'!$D$11:$D$103,'Anlage 1c_Korrekturen_NB'!$A$11:$A$103,'Anlage 3a_Zusammenfassung_KWKG'!$A963)+SUMIFS('Anlage 1c_Korrekturen_NB'!$F$11:$F$103,'Anlage 1c_Korrekturen_NB'!$A$11:$A$103,'Anlage 3a_Zusammenfassung_KWKG'!$A963)+SUMIFS('Anlage 1c_Korrekturen_NB'!$H$11:$H$103,'Anlage 1c_Korrekturen_NB'!$A$11:$A$103,'Anlage 3a_Zusammenfassung_KWKG'!$A963)</f>
        <v>0</v>
      </c>
      <c r="D963" s="135">
        <f t="shared" si="43"/>
        <v>514597</v>
      </c>
      <c r="E963" s="133"/>
      <c r="F963" s="92"/>
      <c r="G963" s="92"/>
      <c r="H963" s="92"/>
    </row>
    <row r="964" spans="1:8" s="44" customFormat="1" hidden="1" outlineLevel="1">
      <c r="A964" s="408" t="s">
        <v>636</v>
      </c>
      <c r="B964" s="492">
        <f>VLOOKUP($A964,'Anlage 1a_Zuschlagszahlungen_NB'!$A$8:$E$167,5,FALSE)</f>
        <v>180755293</v>
      </c>
      <c r="C964" s="88">
        <f>SUMIFS('Anlage 1c_Korrekturen_NB'!$D$11:$D$103,'Anlage 1c_Korrekturen_NB'!$A$11:$A$103,'Anlage 3a_Zusammenfassung_KWKG'!$A964)+SUMIFS('Anlage 1c_Korrekturen_NB'!$F$11:$F$103,'Anlage 1c_Korrekturen_NB'!$A$11:$A$103,'Anlage 3a_Zusammenfassung_KWKG'!$A964)+SUMIFS('Anlage 1c_Korrekturen_NB'!$H$11:$H$103,'Anlage 1c_Korrekturen_NB'!$A$11:$A$103,'Anlage 3a_Zusammenfassung_KWKG'!$A964)</f>
        <v>0</v>
      </c>
      <c r="D964" s="135">
        <f t="shared" si="43"/>
        <v>180755293</v>
      </c>
      <c r="E964" s="133"/>
      <c r="F964" s="92"/>
      <c r="G964" s="92"/>
      <c r="H964" s="92"/>
    </row>
    <row r="965" spans="1:8" s="44" customFormat="1" hidden="1" outlineLevel="1">
      <c r="A965" s="408" t="s">
        <v>638</v>
      </c>
      <c r="B965" s="492">
        <f>VLOOKUP($A965,'Anlage 1a_Zuschlagszahlungen_NB'!$A$8:$E$167,5,FALSE)</f>
        <v>54644721</v>
      </c>
      <c r="C965" s="88">
        <f>SUMIFS('Anlage 1c_Korrekturen_NB'!$D$11:$D$103,'Anlage 1c_Korrekturen_NB'!$A$11:$A$103,'Anlage 3a_Zusammenfassung_KWKG'!$A965)+SUMIFS('Anlage 1c_Korrekturen_NB'!$F$11:$F$103,'Anlage 1c_Korrekturen_NB'!$A$11:$A$103,'Anlage 3a_Zusammenfassung_KWKG'!$A965)+SUMIFS('Anlage 1c_Korrekturen_NB'!$H$11:$H$103,'Anlage 1c_Korrekturen_NB'!$A$11:$A$103,'Anlage 3a_Zusammenfassung_KWKG'!$A965)</f>
        <v>0</v>
      </c>
      <c r="D965" s="135">
        <f t="shared" si="43"/>
        <v>54644721</v>
      </c>
      <c r="E965" s="133"/>
      <c r="F965" s="92"/>
      <c r="G965" s="92"/>
      <c r="H965" s="92"/>
    </row>
    <row r="966" spans="1:8" s="44" customFormat="1" hidden="1" outlineLevel="1">
      <c r="A966" s="408" t="s">
        <v>640</v>
      </c>
      <c r="B966" s="492">
        <f>VLOOKUP($A966,'Anlage 1a_Zuschlagszahlungen_NB'!$A$8:$E$167,5,FALSE)</f>
        <v>414856</v>
      </c>
      <c r="C966" s="88">
        <f>SUMIFS('Anlage 1c_Korrekturen_NB'!$D$11:$D$103,'Anlage 1c_Korrekturen_NB'!$A$11:$A$103,'Anlage 3a_Zusammenfassung_KWKG'!$A966)+SUMIFS('Anlage 1c_Korrekturen_NB'!$F$11:$F$103,'Anlage 1c_Korrekturen_NB'!$A$11:$A$103,'Anlage 3a_Zusammenfassung_KWKG'!$A966)+SUMIFS('Anlage 1c_Korrekturen_NB'!$H$11:$H$103,'Anlage 1c_Korrekturen_NB'!$A$11:$A$103,'Anlage 3a_Zusammenfassung_KWKG'!$A966)</f>
        <v>0</v>
      </c>
      <c r="D966" s="135">
        <f t="shared" si="43"/>
        <v>414856</v>
      </c>
      <c r="E966" s="133"/>
      <c r="F966" s="92"/>
      <c r="G966" s="92"/>
      <c r="H966" s="92"/>
    </row>
    <row r="967" spans="1:8" s="44" customFormat="1" hidden="1" outlineLevel="1">
      <c r="A967" s="408" t="s">
        <v>642</v>
      </c>
      <c r="B967" s="492">
        <f>VLOOKUP($A967,'Anlage 1a_Zuschlagszahlungen_NB'!$A$8:$E$167,5,FALSE)</f>
        <v>526007</v>
      </c>
      <c r="C967" s="88">
        <f>SUMIFS('Anlage 1c_Korrekturen_NB'!$D$11:$D$103,'Anlage 1c_Korrekturen_NB'!$A$11:$A$103,'Anlage 3a_Zusammenfassung_KWKG'!$A967)+SUMIFS('Anlage 1c_Korrekturen_NB'!$F$11:$F$103,'Anlage 1c_Korrekturen_NB'!$A$11:$A$103,'Anlage 3a_Zusammenfassung_KWKG'!$A967)+SUMIFS('Anlage 1c_Korrekturen_NB'!$H$11:$H$103,'Anlage 1c_Korrekturen_NB'!$A$11:$A$103,'Anlage 3a_Zusammenfassung_KWKG'!$A967)</f>
        <v>0</v>
      </c>
      <c r="D967" s="135">
        <f t="shared" si="43"/>
        <v>526007</v>
      </c>
      <c r="E967" s="133"/>
      <c r="F967" s="92"/>
      <c r="G967" s="92"/>
      <c r="H967" s="92"/>
    </row>
    <row r="968" spans="1:8" s="44" customFormat="1" hidden="1" outlineLevel="1">
      <c r="A968" s="408" t="s">
        <v>644</v>
      </c>
      <c r="B968" s="492">
        <f>VLOOKUP($A968,'Anlage 1a_Zuschlagszahlungen_NB'!$A$8:$E$167,5,FALSE)</f>
        <v>1085831</v>
      </c>
      <c r="C968" s="88">
        <f>SUMIFS('Anlage 1c_Korrekturen_NB'!$D$11:$D$103,'Anlage 1c_Korrekturen_NB'!$A$11:$A$103,'Anlage 3a_Zusammenfassung_KWKG'!$A968)+SUMIFS('Anlage 1c_Korrekturen_NB'!$F$11:$F$103,'Anlage 1c_Korrekturen_NB'!$A$11:$A$103,'Anlage 3a_Zusammenfassung_KWKG'!$A968)+SUMIFS('Anlage 1c_Korrekturen_NB'!$H$11:$H$103,'Anlage 1c_Korrekturen_NB'!$A$11:$A$103,'Anlage 3a_Zusammenfassung_KWKG'!$A968)</f>
        <v>0</v>
      </c>
      <c r="D968" s="135">
        <f t="shared" si="43"/>
        <v>1085831</v>
      </c>
      <c r="E968" s="133"/>
      <c r="F968" s="92"/>
      <c r="G968" s="92"/>
      <c r="H968" s="92"/>
    </row>
    <row r="969" spans="1:8" s="44" customFormat="1" hidden="1" outlineLevel="1">
      <c r="A969" s="408" t="s">
        <v>646</v>
      </c>
      <c r="B969" s="492">
        <f>VLOOKUP($A969,'Anlage 1a_Zuschlagszahlungen_NB'!$A$8:$E$167,5,FALSE)</f>
        <v>4233877</v>
      </c>
      <c r="C969" s="88">
        <f>SUMIFS('Anlage 1c_Korrekturen_NB'!$D$11:$D$103,'Anlage 1c_Korrekturen_NB'!$A$11:$A$103,'Anlage 3a_Zusammenfassung_KWKG'!$A969)+SUMIFS('Anlage 1c_Korrekturen_NB'!$F$11:$F$103,'Anlage 1c_Korrekturen_NB'!$A$11:$A$103,'Anlage 3a_Zusammenfassung_KWKG'!$A969)+SUMIFS('Anlage 1c_Korrekturen_NB'!$H$11:$H$103,'Anlage 1c_Korrekturen_NB'!$A$11:$A$103,'Anlage 3a_Zusammenfassung_KWKG'!$A969)</f>
        <v>0</v>
      </c>
      <c r="D969" s="135">
        <f t="shared" si="43"/>
        <v>4233877</v>
      </c>
      <c r="E969" s="133"/>
      <c r="F969" s="92"/>
      <c r="G969" s="92"/>
      <c r="H969" s="92"/>
    </row>
    <row r="970" spans="1:8" s="44" customFormat="1" hidden="1" outlineLevel="1">
      <c r="A970" s="408" t="s">
        <v>648</v>
      </c>
      <c r="B970" s="492">
        <f>VLOOKUP($A970,'Anlage 1a_Zuschlagszahlungen_NB'!$A$8:$E$167,5,FALSE)</f>
        <v>2991063</v>
      </c>
      <c r="C970" s="88">
        <f>SUMIFS('Anlage 1c_Korrekturen_NB'!$D$11:$D$103,'Anlage 1c_Korrekturen_NB'!$A$11:$A$103,'Anlage 3a_Zusammenfassung_KWKG'!$A970)+SUMIFS('Anlage 1c_Korrekturen_NB'!$F$11:$F$103,'Anlage 1c_Korrekturen_NB'!$A$11:$A$103,'Anlage 3a_Zusammenfassung_KWKG'!$A970)+SUMIFS('Anlage 1c_Korrekturen_NB'!$H$11:$H$103,'Anlage 1c_Korrekturen_NB'!$A$11:$A$103,'Anlage 3a_Zusammenfassung_KWKG'!$A970)</f>
        <v>0</v>
      </c>
      <c r="D970" s="135">
        <f t="shared" si="43"/>
        <v>2991063</v>
      </c>
      <c r="E970" s="133"/>
      <c r="F970" s="92"/>
      <c r="G970" s="92"/>
      <c r="H970" s="92"/>
    </row>
    <row r="971" spans="1:8" s="44" customFormat="1" hidden="1" outlineLevel="1">
      <c r="A971" s="408" t="s">
        <v>650</v>
      </c>
      <c r="B971" s="492">
        <f>VLOOKUP($A971,'Anlage 1a_Zuschlagszahlungen_NB'!$A$8:$E$167,5,FALSE)</f>
        <v>1541541</v>
      </c>
      <c r="C971" s="88">
        <f>SUMIFS('Anlage 1c_Korrekturen_NB'!$D$11:$D$103,'Anlage 1c_Korrekturen_NB'!$A$11:$A$103,'Anlage 3a_Zusammenfassung_KWKG'!$A971)+SUMIFS('Anlage 1c_Korrekturen_NB'!$F$11:$F$103,'Anlage 1c_Korrekturen_NB'!$A$11:$A$103,'Anlage 3a_Zusammenfassung_KWKG'!$A971)+SUMIFS('Anlage 1c_Korrekturen_NB'!$H$11:$H$103,'Anlage 1c_Korrekturen_NB'!$A$11:$A$103,'Anlage 3a_Zusammenfassung_KWKG'!$A971)</f>
        <v>0</v>
      </c>
      <c r="D971" s="135">
        <f t="shared" si="43"/>
        <v>1541541</v>
      </c>
      <c r="E971" s="133"/>
      <c r="F971" s="92"/>
      <c r="G971" s="92"/>
      <c r="H971" s="92"/>
    </row>
    <row r="972" spans="1:8" s="44" customFormat="1" hidden="1" outlineLevel="1">
      <c r="A972" s="408" t="s">
        <v>652</v>
      </c>
      <c r="B972" s="492">
        <f>VLOOKUP($A972,'Anlage 1a_Zuschlagszahlungen_NB'!$A$8:$E$167,5,FALSE)</f>
        <v>1052342</v>
      </c>
      <c r="C972" s="88">
        <f>SUMIFS('Anlage 1c_Korrekturen_NB'!$D$11:$D$103,'Anlage 1c_Korrekturen_NB'!$A$11:$A$103,'Anlage 3a_Zusammenfassung_KWKG'!$A972)+SUMIFS('Anlage 1c_Korrekturen_NB'!$F$11:$F$103,'Anlage 1c_Korrekturen_NB'!$A$11:$A$103,'Anlage 3a_Zusammenfassung_KWKG'!$A972)+SUMIFS('Anlage 1c_Korrekturen_NB'!$H$11:$H$103,'Anlage 1c_Korrekturen_NB'!$A$11:$A$103,'Anlage 3a_Zusammenfassung_KWKG'!$A972)</f>
        <v>0</v>
      </c>
      <c r="D972" s="135">
        <f t="shared" si="43"/>
        <v>1052342</v>
      </c>
      <c r="E972" s="133"/>
      <c r="F972" s="92"/>
      <c r="G972" s="92"/>
      <c r="H972" s="92"/>
    </row>
    <row r="973" spans="1:8" s="44" customFormat="1" hidden="1" outlineLevel="1">
      <c r="A973" s="408" t="s">
        <v>654</v>
      </c>
      <c r="B973" s="492">
        <f>VLOOKUP($A973,'Anlage 1a_Zuschlagszahlungen_NB'!$A$8:$E$167,5,FALSE)</f>
        <v>7886209</v>
      </c>
      <c r="C973" s="88">
        <f>SUMIFS('Anlage 1c_Korrekturen_NB'!$D$11:$D$103,'Anlage 1c_Korrekturen_NB'!$A$11:$A$103,'Anlage 3a_Zusammenfassung_KWKG'!$A973)+SUMIFS('Anlage 1c_Korrekturen_NB'!$F$11:$F$103,'Anlage 1c_Korrekturen_NB'!$A$11:$A$103,'Anlage 3a_Zusammenfassung_KWKG'!$A973)+SUMIFS('Anlage 1c_Korrekturen_NB'!$H$11:$H$103,'Anlage 1c_Korrekturen_NB'!$A$11:$A$103,'Anlage 3a_Zusammenfassung_KWKG'!$A973)</f>
        <v>0</v>
      </c>
      <c r="D973" s="135">
        <f t="shared" si="43"/>
        <v>7886209</v>
      </c>
      <c r="E973" s="133"/>
      <c r="F973" s="92"/>
      <c r="G973" s="92"/>
      <c r="H973" s="92"/>
    </row>
    <row r="974" spans="1:8" s="44" customFormat="1" hidden="1" outlineLevel="1">
      <c r="A974" s="408" t="s">
        <v>656</v>
      </c>
      <c r="B974" s="492">
        <f>VLOOKUP($A974,'Anlage 1a_Zuschlagszahlungen_NB'!$A$8:$E$167,5,FALSE)</f>
        <v>0</v>
      </c>
      <c r="C974" s="88">
        <f>SUMIFS('Anlage 1c_Korrekturen_NB'!$D$11:$D$103,'Anlage 1c_Korrekturen_NB'!$A$11:$A$103,'Anlage 3a_Zusammenfassung_KWKG'!$A974)+SUMIFS('Anlage 1c_Korrekturen_NB'!$F$11:$F$103,'Anlage 1c_Korrekturen_NB'!$A$11:$A$103,'Anlage 3a_Zusammenfassung_KWKG'!$A974)+SUMIFS('Anlage 1c_Korrekturen_NB'!$H$11:$H$103,'Anlage 1c_Korrekturen_NB'!$A$11:$A$103,'Anlage 3a_Zusammenfassung_KWKG'!$A974)</f>
        <v>0</v>
      </c>
      <c r="D974" s="135">
        <f t="shared" si="43"/>
        <v>0</v>
      </c>
      <c r="E974" s="133"/>
      <c r="F974" s="92"/>
      <c r="G974" s="92"/>
      <c r="H974" s="92"/>
    </row>
    <row r="975" spans="1:8" s="44" customFormat="1" hidden="1" outlineLevel="1">
      <c r="A975" s="408" t="s">
        <v>658</v>
      </c>
      <c r="B975" s="492">
        <f>VLOOKUP($A975,'Anlage 1a_Zuschlagszahlungen_NB'!$A$8:$E$167,5,FALSE)</f>
        <v>11678483</v>
      </c>
      <c r="C975" s="88">
        <f>SUMIFS('Anlage 1c_Korrekturen_NB'!$D$11:$D$103,'Anlage 1c_Korrekturen_NB'!$A$11:$A$103,'Anlage 3a_Zusammenfassung_KWKG'!$A975)+SUMIFS('Anlage 1c_Korrekturen_NB'!$F$11:$F$103,'Anlage 1c_Korrekturen_NB'!$A$11:$A$103,'Anlage 3a_Zusammenfassung_KWKG'!$A975)+SUMIFS('Anlage 1c_Korrekturen_NB'!$H$11:$H$103,'Anlage 1c_Korrekturen_NB'!$A$11:$A$103,'Anlage 3a_Zusammenfassung_KWKG'!$A975)</f>
        <v>0</v>
      </c>
      <c r="D975" s="135">
        <f t="shared" si="43"/>
        <v>11678483</v>
      </c>
      <c r="E975" s="133"/>
      <c r="F975" s="92"/>
      <c r="G975" s="92"/>
      <c r="H975" s="92"/>
    </row>
    <row r="976" spans="1:8" s="44" customFormat="1" hidden="1" outlineLevel="1">
      <c r="A976" s="408" t="s">
        <v>660</v>
      </c>
      <c r="B976" s="492">
        <f>VLOOKUP($A976,'Anlage 1a_Zuschlagszahlungen_NB'!$A$8:$E$167,5,FALSE)</f>
        <v>174188</v>
      </c>
      <c r="C976" s="88">
        <f>SUMIFS('Anlage 1c_Korrekturen_NB'!$D$11:$D$103,'Anlage 1c_Korrekturen_NB'!$A$11:$A$103,'Anlage 3a_Zusammenfassung_KWKG'!$A976)+SUMIFS('Anlage 1c_Korrekturen_NB'!$F$11:$F$103,'Anlage 1c_Korrekturen_NB'!$A$11:$A$103,'Anlage 3a_Zusammenfassung_KWKG'!$A976)+SUMIFS('Anlage 1c_Korrekturen_NB'!$H$11:$H$103,'Anlage 1c_Korrekturen_NB'!$A$11:$A$103,'Anlage 3a_Zusammenfassung_KWKG'!$A976)</f>
        <v>0</v>
      </c>
      <c r="D976" s="135">
        <f t="shared" si="43"/>
        <v>174188</v>
      </c>
      <c r="E976" s="133"/>
      <c r="F976" s="92"/>
      <c r="G976" s="92"/>
      <c r="H976" s="92"/>
    </row>
    <row r="977" spans="1:8" s="44" customFormat="1" hidden="1" outlineLevel="1">
      <c r="A977" s="408" t="s">
        <v>662</v>
      </c>
      <c r="B977" s="492">
        <f>VLOOKUP($A977,'Anlage 1a_Zuschlagszahlungen_NB'!$A$8:$E$167,5,FALSE)</f>
        <v>147000</v>
      </c>
      <c r="C977" s="88">
        <f>SUMIFS('Anlage 1c_Korrekturen_NB'!$D$11:$D$103,'Anlage 1c_Korrekturen_NB'!$A$11:$A$103,'Anlage 3a_Zusammenfassung_KWKG'!$A977)+SUMIFS('Anlage 1c_Korrekturen_NB'!$F$11:$F$103,'Anlage 1c_Korrekturen_NB'!$A$11:$A$103,'Anlage 3a_Zusammenfassung_KWKG'!$A977)+SUMIFS('Anlage 1c_Korrekturen_NB'!$H$11:$H$103,'Anlage 1c_Korrekturen_NB'!$A$11:$A$103,'Anlage 3a_Zusammenfassung_KWKG'!$A977)</f>
        <v>0</v>
      </c>
      <c r="D977" s="135">
        <f t="shared" si="43"/>
        <v>147000</v>
      </c>
      <c r="E977" s="133"/>
      <c r="F977" s="92"/>
      <c r="G977" s="92"/>
      <c r="H977" s="92"/>
    </row>
    <row r="978" spans="1:8" s="44" customFormat="1" hidden="1" outlineLevel="1">
      <c r="A978" s="408" t="s">
        <v>664</v>
      </c>
      <c r="B978" s="492">
        <f>VLOOKUP($A978,'Anlage 1a_Zuschlagszahlungen_NB'!$A$8:$E$167,5,FALSE)</f>
        <v>141415</v>
      </c>
      <c r="C978" s="88">
        <f>SUMIFS('Anlage 1c_Korrekturen_NB'!$D$11:$D$103,'Anlage 1c_Korrekturen_NB'!$A$11:$A$103,'Anlage 3a_Zusammenfassung_KWKG'!$A978)+SUMIFS('Anlage 1c_Korrekturen_NB'!$F$11:$F$103,'Anlage 1c_Korrekturen_NB'!$A$11:$A$103,'Anlage 3a_Zusammenfassung_KWKG'!$A978)+SUMIFS('Anlage 1c_Korrekturen_NB'!$H$11:$H$103,'Anlage 1c_Korrekturen_NB'!$A$11:$A$103,'Anlage 3a_Zusammenfassung_KWKG'!$A978)</f>
        <v>0</v>
      </c>
      <c r="D978" s="135">
        <f t="shared" si="43"/>
        <v>141415</v>
      </c>
      <c r="E978" s="133"/>
      <c r="F978" s="92"/>
      <c r="G978" s="92"/>
      <c r="H978" s="92"/>
    </row>
    <row r="979" spans="1:8" s="44" customFormat="1" hidden="1" outlineLevel="1">
      <c r="A979" s="408" t="s">
        <v>666</v>
      </c>
      <c r="B979" s="492">
        <f>VLOOKUP($A979,'Anlage 1a_Zuschlagszahlungen_NB'!$A$8:$E$167,5,FALSE)</f>
        <v>365822</v>
      </c>
      <c r="C979" s="88">
        <f>SUMIFS('Anlage 1c_Korrekturen_NB'!$D$11:$D$103,'Anlage 1c_Korrekturen_NB'!$A$11:$A$103,'Anlage 3a_Zusammenfassung_KWKG'!$A979)+SUMIFS('Anlage 1c_Korrekturen_NB'!$F$11:$F$103,'Anlage 1c_Korrekturen_NB'!$A$11:$A$103,'Anlage 3a_Zusammenfassung_KWKG'!$A979)+SUMIFS('Anlage 1c_Korrekturen_NB'!$H$11:$H$103,'Anlage 1c_Korrekturen_NB'!$A$11:$A$103,'Anlage 3a_Zusammenfassung_KWKG'!$A979)</f>
        <v>-647658</v>
      </c>
      <c r="D979" s="135">
        <f t="shared" ref="D979:D1010" si="44">B979+C979</f>
        <v>-281836</v>
      </c>
      <c r="E979" s="133"/>
      <c r="F979" s="92"/>
      <c r="G979" s="92"/>
      <c r="H979" s="92"/>
    </row>
    <row r="980" spans="1:8" s="44" customFormat="1" hidden="1" outlineLevel="1">
      <c r="A980" s="408" t="s">
        <v>668</v>
      </c>
      <c r="B980" s="492">
        <f>VLOOKUP($A980,'Anlage 1a_Zuschlagszahlungen_NB'!$A$8:$E$167,5,FALSE)</f>
        <v>415966</v>
      </c>
      <c r="C980" s="88">
        <f>SUMIFS('Anlage 1c_Korrekturen_NB'!$D$11:$D$103,'Anlage 1c_Korrekturen_NB'!$A$11:$A$103,'Anlage 3a_Zusammenfassung_KWKG'!$A980)+SUMIFS('Anlage 1c_Korrekturen_NB'!$F$11:$F$103,'Anlage 1c_Korrekturen_NB'!$A$11:$A$103,'Anlage 3a_Zusammenfassung_KWKG'!$A980)+SUMIFS('Anlage 1c_Korrekturen_NB'!$H$11:$H$103,'Anlage 1c_Korrekturen_NB'!$A$11:$A$103,'Anlage 3a_Zusammenfassung_KWKG'!$A980)</f>
        <v>103421</v>
      </c>
      <c r="D980" s="135">
        <f t="shared" si="44"/>
        <v>519387</v>
      </c>
      <c r="E980" s="133"/>
      <c r="F980" s="92"/>
      <c r="G980" s="92"/>
      <c r="H980" s="92"/>
    </row>
    <row r="981" spans="1:8" s="44" customFormat="1" hidden="1" outlineLevel="1">
      <c r="A981" s="408" t="s">
        <v>670</v>
      </c>
      <c r="B981" s="492">
        <f>VLOOKUP($A981,'Anlage 1a_Zuschlagszahlungen_NB'!$A$8:$E$167,5,FALSE)</f>
        <v>3088403</v>
      </c>
      <c r="C981" s="88">
        <f>SUMIFS('Anlage 1c_Korrekturen_NB'!$D$11:$D$103,'Anlage 1c_Korrekturen_NB'!$A$11:$A$103,'Anlage 3a_Zusammenfassung_KWKG'!$A981)+SUMIFS('Anlage 1c_Korrekturen_NB'!$F$11:$F$103,'Anlage 1c_Korrekturen_NB'!$A$11:$A$103,'Anlage 3a_Zusammenfassung_KWKG'!$A981)+SUMIFS('Anlage 1c_Korrekturen_NB'!$H$11:$H$103,'Anlage 1c_Korrekturen_NB'!$A$11:$A$103,'Anlage 3a_Zusammenfassung_KWKG'!$A981)</f>
        <v>445618</v>
      </c>
      <c r="D981" s="135">
        <f t="shared" si="44"/>
        <v>3534021</v>
      </c>
      <c r="E981" s="133"/>
      <c r="F981" s="92"/>
      <c r="G981" s="92"/>
      <c r="H981" s="92"/>
    </row>
    <row r="982" spans="1:8" s="44" customFormat="1" hidden="1" outlineLevel="1">
      <c r="A982" s="408" t="s">
        <v>672</v>
      </c>
      <c r="B982" s="492">
        <f>VLOOKUP($A982,'Anlage 1a_Zuschlagszahlungen_NB'!$A$8:$E$167,5,FALSE)</f>
        <v>5990912</v>
      </c>
      <c r="C982" s="88">
        <f>SUMIFS('Anlage 1c_Korrekturen_NB'!$D$11:$D$103,'Anlage 1c_Korrekturen_NB'!$A$11:$A$103,'Anlage 3a_Zusammenfassung_KWKG'!$A982)+SUMIFS('Anlage 1c_Korrekturen_NB'!$F$11:$F$103,'Anlage 1c_Korrekturen_NB'!$A$11:$A$103,'Anlage 3a_Zusammenfassung_KWKG'!$A982)+SUMIFS('Anlage 1c_Korrekturen_NB'!$H$11:$H$103,'Anlage 1c_Korrekturen_NB'!$A$11:$A$103,'Anlage 3a_Zusammenfassung_KWKG'!$A982)</f>
        <v>0</v>
      </c>
      <c r="D982" s="135">
        <f t="shared" si="44"/>
        <v>5990912</v>
      </c>
      <c r="E982" s="133"/>
      <c r="F982" s="92"/>
      <c r="G982" s="92"/>
      <c r="H982" s="92"/>
    </row>
    <row r="983" spans="1:8" s="44" customFormat="1" hidden="1" outlineLevel="1">
      <c r="A983" s="408" t="s">
        <v>674</v>
      </c>
      <c r="B983" s="492">
        <f>VLOOKUP($A983,'Anlage 1a_Zuschlagszahlungen_NB'!$A$8:$E$167,5,FALSE)</f>
        <v>8104155</v>
      </c>
      <c r="C983" s="88">
        <f>SUMIFS('Anlage 1c_Korrekturen_NB'!$D$11:$D$103,'Anlage 1c_Korrekturen_NB'!$A$11:$A$103,'Anlage 3a_Zusammenfassung_KWKG'!$A983)+SUMIFS('Anlage 1c_Korrekturen_NB'!$F$11:$F$103,'Anlage 1c_Korrekturen_NB'!$A$11:$A$103,'Anlage 3a_Zusammenfassung_KWKG'!$A983)+SUMIFS('Anlage 1c_Korrekturen_NB'!$H$11:$H$103,'Anlage 1c_Korrekturen_NB'!$A$11:$A$103,'Anlage 3a_Zusammenfassung_KWKG'!$A983)</f>
        <v>0</v>
      </c>
      <c r="D983" s="135">
        <f t="shared" si="44"/>
        <v>8104155</v>
      </c>
      <c r="E983" s="133"/>
      <c r="F983" s="92"/>
      <c r="G983" s="92"/>
      <c r="H983" s="92"/>
    </row>
    <row r="984" spans="1:8" s="44" customFormat="1" hidden="1" outlineLevel="1">
      <c r="A984" s="408" t="s">
        <v>676</v>
      </c>
      <c r="B984" s="492">
        <f>VLOOKUP($A984,'Anlage 1a_Zuschlagszahlungen_NB'!$A$8:$E$167,5,FALSE)</f>
        <v>0</v>
      </c>
      <c r="C984" s="88">
        <f>SUMIFS('Anlage 1c_Korrekturen_NB'!$D$11:$D$103,'Anlage 1c_Korrekturen_NB'!$A$11:$A$103,'Anlage 3a_Zusammenfassung_KWKG'!$A984)+SUMIFS('Anlage 1c_Korrekturen_NB'!$F$11:$F$103,'Anlage 1c_Korrekturen_NB'!$A$11:$A$103,'Anlage 3a_Zusammenfassung_KWKG'!$A984)+SUMIFS('Anlage 1c_Korrekturen_NB'!$H$11:$H$103,'Anlage 1c_Korrekturen_NB'!$A$11:$A$103,'Anlage 3a_Zusammenfassung_KWKG'!$A984)</f>
        <v>0</v>
      </c>
      <c r="D984" s="135">
        <f t="shared" si="44"/>
        <v>0</v>
      </c>
      <c r="E984" s="133"/>
      <c r="F984" s="92"/>
      <c r="G984" s="92"/>
      <c r="H984" s="92"/>
    </row>
    <row r="985" spans="1:8" s="44" customFormat="1" hidden="1" outlineLevel="1">
      <c r="A985" s="408" t="s">
        <v>678</v>
      </c>
      <c r="B985" s="492">
        <f>VLOOKUP($A985,'Anlage 1a_Zuschlagszahlungen_NB'!$A$8:$E$167,5,FALSE)</f>
        <v>62860</v>
      </c>
      <c r="C985" s="88">
        <f>SUMIFS('Anlage 1c_Korrekturen_NB'!$D$11:$D$103,'Anlage 1c_Korrekturen_NB'!$A$11:$A$103,'Anlage 3a_Zusammenfassung_KWKG'!$A985)+SUMIFS('Anlage 1c_Korrekturen_NB'!$F$11:$F$103,'Anlage 1c_Korrekturen_NB'!$A$11:$A$103,'Anlage 3a_Zusammenfassung_KWKG'!$A985)+SUMIFS('Anlage 1c_Korrekturen_NB'!$H$11:$H$103,'Anlage 1c_Korrekturen_NB'!$A$11:$A$103,'Anlage 3a_Zusammenfassung_KWKG'!$A985)</f>
        <v>0</v>
      </c>
      <c r="D985" s="135">
        <f t="shared" si="44"/>
        <v>62860</v>
      </c>
      <c r="E985" s="133"/>
      <c r="F985" s="92"/>
      <c r="G985" s="92"/>
      <c r="H985" s="92"/>
    </row>
    <row r="986" spans="1:8" s="44" customFormat="1" hidden="1" outlineLevel="1">
      <c r="A986" s="408" t="s">
        <v>680</v>
      </c>
      <c r="B986" s="492">
        <f>VLOOKUP($A986,'Anlage 1a_Zuschlagszahlungen_NB'!$A$8:$E$167,5,FALSE)</f>
        <v>154231226</v>
      </c>
      <c r="C986" s="88">
        <f>SUMIFS('Anlage 1c_Korrekturen_NB'!$D$11:$D$103,'Anlage 1c_Korrekturen_NB'!$A$11:$A$103,'Anlage 3a_Zusammenfassung_KWKG'!$A986)+SUMIFS('Anlage 1c_Korrekturen_NB'!$F$11:$F$103,'Anlage 1c_Korrekturen_NB'!$A$11:$A$103,'Anlage 3a_Zusammenfassung_KWKG'!$A986)+SUMIFS('Anlage 1c_Korrekturen_NB'!$H$11:$H$103,'Anlage 1c_Korrekturen_NB'!$A$11:$A$103,'Anlage 3a_Zusammenfassung_KWKG'!$A986)</f>
        <v>42284511</v>
      </c>
      <c r="D986" s="135">
        <f t="shared" si="44"/>
        <v>196515737</v>
      </c>
      <c r="E986" s="133"/>
      <c r="F986" s="92"/>
      <c r="G986" s="92"/>
      <c r="H986" s="92"/>
    </row>
    <row r="987" spans="1:8" s="44" customFormat="1" hidden="1" outlineLevel="1">
      <c r="A987" s="408" t="s">
        <v>682</v>
      </c>
      <c r="B987" s="492">
        <f>VLOOKUP($A987,'Anlage 1a_Zuschlagszahlungen_NB'!$A$8:$E$167,5,FALSE)</f>
        <v>41028217</v>
      </c>
      <c r="C987" s="88">
        <f>SUMIFS('Anlage 1c_Korrekturen_NB'!$D$11:$D$103,'Anlage 1c_Korrekturen_NB'!$A$11:$A$103,'Anlage 3a_Zusammenfassung_KWKG'!$A987)+SUMIFS('Anlage 1c_Korrekturen_NB'!$F$11:$F$103,'Anlage 1c_Korrekturen_NB'!$A$11:$A$103,'Anlage 3a_Zusammenfassung_KWKG'!$A987)+SUMIFS('Anlage 1c_Korrekturen_NB'!$H$11:$H$103,'Anlage 1c_Korrekturen_NB'!$A$11:$A$103,'Anlage 3a_Zusammenfassung_KWKG'!$A987)</f>
        <v>2486016</v>
      </c>
      <c r="D987" s="135">
        <f t="shared" si="44"/>
        <v>43514233</v>
      </c>
      <c r="E987" s="133"/>
      <c r="F987" s="92"/>
      <c r="G987" s="92"/>
      <c r="H987" s="92"/>
    </row>
    <row r="988" spans="1:8" s="44" customFormat="1" hidden="1" outlineLevel="1">
      <c r="A988" s="408" t="s">
        <v>684</v>
      </c>
      <c r="B988" s="492">
        <f>VLOOKUP($A988,'Anlage 1a_Zuschlagszahlungen_NB'!$A$8:$E$167,5,FALSE)</f>
        <v>908365</v>
      </c>
      <c r="C988" s="88">
        <f>SUMIFS('Anlage 1c_Korrekturen_NB'!$D$11:$D$103,'Anlage 1c_Korrekturen_NB'!$A$11:$A$103,'Anlage 3a_Zusammenfassung_KWKG'!$A988)+SUMIFS('Anlage 1c_Korrekturen_NB'!$F$11:$F$103,'Anlage 1c_Korrekturen_NB'!$A$11:$A$103,'Anlage 3a_Zusammenfassung_KWKG'!$A988)+SUMIFS('Anlage 1c_Korrekturen_NB'!$H$11:$H$103,'Anlage 1c_Korrekturen_NB'!$A$11:$A$103,'Anlage 3a_Zusammenfassung_KWKG'!$A988)</f>
        <v>0</v>
      </c>
      <c r="D988" s="135">
        <f t="shared" si="44"/>
        <v>908365</v>
      </c>
      <c r="E988" s="133"/>
      <c r="F988" s="92"/>
      <c r="G988" s="92"/>
      <c r="H988" s="92"/>
    </row>
    <row r="989" spans="1:8" s="44" customFormat="1" hidden="1" outlineLevel="1">
      <c r="A989" s="408" t="s">
        <v>686</v>
      </c>
      <c r="B989" s="492">
        <f>VLOOKUP($A989,'Anlage 1a_Zuschlagszahlungen_NB'!$A$8:$E$167,5,FALSE)</f>
        <v>31117451</v>
      </c>
      <c r="C989" s="88">
        <f>SUMIFS('Anlage 1c_Korrekturen_NB'!$D$11:$D$103,'Anlage 1c_Korrekturen_NB'!$A$11:$A$103,'Anlage 3a_Zusammenfassung_KWKG'!$A989)+SUMIFS('Anlage 1c_Korrekturen_NB'!$F$11:$F$103,'Anlage 1c_Korrekturen_NB'!$A$11:$A$103,'Anlage 3a_Zusammenfassung_KWKG'!$A989)+SUMIFS('Anlage 1c_Korrekturen_NB'!$H$11:$H$103,'Anlage 1c_Korrekturen_NB'!$A$11:$A$103,'Anlage 3a_Zusammenfassung_KWKG'!$A989)</f>
        <v>8993778</v>
      </c>
      <c r="D989" s="135">
        <f t="shared" si="44"/>
        <v>40111229</v>
      </c>
      <c r="E989" s="133"/>
      <c r="F989" s="92"/>
      <c r="G989" s="92"/>
      <c r="H989" s="92"/>
    </row>
    <row r="990" spans="1:8" s="44" customFormat="1" hidden="1" outlineLevel="1">
      <c r="A990" s="408" t="s">
        <v>688</v>
      </c>
      <c r="B990" s="492">
        <f>VLOOKUP($A990,'Anlage 1a_Zuschlagszahlungen_NB'!$A$8:$E$167,5,FALSE)</f>
        <v>1427053</v>
      </c>
      <c r="C990" s="88">
        <f>SUMIFS('Anlage 1c_Korrekturen_NB'!$D$11:$D$103,'Anlage 1c_Korrekturen_NB'!$A$11:$A$103,'Anlage 3a_Zusammenfassung_KWKG'!$A990)+SUMIFS('Anlage 1c_Korrekturen_NB'!$F$11:$F$103,'Anlage 1c_Korrekturen_NB'!$A$11:$A$103,'Anlage 3a_Zusammenfassung_KWKG'!$A990)+SUMIFS('Anlage 1c_Korrekturen_NB'!$H$11:$H$103,'Anlage 1c_Korrekturen_NB'!$A$11:$A$103,'Anlage 3a_Zusammenfassung_KWKG'!$A990)</f>
        <v>700776</v>
      </c>
      <c r="D990" s="135">
        <f t="shared" si="44"/>
        <v>2127829</v>
      </c>
      <c r="E990" s="133"/>
      <c r="F990" s="92"/>
      <c r="G990" s="92"/>
      <c r="H990" s="92"/>
    </row>
    <row r="991" spans="1:8" s="44" customFormat="1" hidden="1" outlineLevel="1">
      <c r="A991" s="408" t="s">
        <v>690</v>
      </c>
      <c r="B991" s="492">
        <f>VLOOKUP($A991,'Anlage 1a_Zuschlagszahlungen_NB'!$A$8:$E$167,5,FALSE)</f>
        <v>8001148</v>
      </c>
      <c r="C991" s="88">
        <f>SUMIFS('Anlage 1c_Korrekturen_NB'!$D$11:$D$103,'Anlage 1c_Korrekturen_NB'!$A$11:$A$103,'Anlage 3a_Zusammenfassung_KWKG'!$A991)+SUMIFS('Anlage 1c_Korrekturen_NB'!$F$11:$F$103,'Anlage 1c_Korrekturen_NB'!$A$11:$A$103,'Anlage 3a_Zusammenfassung_KWKG'!$A991)+SUMIFS('Anlage 1c_Korrekturen_NB'!$H$11:$H$103,'Anlage 1c_Korrekturen_NB'!$A$11:$A$103,'Anlage 3a_Zusammenfassung_KWKG'!$A991)</f>
        <v>0</v>
      </c>
      <c r="D991" s="135">
        <f t="shared" si="44"/>
        <v>8001148</v>
      </c>
      <c r="E991" s="133"/>
      <c r="F991" s="92"/>
      <c r="G991" s="92"/>
      <c r="H991" s="92"/>
    </row>
    <row r="992" spans="1:8" s="44" customFormat="1" hidden="1" outlineLevel="1">
      <c r="A992" s="408" t="s">
        <v>692</v>
      </c>
      <c r="B992" s="492">
        <f>VLOOKUP($A992,'Anlage 1a_Zuschlagszahlungen_NB'!$A$8:$E$167,5,FALSE)</f>
        <v>269566</v>
      </c>
      <c r="C992" s="88">
        <f>SUMIFS('Anlage 1c_Korrekturen_NB'!$D$11:$D$103,'Anlage 1c_Korrekturen_NB'!$A$11:$A$103,'Anlage 3a_Zusammenfassung_KWKG'!$A992)+SUMIFS('Anlage 1c_Korrekturen_NB'!$F$11:$F$103,'Anlage 1c_Korrekturen_NB'!$A$11:$A$103,'Anlage 3a_Zusammenfassung_KWKG'!$A992)+SUMIFS('Anlage 1c_Korrekturen_NB'!$H$11:$H$103,'Anlage 1c_Korrekturen_NB'!$A$11:$A$103,'Anlage 3a_Zusammenfassung_KWKG'!$A992)</f>
        <v>-8231</v>
      </c>
      <c r="D992" s="135">
        <f t="shared" si="44"/>
        <v>261335</v>
      </c>
      <c r="E992" s="133"/>
      <c r="F992" s="92"/>
      <c r="G992" s="92"/>
      <c r="H992" s="92"/>
    </row>
    <row r="993" spans="1:8" s="44" customFormat="1" hidden="1" outlineLevel="1">
      <c r="A993" s="408" t="s">
        <v>694</v>
      </c>
      <c r="B993" s="492">
        <f>VLOOKUP($A993,'Anlage 1a_Zuschlagszahlungen_NB'!$A$8:$E$167,5,FALSE)</f>
        <v>0</v>
      </c>
      <c r="C993" s="88">
        <f>SUMIFS('Anlage 1c_Korrekturen_NB'!$D$11:$D$103,'Anlage 1c_Korrekturen_NB'!$A$11:$A$103,'Anlage 3a_Zusammenfassung_KWKG'!$A993)+SUMIFS('Anlage 1c_Korrekturen_NB'!$F$11:$F$103,'Anlage 1c_Korrekturen_NB'!$A$11:$A$103,'Anlage 3a_Zusammenfassung_KWKG'!$A993)+SUMIFS('Anlage 1c_Korrekturen_NB'!$H$11:$H$103,'Anlage 1c_Korrekturen_NB'!$A$11:$A$103,'Anlage 3a_Zusammenfassung_KWKG'!$A993)</f>
        <v>0</v>
      </c>
      <c r="D993" s="135">
        <f t="shared" si="44"/>
        <v>0</v>
      </c>
      <c r="E993" s="133"/>
      <c r="F993" s="92"/>
      <c r="G993" s="92"/>
      <c r="H993" s="92"/>
    </row>
    <row r="994" spans="1:8" s="44" customFormat="1" hidden="1" outlineLevel="1">
      <c r="A994" s="408" t="s">
        <v>696</v>
      </c>
      <c r="B994" s="492">
        <f>VLOOKUP($A994,'Anlage 1a_Zuschlagszahlungen_NB'!$A$8:$E$167,5,FALSE)</f>
        <v>741912</v>
      </c>
      <c r="C994" s="88">
        <f>SUMIFS('Anlage 1c_Korrekturen_NB'!$D$11:$D$103,'Anlage 1c_Korrekturen_NB'!$A$11:$A$103,'Anlage 3a_Zusammenfassung_KWKG'!$A994)+SUMIFS('Anlage 1c_Korrekturen_NB'!$F$11:$F$103,'Anlage 1c_Korrekturen_NB'!$A$11:$A$103,'Anlage 3a_Zusammenfassung_KWKG'!$A994)+SUMIFS('Anlage 1c_Korrekturen_NB'!$H$11:$H$103,'Anlage 1c_Korrekturen_NB'!$A$11:$A$103,'Anlage 3a_Zusammenfassung_KWKG'!$A994)</f>
        <v>0</v>
      </c>
      <c r="D994" s="135">
        <f t="shared" si="44"/>
        <v>741912</v>
      </c>
      <c r="E994" s="133"/>
      <c r="F994" s="92"/>
      <c r="G994" s="92"/>
      <c r="H994" s="92"/>
    </row>
    <row r="995" spans="1:8" s="44" customFormat="1" hidden="1" outlineLevel="1">
      <c r="A995" s="408" t="s">
        <v>698</v>
      </c>
      <c r="B995" s="492">
        <f>VLOOKUP($A995,'Anlage 1a_Zuschlagszahlungen_NB'!$A$8:$E$167,5,FALSE)</f>
        <v>1637488</v>
      </c>
      <c r="C995" s="88">
        <f>SUMIFS('Anlage 1c_Korrekturen_NB'!$D$11:$D$103,'Anlage 1c_Korrekturen_NB'!$A$11:$A$103,'Anlage 3a_Zusammenfassung_KWKG'!$A995)+SUMIFS('Anlage 1c_Korrekturen_NB'!$F$11:$F$103,'Anlage 1c_Korrekturen_NB'!$A$11:$A$103,'Anlage 3a_Zusammenfassung_KWKG'!$A995)+SUMIFS('Anlage 1c_Korrekturen_NB'!$H$11:$H$103,'Anlage 1c_Korrekturen_NB'!$A$11:$A$103,'Anlage 3a_Zusammenfassung_KWKG'!$A995)</f>
        <v>0</v>
      </c>
      <c r="D995" s="135">
        <f t="shared" si="44"/>
        <v>1637488</v>
      </c>
      <c r="E995" s="133"/>
      <c r="F995" s="92"/>
      <c r="G995" s="92"/>
      <c r="H995" s="92"/>
    </row>
    <row r="996" spans="1:8" s="44" customFormat="1" hidden="1" outlineLevel="1">
      <c r="A996" s="408" t="s">
        <v>700</v>
      </c>
      <c r="B996" s="492">
        <f>VLOOKUP($A996,'Anlage 1a_Zuschlagszahlungen_NB'!$A$8:$E$167,5,FALSE)</f>
        <v>498446</v>
      </c>
      <c r="C996" s="88">
        <f>SUMIFS('Anlage 1c_Korrekturen_NB'!$D$11:$D$103,'Anlage 1c_Korrekturen_NB'!$A$11:$A$103,'Anlage 3a_Zusammenfassung_KWKG'!$A996)+SUMIFS('Anlage 1c_Korrekturen_NB'!$F$11:$F$103,'Anlage 1c_Korrekturen_NB'!$A$11:$A$103,'Anlage 3a_Zusammenfassung_KWKG'!$A996)+SUMIFS('Anlage 1c_Korrekturen_NB'!$H$11:$H$103,'Anlage 1c_Korrekturen_NB'!$A$11:$A$103,'Anlage 3a_Zusammenfassung_KWKG'!$A996)</f>
        <v>0</v>
      </c>
      <c r="D996" s="135">
        <f t="shared" si="44"/>
        <v>498446</v>
      </c>
      <c r="E996" s="133"/>
      <c r="F996" s="92"/>
      <c r="G996" s="92"/>
      <c r="H996" s="92"/>
    </row>
    <row r="997" spans="1:8" s="44" customFormat="1" hidden="1" outlineLevel="1">
      <c r="A997" s="408" t="s">
        <v>702</v>
      </c>
      <c r="B997" s="492">
        <f>VLOOKUP($A997,'Anlage 1a_Zuschlagszahlungen_NB'!$A$8:$E$167,5,FALSE)</f>
        <v>485283</v>
      </c>
      <c r="C997" s="88">
        <f>SUMIFS('Anlage 1c_Korrekturen_NB'!$D$11:$D$103,'Anlage 1c_Korrekturen_NB'!$A$11:$A$103,'Anlage 3a_Zusammenfassung_KWKG'!$A997)+SUMIFS('Anlage 1c_Korrekturen_NB'!$F$11:$F$103,'Anlage 1c_Korrekturen_NB'!$A$11:$A$103,'Anlage 3a_Zusammenfassung_KWKG'!$A997)+SUMIFS('Anlage 1c_Korrekturen_NB'!$H$11:$H$103,'Anlage 1c_Korrekturen_NB'!$A$11:$A$103,'Anlage 3a_Zusammenfassung_KWKG'!$A997)</f>
        <v>0</v>
      </c>
      <c r="D997" s="135">
        <f t="shared" si="44"/>
        <v>485283</v>
      </c>
      <c r="E997" s="133"/>
      <c r="F997" s="92"/>
      <c r="G997" s="92"/>
      <c r="H997" s="92"/>
    </row>
    <row r="998" spans="1:8" s="44" customFormat="1" hidden="1" outlineLevel="1">
      <c r="A998" s="408" t="s">
        <v>704</v>
      </c>
      <c r="B998" s="492">
        <f>VLOOKUP($A998,'Anlage 1a_Zuschlagszahlungen_NB'!$A$8:$E$167,5,FALSE)</f>
        <v>0</v>
      </c>
      <c r="C998" s="88">
        <f>SUMIFS('Anlage 1c_Korrekturen_NB'!$D$11:$D$103,'Anlage 1c_Korrekturen_NB'!$A$11:$A$103,'Anlage 3a_Zusammenfassung_KWKG'!$A998)+SUMIFS('Anlage 1c_Korrekturen_NB'!$F$11:$F$103,'Anlage 1c_Korrekturen_NB'!$A$11:$A$103,'Anlage 3a_Zusammenfassung_KWKG'!$A998)+SUMIFS('Anlage 1c_Korrekturen_NB'!$H$11:$H$103,'Anlage 1c_Korrekturen_NB'!$A$11:$A$103,'Anlage 3a_Zusammenfassung_KWKG'!$A998)</f>
        <v>0</v>
      </c>
      <c r="D998" s="135">
        <f t="shared" si="44"/>
        <v>0</v>
      </c>
      <c r="E998" s="133"/>
      <c r="F998" s="92"/>
      <c r="G998" s="92"/>
      <c r="H998" s="92"/>
    </row>
    <row r="999" spans="1:8" s="44" customFormat="1" hidden="1" outlineLevel="1">
      <c r="A999" s="408" t="s">
        <v>706</v>
      </c>
      <c r="B999" s="492">
        <f>VLOOKUP($A999,'Anlage 1a_Zuschlagszahlungen_NB'!$A$8:$E$167,5,FALSE)</f>
        <v>27532733</v>
      </c>
      <c r="C999" s="88">
        <f>SUMIFS('Anlage 1c_Korrekturen_NB'!$D$11:$D$103,'Anlage 1c_Korrekturen_NB'!$A$11:$A$103,'Anlage 3a_Zusammenfassung_KWKG'!$A999)+SUMIFS('Anlage 1c_Korrekturen_NB'!$F$11:$F$103,'Anlage 1c_Korrekturen_NB'!$A$11:$A$103,'Anlage 3a_Zusammenfassung_KWKG'!$A999)+SUMIFS('Anlage 1c_Korrekturen_NB'!$H$11:$H$103,'Anlage 1c_Korrekturen_NB'!$A$11:$A$103,'Anlage 3a_Zusammenfassung_KWKG'!$A999)</f>
        <v>0</v>
      </c>
      <c r="D999" s="135">
        <f t="shared" si="44"/>
        <v>27532733</v>
      </c>
      <c r="E999" s="133"/>
      <c r="F999" s="92"/>
      <c r="G999" s="92"/>
      <c r="H999" s="92"/>
    </row>
    <row r="1000" spans="1:8" s="44" customFormat="1" hidden="1" outlineLevel="1">
      <c r="A1000" s="408" t="s">
        <v>708</v>
      </c>
      <c r="B1000" s="492">
        <f>VLOOKUP($A1000,'Anlage 1a_Zuschlagszahlungen_NB'!$A$8:$E$167,5,FALSE)</f>
        <v>70000</v>
      </c>
      <c r="C1000" s="88">
        <f>SUMIFS('Anlage 1c_Korrekturen_NB'!$D$11:$D$103,'Anlage 1c_Korrekturen_NB'!$A$11:$A$103,'Anlage 3a_Zusammenfassung_KWKG'!$A1000)+SUMIFS('Anlage 1c_Korrekturen_NB'!$F$11:$F$103,'Anlage 1c_Korrekturen_NB'!$A$11:$A$103,'Anlage 3a_Zusammenfassung_KWKG'!$A1000)+SUMIFS('Anlage 1c_Korrekturen_NB'!$H$11:$H$103,'Anlage 1c_Korrekturen_NB'!$A$11:$A$103,'Anlage 3a_Zusammenfassung_KWKG'!$A1000)</f>
        <v>0</v>
      </c>
      <c r="D1000" s="135">
        <f t="shared" si="44"/>
        <v>70000</v>
      </c>
      <c r="E1000" s="133"/>
      <c r="F1000" s="92"/>
      <c r="G1000" s="92"/>
      <c r="H1000" s="92"/>
    </row>
    <row r="1001" spans="1:8" s="44" customFormat="1" hidden="1" outlineLevel="1">
      <c r="A1001" s="408" t="s">
        <v>710</v>
      </c>
      <c r="B1001" s="492">
        <f>VLOOKUP($A1001,'Anlage 1a_Zuschlagszahlungen_NB'!$A$8:$E$167,5,FALSE)</f>
        <v>928523</v>
      </c>
      <c r="C1001" s="88">
        <f>SUMIFS('Anlage 1c_Korrekturen_NB'!$D$11:$D$103,'Anlage 1c_Korrekturen_NB'!$A$11:$A$103,'Anlage 3a_Zusammenfassung_KWKG'!$A1001)+SUMIFS('Anlage 1c_Korrekturen_NB'!$F$11:$F$103,'Anlage 1c_Korrekturen_NB'!$A$11:$A$103,'Anlage 3a_Zusammenfassung_KWKG'!$A1001)+SUMIFS('Anlage 1c_Korrekturen_NB'!$H$11:$H$103,'Anlage 1c_Korrekturen_NB'!$A$11:$A$103,'Anlage 3a_Zusammenfassung_KWKG'!$A1001)</f>
        <v>0</v>
      </c>
      <c r="D1001" s="135">
        <f t="shared" si="44"/>
        <v>928523</v>
      </c>
      <c r="E1001" s="133"/>
      <c r="F1001" s="92"/>
      <c r="G1001" s="92"/>
      <c r="H1001" s="92"/>
    </row>
    <row r="1002" spans="1:8" s="44" customFormat="1" hidden="1" outlineLevel="1">
      <c r="A1002" s="408" t="s">
        <v>712</v>
      </c>
      <c r="B1002" s="492">
        <f>VLOOKUP($A1002,'Anlage 1a_Zuschlagszahlungen_NB'!$A$8:$E$167,5,FALSE)</f>
        <v>350000</v>
      </c>
      <c r="C1002" s="88">
        <f>SUMIFS('Anlage 1c_Korrekturen_NB'!$D$11:$D$103,'Anlage 1c_Korrekturen_NB'!$A$11:$A$103,'Anlage 3a_Zusammenfassung_KWKG'!$A1002)+SUMIFS('Anlage 1c_Korrekturen_NB'!$F$11:$F$103,'Anlage 1c_Korrekturen_NB'!$A$11:$A$103,'Anlage 3a_Zusammenfassung_KWKG'!$A1002)+SUMIFS('Anlage 1c_Korrekturen_NB'!$H$11:$H$103,'Anlage 1c_Korrekturen_NB'!$A$11:$A$103,'Anlage 3a_Zusammenfassung_KWKG'!$A1002)</f>
        <v>199898</v>
      </c>
      <c r="D1002" s="135">
        <f t="shared" si="44"/>
        <v>549898</v>
      </c>
      <c r="E1002" s="133"/>
      <c r="F1002" s="92"/>
      <c r="G1002" s="92"/>
      <c r="H1002" s="92"/>
    </row>
    <row r="1003" spans="1:8" s="44" customFormat="1" hidden="1" outlineLevel="1">
      <c r="A1003" s="408" t="s">
        <v>714</v>
      </c>
      <c r="B1003" s="492">
        <f>VLOOKUP($A1003,'Anlage 1a_Zuschlagszahlungen_NB'!$A$8:$E$167,5,FALSE)</f>
        <v>8096800</v>
      </c>
      <c r="C1003" s="88">
        <f>SUMIFS('Anlage 1c_Korrekturen_NB'!$D$11:$D$103,'Anlage 1c_Korrekturen_NB'!$A$11:$A$103,'Anlage 3a_Zusammenfassung_KWKG'!$A1003)+SUMIFS('Anlage 1c_Korrekturen_NB'!$F$11:$F$103,'Anlage 1c_Korrekturen_NB'!$A$11:$A$103,'Anlage 3a_Zusammenfassung_KWKG'!$A1003)+SUMIFS('Anlage 1c_Korrekturen_NB'!$H$11:$H$103,'Anlage 1c_Korrekturen_NB'!$A$11:$A$103,'Anlage 3a_Zusammenfassung_KWKG'!$A1003)</f>
        <v>0</v>
      </c>
      <c r="D1003" s="135">
        <f t="shared" si="44"/>
        <v>8096800</v>
      </c>
      <c r="E1003" s="133"/>
      <c r="F1003" s="92"/>
      <c r="G1003" s="92"/>
      <c r="H1003" s="92"/>
    </row>
    <row r="1004" spans="1:8" s="44" customFormat="1" hidden="1" outlineLevel="1">
      <c r="A1004" s="408" t="s">
        <v>716</v>
      </c>
      <c r="B1004" s="492">
        <f>VLOOKUP($A1004,'Anlage 1a_Zuschlagszahlungen_NB'!$A$8:$E$167,5,FALSE)</f>
        <v>1943642</v>
      </c>
      <c r="C1004" s="88">
        <f>SUMIFS('Anlage 1c_Korrekturen_NB'!$D$11:$D$103,'Anlage 1c_Korrekturen_NB'!$A$11:$A$103,'Anlage 3a_Zusammenfassung_KWKG'!$A1004)+SUMIFS('Anlage 1c_Korrekturen_NB'!$F$11:$F$103,'Anlage 1c_Korrekturen_NB'!$A$11:$A$103,'Anlage 3a_Zusammenfassung_KWKG'!$A1004)+SUMIFS('Anlage 1c_Korrekturen_NB'!$H$11:$H$103,'Anlage 1c_Korrekturen_NB'!$A$11:$A$103,'Anlage 3a_Zusammenfassung_KWKG'!$A1004)</f>
        <v>0</v>
      </c>
      <c r="D1004" s="135">
        <f t="shared" si="44"/>
        <v>1943642</v>
      </c>
      <c r="E1004" s="133"/>
      <c r="F1004" s="92"/>
      <c r="G1004" s="92"/>
      <c r="H1004" s="92"/>
    </row>
    <row r="1005" spans="1:8" s="44" customFormat="1" hidden="1" outlineLevel="1">
      <c r="A1005" s="408" t="s">
        <v>718</v>
      </c>
      <c r="B1005" s="492">
        <f>VLOOKUP($A1005,'Anlage 1a_Zuschlagszahlungen_NB'!$A$8:$E$167,5,FALSE)</f>
        <v>6799796</v>
      </c>
      <c r="C1005" s="88">
        <f>SUMIFS('Anlage 1c_Korrekturen_NB'!$D$11:$D$103,'Anlage 1c_Korrekturen_NB'!$A$11:$A$103,'Anlage 3a_Zusammenfassung_KWKG'!$A1005)+SUMIFS('Anlage 1c_Korrekturen_NB'!$F$11:$F$103,'Anlage 1c_Korrekturen_NB'!$A$11:$A$103,'Anlage 3a_Zusammenfassung_KWKG'!$A1005)+SUMIFS('Anlage 1c_Korrekturen_NB'!$H$11:$H$103,'Anlage 1c_Korrekturen_NB'!$A$11:$A$103,'Anlage 3a_Zusammenfassung_KWKG'!$A1005)</f>
        <v>0</v>
      </c>
      <c r="D1005" s="135">
        <f t="shared" si="44"/>
        <v>6799796</v>
      </c>
      <c r="E1005" s="133"/>
      <c r="F1005" s="92"/>
      <c r="G1005" s="92"/>
      <c r="H1005" s="92"/>
    </row>
    <row r="1006" spans="1:8" s="44" customFormat="1" hidden="1" outlineLevel="1">
      <c r="A1006" s="408" t="s">
        <v>720</v>
      </c>
      <c r="B1006" s="492">
        <f>VLOOKUP($A1006,'Anlage 1a_Zuschlagszahlungen_NB'!$A$8:$E$167,5,FALSE)</f>
        <v>257826</v>
      </c>
      <c r="C1006" s="88">
        <f>SUMIFS('Anlage 1c_Korrekturen_NB'!$D$11:$D$103,'Anlage 1c_Korrekturen_NB'!$A$11:$A$103,'Anlage 3a_Zusammenfassung_KWKG'!$A1006)+SUMIFS('Anlage 1c_Korrekturen_NB'!$F$11:$F$103,'Anlage 1c_Korrekturen_NB'!$A$11:$A$103,'Anlage 3a_Zusammenfassung_KWKG'!$A1006)+SUMIFS('Anlage 1c_Korrekturen_NB'!$H$11:$H$103,'Anlage 1c_Korrekturen_NB'!$A$11:$A$103,'Anlage 3a_Zusammenfassung_KWKG'!$A1006)</f>
        <v>0</v>
      </c>
      <c r="D1006" s="135">
        <f t="shared" si="44"/>
        <v>257826</v>
      </c>
      <c r="E1006" s="133"/>
      <c r="F1006" s="92"/>
      <c r="G1006" s="92"/>
      <c r="H1006" s="92"/>
    </row>
    <row r="1007" spans="1:8" s="44" customFormat="1" hidden="1" outlineLevel="1">
      <c r="A1007" s="408" t="s">
        <v>722</v>
      </c>
      <c r="B1007" s="492">
        <f>VLOOKUP($A1007,'Anlage 1a_Zuschlagszahlungen_NB'!$A$8:$E$167,5,FALSE)</f>
        <v>1710225372</v>
      </c>
      <c r="C1007" s="88">
        <f>SUMIFS('Anlage 1c_Korrekturen_NB'!$D$11:$D$103,'Anlage 1c_Korrekturen_NB'!$A$11:$A$103,'Anlage 3a_Zusammenfassung_KWKG'!$A1007)+SUMIFS('Anlage 1c_Korrekturen_NB'!$F$11:$F$103,'Anlage 1c_Korrekturen_NB'!$A$11:$A$103,'Anlage 3a_Zusammenfassung_KWKG'!$A1007)+SUMIFS('Anlage 1c_Korrekturen_NB'!$H$11:$H$103,'Anlage 1c_Korrekturen_NB'!$A$11:$A$103,'Anlage 3a_Zusammenfassung_KWKG'!$A1007)</f>
        <v>45797188</v>
      </c>
      <c r="D1007" s="135">
        <f t="shared" si="44"/>
        <v>1756022560</v>
      </c>
      <c r="E1007" s="133"/>
      <c r="F1007" s="92"/>
      <c r="G1007" s="92"/>
      <c r="H1007" s="92"/>
    </row>
    <row r="1008" spans="1:8" s="44" customFormat="1" hidden="1" outlineLevel="1">
      <c r="A1008" s="408" t="s">
        <v>724</v>
      </c>
      <c r="B1008" s="492">
        <f>VLOOKUP($A1008,'Anlage 1a_Zuschlagszahlungen_NB'!$A$8:$E$167,5,FALSE)</f>
        <v>2246057</v>
      </c>
      <c r="C1008" s="88">
        <f>SUMIFS('Anlage 1c_Korrekturen_NB'!$D$11:$D$103,'Anlage 1c_Korrekturen_NB'!$A$11:$A$103,'Anlage 3a_Zusammenfassung_KWKG'!$A1008)+SUMIFS('Anlage 1c_Korrekturen_NB'!$F$11:$F$103,'Anlage 1c_Korrekturen_NB'!$A$11:$A$103,'Anlage 3a_Zusammenfassung_KWKG'!$A1008)+SUMIFS('Anlage 1c_Korrekturen_NB'!$H$11:$H$103,'Anlage 1c_Korrekturen_NB'!$A$11:$A$103,'Anlage 3a_Zusammenfassung_KWKG'!$A1008)</f>
        <v>0</v>
      </c>
      <c r="D1008" s="135">
        <f t="shared" si="44"/>
        <v>2246057</v>
      </c>
      <c r="E1008" s="133"/>
      <c r="F1008" s="92"/>
      <c r="G1008" s="92"/>
      <c r="H1008" s="92"/>
    </row>
    <row r="1009" spans="1:8" s="44" customFormat="1" hidden="1" outlineLevel="1">
      <c r="A1009" s="408" t="s">
        <v>726</v>
      </c>
      <c r="B1009" s="492">
        <f>VLOOKUP($A1009,'Anlage 1a_Zuschlagszahlungen_NB'!$A$8:$E$167,5,FALSE)</f>
        <v>0</v>
      </c>
      <c r="C1009" s="88">
        <f>SUMIFS('Anlage 1c_Korrekturen_NB'!$D$11:$D$103,'Anlage 1c_Korrekturen_NB'!$A$11:$A$103,'Anlage 3a_Zusammenfassung_KWKG'!$A1009)+SUMIFS('Anlage 1c_Korrekturen_NB'!$F$11:$F$103,'Anlage 1c_Korrekturen_NB'!$A$11:$A$103,'Anlage 3a_Zusammenfassung_KWKG'!$A1009)+SUMIFS('Anlage 1c_Korrekturen_NB'!$H$11:$H$103,'Anlage 1c_Korrekturen_NB'!$A$11:$A$103,'Anlage 3a_Zusammenfassung_KWKG'!$A1009)</f>
        <v>0</v>
      </c>
      <c r="D1009" s="135">
        <f t="shared" si="44"/>
        <v>0</v>
      </c>
      <c r="E1009" s="133"/>
      <c r="F1009" s="92"/>
      <c r="G1009" s="92"/>
      <c r="H1009" s="92"/>
    </row>
    <row r="1010" spans="1:8" s="44" customFormat="1" hidden="1" outlineLevel="1">
      <c r="A1010" s="408" t="s">
        <v>728</v>
      </c>
      <c r="B1010" s="492">
        <f>VLOOKUP($A1010,'Anlage 1a_Zuschlagszahlungen_NB'!$A$8:$E$167,5,FALSE)</f>
        <v>369969685</v>
      </c>
      <c r="C1010" s="88">
        <f>SUMIFS('Anlage 1c_Korrekturen_NB'!$D$11:$D$103,'Anlage 1c_Korrekturen_NB'!$A$11:$A$103,'Anlage 3a_Zusammenfassung_KWKG'!$A1010)+SUMIFS('Anlage 1c_Korrekturen_NB'!$F$11:$F$103,'Anlage 1c_Korrekturen_NB'!$A$11:$A$103,'Anlage 3a_Zusammenfassung_KWKG'!$A1010)+SUMIFS('Anlage 1c_Korrekturen_NB'!$H$11:$H$103,'Anlage 1c_Korrekturen_NB'!$A$11:$A$103,'Anlage 3a_Zusammenfassung_KWKG'!$A1010)</f>
        <v>2046079</v>
      </c>
      <c r="D1010" s="135">
        <f t="shared" si="44"/>
        <v>372015764</v>
      </c>
      <c r="E1010" s="133"/>
      <c r="F1010" s="92"/>
      <c r="G1010" s="92"/>
      <c r="H1010" s="92"/>
    </row>
    <row r="1011" spans="1:8" s="44" customFormat="1" hidden="1" outlineLevel="1">
      <c r="A1011" s="408" t="s">
        <v>730</v>
      </c>
      <c r="B1011" s="492">
        <f>VLOOKUP($A1011,'Anlage 1a_Zuschlagszahlungen_NB'!$A$8:$E$167,5,FALSE)</f>
        <v>0</v>
      </c>
      <c r="C1011" s="88">
        <f>SUMIFS('Anlage 1c_Korrekturen_NB'!$D$11:$D$103,'Anlage 1c_Korrekturen_NB'!$A$11:$A$103,'Anlage 3a_Zusammenfassung_KWKG'!$A1011)+SUMIFS('Anlage 1c_Korrekturen_NB'!$F$11:$F$103,'Anlage 1c_Korrekturen_NB'!$A$11:$A$103,'Anlage 3a_Zusammenfassung_KWKG'!$A1011)+SUMIFS('Anlage 1c_Korrekturen_NB'!$H$11:$H$103,'Anlage 1c_Korrekturen_NB'!$A$11:$A$103,'Anlage 3a_Zusammenfassung_KWKG'!$A1011)</f>
        <v>0</v>
      </c>
      <c r="D1011" s="135">
        <f t="shared" ref="D1011:D1032" si="45">B1011+C1011</f>
        <v>0</v>
      </c>
      <c r="E1011" s="133"/>
      <c r="F1011" s="92"/>
      <c r="G1011" s="92"/>
      <c r="H1011" s="92"/>
    </row>
    <row r="1012" spans="1:8" s="44" customFormat="1" hidden="1" outlineLevel="1">
      <c r="A1012" s="408" t="s">
        <v>732</v>
      </c>
      <c r="B1012" s="492">
        <f>VLOOKUP($A1012,'Anlage 1a_Zuschlagszahlungen_NB'!$A$8:$E$167,5,FALSE)</f>
        <v>99556</v>
      </c>
      <c r="C1012" s="88">
        <f>SUMIFS('Anlage 1c_Korrekturen_NB'!$D$11:$D$103,'Anlage 1c_Korrekturen_NB'!$A$11:$A$103,'Anlage 3a_Zusammenfassung_KWKG'!$A1012)+SUMIFS('Anlage 1c_Korrekturen_NB'!$F$11:$F$103,'Anlage 1c_Korrekturen_NB'!$A$11:$A$103,'Anlage 3a_Zusammenfassung_KWKG'!$A1012)+SUMIFS('Anlage 1c_Korrekturen_NB'!$H$11:$H$103,'Anlage 1c_Korrekturen_NB'!$A$11:$A$103,'Anlage 3a_Zusammenfassung_KWKG'!$A1012)</f>
        <v>0</v>
      </c>
      <c r="D1012" s="135">
        <f t="shared" si="45"/>
        <v>99556</v>
      </c>
      <c r="E1012" s="133"/>
      <c r="F1012" s="92"/>
      <c r="G1012" s="92"/>
      <c r="H1012" s="92"/>
    </row>
    <row r="1013" spans="1:8" s="44" customFormat="1" hidden="1" outlineLevel="1">
      <c r="A1013" s="408" t="s">
        <v>734</v>
      </c>
      <c r="B1013" s="492">
        <f>VLOOKUP($A1013,'Anlage 1a_Zuschlagszahlungen_NB'!$A$8:$E$167,5,FALSE)</f>
        <v>0</v>
      </c>
      <c r="C1013" s="88">
        <f>SUMIFS('Anlage 1c_Korrekturen_NB'!$D$11:$D$103,'Anlage 1c_Korrekturen_NB'!$A$11:$A$103,'Anlage 3a_Zusammenfassung_KWKG'!$A1013)+SUMIFS('Anlage 1c_Korrekturen_NB'!$F$11:$F$103,'Anlage 1c_Korrekturen_NB'!$A$11:$A$103,'Anlage 3a_Zusammenfassung_KWKG'!$A1013)+SUMIFS('Anlage 1c_Korrekturen_NB'!$H$11:$H$103,'Anlage 1c_Korrekturen_NB'!$A$11:$A$103,'Anlage 3a_Zusammenfassung_KWKG'!$A1013)</f>
        <v>0</v>
      </c>
      <c r="D1013" s="135">
        <f t="shared" si="45"/>
        <v>0</v>
      </c>
      <c r="E1013" s="133"/>
      <c r="F1013" s="92"/>
      <c r="G1013" s="92"/>
      <c r="H1013" s="92"/>
    </row>
    <row r="1014" spans="1:8" s="44" customFormat="1" hidden="1" outlineLevel="1">
      <c r="A1014" s="408" t="s">
        <v>736</v>
      </c>
      <c r="B1014" s="492">
        <f>VLOOKUP($A1014,'Anlage 1a_Zuschlagszahlungen_NB'!$A$8:$E$167,5,FALSE)</f>
        <v>7475418</v>
      </c>
      <c r="C1014" s="88">
        <f>SUMIFS('Anlage 1c_Korrekturen_NB'!$D$11:$D$103,'Anlage 1c_Korrekturen_NB'!$A$11:$A$103,'Anlage 3a_Zusammenfassung_KWKG'!$A1014)+SUMIFS('Anlage 1c_Korrekturen_NB'!$F$11:$F$103,'Anlage 1c_Korrekturen_NB'!$A$11:$A$103,'Anlage 3a_Zusammenfassung_KWKG'!$A1014)+SUMIFS('Anlage 1c_Korrekturen_NB'!$H$11:$H$103,'Anlage 1c_Korrekturen_NB'!$A$11:$A$103,'Anlage 3a_Zusammenfassung_KWKG'!$A1014)</f>
        <v>0</v>
      </c>
      <c r="D1014" s="135">
        <f t="shared" si="45"/>
        <v>7475418</v>
      </c>
      <c r="E1014" s="133"/>
      <c r="F1014" s="92"/>
      <c r="G1014" s="92"/>
      <c r="H1014" s="92"/>
    </row>
    <row r="1015" spans="1:8" s="44" customFormat="1" hidden="1" outlineLevel="1">
      <c r="A1015" s="408" t="s">
        <v>738</v>
      </c>
      <c r="B1015" s="492">
        <f>VLOOKUP($A1015,'Anlage 1a_Zuschlagszahlungen_NB'!$A$8:$E$167,5,FALSE)</f>
        <v>234390500</v>
      </c>
      <c r="C1015" s="88">
        <f>SUMIFS('Anlage 1c_Korrekturen_NB'!$D$11:$D$103,'Anlage 1c_Korrekturen_NB'!$A$11:$A$103,'Anlage 3a_Zusammenfassung_KWKG'!$A1015)+SUMIFS('Anlage 1c_Korrekturen_NB'!$F$11:$F$103,'Anlage 1c_Korrekturen_NB'!$A$11:$A$103,'Anlage 3a_Zusammenfassung_KWKG'!$A1015)+SUMIFS('Anlage 1c_Korrekturen_NB'!$H$11:$H$103,'Anlage 1c_Korrekturen_NB'!$A$11:$A$103,'Anlage 3a_Zusammenfassung_KWKG'!$A1015)</f>
        <v>0</v>
      </c>
      <c r="D1015" s="135">
        <f t="shared" si="45"/>
        <v>234390500</v>
      </c>
      <c r="E1015" s="133"/>
      <c r="F1015" s="92"/>
      <c r="G1015" s="92"/>
      <c r="H1015" s="92"/>
    </row>
    <row r="1016" spans="1:8" s="44" customFormat="1" hidden="1" outlineLevel="1">
      <c r="A1016" s="408" t="s">
        <v>740</v>
      </c>
      <c r="B1016" s="492">
        <f>VLOOKUP($A1016,'Anlage 1a_Zuschlagszahlungen_NB'!$A$8:$E$167,5,FALSE)</f>
        <v>375879678</v>
      </c>
      <c r="C1016" s="88">
        <f>SUMIFS('Anlage 1c_Korrekturen_NB'!$D$11:$D$103,'Anlage 1c_Korrekturen_NB'!$A$11:$A$103,'Anlage 3a_Zusammenfassung_KWKG'!$A1016)+SUMIFS('Anlage 1c_Korrekturen_NB'!$F$11:$F$103,'Anlage 1c_Korrekturen_NB'!$A$11:$A$103,'Anlage 3a_Zusammenfassung_KWKG'!$A1016)+SUMIFS('Anlage 1c_Korrekturen_NB'!$H$11:$H$103,'Anlage 1c_Korrekturen_NB'!$A$11:$A$103,'Anlage 3a_Zusammenfassung_KWKG'!$A1016)</f>
        <v>-4</v>
      </c>
      <c r="D1016" s="135">
        <f t="shared" si="45"/>
        <v>375879674</v>
      </c>
      <c r="E1016" s="133"/>
      <c r="F1016" s="92"/>
      <c r="G1016" s="92"/>
      <c r="H1016" s="92"/>
    </row>
    <row r="1017" spans="1:8" s="44" customFormat="1" hidden="1" outlineLevel="1">
      <c r="A1017" s="408" t="s">
        <v>742</v>
      </c>
      <c r="B1017" s="492">
        <f>VLOOKUP($A1017,'Anlage 1a_Zuschlagszahlungen_NB'!$A$8:$E$167,5,FALSE)</f>
        <v>76440</v>
      </c>
      <c r="C1017" s="88">
        <f>SUMIFS('Anlage 1c_Korrekturen_NB'!$D$11:$D$103,'Anlage 1c_Korrekturen_NB'!$A$11:$A$103,'Anlage 3a_Zusammenfassung_KWKG'!$A1017)+SUMIFS('Anlage 1c_Korrekturen_NB'!$F$11:$F$103,'Anlage 1c_Korrekturen_NB'!$A$11:$A$103,'Anlage 3a_Zusammenfassung_KWKG'!$A1017)+SUMIFS('Anlage 1c_Korrekturen_NB'!$H$11:$H$103,'Anlage 1c_Korrekturen_NB'!$A$11:$A$103,'Anlage 3a_Zusammenfassung_KWKG'!$A1017)</f>
        <v>0</v>
      </c>
      <c r="D1017" s="135">
        <f t="shared" si="45"/>
        <v>76440</v>
      </c>
      <c r="E1017" s="133"/>
      <c r="F1017" s="92"/>
      <c r="G1017" s="92"/>
      <c r="H1017" s="92"/>
    </row>
    <row r="1018" spans="1:8" s="44" customFormat="1" hidden="1" outlineLevel="1">
      <c r="A1018" s="408" t="s">
        <v>744</v>
      </c>
      <c r="B1018" s="492">
        <f>VLOOKUP($A1018,'Anlage 1a_Zuschlagszahlungen_NB'!$A$8:$E$167,5,FALSE)</f>
        <v>1741863</v>
      </c>
      <c r="C1018" s="88">
        <f>SUMIFS('Anlage 1c_Korrekturen_NB'!$D$11:$D$103,'Anlage 1c_Korrekturen_NB'!$A$11:$A$103,'Anlage 3a_Zusammenfassung_KWKG'!$A1018)+SUMIFS('Anlage 1c_Korrekturen_NB'!$F$11:$F$103,'Anlage 1c_Korrekturen_NB'!$A$11:$A$103,'Anlage 3a_Zusammenfassung_KWKG'!$A1018)+SUMIFS('Anlage 1c_Korrekturen_NB'!$H$11:$H$103,'Anlage 1c_Korrekturen_NB'!$A$11:$A$103,'Anlage 3a_Zusammenfassung_KWKG'!$A1018)</f>
        <v>0</v>
      </c>
      <c r="D1018" s="135">
        <f t="shared" si="45"/>
        <v>1741863</v>
      </c>
      <c r="E1018" s="133"/>
      <c r="F1018" s="92"/>
      <c r="G1018" s="92"/>
      <c r="H1018" s="92"/>
    </row>
    <row r="1019" spans="1:8" s="44" customFormat="1" hidden="1" outlineLevel="1">
      <c r="A1019" s="408" t="s">
        <v>746</v>
      </c>
      <c r="B1019" s="492">
        <f>VLOOKUP($A1019,'Anlage 1a_Zuschlagszahlungen_NB'!$A$8:$E$167,5,FALSE)</f>
        <v>231623</v>
      </c>
      <c r="C1019" s="88">
        <f>SUMIFS('Anlage 1c_Korrekturen_NB'!$D$11:$D$103,'Anlage 1c_Korrekturen_NB'!$A$11:$A$103,'Anlage 3a_Zusammenfassung_KWKG'!$A1019)+SUMIFS('Anlage 1c_Korrekturen_NB'!$F$11:$F$103,'Anlage 1c_Korrekturen_NB'!$A$11:$A$103,'Anlage 3a_Zusammenfassung_KWKG'!$A1019)+SUMIFS('Anlage 1c_Korrekturen_NB'!$H$11:$H$103,'Anlage 1c_Korrekturen_NB'!$A$11:$A$103,'Anlage 3a_Zusammenfassung_KWKG'!$A1019)</f>
        <v>0</v>
      </c>
      <c r="D1019" s="135">
        <f t="shared" si="45"/>
        <v>231623</v>
      </c>
      <c r="E1019" s="133"/>
      <c r="F1019" s="92"/>
      <c r="G1019" s="92"/>
      <c r="H1019" s="92"/>
    </row>
    <row r="1020" spans="1:8" s="44" customFormat="1" hidden="1" outlineLevel="1">
      <c r="A1020" s="408" t="s">
        <v>748</v>
      </c>
      <c r="B1020" s="492">
        <f>VLOOKUP($A1020,'Anlage 1a_Zuschlagszahlungen_NB'!$A$8:$E$167,5,FALSE)</f>
        <v>6473813</v>
      </c>
      <c r="C1020" s="88">
        <f>SUMIFS('Anlage 1c_Korrekturen_NB'!$D$11:$D$103,'Anlage 1c_Korrekturen_NB'!$A$11:$A$103,'Anlage 3a_Zusammenfassung_KWKG'!$A1020)+SUMIFS('Anlage 1c_Korrekturen_NB'!$F$11:$F$103,'Anlage 1c_Korrekturen_NB'!$A$11:$A$103,'Anlage 3a_Zusammenfassung_KWKG'!$A1020)+SUMIFS('Anlage 1c_Korrekturen_NB'!$H$11:$H$103,'Anlage 1c_Korrekturen_NB'!$A$11:$A$103,'Anlage 3a_Zusammenfassung_KWKG'!$A1020)</f>
        <v>199545</v>
      </c>
      <c r="D1020" s="135">
        <f t="shared" si="45"/>
        <v>6673358</v>
      </c>
      <c r="E1020" s="133"/>
      <c r="F1020" s="92"/>
      <c r="G1020" s="92"/>
      <c r="H1020" s="92"/>
    </row>
    <row r="1021" spans="1:8" s="44" customFormat="1" hidden="1" outlineLevel="1">
      <c r="A1021" s="408" t="s">
        <v>750</v>
      </c>
      <c r="B1021" s="492">
        <f>VLOOKUP($A1021,'Anlage 1a_Zuschlagszahlungen_NB'!$A$8:$E$167,5,FALSE)</f>
        <v>83626</v>
      </c>
      <c r="C1021" s="88">
        <f>SUMIFS('Anlage 1c_Korrekturen_NB'!$D$11:$D$103,'Anlage 1c_Korrekturen_NB'!$A$11:$A$103,'Anlage 3a_Zusammenfassung_KWKG'!$A1021)+SUMIFS('Anlage 1c_Korrekturen_NB'!$F$11:$F$103,'Anlage 1c_Korrekturen_NB'!$A$11:$A$103,'Anlage 3a_Zusammenfassung_KWKG'!$A1021)+SUMIFS('Anlage 1c_Korrekturen_NB'!$H$11:$H$103,'Anlage 1c_Korrekturen_NB'!$A$11:$A$103,'Anlage 3a_Zusammenfassung_KWKG'!$A1021)</f>
        <v>135519</v>
      </c>
      <c r="D1021" s="135">
        <f t="shared" si="45"/>
        <v>219145</v>
      </c>
      <c r="E1021" s="133"/>
      <c r="F1021" s="92"/>
      <c r="G1021" s="92"/>
      <c r="H1021" s="92"/>
    </row>
    <row r="1022" spans="1:8" s="44" customFormat="1" hidden="1" outlineLevel="1">
      <c r="A1022" s="408" t="s">
        <v>752</v>
      </c>
      <c r="B1022" s="492">
        <f>VLOOKUP($A1022,'Anlage 1a_Zuschlagszahlungen_NB'!$A$8:$E$167,5,FALSE)</f>
        <v>5263717</v>
      </c>
      <c r="C1022" s="88">
        <f>SUMIFS('Anlage 1c_Korrekturen_NB'!$D$11:$D$103,'Anlage 1c_Korrekturen_NB'!$A$11:$A$103,'Anlage 3a_Zusammenfassung_KWKG'!$A1022)+SUMIFS('Anlage 1c_Korrekturen_NB'!$F$11:$F$103,'Anlage 1c_Korrekturen_NB'!$A$11:$A$103,'Anlage 3a_Zusammenfassung_KWKG'!$A1022)+SUMIFS('Anlage 1c_Korrekturen_NB'!$H$11:$H$103,'Anlage 1c_Korrekturen_NB'!$A$11:$A$103,'Anlage 3a_Zusammenfassung_KWKG'!$A1022)</f>
        <v>0</v>
      </c>
      <c r="D1022" s="135">
        <f t="shared" si="45"/>
        <v>5263717</v>
      </c>
      <c r="E1022" s="133"/>
      <c r="F1022" s="92"/>
      <c r="G1022" s="92"/>
      <c r="H1022" s="92"/>
    </row>
    <row r="1023" spans="1:8" s="44" customFormat="1" hidden="1" outlineLevel="1">
      <c r="A1023" s="408" t="s">
        <v>754</v>
      </c>
      <c r="B1023" s="492">
        <f>VLOOKUP($A1023,'Anlage 1a_Zuschlagszahlungen_NB'!$A$8:$E$167,5,FALSE)</f>
        <v>139628</v>
      </c>
      <c r="C1023" s="88">
        <f>SUMIFS('Anlage 1c_Korrekturen_NB'!$D$11:$D$103,'Anlage 1c_Korrekturen_NB'!$A$11:$A$103,'Anlage 3a_Zusammenfassung_KWKG'!$A1023)+SUMIFS('Anlage 1c_Korrekturen_NB'!$F$11:$F$103,'Anlage 1c_Korrekturen_NB'!$A$11:$A$103,'Anlage 3a_Zusammenfassung_KWKG'!$A1023)+SUMIFS('Anlage 1c_Korrekturen_NB'!$H$11:$H$103,'Anlage 1c_Korrekturen_NB'!$A$11:$A$103,'Anlage 3a_Zusammenfassung_KWKG'!$A1023)</f>
        <v>0</v>
      </c>
      <c r="D1023" s="135">
        <f t="shared" si="45"/>
        <v>139628</v>
      </c>
      <c r="E1023" s="133"/>
      <c r="F1023" s="92"/>
      <c r="G1023" s="92"/>
      <c r="H1023" s="92"/>
    </row>
    <row r="1024" spans="1:8" s="44" customFormat="1" hidden="1" outlineLevel="1">
      <c r="A1024" s="408" t="s">
        <v>756</v>
      </c>
      <c r="B1024" s="492">
        <f>VLOOKUP($A1024,'Anlage 1a_Zuschlagszahlungen_NB'!$A$8:$E$167,5,FALSE)</f>
        <v>1183150</v>
      </c>
      <c r="C1024" s="88">
        <f>SUMIFS('Anlage 1c_Korrekturen_NB'!$D$11:$D$103,'Anlage 1c_Korrekturen_NB'!$A$11:$A$103,'Anlage 3a_Zusammenfassung_KWKG'!$A1024)+SUMIFS('Anlage 1c_Korrekturen_NB'!$F$11:$F$103,'Anlage 1c_Korrekturen_NB'!$A$11:$A$103,'Anlage 3a_Zusammenfassung_KWKG'!$A1024)+SUMIFS('Anlage 1c_Korrekturen_NB'!$H$11:$H$103,'Anlage 1c_Korrekturen_NB'!$A$11:$A$103,'Anlage 3a_Zusammenfassung_KWKG'!$A1024)</f>
        <v>-351</v>
      </c>
      <c r="D1024" s="135">
        <f t="shared" si="45"/>
        <v>1182799</v>
      </c>
      <c r="E1024" s="133"/>
      <c r="F1024" s="92"/>
      <c r="G1024" s="92"/>
      <c r="H1024" s="92"/>
    </row>
    <row r="1025" spans="1:10" s="44" customFormat="1" hidden="1" outlineLevel="1">
      <c r="A1025" s="408" t="s">
        <v>758</v>
      </c>
      <c r="B1025" s="492">
        <f>VLOOKUP($A1025,'Anlage 1a_Zuschlagszahlungen_NB'!$A$8:$E$167,5,FALSE)</f>
        <v>23228079</v>
      </c>
      <c r="C1025" s="88">
        <f>SUMIFS('Anlage 1c_Korrekturen_NB'!$D$11:$D$103,'Anlage 1c_Korrekturen_NB'!$A$11:$A$103,'Anlage 3a_Zusammenfassung_KWKG'!$A1025)+SUMIFS('Anlage 1c_Korrekturen_NB'!$F$11:$F$103,'Anlage 1c_Korrekturen_NB'!$A$11:$A$103,'Anlage 3a_Zusammenfassung_KWKG'!$A1025)+SUMIFS('Anlage 1c_Korrekturen_NB'!$H$11:$H$103,'Anlage 1c_Korrekturen_NB'!$A$11:$A$103,'Anlage 3a_Zusammenfassung_KWKG'!$A1025)</f>
        <v>2259582</v>
      </c>
      <c r="D1025" s="135">
        <f t="shared" si="45"/>
        <v>25487661</v>
      </c>
      <c r="E1025" s="133"/>
      <c r="F1025" s="92"/>
      <c r="G1025" s="92"/>
      <c r="H1025" s="92"/>
    </row>
    <row r="1026" spans="1:10" s="44" customFormat="1" hidden="1" outlineLevel="1">
      <c r="A1026" s="408" t="s">
        <v>760</v>
      </c>
      <c r="B1026" s="492">
        <f>VLOOKUP($A1026,'Anlage 1a_Zuschlagszahlungen_NB'!$A$8:$E$167,5,FALSE)</f>
        <v>465622</v>
      </c>
      <c r="C1026" s="88">
        <f>SUMIFS('Anlage 1c_Korrekturen_NB'!$D$11:$D$103,'Anlage 1c_Korrekturen_NB'!$A$11:$A$103,'Anlage 3a_Zusammenfassung_KWKG'!$A1026)+SUMIFS('Anlage 1c_Korrekturen_NB'!$F$11:$F$103,'Anlage 1c_Korrekturen_NB'!$A$11:$A$103,'Anlage 3a_Zusammenfassung_KWKG'!$A1026)+SUMIFS('Anlage 1c_Korrekturen_NB'!$H$11:$H$103,'Anlage 1c_Korrekturen_NB'!$A$11:$A$103,'Anlage 3a_Zusammenfassung_KWKG'!$A1026)</f>
        <v>0</v>
      </c>
      <c r="D1026" s="135">
        <f t="shared" si="45"/>
        <v>465622</v>
      </c>
      <c r="E1026" s="133"/>
      <c r="F1026" s="92"/>
      <c r="G1026" s="92"/>
      <c r="H1026" s="92"/>
    </row>
    <row r="1027" spans="1:10" s="44" customFormat="1" hidden="1" outlineLevel="1">
      <c r="A1027" s="408" t="s">
        <v>762</v>
      </c>
      <c r="B1027" s="492">
        <f>VLOOKUP($A1027,'Anlage 1a_Zuschlagszahlungen_NB'!$A$8:$E$167,5,FALSE)</f>
        <v>290738</v>
      </c>
      <c r="C1027" s="88">
        <f>SUMIFS('Anlage 1c_Korrekturen_NB'!$D$11:$D$103,'Anlage 1c_Korrekturen_NB'!$A$11:$A$103,'Anlage 3a_Zusammenfassung_KWKG'!$A1027)+SUMIFS('Anlage 1c_Korrekturen_NB'!$F$11:$F$103,'Anlage 1c_Korrekturen_NB'!$A$11:$A$103,'Anlage 3a_Zusammenfassung_KWKG'!$A1027)+SUMIFS('Anlage 1c_Korrekturen_NB'!$H$11:$H$103,'Anlage 1c_Korrekturen_NB'!$A$11:$A$103,'Anlage 3a_Zusammenfassung_KWKG'!$A1027)</f>
        <v>2417</v>
      </c>
      <c r="D1027" s="135">
        <f t="shared" si="45"/>
        <v>293155</v>
      </c>
      <c r="E1027" s="133"/>
      <c r="F1027" s="92"/>
      <c r="G1027" s="92"/>
      <c r="H1027" s="92"/>
    </row>
    <row r="1028" spans="1:10" s="44" customFormat="1" hidden="1" outlineLevel="1">
      <c r="A1028" s="408" t="s">
        <v>764</v>
      </c>
      <c r="B1028" s="492">
        <f>VLOOKUP($A1028,'Anlage 1a_Zuschlagszahlungen_NB'!$A$8:$E$167,5,FALSE)</f>
        <v>653276</v>
      </c>
      <c r="C1028" s="88">
        <f>SUMIFS('Anlage 1c_Korrekturen_NB'!$D$11:$D$103,'Anlage 1c_Korrekturen_NB'!$A$11:$A$103,'Anlage 3a_Zusammenfassung_KWKG'!$A1028)+SUMIFS('Anlage 1c_Korrekturen_NB'!$F$11:$F$103,'Anlage 1c_Korrekturen_NB'!$A$11:$A$103,'Anlage 3a_Zusammenfassung_KWKG'!$A1028)+SUMIFS('Anlage 1c_Korrekturen_NB'!$H$11:$H$103,'Anlage 1c_Korrekturen_NB'!$A$11:$A$103,'Anlage 3a_Zusammenfassung_KWKG'!$A1028)</f>
        <v>0</v>
      </c>
      <c r="D1028" s="135">
        <f t="shared" si="45"/>
        <v>653276</v>
      </c>
      <c r="E1028" s="133"/>
      <c r="F1028" s="92"/>
      <c r="G1028" s="92"/>
      <c r="H1028" s="92"/>
    </row>
    <row r="1029" spans="1:10" s="44" customFormat="1" hidden="1" outlineLevel="1">
      <c r="A1029" s="408" t="s">
        <v>766</v>
      </c>
      <c r="B1029" s="492">
        <f>VLOOKUP($A1029,'Anlage 1a_Zuschlagszahlungen_NB'!$A$8:$E$167,5,FALSE)</f>
        <v>334271</v>
      </c>
      <c r="C1029" s="88">
        <f>SUMIFS('Anlage 1c_Korrekturen_NB'!$D$11:$D$103,'Anlage 1c_Korrekturen_NB'!$A$11:$A$103,'Anlage 3a_Zusammenfassung_KWKG'!$A1029)+SUMIFS('Anlage 1c_Korrekturen_NB'!$F$11:$F$103,'Anlage 1c_Korrekturen_NB'!$A$11:$A$103,'Anlage 3a_Zusammenfassung_KWKG'!$A1029)+SUMIFS('Anlage 1c_Korrekturen_NB'!$H$11:$H$103,'Anlage 1c_Korrekturen_NB'!$A$11:$A$103,'Anlage 3a_Zusammenfassung_KWKG'!$A1029)</f>
        <v>0</v>
      </c>
      <c r="D1029" s="135">
        <f t="shared" si="45"/>
        <v>334271</v>
      </c>
      <c r="E1029" s="133"/>
      <c r="F1029" s="92"/>
      <c r="G1029" s="92"/>
      <c r="H1029" s="92"/>
    </row>
    <row r="1030" spans="1:10" s="44" customFormat="1" hidden="1" outlineLevel="1">
      <c r="A1030" s="408" t="s">
        <v>768</v>
      </c>
      <c r="B1030" s="492">
        <f>VLOOKUP($A1030,'Anlage 1a_Zuschlagszahlungen_NB'!$A$8:$E$167,5,FALSE)</f>
        <v>547927</v>
      </c>
      <c r="C1030" s="88">
        <f>SUMIFS('Anlage 1c_Korrekturen_NB'!$D$11:$D$103,'Anlage 1c_Korrekturen_NB'!$A$11:$A$103,'Anlage 3a_Zusammenfassung_KWKG'!$A1030)+SUMIFS('Anlage 1c_Korrekturen_NB'!$F$11:$F$103,'Anlage 1c_Korrekturen_NB'!$A$11:$A$103,'Anlage 3a_Zusammenfassung_KWKG'!$A1030)+SUMIFS('Anlage 1c_Korrekturen_NB'!$H$11:$H$103,'Anlage 1c_Korrekturen_NB'!$A$11:$A$103,'Anlage 3a_Zusammenfassung_KWKG'!$A1030)</f>
        <v>0</v>
      </c>
      <c r="D1030" s="135">
        <f t="shared" si="45"/>
        <v>547927</v>
      </c>
      <c r="E1030" s="133"/>
      <c r="F1030" s="92"/>
      <c r="G1030" s="92"/>
      <c r="H1030" s="92"/>
    </row>
    <row r="1031" spans="1:10" s="44" customFormat="1" hidden="1" outlineLevel="1">
      <c r="A1031" s="408" t="s">
        <v>770</v>
      </c>
      <c r="B1031" s="492">
        <f>VLOOKUP($A1031,'Anlage 1a_Zuschlagszahlungen_NB'!$A$8:$E$167,5,FALSE)</f>
        <v>665565</v>
      </c>
      <c r="C1031" s="88">
        <f>SUMIFS('Anlage 1c_Korrekturen_NB'!$D$11:$D$103,'Anlage 1c_Korrekturen_NB'!$A$11:$A$103,'Anlage 3a_Zusammenfassung_KWKG'!$A1031)+SUMIFS('Anlage 1c_Korrekturen_NB'!$F$11:$F$103,'Anlage 1c_Korrekturen_NB'!$A$11:$A$103,'Anlage 3a_Zusammenfassung_KWKG'!$A1031)+SUMIFS('Anlage 1c_Korrekturen_NB'!$H$11:$H$103,'Anlage 1c_Korrekturen_NB'!$A$11:$A$103,'Anlage 3a_Zusammenfassung_KWKG'!$A1031)</f>
        <v>0</v>
      </c>
      <c r="D1031" s="135">
        <f t="shared" si="45"/>
        <v>665565</v>
      </c>
      <c r="E1031" s="133"/>
      <c r="F1031" s="92"/>
      <c r="G1031" s="92"/>
      <c r="H1031" s="92"/>
    </row>
    <row r="1032" spans="1:10" s="44" customFormat="1" hidden="1" outlineLevel="1">
      <c r="A1032" s="408" t="s">
        <v>772</v>
      </c>
      <c r="B1032" s="492">
        <f>VLOOKUP($A1032,'Anlage 1a_Zuschlagszahlungen_NB'!$A$8:$E$167,5,FALSE)</f>
        <v>0</v>
      </c>
      <c r="C1032" s="88">
        <f>SUMIFS('Anlage 1c_Korrekturen_NB'!$D$11:$D$103,'Anlage 1c_Korrekturen_NB'!$A$11:$A$103,'Anlage 3a_Zusammenfassung_KWKG'!$A1032)+SUMIFS('Anlage 1c_Korrekturen_NB'!$F$11:$F$103,'Anlage 1c_Korrekturen_NB'!$A$11:$A$103,'Anlage 3a_Zusammenfassung_KWKG'!$A1032)+SUMIFS('Anlage 1c_Korrekturen_NB'!$H$11:$H$103,'Anlage 1c_Korrekturen_NB'!$A$11:$A$103,'Anlage 3a_Zusammenfassung_KWKG'!$A1032)</f>
        <v>0</v>
      </c>
      <c r="D1032" s="135">
        <f t="shared" si="45"/>
        <v>0</v>
      </c>
      <c r="E1032" s="133"/>
      <c r="F1032" s="92"/>
      <c r="G1032" s="92"/>
      <c r="H1032" s="92"/>
    </row>
    <row r="1033" spans="1:10" s="44" customFormat="1" collapsed="1">
      <c r="A1033" s="374" t="str">
        <f>A167</f>
        <v>Regelzone Amprion (gesamt)</v>
      </c>
      <c r="B1033" s="491">
        <f>SUM(B1034:B1268)</f>
        <v>8033830747</v>
      </c>
      <c r="C1033" s="405">
        <f>SUM(C1034:C1268)</f>
        <v>585067485</v>
      </c>
      <c r="D1033" s="134">
        <f t="shared" si="39"/>
        <v>8618898232</v>
      </c>
      <c r="E1033" s="70"/>
      <c r="F1033" s="70"/>
      <c r="G1033" s="70"/>
      <c r="H1033" s="70"/>
      <c r="I1033" s="54"/>
    </row>
    <row r="1034" spans="1:10" s="44" customFormat="1" hidden="1" outlineLevel="1">
      <c r="A1034" s="374" t="str">
        <f>A168</f>
        <v>SNB900123507953</v>
      </c>
      <c r="B1034" s="492">
        <f>_xlfn.IFNA(VLOOKUP($A1034,'Anlage 1a_Zuschlagszahlungen_NB'!A169:E402,5,FALSE),0)</f>
        <v>463060</v>
      </c>
      <c r="C1034" s="88">
        <f>SUMIFS('Anlage 1c_Korrekturen_NB'!$D$105:$D$295,'Anlage 1c_Korrekturen_NB'!$A$105:$A$295,'Anlage 3a_Zusammenfassung_KWKG'!$A1034)+SUMIFS('Anlage 1c_Korrekturen_NB'!$F$105:$F$295,'Anlage 1c_Korrekturen_NB'!$A$105:$A$295,'Anlage 3a_Zusammenfassung_KWKG'!$A1034)+SUMIFS('Anlage 1c_Korrekturen_NB'!$H$105:$H$295,'Anlage 1c_Korrekturen_NB'!$A$105:$A$295,'Anlage 3a_Zusammenfassung_KWKG'!$A1034)</f>
        <v>0</v>
      </c>
      <c r="D1034" s="134">
        <f t="shared" ref="D1034:D1138" si="46">B1034+C1034</f>
        <v>463060</v>
      </c>
      <c r="E1034" s="70"/>
      <c r="F1034" s="70"/>
      <c r="G1034" s="70"/>
      <c r="H1034" s="70"/>
      <c r="I1034" s="54"/>
      <c r="J1034" s="27" t="str">
        <f>J168</f>
        <v>Stadtwerke Steinfurt GmbH</v>
      </c>
    </row>
    <row r="1035" spans="1:10" s="44" customFormat="1" hidden="1" outlineLevel="1">
      <c r="A1035" s="374" t="str">
        <f t="shared" ref="A1035:A1098" si="47">A169</f>
        <v>SNB901665585874</v>
      </c>
      <c r="B1035" s="492">
        <f>_xlfn.IFNA(VLOOKUP($A1035,'Anlage 1a_Zuschlagszahlungen_NB'!A170:E403,5,FALSE),0)</f>
        <v>1556724</v>
      </c>
      <c r="C1035" s="88">
        <f>SUMIFS('Anlage 1c_Korrekturen_NB'!$D$105:$D$295,'Anlage 1c_Korrekturen_NB'!$A$105:$A$295,'Anlage 3a_Zusammenfassung_KWKG'!$A1035)+SUMIFS('Anlage 1c_Korrekturen_NB'!$F$105:$F$295,'Anlage 1c_Korrekturen_NB'!$A$105:$A$295,'Anlage 3a_Zusammenfassung_KWKG'!$A1035)+SUMIFS('Anlage 1c_Korrekturen_NB'!$H$105:$H$295,'Anlage 1c_Korrekturen_NB'!$A$105:$A$295,'Anlage 3a_Zusammenfassung_KWKG'!$A1035)</f>
        <v>0</v>
      </c>
      <c r="D1035" s="134">
        <f t="shared" si="46"/>
        <v>1556724</v>
      </c>
      <c r="E1035" s="70"/>
      <c r="F1035" s="70"/>
      <c r="G1035" s="70"/>
      <c r="H1035" s="70"/>
      <c r="I1035" s="54"/>
      <c r="J1035" s="27" t="str">
        <f t="shared" ref="J1035:J1098" si="48">J169</f>
        <v>GETEC net GmbH</v>
      </c>
    </row>
    <row r="1036" spans="1:10" s="44" customFormat="1" hidden="1" outlineLevel="1">
      <c r="A1036" s="374" t="str">
        <f t="shared" si="47"/>
        <v>SNB910696207785</v>
      </c>
      <c r="B1036" s="492">
        <f>_xlfn.IFNA(VLOOKUP($A1036,'Anlage 1a_Zuschlagszahlungen_NB'!A171:E404,5,FALSE),0)</f>
        <v>2944888</v>
      </c>
      <c r="C1036" s="88">
        <f>SUMIFS('Anlage 1c_Korrekturen_NB'!$D$105:$D$295,'Anlage 1c_Korrekturen_NB'!$A$105:$A$295,'Anlage 3a_Zusammenfassung_KWKG'!$A1036)+SUMIFS('Anlage 1c_Korrekturen_NB'!$F$105:$F$295,'Anlage 1c_Korrekturen_NB'!$A$105:$A$295,'Anlage 3a_Zusammenfassung_KWKG'!$A1036)+SUMIFS('Anlage 1c_Korrekturen_NB'!$H$105:$H$295,'Anlage 1c_Korrekturen_NB'!$A$105:$A$295,'Anlage 3a_Zusammenfassung_KWKG'!$A1036)</f>
        <v>674567</v>
      </c>
      <c r="D1036" s="134">
        <f t="shared" si="46"/>
        <v>3619455</v>
      </c>
      <c r="E1036" s="70"/>
      <c r="F1036" s="70"/>
      <c r="G1036" s="70"/>
      <c r="H1036" s="70"/>
      <c r="I1036" s="54"/>
      <c r="J1036" s="27" t="str">
        <f t="shared" si="48"/>
        <v>Teutoburger Energie Netzwerk eG</v>
      </c>
    </row>
    <row r="1037" spans="1:10" s="44" customFormat="1" hidden="1" outlineLevel="1">
      <c r="A1037" s="374" t="str">
        <f t="shared" si="47"/>
        <v>SNB911081401368</v>
      </c>
      <c r="B1037" s="492">
        <f>_xlfn.IFNA(VLOOKUP($A1037,'Anlage 1a_Zuschlagszahlungen_NB'!A172:E405,5,FALSE),0)</f>
        <v>2888648</v>
      </c>
      <c r="C1037" s="88">
        <f>SUMIFS('Anlage 1c_Korrekturen_NB'!$D$105:$D$295,'Anlage 1c_Korrekturen_NB'!$A$105:$A$295,'Anlage 3a_Zusammenfassung_KWKG'!$A1037)+SUMIFS('Anlage 1c_Korrekturen_NB'!$F$105:$F$295,'Anlage 1c_Korrekturen_NB'!$A$105:$A$295,'Anlage 3a_Zusammenfassung_KWKG'!$A1037)+SUMIFS('Anlage 1c_Korrekturen_NB'!$H$105:$H$295,'Anlage 1c_Korrekturen_NB'!$A$105:$A$295,'Anlage 3a_Zusammenfassung_KWKG'!$A1037)</f>
        <v>0</v>
      </c>
      <c r="D1037" s="134">
        <f t="shared" si="46"/>
        <v>2888648</v>
      </c>
      <c r="E1037" s="70"/>
      <c r="F1037" s="70"/>
      <c r="G1037" s="70"/>
      <c r="H1037" s="70"/>
      <c r="I1037" s="54"/>
      <c r="J1037" s="27" t="str">
        <f t="shared" si="48"/>
        <v>Aschaffenburger Versorgungs-GmbH</v>
      </c>
    </row>
    <row r="1038" spans="1:10" s="44" customFormat="1" hidden="1" outlineLevel="1">
      <c r="A1038" s="374" t="str">
        <f t="shared" si="47"/>
        <v>SNB911144461377</v>
      </c>
      <c r="B1038" s="492">
        <f>_xlfn.IFNA(VLOOKUP($A1038,'Anlage 1a_Zuschlagszahlungen_NB'!A173:E406,5,FALSE),0)</f>
        <v>24638787</v>
      </c>
      <c r="C1038" s="88">
        <f>SUMIFS('Anlage 1c_Korrekturen_NB'!$D$105:$D$295,'Anlage 1c_Korrekturen_NB'!$A$105:$A$295,'Anlage 3a_Zusammenfassung_KWKG'!$A1038)+SUMIFS('Anlage 1c_Korrekturen_NB'!$F$105:$F$295,'Anlage 1c_Korrekturen_NB'!$A$105:$A$295,'Anlage 3a_Zusammenfassung_KWKG'!$A1038)+SUMIFS('Anlage 1c_Korrekturen_NB'!$H$105:$H$295,'Anlage 1c_Korrekturen_NB'!$A$105:$A$295,'Anlage 3a_Zusammenfassung_KWKG'!$A1038)</f>
        <v>426972</v>
      </c>
      <c r="D1038" s="134">
        <f t="shared" si="46"/>
        <v>25065759</v>
      </c>
      <c r="E1038" s="70"/>
      <c r="F1038" s="70"/>
      <c r="G1038" s="70"/>
      <c r="H1038" s="70"/>
      <c r="I1038" s="54"/>
      <c r="J1038" s="27" t="str">
        <f t="shared" si="48"/>
        <v>NGN NETZGESELLSCHAFT NIEDERRHEIN MBH</v>
      </c>
    </row>
    <row r="1039" spans="1:10" s="44" customFormat="1" hidden="1" outlineLevel="1">
      <c r="A1039" s="374" t="str">
        <f t="shared" si="47"/>
        <v>SNB911521002599</v>
      </c>
      <c r="B1039" s="492">
        <f>_xlfn.IFNA(VLOOKUP($A1039,'Anlage 1a_Zuschlagszahlungen_NB'!A174:E407,5,FALSE),0)</f>
        <v>9119521</v>
      </c>
      <c r="C1039" s="88">
        <f>SUMIFS('Anlage 1c_Korrekturen_NB'!$D$105:$D$295,'Anlage 1c_Korrekturen_NB'!$A$105:$A$295,'Anlage 3a_Zusammenfassung_KWKG'!$A1039)+SUMIFS('Anlage 1c_Korrekturen_NB'!$F$105:$F$295,'Anlage 1c_Korrekturen_NB'!$A$105:$A$295,'Anlage 3a_Zusammenfassung_KWKG'!$A1039)+SUMIFS('Anlage 1c_Korrekturen_NB'!$H$105:$H$295,'Anlage 1c_Korrekturen_NB'!$A$105:$A$295,'Anlage 3a_Zusammenfassung_KWKG'!$A1039)</f>
        <v>1213922</v>
      </c>
      <c r="D1039" s="134">
        <f t="shared" si="46"/>
        <v>10333443</v>
      </c>
      <c r="E1039" s="70"/>
      <c r="F1039" s="70"/>
      <c r="G1039" s="70"/>
      <c r="H1039" s="70"/>
      <c r="I1039" s="54"/>
      <c r="J1039" s="27" t="str">
        <f t="shared" si="48"/>
        <v>EnergieSüdwest Netz GmbH</v>
      </c>
    </row>
    <row r="1040" spans="1:10" s="44" customFormat="1" hidden="1" outlineLevel="1">
      <c r="A1040" s="374" t="str">
        <f t="shared" si="47"/>
        <v>SNB911602541351</v>
      </c>
      <c r="B1040" s="492">
        <f>_xlfn.IFNA(VLOOKUP($A1040,'Anlage 1a_Zuschlagszahlungen_NB'!A175:E408,5,FALSE),0)</f>
        <v>2077850</v>
      </c>
      <c r="C1040" s="88">
        <f>SUMIFS('Anlage 1c_Korrekturen_NB'!$D$105:$D$295,'Anlage 1c_Korrekturen_NB'!$A$105:$A$295,'Anlage 3a_Zusammenfassung_KWKG'!$A1040)+SUMIFS('Anlage 1c_Korrekturen_NB'!$F$105:$F$295,'Anlage 1c_Korrekturen_NB'!$A$105:$A$295,'Anlage 3a_Zusammenfassung_KWKG'!$A1040)+SUMIFS('Anlage 1c_Korrekturen_NB'!$H$105:$H$295,'Anlage 1c_Korrekturen_NB'!$A$105:$A$295,'Anlage 3a_Zusammenfassung_KWKG'!$A1040)</f>
        <v>1852395</v>
      </c>
      <c r="D1040" s="134">
        <f t="shared" si="46"/>
        <v>3930245</v>
      </c>
      <c r="E1040" s="70"/>
      <c r="F1040" s="70"/>
      <c r="G1040" s="70"/>
      <c r="H1040" s="70"/>
      <c r="I1040" s="54"/>
      <c r="J1040" s="27" t="str">
        <f t="shared" si="48"/>
        <v>Stadtwerke Backnang GmbH</v>
      </c>
    </row>
    <row r="1041" spans="1:10" s="44" customFormat="1" hidden="1" outlineLevel="1">
      <c r="A1041" s="374" t="str">
        <f t="shared" si="47"/>
        <v>SNB911641710114</v>
      </c>
      <c r="B1041" s="492">
        <f>_xlfn.IFNA(VLOOKUP($A1041,'Anlage 1a_Zuschlagszahlungen_NB'!A176:E409,5,FALSE),0)</f>
        <v>103990313</v>
      </c>
      <c r="C1041" s="88">
        <f>SUMIFS('Anlage 1c_Korrekturen_NB'!$D$105:$D$295,'Anlage 1c_Korrekturen_NB'!$A$105:$A$295,'Anlage 3a_Zusammenfassung_KWKG'!$A1041)+SUMIFS('Anlage 1c_Korrekturen_NB'!$F$105:$F$295,'Anlage 1c_Korrekturen_NB'!$A$105:$A$295,'Anlage 3a_Zusammenfassung_KWKG'!$A1041)+SUMIFS('Anlage 1c_Korrekturen_NB'!$H$105:$H$295,'Anlage 1c_Korrekturen_NB'!$A$105:$A$295,'Anlage 3a_Zusammenfassung_KWKG'!$A1041)</f>
        <v>7252890</v>
      </c>
      <c r="D1041" s="134">
        <f t="shared" si="46"/>
        <v>111243203</v>
      </c>
      <c r="E1041" s="70"/>
      <c r="F1041" s="70"/>
      <c r="G1041" s="70"/>
      <c r="H1041" s="70"/>
      <c r="I1041" s="54"/>
      <c r="J1041" s="27" t="str">
        <f t="shared" si="48"/>
        <v>Regionetz GmbH</v>
      </c>
    </row>
    <row r="1042" spans="1:10" s="44" customFormat="1" hidden="1" outlineLevel="1">
      <c r="A1042" s="374" t="str">
        <f t="shared" si="47"/>
        <v>SNB911705062982</v>
      </c>
      <c r="B1042" s="492">
        <f>_xlfn.IFNA(VLOOKUP($A1042,'Anlage 1a_Zuschlagszahlungen_NB'!A177:E410,5,FALSE),0)</f>
        <v>79600417</v>
      </c>
      <c r="C1042" s="88">
        <f>SUMIFS('Anlage 1c_Korrekturen_NB'!$D$105:$D$295,'Anlage 1c_Korrekturen_NB'!$A$105:$A$295,'Anlage 3a_Zusammenfassung_KWKG'!$A1042)+SUMIFS('Anlage 1c_Korrekturen_NB'!$F$105:$F$295,'Anlage 1c_Korrekturen_NB'!$A$105:$A$295,'Anlage 3a_Zusammenfassung_KWKG'!$A1042)+SUMIFS('Anlage 1c_Korrekturen_NB'!$H$105:$H$295,'Anlage 1c_Korrekturen_NB'!$A$105:$A$295,'Anlage 3a_Zusammenfassung_KWKG'!$A1042)</f>
        <v>3109763</v>
      </c>
      <c r="D1042" s="134">
        <f t="shared" si="46"/>
        <v>82710180</v>
      </c>
      <c r="E1042" s="70"/>
      <c r="F1042" s="70"/>
      <c r="G1042" s="70"/>
      <c r="H1042" s="70"/>
      <c r="I1042" s="54"/>
      <c r="J1042" s="27" t="str">
        <f t="shared" si="48"/>
        <v>LEW Verteilnetz GmbH</v>
      </c>
    </row>
    <row r="1043" spans="1:10" s="44" customFormat="1" hidden="1" outlineLevel="1">
      <c r="A1043" s="374" t="str">
        <f t="shared" si="47"/>
        <v>SNB912063565672</v>
      </c>
      <c r="B1043" s="492">
        <f>_xlfn.IFNA(VLOOKUP($A1043,'Anlage 1a_Zuschlagszahlungen_NB'!A178:E411,5,FALSE),0)</f>
        <v>513283</v>
      </c>
      <c r="C1043" s="88">
        <f>SUMIFS('Anlage 1c_Korrekturen_NB'!$D$105:$D$295,'Anlage 1c_Korrekturen_NB'!$A$105:$A$295,'Anlage 3a_Zusammenfassung_KWKG'!$A1043)+SUMIFS('Anlage 1c_Korrekturen_NB'!$F$105:$F$295,'Anlage 1c_Korrekturen_NB'!$A$105:$A$295,'Anlage 3a_Zusammenfassung_KWKG'!$A1043)+SUMIFS('Anlage 1c_Korrekturen_NB'!$H$105:$H$295,'Anlage 1c_Korrekturen_NB'!$A$105:$A$295,'Anlage 3a_Zusammenfassung_KWKG'!$A1043)</f>
        <v>0</v>
      </c>
      <c r="D1043" s="134">
        <f t="shared" si="46"/>
        <v>513283</v>
      </c>
      <c r="E1043" s="70"/>
      <c r="F1043" s="70"/>
      <c r="G1043" s="70"/>
      <c r="H1043" s="70"/>
      <c r="I1043" s="54"/>
      <c r="J1043" s="27" t="str">
        <f t="shared" si="48"/>
        <v>Stadtwerke Fröndenberg Wickede GmbH</v>
      </c>
    </row>
    <row r="1044" spans="1:10" s="44" customFormat="1" hidden="1" outlineLevel="1">
      <c r="A1044" s="374" t="str">
        <f t="shared" si="47"/>
        <v>SNB912239808732</v>
      </c>
      <c r="B1044" s="492">
        <f>_xlfn.IFNA(VLOOKUP($A1044,'Anlage 1a_Zuschlagszahlungen_NB'!A179:E412,5,FALSE),0)</f>
        <v>3461281</v>
      </c>
      <c r="C1044" s="88">
        <f>SUMIFS('Anlage 1c_Korrekturen_NB'!$D$105:$D$295,'Anlage 1c_Korrekturen_NB'!$A$105:$A$295,'Anlage 3a_Zusammenfassung_KWKG'!$A1044)+SUMIFS('Anlage 1c_Korrekturen_NB'!$F$105:$F$295,'Anlage 1c_Korrekturen_NB'!$A$105:$A$295,'Anlage 3a_Zusammenfassung_KWKG'!$A1044)+SUMIFS('Anlage 1c_Korrekturen_NB'!$H$105:$H$295,'Anlage 1c_Korrekturen_NB'!$A$105:$A$295,'Anlage 3a_Zusammenfassung_KWKG'!$A1044)</f>
        <v>0</v>
      </c>
      <c r="D1044" s="134">
        <f t="shared" si="46"/>
        <v>3461281</v>
      </c>
      <c r="E1044" s="70"/>
      <c r="F1044" s="70"/>
      <c r="G1044" s="70"/>
      <c r="H1044" s="70"/>
      <c r="I1044" s="54"/>
      <c r="J1044" s="27" t="str">
        <f t="shared" si="48"/>
        <v>Rheinhessische Energie- und Wasserversorgungs-GmbH</v>
      </c>
    </row>
    <row r="1045" spans="1:10" s="44" customFormat="1" hidden="1" outlineLevel="1">
      <c r="A1045" s="374" t="str">
        <f t="shared" si="47"/>
        <v>SNB912743424114</v>
      </c>
      <c r="B1045" s="492">
        <f>_xlfn.IFNA(VLOOKUP($A1045,'Anlage 1a_Zuschlagszahlungen_NB'!A180:E413,5,FALSE),0)</f>
        <v>8915856</v>
      </c>
      <c r="C1045" s="88">
        <f>SUMIFS('Anlage 1c_Korrekturen_NB'!$D$105:$D$295,'Anlage 1c_Korrekturen_NB'!$A$105:$A$295,'Anlage 3a_Zusammenfassung_KWKG'!$A1045)+SUMIFS('Anlage 1c_Korrekturen_NB'!$F$105:$F$295,'Anlage 1c_Korrekturen_NB'!$A$105:$A$295,'Anlage 3a_Zusammenfassung_KWKG'!$A1045)+SUMIFS('Anlage 1c_Korrekturen_NB'!$H$105:$H$295,'Anlage 1c_Korrekturen_NB'!$A$105:$A$295,'Anlage 3a_Zusammenfassung_KWKG'!$A1045)</f>
        <v>-6697</v>
      </c>
      <c r="D1045" s="134">
        <f t="shared" si="46"/>
        <v>8909159</v>
      </c>
      <c r="E1045" s="70"/>
      <c r="F1045" s="70"/>
      <c r="G1045" s="70"/>
      <c r="H1045" s="70"/>
      <c r="I1045" s="54"/>
      <c r="J1045" s="27" t="str">
        <f t="shared" si="48"/>
        <v>Energie- und Wasserversorgung Hamm GmbH</v>
      </c>
    </row>
    <row r="1046" spans="1:10" s="44" customFormat="1" hidden="1" outlineLevel="1">
      <c r="A1046" s="374" t="str">
        <f t="shared" si="47"/>
        <v>SNB913730249284</v>
      </c>
      <c r="B1046" s="492">
        <f>_xlfn.IFNA(VLOOKUP($A1046,'Anlage 1a_Zuschlagszahlungen_NB'!A181:E414,5,FALSE),0)</f>
        <v>1175913</v>
      </c>
      <c r="C1046" s="88">
        <f>SUMIFS('Anlage 1c_Korrekturen_NB'!$D$105:$D$295,'Anlage 1c_Korrekturen_NB'!$A$105:$A$295,'Anlage 3a_Zusammenfassung_KWKG'!$A1046)+SUMIFS('Anlage 1c_Korrekturen_NB'!$F$105:$F$295,'Anlage 1c_Korrekturen_NB'!$A$105:$A$295,'Anlage 3a_Zusammenfassung_KWKG'!$A1046)+SUMIFS('Anlage 1c_Korrekturen_NB'!$H$105:$H$295,'Anlage 1c_Korrekturen_NB'!$A$105:$A$295,'Anlage 3a_Zusammenfassung_KWKG'!$A1046)</f>
        <v>0</v>
      </c>
      <c r="D1046" s="134">
        <f t="shared" si="46"/>
        <v>1175913</v>
      </c>
      <c r="E1046" s="70"/>
      <c r="F1046" s="70"/>
      <c r="G1046" s="70"/>
      <c r="H1046" s="70"/>
      <c r="I1046" s="54"/>
      <c r="J1046" s="27" t="str">
        <f t="shared" si="48"/>
        <v>Stadtwerke Iserlohn GmbH</v>
      </c>
    </row>
    <row r="1047" spans="1:10" s="44" customFormat="1" hidden="1" outlineLevel="1">
      <c r="A1047" s="374" t="str">
        <f t="shared" si="47"/>
        <v>SNB913768089142</v>
      </c>
      <c r="B1047" s="492">
        <f>_xlfn.IFNA(VLOOKUP($A1047,'Anlage 1a_Zuschlagszahlungen_NB'!A182:E415,5,FALSE),0)</f>
        <v>489093</v>
      </c>
      <c r="C1047" s="88">
        <f>SUMIFS('Anlage 1c_Korrekturen_NB'!$D$105:$D$295,'Anlage 1c_Korrekturen_NB'!$A$105:$A$295,'Anlage 3a_Zusammenfassung_KWKG'!$A1047)+SUMIFS('Anlage 1c_Korrekturen_NB'!$F$105:$F$295,'Anlage 1c_Korrekturen_NB'!$A$105:$A$295,'Anlage 3a_Zusammenfassung_KWKG'!$A1047)+SUMIFS('Anlage 1c_Korrekturen_NB'!$H$105:$H$295,'Anlage 1c_Korrekturen_NB'!$A$105:$A$295,'Anlage 3a_Zusammenfassung_KWKG'!$A1047)</f>
        <v>0</v>
      </c>
      <c r="D1047" s="134">
        <f t="shared" si="46"/>
        <v>489093</v>
      </c>
      <c r="E1047" s="70"/>
      <c r="F1047" s="70"/>
      <c r="G1047" s="70"/>
      <c r="H1047" s="70"/>
      <c r="I1047" s="54"/>
      <c r="J1047" s="27" t="str">
        <f t="shared" si="48"/>
        <v>FASTR GmbH</v>
      </c>
    </row>
    <row r="1048" spans="1:10" s="44" customFormat="1" hidden="1" outlineLevel="1">
      <c r="A1048" s="374" t="str">
        <f t="shared" si="47"/>
        <v>SNB914027640531</v>
      </c>
      <c r="B1048" s="492">
        <f>_xlfn.IFNA(VLOOKUP($A1048,'Anlage 1a_Zuschlagszahlungen_NB'!A183:E416,5,FALSE),0)</f>
        <v>27637</v>
      </c>
      <c r="C1048" s="88">
        <f>SUMIFS('Anlage 1c_Korrekturen_NB'!$D$105:$D$295,'Anlage 1c_Korrekturen_NB'!$A$105:$A$295,'Anlage 3a_Zusammenfassung_KWKG'!$A1048)+SUMIFS('Anlage 1c_Korrekturen_NB'!$F$105:$F$295,'Anlage 1c_Korrekturen_NB'!$A$105:$A$295,'Anlage 3a_Zusammenfassung_KWKG'!$A1048)+SUMIFS('Anlage 1c_Korrekturen_NB'!$H$105:$H$295,'Anlage 1c_Korrekturen_NB'!$A$105:$A$295,'Anlage 3a_Zusammenfassung_KWKG'!$A1048)</f>
        <v>0</v>
      </c>
      <c r="D1048" s="134">
        <f t="shared" si="46"/>
        <v>27637</v>
      </c>
      <c r="E1048" s="70"/>
      <c r="F1048" s="70"/>
      <c r="G1048" s="70"/>
      <c r="H1048" s="70"/>
      <c r="I1048" s="54"/>
      <c r="J1048" s="27" t="str">
        <f t="shared" si="48"/>
        <v>SWL Energienetz- und Entsorgungsgesellschaft mbH</v>
      </c>
    </row>
    <row r="1049" spans="1:10" s="44" customFormat="1" hidden="1" outlineLevel="1">
      <c r="A1049" s="374" t="str">
        <f t="shared" si="47"/>
        <v>SNB914306944756</v>
      </c>
      <c r="B1049" s="492">
        <f>_xlfn.IFNA(VLOOKUP($A1049,'Anlage 1a_Zuschlagszahlungen_NB'!A184:E417,5,FALSE),0)</f>
        <v>20699363</v>
      </c>
      <c r="C1049" s="88">
        <f>SUMIFS('Anlage 1c_Korrekturen_NB'!$D$105:$D$295,'Anlage 1c_Korrekturen_NB'!$A$105:$A$295,'Anlage 3a_Zusammenfassung_KWKG'!$A1049)+SUMIFS('Anlage 1c_Korrekturen_NB'!$F$105:$F$295,'Anlage 1c_Korrekturen_NB'!$A$105:$A$295,'Anlage 3a_Zusammenfassung_KWKG'!$A1049)+SUMIFS('Anlage 1c_Korrekturen_NB'!$H$105:$H$295,'Anlage 1c_Korrekturen_NB'!$A$105:$A$295,'Anlage 3a_Zusammenfassung_KWKG'!$A1049)</f>
        <v>749251</v>
      </c>
      <c r="D1049" s="134">
        <f t="shared" si="46"/>
        <v>21448614</v>
      </c>
      <c r="E1049" s="70"/>
      <c r="F1049" s="70"/>
      <c r="G1049" s="70"/>
      <c r="H1049" s="70"/>
      <c r="I1049" s="54"/>
      <c r="J1049" s="27" t="str">
        <f t="shared" si="48"/>
        <v>WSW Netz GmbH</v>
      </c>
    </row>
    <row r="1050" spans="1:10" s="44" customFormat="1" hidden="1" outlineLevel="1">
      <c r="A1050" s="374" t="str">
        <f t="shared" si="47"/>
        <v>SNB914731268120</v>
      </c>
      <c r="B1050" s="492">
        <f>_xlfn.IFNA(VLOOKUP($A1050,'Anlage 1a_Zuschlagszahlungen_NB'!A185:E418,5,FALSE),0)</f>
        <v>1087904</v>
      </c>
      <c r="C1050" s="88">
        <f>SUMIFS('Anlage 1c_Korrekturen_NB'!$D$105:$D$295,'Anlage 1c_Korrekturen_NB'!$A$105:$A$295,'Anlage 3a_Zusammenfassung_KWKG'!$A1050)+SUMIFS('Anlage 1c_Korrekturen_NB'!$F$105:$F$295,'Anlage 1c_Korrekturen_NB'!$A$105:$A$295,'Anlage 3a_Zusammenfassung_KWKG'!$A1050)+SUMIFS('Anlage 1c_Korrekturen_NB'!$H$105:$H$295,'Anlage 1c_Korrekturen_NB'!$A$105:$A$295,'Anlage 3a_Zusammenfassung_KWKG'!$A1050)</f>
        <v>-142082</v>
      </c>
      <c r="D1050" s="134">
        <f t="shared" si="46"/>
        <v>945822</v>
      </c>
      <c r="E1050" s="70"/>
      <c r="F1050" s="70"/>
      <c r="G1050" s="70"/>
      <c r="H1050" s="70"/>
      <c r="I1050" s="54"/>
      <c r="J1050" s="27" t="str">
        <f t="shared" si="48"/>
        <v>MEGA Monheimer Elektrizitäts- und Gasversorgung GmbH</v>
      </c>
    </row>
    <row r="1051" spans="1:10" s="44" customFormat="1" hidden="1" outlineLevel="1">
      <c r="A1051" s="374" t="str">
        <f t="shared" si="47"/>
        <v>SNB915100694458</v>
      </c>
      <c r="B1051" s="492">
        <f>_xlfn.IFNA(VLOOKUP($A1051,'Anlage 1a_Zuschlagszahlungen_NB'!A186:E419,5,FALSE),0)</f>
        <v>2584517</v>
      </c>
      <c r="C1051" s="88">
        <f>SUMIFS('Anlage 1c_Korrekturen_NB'!$D$105:$D$295,'Anlage 1c_Korrekturen_NB'!$A$105:$A$295,'Anlage 3a_Zusammenfassung_KWKG'!$A1051)+SUMIFS('Anlage 1c_Korrekturen_NB'!$F$105:$F$295,'Anlage 1c_Korrekturen_NB'!$A$105:$A$295,'Anlage 3a_Zusammenfassung_KWKG'!$A1051)+SUMIFS('Anlage 1c_Korrekturen_NB'!$H$105:$H$295,'Anlage 1c_Korrekturen_NB'!$A$105:$A$295,'Anlage 3a_Zusammenfassung_KWKG'!$A1051)</f>
        <v>0</v>
      </c>
      <c r="D1051" s="134">
        <f t="shared" si="46"/>
        <v>2584517</v>
      </c>
      <c r="E1051" s="70"/>
      <c r="F1051" s="70"/>
      <c r="G1051" s="70"/>
      <c r="H1051" s="70"/>
      <c r="I1051" s="54"/>
      <c r="J1051" s="27" t="str">
        <f t="shared" si="48"/>
        <v>Energienetze Offenbach GmbH</v>
      </c>
    </row>
    <row r="1052" spans="1:10" s="44" customFormat="1" hidden="1" outlineLevel="1">
      <c r="A1052" s="374" t="str">
        <f t="shared" si="47"/>
        <v>SNB915471253889</v>
      </c>
      <c r="B1052" s="492">
        <f>_xlfn.IFNA(VLOOKUP($A1052,'Anlage 1a_Zuschlagszahlungen_NB'!A187:E420,5,FALSE),0)</f>
        <v>0</v>
      </c>
      <c r="C1052" s="88">
        <f>SUMIFS('Anlage 1c_Korrekturen_NB'!$D$105:$D$295,'Anlage 1c_Korrekturen_NB'!$A$105:$A$295,'Anlage 3a_Zusammenfassung_KWKG'!$A1052)+SUMIFS('Anlage 1c_Korrekturen_NB'!$F$105:$F$295,'Anlage 1c_Korrekturen_NB'!$A$105:$A$295,'Anlage 3a_Zusammenfassung_KWKG'!$A1052)+SUMIFS('Anlage 1c_Korrekturen_NB'!$H$105:$H$295,'Anlage 1c_Korrekturen_NB'!$A$105:$A$295,'Anlage 3a_Zusammenfassung_KWKG'!$A1052)</f>
        <v>0</v>
      </c>
      <c r="D1052" s="134">
        <f t="shared" si="46"/>
        <v>0</v>
      </c>
      <c r="E1052" s="70"/>
      <c r="F1052" s="70"/>
      <c r="G1052" s="70"/>
      <c r="H1052" s="70"/>
      <c r="I1052" s="54"/>
      <c r="J1052" s="27" t="str">
        <f t="shared" si="48"/>
        <v>Netzwerke Saarlouis GmbH</v>
      </c>
    </row>
    <row r="1053" spans="1:10" s="44" customFormat="1" hidden="1" outlineLevel="1">
      <c r="A1053" s="374" t="str">
        <f t="shared" si="47"/>
        <v>SNB916123648602</v>
      </c>
      <c r="B1053" s="492">
        <f>_xlfn.IFNA(VLOOKUP($A1053,'Anlage 1a_Zuschlagszahlungen_NB'!A188:E421,5,FALSE),0)</f>
        <v>124514505</v>
      </c>
      <c r="C1053" s="88">
        <f>SUMIFS('Anlage 1c_Korrekturen_NB'!$D$105:$D$295,'Anlage 1c_Korrekturen_NB'!$A$105:$A$295,'Anlage 3a_Zusammenfassung_KWKG'!$A1053)+SUMIFS('Anlage 1c_Korrekturen_NB'!$F$105:$F$295,'Anlage 1c_Korrekturen_NB'!$A$105:$A$295,'Anlage 3a_Zusammenfassung_KWKG'!$A1053)+SUMIFS('Anlage 1c_Korrekturen_NB'!$H$105:$H$295,'Anlage 1c_Korrekturen_NB'!$A$105:$A$295,'Anlage 3a_Zusammenfassung_KWKG'!$A1053)</f>
        <v>5004989</v>
      </c>
      <c r="D1053" s="134">
        <f t="shared" si="46"/>
        <v>129519494</v>
      </c>
      <c r="E1053" s="70"/>
      <c r="F1053" s="70"/>
      <c r="G1053" s="70"/>
      <c r="H1053" s="70"/>
      <c r="I1053" s="54"/>
      <c r="J1053" s="27" t="str">
        <f t="shared" si="48"/>
        <v>Netze Duisburg GmbH</v>
      </c>
    </row>
    <row r="1054" spans="1:10" s="44" customFormat="1" hidden="1" outlineLevel="1">
      <c r="A1054" s="374" t="str">
        <f t="shared" si="47"/>
        <v>SNB916617262147</v>
      </c>
      <c r="B1054" s="492">
        <f>_xlfn.IFNA(VLOOKUP($A1054,'Anlage 1a_Zuschlagszahlungen_NB'!A189:E422,5,FALSE),0)</f>
        <v>90237</v>
      </c>
      <c r="C1054" s="88">
        <f>SUMIFS('Anlage 1c_Korrekturen_NB'!$D$105:$D$295,'Anlage 1c_Korrekturen_NB'!$A$105:$A$295,'Anlage 3a_Zusammenfassung_KWKG'!$A1054)+SUMIFS('Anlage 1c_Korrekturen_NB'!$F$105:$F$295,'Anlage 1c_Korrekturen_NB'!$A$105:$A$295,'Anlage 3a_Zusammenfassung_KWKG'!$A1054)+SUMIFS('Anlage 1c_Korrekturen_NB'!$H$105:$H$295,'Anlage 1c_Korrekturen_NB'!$A$105:$A$295,'Anlage 3a_Zusammenfassung_KWKG'!$A1054)</f>
        <v>0</v>
      </c>
      <c r="D1054" s="134">
        <f t="shared" si="46"/>
        <v>90237</v>
      </c>
      <c r="E1054" s="70"/>
      <c r="F1054" s="70"/>
      <c r="G1054" s="70"/>
      <c r="H1054" s="70"/>
      <c r="I1054" s="54"/>
      <c r="J1054" s="27" t="str">
        <f t="shared" si="48"/>
        <v>Gemeindewerke Rheinzabern</v>
      </c>
    </row>
    <row r="1055" spans="1:10" s="44" customFormat="1" hidden="1" outlineLevel="1">
      <c r="A1055" s="374" t="str">
        <f t="shared" si="47"/>
        <v>SNB918097788087</v>
      </c>
      <c r="B1055" s="492">
        <f>_xlfn.IFNA(VLOOKUP($A1055,'Anlage 1a_Zuschlagszahlungen_NB'!A190:E423,5,FALSE),0)</f>
        <v>878472</v>
      </c>
      <c r="C1055" s="88">
        <f>SUMIFS('Anlage 1c_Korrekturen_NB'!$D$105:$D$295,'Anlage 1c_Korrekturen_NB'!$A$105:$A$295,'Anlage 3a_Zusammenfassung_KWKG'!$A1055)+SUMIFS('Anlage 1c_Korrekturen_NB'!$F$105:$F$295,'Anlage 1c_Korrekturen_NB'!$A$105:$A$295,'Anlage 3a_Zusammenfassung_KWKG'!$A1055)+SUMIFS('Anlage 1c_Korrekturen_NB'!$H$105:$H$295,'Anlage 1c_Korrekturen_NB'!$A$105:$A$295,'Anlage 3a_Zusammenfassung_KWKG'!$A1055)</f>
        <v>1047</v>
      </c>
      <c r="D1055" s="134">
        <f t="shared" si="46"/>
        <v>879519</v>
      </c>
      <c r="E1055" s="70"/>
      <c r="F1055" s="70"/>
      <c r="G1055" s="70"/>
      <c r="H1055" s="70"/>
      <c r="I1055" s="54"/>
      <c r="J1055" s="27" t="str">
        <f t="shared" si="48"/>
        <v>Stadtwerke Speyer GmbH</v>
      </c>
    </row>
    <row r="1056" spans="1:10" s="44" customFormat="1" hidden="1" outlineLevel="1">
      <c r="A1056" s="374" t="str">
        <f t="shared" si="47"/>
        <v>SNB918156808725</v>
      </c>
      <c r="B1056" s="492">
        <f>_xlfn.IFNA(VLOOKUP($A1056,'Anlage 1a_Zuschlagszahlungen_NB'!A191:E424,5,FALSE),0)</f>
        <v>443084</v>
      </c>
      <c r="C1056" s="88">
        <f>SUMIFS('Anlage 1c_Korrekturen_NB'!$D$105:$D$295,'Anlage 1c_Korrekturen_NB'!$A$105:$A$295,'Anlage 3a_Zusammenfassung_KWKG'!$A1056)+SUMIFS('Anlage 1c_Korrekturen_NB'!$F$105:$F$295,'Anlage 1c_Korrekturen_NB'!$A$105:$A$295,'Anlage 3a_Zusammenfassung_KWKG'!$A1056)+SUMIFS('Anlage 1c_Korrekturen_NB'!$H$105:$H$295,'Anlage 1c_Korrekturen_NB'!$A$105:$A$295,'Anlage 3a_Zusammenfassung_KWKG'!$A1056)</f>
        <v>0</v>
      </c>
      <c r="D1056" s="134">
        <f t="shared" si="46"/>
        <v>443084</v>
      </c>
      <c r="E1056" s="70"/>
      <c r="F1056" s="70"/>
      <c r="G1056" s="70"/>
      <c r="H1056" s="70"/>
      <c r="I1056" s="54"/>
      <c r="J1056" s="27" t="str">
        <f t="shared" si="48"/>
        <v>Stadtwerke Erkrath GmbH</v>
      </c>
    </row>
    <row r="1057" spans="1:10" s="44" customFormat="1" hidden="1" outlineLevel="1">
      <c r="A1057" s="374" t="str">
        <f t="shared" si="47"/>
        <v>SNB918250928893</v>
      </c>
      <c r="B1057" s="492">
        <f>_xlfn.IFNA(VLOOKUP($A1057,'Anlage 1a_Zuschlagszahlungen_NB'!A192:E425,5,FALSE),0)</f>
        <v>897967152</v>
      </c>
      <c r="C1057" s="88">
        <f>SUMIFS('Anlage 1c_Korrekturen_NB'!$D$105:$D$295,'Anlage 1c_Korrekturen_NB'!$A$105:$A$295,'Anlage 3a_Zusammenfassung_KWKG'!$A1057)+SUMIFS('Anlage 1c_Korrekturen_NB'!$F$105:$F$295,'Anlage 1c_Korrekturen_NB'!$A$105:$A$295,'Anlage 3a_Zusammenfassung_KWKG'!$A1057)+SUMIFS('Anlage 1c_Korrekturen_NB'!$H$105:$H$295,'Anlage 1c_Korrekturen_NB'!$A$105:$A$295,'Anlage 3a_Zusammenfassung_KWKG'!$A1057)</f>
        <v>17344766</v>
      </c>
      <c r="D1057" s="134">
        <f t="shared" si="46"/>
        <v>915311918</v>
      </c>
      <c r="E1057" s="70"/>
      <c r="F1057" s="70"/>
      <c r="G1057" s="70"/>
      <c r="H1057" s="70"/>
      <c r="I1057" s="54"/>
      <c r="J1057" s="27" t="str">
        <f t="shared" si="48"/>
        <v>Syna GmbH</v>
      </c>
    </row>
    <row r="1058" spans="1:10" s="44" customFormat="1" hidden="1" outlineLevel="1">
      <c r="A1058" s="374" t="str">
        <f t="shared" si="47"/>
        <v>SNB918290153354</v>
      </c>
      <c r="B1058" s="492">
        <f>_xlfn.IFNA(VLOOKUP($A1058,'Anlage 1a_Zuschlagszahlungen_NB'!A193:E426,5,FALSE),0)</f>
        <v>672089</v>
      </c>
      <c r="C1058" s="88">
        <f>SUMIFS('Anlage 1c_Korrekturen_NB'!$D$105:$D$295,'Anlage 1c_Korrekturen_NB'!$A$105:$A$295,'Anlage 3a_Zusammenfassung_KWKG'!$A1058)+SUMIFS('Anlage 1c_Korrekturen_NB'!$F$105:$F$295,'Anlage 1c_Korrekturen_NB'!$A$105:$A$295,'Anlage 3a_Zusammenfassung_KWKG'!$A1058)+SUMIFS('Anlage 1c_Korrekturen_NB'!$H$105:$H$295,'Anlage 1c_Korrekturen_NB'!$A$105:$A$295,'Anlage 3a_Zusammenfassung_KWKG'!$A1058)</f>
        <v>0</v>
      </c>
      <c r="D1058" s="134">
        <f t="shared" si="46"/>
        <v>672089</v>
      </c>
      <c r="E1058" s="70"/>
      <c r="F1058" s="70"/>
      <c r="G1058" s="70"/>
      <c r="H1058" s="70"/>
      <c r="I1058" s="54"/>
      <c r="J1058" s="27" t="str">
        <f t="shared" si="48"/>
        <v>Stadtwerke Bad Dürkheim GmbH</v>
      </c>
    </row>
    <row r="1059" spans="1:10" s="44" customFormat="1" hidden="1" outlineLevel="1">
      <c r="A1059" s="374" t="str">
        <f t="shared" si="47"/>
        <v>SNB918576265276</v>
      </c>
      <c r="B1059" s="492">
        <f>_xlfn.IFNA(VLOOKUP($A1059,'Anlage 1a_Zuschlagszahlungen_NB'!A194:E427,5,FALSE),0)</f>
        <v>2973278</v>
      </c>
      <c r="C1059" s="88">
        <f>SUMIFS('Anlage 1c_Korrekturen_NB'!$D$105:$D$295,'Anlage 1c_Korrekturen_NB'!$A$105:$A$295,'Anlage 3a_Zusammenfassung_KWKG'!$A1059)+SUMIFS('Anlage 1c_Korrekturen_NB'!$F$105:$F$295,'Anlage 1c_Korrekturen_NB'!$A$105:$A$295,'Anlage 3a_Zusammenfassung_KWKG'!$A1059)+SUMIFS('Anlage 1c_Korrekturen_NB'!$H$105:$H$295,'Anlage 1c_Korrekturen_NB'!$A$105:$A$295,'Anlage 3a_Zusammenfassung_KWKG'!$A1059)</f>
        <v>0</v>
      </c>
      <c r="D1059" s="134">
        <f t="shared" si="46"/>
        <v>2973278</v>
      </c>
      <c r="E1059" s="70"/>
      <c r="F1059" s="70"/>
      <c r="G1059" s="70"/>
      <c r="H1059" s="70"/>
      <c r="I1059" s="54"/>
      <c r="J1059" s="27" t="str">
        <f t="shared" si="48"/>
        <v>stadtwerker GmbH</v>
      </c>
    </row>
    <row r="1060" spans="1:10" s="44" customFormat="1" hidden="1" outlineLevel="1">
      <c r="A1060" s="374" t="str">
        <f t="shared" si="47"/>
        <v>SNB918689434309</v>
      </c>
      <c r="B1060" s="492">
        <f>_xlfn.IFNA(VLOOKUP($A1060,'Anlage 1a_Zuschlagszahlungen_NB'!A195:E428,5,FALSE),0)</f>
        <v>2571563</v>
      </c>
      <c r="C1060" s="88">
        <f>SUMIFS('Anlage 1c_Korrekturen_NB'!$D$105:$D$295,'Anlage 1c_Korrekturen_NB'!$A$105:$A$295,'Anlage 3a_Zusammenfassung_KWKG'!$A1060)+SUMIFS('Anlage 1c_Korrekturen_NB'!$F$105:$F$295,'Anlage 1c_Korrekturen_NB'!$A$105:$A$295,'Anlage 3a_Zusammenfassung_KWKG'!$A1060)+SUMIFS('Anlage 1c_Korrekturen_NB'!$H$105:$H$295,'Anlage 1c_Korrekturen_NB'!$A$105:$A$295,'Anlage 3a_Zusammenfassung_KWKG'!$A1060)</f>
        <v>0</v>
      </c>
      <c r="D1060" s="134">
        <f t="shared" si="46"/>
        <v>2571563</v>
      </c>
      <c r="E1060" s="70"/>
      <c r="F1060" s="70"/>
      <c r="G1060" s="70"/>
      <c r="H1060" s="70"/>
      <c r="I1060" s="54"/>
      <c r="J1060" s="27" t="str">
        <f t="shared" si="48"/>
        <v>EVU Dahn</v>
      </c>
    </row>
    <row r="1061" spans="1:10" s="44" customFormat="1" hidden="1" outlineLevel="1">
      <c r="A1061" s="374" t="str">
        <f t="shared" si="47"/>
        <v>SNB919708421706</v>
      </c>
      <c r="B1061" s="492">
        <f>_xlfn.IFNA(VLOOKUP($A1061,'Anlage 1a_Zuschlagszahlungen_NB'!A196:E429,5,FALSE),0)</f>
        <v>0</v>
      </c>
      <c r="C1061" s="88">
        <f>SUMIFS('Anlage 1c_Korrekturen_NB'!$D$105:$D$295,'Anlage 1c_Korrekturen_NB'!$A$105:$A$295,'Anlage 3a_Zusammenfassung_KWKG'!$A1061)+SUMIFS('Anlage 1c_Korrekturen_NB'!$F$105:$F$295,'Anlage 1c_Korrekturen_NB'!$A$105:$A$295,'Anlage 3a_Zusammenfassung_KWKG'!$A1061)+SUMIFS('Anlage 1c_Korrekturen_NB'!$H$105:$H$295,'Anlage 1c_Korrekturen_NB'!$A$105:$A$295,'Anlage 3a_Zusammenfassung_KWKG'!$A1061)</f>
        <v>0</v>
      </c>
      <c r="D1061" s="134">
        <f t="shared" si="46"/>
        <v>0</v>
      </c>
      <c r="E1061" s="70"/>
      <c r="F1061" s="70"/>
      <c r="G1061" s="70"/>
      <c r="H1061" s="70"/>
      <c r="I1061" s="54"/>
      <c r="J1061" s="27" t="str">
        <f t="shared" si="48"/>
        <v>Gemeindewerke Hütschenhausen</v>
      </c>
    </row>
    <row r="1062" spans="1:10" s="44" customFormat="1" hidden="1" outlineLevel="1">
      <c r="A1062" s="374" t="str">
        <f t="shared" si="47"/>
        <v>SNB920357766414</v>
      </c>
      <c r="B1062" s="492">
        <f>_xlfn.IFNA(VLOOKUP($A1062,'Anlage 1a_Zuschlagszahlungen_NB'!A197:E430,5,FALSE),0)</f>
        <v>1996381</v>
      </c>
      <c r="C1062" s="88">
        <f>SUMIFS('Anlage 1c_Korrekturen_NB'!$D$105:$D$295,'Anlage 1c_Korrekturen_NB'!$A$105:$A$295,'Anlage 3a_Zusammenfassung_KWKG'!$A1062)+SUMIFS('Anlage 1c_Korrekturen_NB'!$F$105:$F$295,'Anlage 1c_Korrekturen_NB'!$A$105:$A$295,'Anlage 3a_Zusammenfassung_KWKG'!$A1062)+SUMIFS('Anlage 1c_Korrekturen_NB'!$H$105:$H$295,'Anlage 1c_Korrekturen_NB'!$A$105:$A$295,'Anlage 3a_Zusammenfassung_KWKG'!$A1062)</f>
        <v>227884</v>
      </c>
      <c r="D1062" s="134">
        <f t="shared" si="46"/>
        <v>2224265</v>
      </c>
      <c r="E1062" s="70"/>
      <c r="F1062" s="70"/>
      <c r="G1062" s="70"/>
      <c r="H1062" s="70"/>
      <c r="I1062" s="54"/>
      <c r="J1062" s="27" t="str">
        <f t="shared" si="48"/>
        <v>Leitungspartner GmbH</v>
      </c>
    </row>
    <row r="1063" spans="1:10" s="44" customFormat="1" hidden="1" outlineLevel="1">
      <c r="A1063" s="374" t="str">
        <f t="shared" si="47"/>
        <v>SNB921299925846</v>
      </c>
      <c r="B1063" s="492">
        <f>_xlfn.IFNA(VLOOKUP($A1063,'Anlage 1a_Zuschlagszahlungen_NB'!A198:E431,5,FALSE),0)</f>
        <v>501669</v>
      </c>
      <c r="C1063" s="88">
        <f>SUMIFS('Anlage 1c_Korrekturen_NB'!$D$105:$D$295,'Anlage 1c_Korrekturen_NB'!$A$105:$A$295,'Anlage 3a_Zusammenfassung_KWKG'!$A1063)+SUMIFS('Anlage 1c_Korrekturen_NB'!$F$105:$F$295,'Anlage 1c_Korrekturen_NB'!$A$105:$A$295,'Anlage 3a_Zusammenfassung_KWKG'!$A1063)+SUMIFS('Anlage 1c_Korrekturen_NB'!$H$105:$H$295,'Anlage 1c_Korrekturen_NB'!$A$105:$A$295,'Anlage 3a_Zusammenfassung_KWKG'!$A1063)</f>
        <v>0</v>
      </c>
      <c r="D1063" s="134">
        <f t="shared" si="46"/>
        <v>501669</v>
      </c>
      <c r="E1063" s="70"/>
      <c r="F1063" s="70"/>
      <c r="G1063" s="70"/>
      <c r="H1063" s="70"/>
      <c r="I1063" s="54"/>
      <c r="J1063" s="27" t="str">
        <f t="shared" si="48"/>
        <v>Stadtwerke Bad Bergzabern GmbH</v>
      </c>
    </row>
    <row r="1064" spans="1:10" s="44" customFormat="1" hidden="1" outlineLevel="1">
      <c r="A1064" s="374" t="str">
        <f t="shared" si="47"/>
        <v>SNB921319639913</v>
      </c>
      <c r="B1064" s="492">
        <f>_xlfn.IFNA(VLOOKUP($A1064,'Anlage 1a_Zuschlagszahlungen_NB'!A199:E432,5,FALSE),0)</f>
        <v>5785085</v>
      </c>
      <c r="C1064" s="88">
        <f>SUMIFS('Anlage 1c_Korrekturen_NB'!$D$105:$D$295,'Anlage 1c_Korrekturen_NB'!$A$105:$A$295,'Anlage 3a_Zusammenfassung_KWKG'!$A1064)+SUMIFS('Anlage 1c_Korrekturen_NB'!$F$105:$F$295,'Anlage 1c_Korrekturen_NB'!$A$105:$A$295,'Anlage 3a_Zusammenfassung_KWKG'!$A1064)+SUMIFS('Anlage 1c_Korrekturen_NB'!$H$105:$H$295,'Anlage 1c_Korrekturen_NB'!$A$105:$A$295,'Anlage 3a_Zusammenfassung_KWKG'!$A1064)</f>
        <v>2276646</v>
      </c>
      <c r="D1064" s="134">
        <f t="shared" si="46"/>
        <v>8061731</v>
      </c>
      <c r="E1064" s="70"/>
      <c r="F1064" s="70"/>
      <c r="G1064" s="70"/>
      <c r="H1064" s="70"/>
      <c r="I1064" s="54"/>
      <c r="J1064" s="27" t="str">
        <f t="shared" si="48"/>
        <v>Enervie Vernetzt GmbH</v>
      </c>
    </row>
    <row r="1065" spans="1:10" s="44" customFormat="1" hidden="1" outlineLevel="1">
      <c r="A1065" s="374" t="str">
        <f t="shared" si="47"/>
        <v>SNB921550647487</v>
      </c>
      <c r="B1065" s="492">
        <f>_xlfn.IFNA(VLOOKUP($A1065,'Anlage 1a_Zuschlagszahlungen_NB'!A200:E433,5,FALSE),0)</f>
        <v>316</v>
      </c>
      <c r="C1065" s="88">
        <f>SUMIFS('Anlage 1c_Korrekturen_NB'!$D$105:$D$295,'Anlage 1c_Korrekturen_NB'!$A$105:$A$295,'Anlage 3a_Zusammenfassung_KWKG'!$A1065)+SUMIFS('Anlage 1c_Korrekturen_NB'!$F$105:$F$295,'Anlage 1c_Korrekturen_NB'!$A$105:$A$295,'Anlage 3a_Zusammenfassung_KWKG'!$A1065)+SUMIFS('Anlage 1c_Korrekturen_NB'!$H$105:$H$295,'Anlage 1c_Korrekturen_NB'!$A$105:$A$295,'Anlage 3a_Zusammenfassung_KWKG'!$A1065)</f>
        <v>0</v>
      </c>
      <c r="D1065" s="134">
        <f t="shared" si="46"/>
        <v>316</v>
      </c>
      <c r="E1065" s="70"/>
      <c r="F1065" s="70"/>
      <c r="G1065" s="70"/>
      <c r="H1065" s="70"/>
      <c r="I1065" s="54"/>
      <c r="J1065" s="27" t="str">
        <f t="shared" si="48"/>
        <v>E-Werk Meckenheim/Pfalz</v>
      </c>
    </row>
    <row r="1066" spans="1:10" s="44" customFormat="1" hidden="1" outlineLevel="1">
      <c r="A1066" s="374" t="str">
        <f t="shared" si="47"/>
        <v>SNB921816651920</v>
      </c>
      <c r="B1066" s="492">
        <f>_xlfn.IFNA(VLOOKUP($A1066,'Anlage 1a_Zuschlagszahlungen_NB'!A201:E434,5,FALSE),0)</f>
        <v>434757</v>
      </c>
      <c r="C1066" s="88">
        <f>SUMIFS('Anlage 1c_Korrekturen_NB'!$D$105:$D$295,'Anlage 1c_Korrekturen_NB'!$A$105:$A$295,'Anlage 3a_Zusammenfassung_KWKG'!$A1066)+SUMIFS('Anlage 1c_Korrekturen_NB'!$F$105:$F$295,'Anlage 1c_Korrekturen_NB'!$A$105:$A$295,'Anlage 3a_Zusammenfassung_KWKG'!$A1066)+SUMIFS('Anlage 1c_Korrekturen_NB'!$H$105:$H$295,'Anlage 1c_Korrekturen_NB'!$A$105:$A$295,'Anlage 3a_Zusammenfassung_KWKG'!$A1066)</f>
        <v>0</v>
      </c>
      <c r="D1066" s="134">
        <f t="shared" si="46"/>
        <v>434757</v>
      </c>
      <c r="E1066" s="70"/>
      <c r="F1066" s="70"/>
      <c r="G1066" s="70"/>
      <c r="H1066" s="70"/>
      <c r="I1066" s="54"/>
      <c r="J1066" s="27" t="str">
        <f t="shared" si="48"/>
        <v>Stadtwerke Haltern am See GmbH</v>
      </c>
    </row>
    <row r="1067" spans="1:10" s="44" customFormat="1" hidden="1" outlineLevel="1">
      <c r="A1067" s="374" t="str">
        <f t="shared" si="47"/>
        <v>SNB921897286493</v>
      </c>
      <c r="B1067" s="492">
        <f>_xlfn.IFNA(VLOOKUP($A1067,'Anlage 1a_Zuschlagszahlungen_NB'!A202:E435,5,FALSE),0)</f>
        <v>195502967</v>
      </c>
      <c r="C1067" s="88">
        <f>SUMIFS('Anlage 1c_Korrekturen_NB'!$D$105:$D$295,'Anlage 1c_Korrekturen_NB'!$A$105:$A$295,'Anlage 3a_Zusammenfassung_KWKG'!$A1067)+SUMIFS('Anlage 1c_Korrekturen_NB'!$F$105:$F$295,'Anlage 1c_Korrekturen_NB'!$A$105:$A$295,'Anlage 3a_Zusammenfassung_KWKG'!$A1067)+SUMIFS('Anlage 1c_Korrekturen_NB'!$H$105:$H$295,'Anlage 1c_Korrekturen_NB'!$A$105:$A$295,'Anlage 3a_Zusammenfassung_KWKG'!$A1067)</f>
        <v>40247693</v>
      </c>
      <c r="D1067" s="134">
        <f t="shared" si="46"/>
        <v>235750660</v>
      </c>
      <c r="E1067" s="70"/>
      <c r="F1067" s="70"/>
      <c r="G1067" s="70"/>
      <c r="H1067" s="70"/>
      <c r="I1067" s="54"/>
      <c r="J1067" s="27" t="str">
        <f t="shared" si="48"/>
        <v>WESTNETZ GmbH</v>
      </c>
    </row>
    <row r="1068" spans="1:10" s="44" customFormat="1" hidden="1" outlineLevel="1">
      <c r="A1068" s="374" t="str">
        <f t="shared" si="47"/>
        <v>SNB922030852827</v>
      </c>
      <c r="B1068" s="492">
        <f>_xlfn.IFNA(VLOOKUP($A1068,'Anlage 1a_Zuschlagszahlungen_NB'!A203:E436,5,FALSE),0)</f>
        <v>1665001</v>
      </c>
      <c r="C1068" s="88">
        <f>SUMIFS('Anlage 1c_Korrekturen_NB'!$D$105:$D$295,'Anlage 1c_Korrekturen_NB'!$A$105:$A$295,'Anlage 3a_Zusammenfassung_KWKG'!$A1068)+SUMIFS('Anlage 1c_Korrekturen_NB'!$F$105:$F$295,'Anlage 1c_Korrekturen_NB'!$A$105:$A$295,'Anlage 3a_Zusammenfassung_KWKG'!$A1068)+SUMIFS('Anlage 1c_Korrekturen_NB'!$H$105:$H$295,'Anlage 1c_Korrekturen_NB'!$A$105:$A$295,'Anlage 3a_Zusammenfassung_KWKG'!$A1068)</f>
        <v>202630</v>
      </c>
      <c r="D1068" s="134">
        <f t="shared" si="46"/>
        <v>1867631</v>
      </c>
      <c r="E1068" s="70"/>
      <c r="F1068" s="70"/>
      <c r="G1068" s="70"/>
      <c r="H1068" s="70"/>
      <c r="I1068" s="54"/>
      <c r="J1068" s="27" t="str">
        <f t="shared" si="48"/>
        <v>Stadtwerke EVB Huntetal Netz GmbH</v>
      </c>
    </row>
    <row r="1069" spans="1:10" s="44" customFormat="1" hidden="1" outlineLevel="1">
      <c r="A1069" s="374" t="str">
        <f t="shared" si="47"/>
        <v>SNB922361841965</v>
      </c>
      <c r="B1069" s="492">
        <f>_xlfn.IFNA(VLOOKUP($A1069,'Anlage 1a_Zuschlagszahlungen_NB'!A204:E437,5,FALSE),0)</f>
        <v>955031</v>
      </c>
      <c r="C1069" s="88">
        <f>SUMIFS('Anlage 1c_Korrekturen_NB'!$D$105:$D$295,'Anlage 1c_Korrekturen_NB'!$A$105:$A$295,'Anlage 3a_Zusammenfassung_KWKG'!$A1069)+SUMIFS('Anlage 1c_Korrekturen_NB'!$F$105:$F$295,'Anlage 1c_Korrekturen_NB'!$A$105:$A$295,'Anlage 3a_Zusammenfassung_KWKG'!$A1069)+SUMIFS('Anlage 1c_Korrekturen_NB'!$H$105:$H$295,'Anlage 1c_Korrekturen_NB'!$A$105:$A$295,'Anlage 3a_Zusammenfassung_KWKG'!$A1069)</f>
        <v>0</v>
      </c>
      <c r="D1069" s="134">
        <f t="shared" si="46"/>
        <v>955031</v>
      </c>
      <c r="E1069" s="70"/>
      <c r="F1069" s="70"/>
      <c r="G1069" s="70"/>
      <c r="H1069" s="70"/>
      <c r="I1069" s="54"/>
      <c r="J1069" s="27" t="str">
        <f t="shared" si="48"/>
        <v>Gemeindewerke Budenheim AöR</v>
      </c>
    </row>
    <row r="1070" spans="1:10" s="44" customFormat="1" hidden="1" outlineLevel="1">
      <c r="A1070" s="374" t="str">
        <f t="shared" si="47"/>
        <v>SNB922514070884</v>
      </c>
      <c r="B1070" s="492">
        <f>_xlfn.IFNA(VLOOKUP($A1070,'Anlage 1a_Zuschlagszahlungen_NB'!A205:E438,5,FALSE),0)</f>
        <v>175524</v>
      </c>
      <c r="C1070" s="88">
        <f>SUMIFS('Anlage 1c_Korrekturen_NB'!$D$105:$D$295,'Anlage 1c_Korrekturen_NB'!$A$105:$A$295,'Anlage 3a_Zusammenfassung_KWKG'!$A1070)+SUMIFS('Anlage 1c_Korrekturen_NB'!$F$105:$F$295,'Anlage 1c_Korrekturen_NB'!$A$105:$A$295,'Anlage 3a_Zusammenfassung_KWKG'!$A1070)+SUMIFS('Anlage 1c_Korrekturen_NB'!$H$105:$H$295,'Anlage 1c_Korrekturen_NB'!$A$105:$A$295,'Anlage 3a_Zusammenfassung_KWKG'!$A1070)</f>
        <v>0</v>
      </c>
      <c r="D1070" s="134">
        <f t="shared" si="46"/>
        <v>175524</v>
      </c>
      <c r="E1070" s="70"/>
      <c r="F1070" s="70"/>
      <c r="G1070" s="70"/>
      <c r="H1070" s="70"/>
      <c r="I1070" s="54"/>
      <c r="J1070" s="27" t="str">
        <f t="shared" si="48"/>
        <v>Stadtwerke Bliestal GmbH</v>
      </c>
    </row>
    <row r="1071" spans="1:10" s="44" customFormat="1" hidden="1" outlineLevel="1">
      <c r="A1071" s="374" t="str">
        <f t="shared" si="47"/>
        <v>SNB922607376381</v>
      </c>
      <c r="B1071" s="492">
        <f>_xlfn.IFNA(VLOOKUP($A1071,'Anlage 1a_Zuschlagszahlungen_NB'!A206:E439,5,FALSE),0)</f>
        <v>166756097</v>
      </c>
      <c r="C1071" s="88">
        <f>SUMIFS('Anlage 1c_Korrekturen_NB'!$D$105:$D$295,'Anlage 1c_Korrekturen_NB'!$A$105:$A$295,'Anlage 3a_Zusammenfassung_KWKG'!$A1071)+SUMIFS('Anlage 1c_Korrekturen_NB'!$F$105:$F$295,'Anlage 1c_Korrekturen_NB'!$A$105:$A$295,'Anlage 3a_Zusammenfassung_KWKG'!$A1071)+SUMIFS('Anlage 1c_Korrekturen_NB'!$H$105:$H$295,'Anlage 1c_Korrekturen_NB'!$A$105:$A$295,'Anlage 3a_Zusammenfassung_KWKG'!$A1071)</f>
        <v>6990988</v>
      </c>
      <c r="D1071" s="134">
        <f t="shared" si="46"/>
        <v>173747085</v>
      </c>
      <c r="E1071" s="70"/>
      <c r="F1071" s="70"/>
      <c r="G1071" s="70"/>
      <c r="H1071" s="70"/>
      <c r="I1071" s="54"/>
      <c r="J1071" s="27" t="str">
        <f t="shared" si="48"/>
        <v>Stadtwerke Bochum Netz GmbH</v>
      </c>
    </row>
    <row r="1072" spans="1:10" s="44" customFormat="1" hidden="1" outlineLevel="1">
      <c r="A1072" s="374" t="str">
        <f t="shared" si="47"/>
        <v>SNB922774216633</v>
      </c>
      <c r="B1072" s="492">
        <f>_xlfn.IFNA(VLOOKUP($A1072,'Anlage 1a_Zuschlagszahlungen_NB'!A207:E440,5,FALSE),0)</f>
        <v>884263</v>
      </c>
      <c r="C1072" s="88">
        <f>SUMIFS('Anlage 1c_Korrekturen_NB'!$D$105:$D$295,'Anlage 1c_Korrekturen_NB'!$A$105:$A$295,'Anlage 3a_Zusammenfassung_KWKG'!$A1072)+SUMIFS('Anlage 1c_Korrekturen_NB'!$F$105:$F$295,'Anlage 1c_Korrekturen_NB'!$A$105:$A$295,'Anlage 3a_Zusammenfassung_KWKG'!$A1072)+SUMIFS('Anlage 1c_Korrekturen_NB'!$H$105:$H$295,'Anlage 1c_Korrekturen_NB'!$A$105:$A$295,'Anlage 3a_Zusammenfassung_KWKG'!$A1072)</f>
        <v>0</v>
      </c>
      <c r="D1072" s="134">
        <f t="shared" si="46"/>
        <v>884263</v>
      </c>
      <c r="E1072" s="70"/>
      <c r="F1072" s="70"/>
      <c r="G1072" s="70"/>
      <c r="H1072" s="70"/>
      <c r="I1072" s="54"/>
      <c r="J1072" s="27" t="str">
        <f t="shared" si="48"/>
        <v>Stadtwerke Menden GmbH</v>
      </c>
    </row>
    <row r="1073" spans="1:10" s="44" customFormat="1" hidden="1" outlineLevel="1">
      <c r="A1073" s="374" t="str">
        <f t="shared" si="47"/>
        <v>SNB923190544898</v>
      </c>
      <c r="B1073" s="492">
        <f>_xlfn.IFNA(VLOOKUP($A1073,'Anlage 1a_Zuschlagszahlungen_NB'!A208:E441,5,FALSE),0)</f>
        <v>5598331</v>
      </c>
      <c r="C1073" s="88">
        <f>SUMIFS('Anlage 1c_Korrekturen_NB'!$D$105:$D$295,'Anlage 1c_Korrekturen_NB'!$A$105:$A$295,'Anlage 3a_Zusammenfassung_KWKG'!$A1073)+SUMIFS('Anlage 1c_Korrekturen_NB'!$F$105:$F$295,'Anlage 1c_Korrekturen_NB'!$A$105:$A$295,'Anlage 3a_Zusammenfassung_KWKG'!$A1073)+SUMIFS('Anlage 1c_Korrekturen_NB'!$H$105:$H$295,'Anlage 1c_Korrekturen_NB'!$A$105:$A$295,'Anlage 3a_Zusammenfassung_KWKG'!$A1073)</f>
        <v>0</v>
      </c>
      <c r="D1073" s="134">
        <f t="shared" si="46"/>
        <v>5598331</v>
      </c>
      <c r="E1073" s="70"/>
      <c r="F1073" s="70"/>
      <c r="G1073" s="70"/>
      <c r="H1073" s="70"/>
      <c r="I1073" s="54"/>
      <c r="J1073" s="27" t="str">
        <f t="shared" si="48"/>
        <v>Stadtwerke Zweibrücken GmbH</v>
      </c>
    </row>
    <row r="1074" spans="1:10" s="44" customFormat="1" hidden="1" outlineLevel="1">
      <c r="A1074" s="374" t="str">
        <f t="shared" si="47"/>
        <v>SNB924477581384</v>
      </c>
      <c r="B1074" s="492">
        <f>_xlfn.IFNA(VLOOKUP($A1074,'Anlage 1a_Zuschlagszahlungen_NB'!A209:E442,5,FALSE),0)</f>
        <v>1090274347</v>
      </c>
      <c r="C1074" s="88">
        <f>SUMIFS('Anlage 1c_Korrekturen_NB'!$D$105:$D$295,'Anlage 1c_Korrekturen_NB'!$A$105:$A$295,'Anlage 3a_Zusammenfassung_KWKG'!$A1074)+SUMIFS('Anlage 1c_Korrekturen_NB'!$F$105:$F$295,'Anlage 1c_Korrekturen_NB'!$A$105:$A$295,'Anlage 3a_Zusammenfassung_KWKG'!$A1074)+SUMIFS('Anlage 1c_Korrekturen_NB'!$H$105:$H$295,'Anlage 1c_Korrekturen_NB'!$A$105:$A$295,'Anlage 3a_Zusammenfassung_KWKG'!$A1074)</f>
        <v>22614955</v>
      </c>
      <c r="D1074" s="134">
        <f t="shared" si="46"/>
        <v>1112889302</v>
      </c>
      <c r="E1074" s="70"/>
      <c r="F1074" s="70"/>
      <c r="G1074" s="70"/>
      <c r="H1074" s="70"/>
      <c r="I1074" s="54"/>
      <c r="J1074" s="27" t="str">
        <f t="shared" si="48"/>
        <v>RheinNetz GmbH</v>
      </c>
    </row>
    <row r="1075" spans="1:10" s="44" customFormat="1" hidden="1" outlineLevel="1">
      <c r="A1075" s="374" t="str">
        <f t="shared" si="47"/>
        <v>SNB924659713978</v>
      </c>
      <c r="B1075" s="492">
        <f>_xlfn.IFNA(VLOOKUP($A1075,'Anlage 1a_Zuschlagszahlungen_NB'!A210:E443,5,FALSE),0)</f>
        <v>1380119</v>
      </c>
      <c r="C1075" s="88">
        <f>SUMIFS('Anlage 1c_Korrekturen_NB'!$D$105:$D$295,'Anlage 1c_Korrekturen_NB'!$A$105:$A$295,'Anlage 3a_Zusammenfassung_KWKG'!$A1075)+SUMIFS('Anlage 1c_Korrekturen_NB'!$F$105:$F$295,'Anlage 1c_Korrekturen_NB'!$A$105:$A$295,'Anlage 3a_Zusammenfassung_KWKG'!$A1075)+SUMIFS('Anlage 1c_Korrekturen_NB'!$H$105:$H$295,'Anlage 1c_Korrekturen_NB'!$A$105:$A$295,'Anlage 3a_Zusammenfassung_KWKG'!$A1075)</f>
        <v>0</v>
      </c>
      <c r="D1075" s="134">
        <f t="shared" si="46"/>
        <v>1380119</v>
      </c>
      <c r="E1075" s="70"/>
      <c r="F1075" s="70"/>
      <c r="G1075" s="70"/>
      <c r="H1075" s="70"/>
      <c r="I1075" s="54"/>
      <c r="J1075" s="27" t="str">
        <f t="shared" si="48"/>
        <v>Stadtwerke Troisdorf GmbH</v>
      </c>
    </row>
    <row r="1076" spans="1:10" s="44" customFormat="1" hidden="1" outlineLevel="1">
      <c r="A1076" s="374" t="str">
        <f t="shared" si="47"/>
        <v>SNB924685554682</v>
      </c>
      <c r="B1076" s="492">
        <f>_xlfn.IFNA(VLOOKUP($A1076,'Anlage 1a_Zuschlagszahlungen_NB'!A211:E444,5,FALSE),0)</f>
        <v>218905</v>
      </c>
      <c r="C1076" s="88">
        <f>SUMIFS('Anlage 1c_Korrekturen_NB'!$D$105:$D$295,'Anlage 1c_Korrekturen_NB'!$A$105:$A$295,'Anlage 3a_Zusammenfassung_KWKG'!$A1076)+SUMIFS('Anlage 1c_Korrekturen_NB'!$F$105:$F$295,'Anlage 1c_Korrekturen_NB'!$A$105:$A$295,'Anlage 3a_Zusammenfassung_KWKG'!$A1076)+SUMIFS('Anlage 1c_Korrekturen_NB'!$H$105:$H$295,'Anlage 1c_Korrekturen_NB'!$A$105:$A$295,'Anlage 3a_Zusammenfassung_KWKG'!$A1076)</f>
        <v>0</v>
      </c>
      <c r="D1076" s="134">
        <f t="shared" si="46"/>
        <v>218905</v>
      </c>
      <c r="E1076" s="70"/>
      <c r="F1076" s="70"/>
      <c r="G1076" s="70"/>
      <c r="H1076" s="70"/>
      <c r="I1076" s="54"/>
      <c r="J1076" s="27" t="str">
        <f t="shared" si="48"/>
        <v>Stadtwerke Schifferstadt</v>
      </c>
    </row>
    <row r="1077" spans="1:10" s="44" customFormat="1" hidden="1" outlineLevel="1">
      <c r="A1077" s="374" t="str">
        <f t="shared" si="47"/>
        <v>SNB924747450655</v>
      </c>
      <c r="B1077" s="492">
        <f>_xlfn.IFNA(VLOOKUP($A1077,'Anlage 1a_Zuschlagszahlungen_NB'!A212:E445,5,FALSE),0)</f>
        <v>8228340</v>
      </c>
      <c r="C1077" s="88">
        <f>SUMIFS('Anlage 1c_Korrekturen_NB'!$D$105:$D$295,'Anlage 1c_Korrekturen_NB'!$A$105:$A$295,'Anlage 3a_Zusammenfassung_KWKG'!$A1077)+SUMIFS('Anlage 1c_Korrekturen_NB'!$F$105:$F$295,'Anlage 1c_Korrekturen_NB'!$A$105:$A$295,'Anlage 3a_Zusammenfassung_KWKG'!$A1077)+SUMIFS('Anlage 1c_Korrekturen_NB'!$H$105:$H$295,'Anlage 1c_Korrekturen_NB'!$A$105:$A$295,'Anlage 3a_Zusammenfassung_KWKG'!$A1077)</f>
        <v>0</v>
      </c>
      <c r="D1077" s="134">
        <f t="shared" si="46"/>
        <v>8228340</v>
      </c>
      <c r="E1077" s="70"/>
      <c r="F1077" s="70"/>
      <c r="G1077" s="70"/>
      <c r="H1077" s="70"/>
      <c r="I1077" s="54"/>
      <c r="J1077" s="27" t="str">
        <f t="shared" si="48"/>
        <v>EWR GmbH</v>
      </c>
    </row>
    <row r="1078" spans="1:10" s="44" customFormat="1" hidden="1" outlineLevel="1">
      <c r="A1078" s="374" t="str">
        <f t="shared" si="47"/>
        <v>SNB925558752303</v>
      </c>
      <c r="B1078" s="492">
        <f>_xlfn.IFNA(VLOOKUP($A1078,'Anlage 1a_Zuschlagszahlungen_NB'!A213:E446,5,FALSE),0)</f>
        <v>767849</v>
      </c>
      <c r="C1078" s="88">
        <f>SUMIFS('Anlage 1c_Korrekturen_NB'!$D$105:$D$295,'Anlage 1c_Korrekturen_NB'!$A$105:$A$295,'Anlage 3a_Zusammenfassung_KWKG'!$A1078)+SUMIFS('Anlage 1c_Korrekturen_NB'!$F$105:$F$295,'Anlage 1c_Korrekturen_NB'!$A$105:$A$295,'Anlage 3a_Zusammenfassung_KWKG'!$A1078)+SUMIFS('Anlage 1c_Korrekturen_NB'!$H$105:$H$295,'Anlage 1c_Korrekturen_NB'!$A$105:$A$295,'Anlage 3a_Zusammenfassung_KWKG'!$A1078)</f>
        <v>0</v>
      </c>
      <c r="D1078" s="134">
        <f t="shared" si="46"/>
        <v>767849</v>
      </c>
      <c r="E1078" s="70"/>
      <c r="F1078" s="70"/>
      <c r="G1078" s="70"/>
      <c r="H1078" s="70"/>
      <c r="I1078" s="54"/>
      <c r="J1078" s="27" t="str">
        <f t="shared" si="48"/>
        <v>Elektrizitätswerk Hindelang eG</v>
      </c>
    </row>
    <row r="1079" spans="1:10" s="44" customFormat="1" hidden="1" outlineLevel="1">
      <c r="A1079" s="374" t="str">
        <f t="shared" si="47"/>
        <v>SNB925999725461</v>
      </c>
      <c r="B1079" s="492">
        <f>_xlfn.IFNA(VLOOKUP($A1079,'Anlage 1a_Zuschlagszahlungen_NB'!A214:E447,5,FALSE),0)</f>
        <v>7101684</v>
      </c>
      <c r="C1079" s="88">
        <f>SUMIFS('Anlage 1c_Korrekturen_NB'!$D$105:$D$295,'Anlage 1c_Korrekturen_NB'!$A$105:$A$295,'Anlage 3a_Zusammenfassung_KWKG'!$A1079)+SUMIFS('Anlage 1c_Korrekturen_NB'!$F$105:$F$295,'Anlage 1c_Korrekturen_NB'!$A$105:$A$295,'Anlage 3a_Zusammenfassung_KWKG'!$A1079)+SUMIFS('Anlage 1c_Korrekturen_NB'!$H$105:$H$295,'Anlage 1c_Korrekturen_NB'!$A$105:$A$295,'Anlage 3a_Zusammenfassung_KWKG'!$A1079)</f>
        <v>9895</v>
      </c>
      <c r="D1079" s="134">
        <f t="shared" si="46"/>
        <v>7111579</v>
      </c>
      <c r="E1079" s="70"/>
      <c r="F1079" s="70"/>
      <c r="G1079" s="70"/>
      <c r="H1079" s="70"/>
      <c r="I1079" s="54"/>
      <c r="J1079" s="27" t="str">
        <f t="shared" si="48"/>
        <v>Stadtwerke Neuwied GmbH</v>
      </c>
    </row>
    <row r="1080" spans="1:10" s="44" customFormat="1" hidden="1" outlineLevel="1">
      <c r="A1080" s="374" t="str">
        <f t="shared" si="47"/>
        <v>SNB926394308747</v>
      </c>
      <c r="B1080" s="492">
        <f>_xlfn.IFNA(VLOOKUP($A1080,'Anlage 1a_Zuschlagszahlungen_NB'!A215:E448,5,FALSE),0)</f>
        <v>6297425</v>
      </c>
      <c r="C1080" s="88">
        <f>SUMIFS('Anlage 1c_Korrekturen_NB'!$D$105:$D$295,'Anlage 1c_Korrekturen_NB'!$A$105:$A$295,'Anlage 3a_Zusammenfassung_KWKG'!$A1080)+SUMIFS('Anlage 1c_Korrekturen_NB'!$F$105:$F$295,'Anlage 1c_Korrekturen_NB'!$A$105:$A$295,'Anlage 3a_Zusammenfassung_KWKG'!$A1080)+SUMIFS('Anlage 1c_Korrekturen_NB'!$H$105:$H$295,'Anlage 1c_Korrekturen_NB'!$A$105:$A$295,'Anlage 3a_Zusammenfassung_KWKG'!$A1080)</f>
        <v>894455</v>
      </c>
      <c r="D1080" s="134">
        <f t="shared" si="46"/>
        <v>7191880</v>
      </c>
      <c r="E1080" s="70"/>
      <c r="F1080" s="70"/>
      <c r="G1080" s="70"/>
      <c r="H1080" s="70"/>
      <c r="I1080" s="54"/>
      <c r="J1080" s="27" t="str">
        <f t="shared" si="48"/>
        <v>AllgäuNetz GmbH &amp; Co. KG</v>
      </c>
    </row>
    <row r="1081" spans="1:10" s="44" customFormat="1" hidden="1" outlineLevel="1">
      <c r="A1081" s="374" t="str">
        <f t="shared" si="47"/>
        <v>SNB926470603247</v>
      </c>
      <c r="B1081" s="492">
        <f>_xlfn.IFNA(VLOOKUP($A1081,'Anlage 1a_Zuschlagszahlungen_NB'!A216:E449,5,FALSE),0)</f>
        <v>359472</v>
      </c>
      <c r="C1081" s="88">
        <f>SUMIFS('Anlage 1c_Korrekturen_NB'!$D$105:$D$295,'Anlage 1c_Korrekturen_NB'!$A$105:$A$295,'Anlage 3a_Zusammenfassung_KWKG'!$A1081)+SUMIFS('Anlage 1c_Korrekturen_NB'!$F$105:$F$295,'Anlage 1c_Korrekturen_NB'!$A$105:$A$295,'Anlage 3a_Zusammenfassung_KWKG'!$A1081)+SUMIFS('Anlage 1c_Korrekturen_NB'!$H$105:$H$295,'Anlage 1c_Korrekturen_NB'!$A$105:$A$295,'Anlage 3a_Zusammenfassung_KWKG'!$A1081)</f>
        <v>0</v>
      </c>
      <c r="D1081" s="134">
        <f t="shared" si="46"/>
        <v>359472</v>
      </c>
      <c r="E1081" s="70"/>
      <c r="F1081" s="70"/>
      <c r="G1081" s="70"/>
      <c r="H1081" s="70"/>
      <c r="I1081" s="54"/>
      <c r="J1081" s="27" t="str">
        <f t="shared" si="48"/>
        <v>Stadtwerke St. Ingbert GmbH</v>
      </c>
    </row>
    <row r="1082" spans="1:10" s="44" customFormat="1" hidden="1" outlineLevel="1">
      <c r="A1082" s="374" t="str">
        <f t="shared" si="47"/>
        <v>SNB926480464456</v>
      </c>
      <c r="B1082" s="492">
        <f>_xlfn.IFNA(VLOOKUP($A1082,'Anlage 1a_Zuschlagszahlungen_NB'!A217:E450,5,FALSE),0)</f>
        <v>0</v>
      </c>
      <c r="C1082" s="88">
        <f>SUMIFS('Anlage 1c_Korrekturen_NB'!$D$105:$D$295,'Anlage 1c_Korrekturen_NB'!$A$105:$A$295,'Anlage 3a_Zusammenfassung_KWKG'!$A1082)+SUMIFS('Anlage 1c_Korrekturen_NB'!$F$105:$F$295,'Anlage 1c_Korrekturen_NB'!$A$105:$A$295,'Anlage 3a_Zusammenfassung_KWKG'!$A1082)+SUMIFS('Anlage 1c_Korrekturen_NB'!$H$105:$H$295,'Anlage 1c_Korrekturen_NB'!$A$105:$A$295,'Anlage 3a_Zusammenfassung_KWKG'!$A1082)</f>
        <v>0</v>
      </c>
      <c r="D1082" s="134">
        <f t="shared" si="46"/>
        <v>0</v>
      </c>
      <c r="E1082" s="70"/>
      <c r="F1082" s="70"/>
      <c r="G1082" s="70"/>
      <c r="H1082" s="70"/>
      <c r="I1082" s="54"/>
      <c r="J1082" s="27" t="str">
        <f t="shared" si="48"/>
        <v>Stadtwerke Weilburg GmbH</v>
      </c>
    </row>
    <row r="1083" spans="1:10" s="44" customFormat="1" hidden="1" outlineLevel="1">
      <c r="A1083" s="374" t="str">
        <f t="shared" si="47"/>
        <v>SNB926697076725</v>
      </c>
      <c r="B1083" s="492">
        <f>_xlfn.IFNA(VLOOKUP($A1083,'Anlage 1a_Zuschlagszahlungen_NB'!A218:E451,5,FALSE),0)</f>
        <v>764847</v>
      </c>
      <c r="C1083" s="88">
        <f>SUMIFS('Anlage 1c_Korrekturen_NB'!$D$105:$D$295,'Anlage 1c_Korrekturen_NB'!$A$105:$A$295,'Anlage 3a_Zusammenfassung_KWKG'!$A1083)+SUMIFS('Anlage 1c_Korrekturen_NB'!$F$105:$F$295,'Anlage 1c_Korrekturen_NB'!$A$105:$A$295,'Anlage 3a_Zusammenfassung_KWKG'!$A1083)+SUMIFS('Anlage 1c_Korrekturen_NB'!$H$105:$H$295,'Anlage 1c_Korrekturen_NB'!$A$105:$A$295,'Anlage 3a_Zusammenfassung_KWKG'!$A1083)</f>
        <v>0</v>
      </c>
      <c r="D1083" s="134">
        <f t="shared" si="46"/>
        <v>764847</v>
      </c>
      <c r="E1083" s="70"/>
      <c r="F1083" s="70"/>
      <c r="G1083" s="70"/>
      <c r="H1083" s="70"/>
      <c r="I1083" s="54"/>
      <c r="J1083" s="27" t="str">
        <f t="shared" si="48"/>
        <v>Stadtwerke Dülmen GmbH</v>
      </c>
    </row>
    <row r="1084" spans="1:10" s="44" customFormat="1" hidden="1" outlineLevel="1">
      <c r="A1084" s="374" t="str">
        <f t="shared" si="47"/>
        <v>SNB927498960503</v>
      </c>
      <c r="B1084" s="492">
        <f>_xlfn.IFNA(VLOOKUP($A1084,'Anlage 1a_Zuschlagszahlungen_NB'!A219:E452,5,FALSE),0)</f>
        <v>2294182</v>
      </c>
      <c r="C1084" s="88">
        <f>SUMIFS('Anlage 1c_Korrekturen_NB'!$D$105:$D$295,'Anlage 1c_Korrekturen_NB'!$A$105:$A$295,'Anlage 3a_Zusammenfassung_KWKG'!$A1084)+SUMIFS('Anlage 1c_Korrekturen_NB'!$F$105:$F$295,'Anlage 1c_Korrekturen_NB'!$A$105:$A$295,'Anlage 3a_Zusammenfassung_KWKG'!$A1084)+SUMIFS('Anlage 1c_Korrekturen_NB'!$H$105:$H$295,'Anlage 1c_Korrekturen_NB'!$A$105:$A$295,'Anlage 3a_Zusammenfassung_KWKG'!$A1084)</f>
        <v>1159420</v>
      </c>
      <c r="D1084" s="134">
        <f t="shared" si="46"/>
        <v>3453602</v>
      </c>
      <c r="E1084" s="70"/>
      <c r="F1084" s="70"/>
      <c r="G1084" s="70"/>
      <c r="H1084" s="70"/>
      <c r="I1084" s="54"/>
      <c r="J1084" s="27" t="str">
        <f t="shared" si="48"/>
        <v>Bonn-Netz GmbH</v>
      </c>
    </row>
    <row r="1085" spans="1:10" s="44" customFormat="1" hidden="1" outlineLevel="1">
      <c r="A1085" s="374" t="str">
        <f t="shared" si="47"/>
        <v>SNB929088252340</v>
      </c>
      <c r="B1085" s="492">
        <f>_xlfn.IFNA(VLOOKUP($A1085,'Anlage 1a_Zuschlagszahlungen_NB'!A220:E453,5,FALSE),0)</f>
        <v>1717507</v>
      </c>
      <c r="C1085" s="88">
        <f>SUMIFS('Anlage 1c_Korrekturen_NB'!$D$105:$D$295,'Anlage 1c_Korrekturen_NB'!$A$105:$A$295,'Anlage 3a_Zusammenfassung_KWKG'!$A1085)+SUMIFS('Anlage 1c_Korrekturen_NB'!$F$105:$F$295,'Anlage 1c_Korrekturen_NB'!$A$105:$A$295,'Anlage 3a_Zusammenfassung_KWKG'!$A1085)+SUMIFS('Anlage 1c_Korrekturen_NB'!$H$105:$H$295,'Anlage 1c_Korrekturen_NB'!$A$105:$A$295,'Anlage 3a_Zusammenfassung_KWKG'!$A1085)</f>
        <v>0</v>
      </c>
      <c r="D1085" s="134">
        <f t="shared" si="46"/>
        <v>1717507</v>
      </c>
      <c r="E1085" s="70"/>
      <c r="F1085" s="70"/>
      <c r="G1085" s="70"/>
      <c r="H1085" s="70"/>
      <c r="I1085" s="54"/>
      <c r="J1085" s="27" t="str">
        <f t="shared" si="48"/>
        <v>Netzwerke Merzig GmbH</v>
      </c>
    </row>
    <row r="1086" spans="1:10" s="44" customFormat="1" hidden="1" outlineLevel="1">
      <c r="A1086" s="374" t="str">
        <f t="shared" si="47"/>
        <v>SNB929663692172</v>
      </c>
      <c r="B1086" s="492">
        <f>_xlfn.IFNA(VLOOKUP($A1086,'Anlage 1a_Zuschlagszahlungen_NB'!A221:E454,5,FALSE),0)</f>
        <v>1044772</v>
      </c>
      <c r="C1086" s="88">
        <f>SUMIFS('Anlage 1c_Korrekturen_NB'!$D$105:$D$295,'Anlage 1c_Korrekturen_NB'!$A$105:$A$295,'Anlage 3a_Zusammenfassung_KWKG'!$A1086)+SUMIFS('Anlage 1c_Korrekturen_NB'!$F$105:$F$295,'Anlage 1c_Korrekturen_NB'!$A$105:$A$295,'Anlage 3a_Zusammenfassung_KWKG'!$A1086)+SUMIFS('Anlage 1c_Korrekturen_NB'!$H$105:$H$295,'Anlage 1c_Korrekturen_NB'!$A$105:$A$295,'Anlage 3a_Zusammenfassung_KWKG'!$A1086)</f>
        <v>0</v>
      </c>
      <c r="D1086" s="134">
        <f t="shared" si="46"/>
        <v>1044772</v>
      </c>
      <c r="E1086" s="70"/>
      <c r="F1086" s="70"/>
      <c r="G1086" s="70"/>
      <c r="H1086" s="70"/>
      <c r="I1086" s="54"/>
      <c r="J1086" s="27" t="str">
        <f t="shared" si="48"/>
        <v>Stadtwerke Landsberg KU</v>
      </c>
    </row>
    <row r="1087" spans="1:10" s="44" customFormat="1" hidden="1" outlineLevel="1">
      <c r="A1087" s="374" t="str">
        <f t="shared" si="47"/>
        <v>SNB929881052512</v>
      </c>
      <c r="B1087" s="492">
        <f>_xlfn.IFNA(VLOOKUP($A1087,'Anlage 1a_Zuschlagszahlungen_NB'!A222:E455,5,FALSE),0)</f>
        <v>256838</v>
      </c>
      <c r="C1087" s="88">
        <f>SUMIFS('Anlage 1c_Korrekturen_NB'!$D$105:$D$295,'Anlage 1c_Korrekturen_NB'!$A$105:$A$295,'Anlage 3a_Zusammenfassung_KWKG'!$A1087)+SUMIFS('Anlage 1c_Korrekturen_NB'!$F$105:$F$295,'Anlage 1c_Korrekturen_NB'!$A$105:$A$295,'Anlage 3a_Zusammenfassung_KWKG'!$A1087)+SUMIFS('Anlage 1c_Korrekturen_NB'!$H$105:$H$295,'Anlage 1c_Korrekturen_NB'!$A$105:$A$295,'Anlage 3a_Zusammenfassung_KWKG'!$A1087)</f>
        <v>150984</v>
      </c>
      <c r="D1087" s="134">
        <f t="shared" si="46"/>
        <v>407822</v>
      </c>
      <c r="E1087" s="70"/>
      <c r="F1087" s="70"/>
      <c r="G1087" s="70"/>
      <c r="H1087" s="70"/>
      <c r="I1087" s="54"/>
      <c r="J1087" s="27" t="str">
        <f t="shared" si="48"/>
        <v>Westfalen Weser Netz GmbH</v>
      </c>
    </row>
    <row r="1088" spans="1:10" s="44" customFormat="1" hidden="1" outlineLevel="1">
      <c r="A1088" s="374" t="str">
        <f t="shared" si="47"/>
        <v>SNB930325069232</v>
      </c>
      <c r="B1088" s="492">
        <f>_xlfn.IFNA(VLOOKUP($A1088,'Anlage 1a_Zuschlagszahlungen_NB'!A223:E456,5,FALSE),0)</f>
        <v>0</v>
      </c>
      <c r="C1088" s="88">
        <f>SUMIFS('Anlage 1c_Korrekturen_NB'!$D$105:$D$295,'Anlage 1c_Korrekturen_NB'!$A$105:$A$295,'Anlage 3a_Zusammenfassung_KWKG'!$A1088)+SUMIFS('Anlage 1c_Korrekturen_NB'!$F$105:$F$295,'Anlage 1c_Korrekturen_NB'!$A$105:$A$295,'Anlage 3a_Zusammenfassung_KWKG'!$A1088)+SUMIFS('Anlage 1c_Korrekturen_NB'!$H$105:$H$295,'Anlage 1c_Korrekturen_NB'!$A$105:$A$295,'Anlage 3a_Zusammenfassung_KWKG'!$A1088)</f>
        <v>0</v>
      </c>
      <c r="D1088" s="134">
        <f t="shared" si="46"/>
        <v>0</v>
      </c>
      <c r="E1088" s="70"/>
      <c r="F1088" s="70"/>
      <c r="G1088" s="70"/>
      <c r="H1088" s="70"/>
      <c r="I1088" s="54"/>
      <c r="J1088" s="27" t="str">
        <f t="shared" si="48"/>
        <v>SWL Übertragungsnetzgesellschaft mbH</v>
      </c>
    </row>
    <row r="1089" spans="1:10" s="44" customFormat="1" hidden="1" outlineLevel="1">
      <c r="A1089" s="374" t="str">
        <f t="shared" si="47"/>
        <v>SNB930525911119</v>
      </c>
      <c r="B1089" s="492">
        <f>_xlfn.IFNA(VLOOKUP($A1089,'Anlage 1a_Zuschlagszahlungen_NB'!A224:E457,5,FALSE),0)</f>
        <v>0</v>
      </c>
      <c r="C1089" s="88">
        <f>SUMIFS('Anlage 1c_Korrekturen_NB'!$D$105:$D$295,'Anlage 1c_Korrekturen_NB'!$A$105:$A$295,'Anlage 3a_Zusammenfassung_KWKG'!$A1089)+SUMIFS('Anlage 1c_Korrekturen_NB'!$F$105:$F$295,'Anlage 1c_Korrekturen_NB'!$A$105:$A$295,'Anlage 3a_Zusammenfassung_KWKG'!$A1089)+SUMIFS('Anlage 1c_Korrekturen_NB'!$H$105:$H$295,'Anlage 1c_Korrekturen_NB'!$A$105:$A$295,'Anlage 3a_Zusammenfassung_KWKG'!$A1089)</f>
        <v>0</v>
      </c>
      <c r="D1089" s="134">
        <f t="shared" si="46"/>
        <v>0</v>
      </c>
      <c r="E1089" s="70"/>
      <c r="F1089" s="70"/>
      <c r="G1089" s="70"/>
      <c r="H1089" s="70"/>
      <c r="I1089" s="54"/>
      <c r="J1089" s="27" t="str">
        <f t="shared" si="48"/>
        <v>EGC Infrastruktur und Netz GmbH</v>
      </c>
    </row>
    <row r="1090" spans="1:10" s="44" customFormat="1" hidden="1" outlineLevel="1">
      <c r="A1090" s="374" t="str">
        <f t="shared" si="47"/>
        <v>SNB930709120863</v>
      </c>
      <c r="B1090" s="492">
        <f>_xlfn.IFNA(VLOOKUP($A1090,'Anlage 1a_Zuschlagszahlungen_NB'!A225:E458,5,FALSE),0)</f>
        <v>1164601</v>
      </c>
      <c r="C1090" s="88">
        <f>SUMIFS('Anlage 1c_Korrekturen_NB'!$D$105:$D$295,'Anlage 1c_Korrekturen_NB'!$A$105:$A$295,'Anlage 3a_Zusammenfassung_KWKG'!$A1090)+SUMIFS('Anlage 1c_Korrekturen_NB'!$F$105:$F$295,'Anlage 1c_Korrekturen_NB'!$A$105:$A$295,'Anlage 3a_Zusammenfassung_KWKG'!$A1090)+SUMIFS('Anlage 1c_Korrekturen_NB'!$H$105:$H$295,'Anlage 1c_Korrekturen_NB'!$A$105:$A$295,'Anlage 3a_Zusammenfassung_KWKG'!$A1090)</f>
        <v>494287</v>
      </c>
      <c r="D1090" s="134">
        <f t="shared" si="46"/>
        <v>1658888</v>
      </c>
      <c r="E1090" s="70"/>
      <c r="F1090" s="70"/>
      <c r="G1090" s="70"/>
      <c r="H1090" s="70"/>
      <c r="I1090" s="54"/>
      <c r="J1090" s="27" t="str">
        <f t="shared" si="48"/>
        <v>Stadtwerke Versmold GmbH</v>
      </c>
    </row>
    <row r="1091" spans="1:10" s="44" customFormat="1" hidden="1" outlineLevel="1">
      <c r="A1091" s="374" t="str">
        <f t="shared" si="47"/>
        <v>SNB931015724646</v>
      </c>
      <c r="B1091" s="492">
        <f>_xlfn.IFNA(VLOOKUP($A1091,'Anlage 1a_Zuschlagszahlungen_NB'!A226:E459,5,FALSE),0)</f>
        <v>16829</v>
      </c>
      <c r="C1091" s="88">
        <f>SUMIFS('Anlage 1c_Korrekturen_NB'!$D$105:$D$295,'Anlage 1c_Korrekturen_NB'!$A$105:$A$295,'Anlage 3a_Zusammenfassung_KWKG'!$A1091)+SUMIFS('Anlage 1c_Korrekturen_NB'!$F$105:$F$295,'Anlage 1c_Korrekturen_NB'!$A$105:$A$295,'Anlage 3a_Zusammenfassung_KWKG'!$A1091)+SUMIFS('Anlage 1c_Korrekturen_NB'!$H$105:$H$295,'Anlage 1c_Korrekturen_NB'!$A$105:$A$295,'Anlage 3a_Zusammenfassung_KWKG'!$A1091)</f>
        <v>0</v>
      </c>
      <c r="D1091" s="134">
        <f t="shared" si="46"/>
        <v>16829</v>
      </c>
      <c r="E1091" s="70"/>
      <c r="F1091" s="70"/>
      <c r="G1091" s="70"/>
      <c r="H1091" s="70"/>
      <c r="I1091" s="54"/>
      <c r="J1091" s="27" t="str">
        <f t="shared" si="48"/>
        <v>Elektrizitätsgenossenschaft Oesterweg eG</v>
      </c>
    </row>
    <row r="1092" spans="1:10" s="44" customFormat="1" hidden="1" outlineLevel="1">
      <c r="A1092" s="374" t="str">
        <f t="shared" si="47"/>
        <v>SNB931070025696</v>
      </c>
      <c r="B1092" s="492">
        <f>_xlfn.IFNA(VLOOKUP($A1092,'Anlage 1a_Zuschlagszahlungen_NB'!A227:E460,5,FALSE),0)</f>
        <v>505966</v>
      </c>
      <c r="C1092" s="88">
        <f>SUMIFS('Anlage 1c_Korrekturen_NB'!$D$105:$D$295,'Anlage 1c_Korrekturen_NB'!$A$105:$A$295,'Anlage 3a_Zusammenfassung_KWKG'!$A1092)+SUMIFS('Anlage 1c_Korrekturen_NB'!$F$105:$F$295,'Anlage 1c_Korrekturen_NB'!$A$105:$A$295,'Anlage 3a_Zusammenfassung_KWKG'!$A1092)+SUMIFS('Anlage 1c_Korrekturen_NB'!$H$105:$H$295,'Anlage 1c_Korrekturen_NB'!$A$105:$A$295,'Anlage 3a_Zusammenfassung_KWKG'!$A1092)</f>
        <v>-3862</v>
      </c>
      <c r="D1092" s="134">
        <f t="shared" si="46"/>
        <v>502104</v>
      </c>
      <c r="E1092" s="70"/>
      <c r="F1092" s="70"/>
      <c r="G1092" s="70"/>
      <c r="H1092" s="70"/>
      <c r="I1092" s="54"/>
      <c r="J1092" s="27" t="str">
        <f t="shared" si="48"/>
        <v>Alliander Netz Heinsberg GmbH</v>
      </c>
    </row>
    <row r="1093" spans="1:10" s="44" customFormat="1" hidden="1" outlineLevel="1">
      <c r="A1093" s="374" t="str">
        <f t="shared" si="47"/>
        <v>SNB931164620455</v>
      </c>
      <c r="B1093" s="492">
        <f>_xlfn.IFNA(VLOOKUP($A1093,'Anlage 1a_Zuschlagszahlungen_NB'!A228:E461,5,FALSE),0)</f>
        <v>389439</v>
      </c>
      <c r="C1093" s="88">
        <f>SUMIFS('Anlage 1c_Korrekturen_NB'!$D$105:$D$295,'Anlage 1c_Korrekturen_NB'!$A$105:$A$295,'Anlage 3a_Zusammenfassung_KWKG'!$A1093)+SUMIFS('Anlage 1c_Korrekturen_NB'!$F$105:$F$295,'Anlage 1c_Korrekturen_NB'!$A$105:$A$295,'Anlage 3a_Zusammenfassung_KWKG'!$A1093)+SUMIFS('Anlage 1c_Korrekturen_NB'!$H$105:$H$295,'Anlage 1c_Korrekturen_NB'!$A$105:$A$295,'Anlage 3a_Zusammenfassung_KWKG'!$A1093)</f>
        <v>-54698</v>
      </c>
      <c r="D1093" s="134">
        <f t="shared" si="46"/>
        <v>334741</v>
      </c>
      <c r="E1093" s="70"/>
      <c r="F1093" s="70"/>
      <c r="G1093" s="70"/>
      <c r="H1093" s="70"/>
      <c r="I1093" s="54"/>
      <c r="J1093" s="27" t="str">
        <f t="shared" si="48"/>
        <v>SWV Regional GmbH</v>
      </c>
    </row>
    <row r="1094" spans="1:10" s="44" customFormat="1" hidden="1" outlineLevel="1">
      <c r="A1094" s="374" t="str">
        <f t="shared" si="47"/>
        <v>SNB931546188436</v>
      </c>
      <c r="B1094" s="492">
        <f>_xlfn.IFNA(VLOOKUP($A1094,'Anlage 1a_Zuschlagszahlungen_NB'!A229:E462,5,FALSE),0)</f>
        <v>1164021</v>
      </c>
      <c r="C1094" s="88">
        <f>SUMIFS('Anlage 1c_Korrekturen_NB'!$D$105:$D$295,'Anlage 1c_Korrekturen_NB'!$A$105:$A$295,'Anlage 3a_Zusammenfassung_KWKG'!$A1094)+SUMIFS('Anlage 1c_Korrekturen_NB'!$F$105:$F$295,'Anlage 1c_Korrekturen_NB'!$A$105:$A$295,'Anlage 3a_Zusammenfassung_KWKG'!$A1094)+SUMIFS('Anlage 1c_Korrekturen_NB'!$H$105:$H$295,'Anlage 1c_Korrekturen_NB'!$A$105:$A$295,'Anlage 3a_Zusammenfassung_KWKG'!$A1094)</f>
        <v>129616</v>
      </c>
      <c r="D1094" s="134">
        <f t="shared" si="46"/>
        <v>1293637</v>
      </c>
      <c r="E1094" s="70"/>
      <c r="F1094" s="70"/>
      <c r="G1094" s="70"/>
      <c r="H1094" s="70"/>
      <c r="I1094" s="54"/>
      <c r="J1094" s="27" t="str">
        <f t="shared" si="48"/>
        <v>Netzgesellschaft Gütersloh mbH</v>
      </c>
    </row>
    <row r="1095" spans="1:10" s="44" customFormat="1" hidden="1" outlineLevel="1">
      <c r="A1095" s="374" t="str">
        <f t="shared" si="47"/>
        <v>SNB931774737192</v>
      </c>
      <c r="B1095" s="492">
        <f>_xlfn.IFNA(VLOOKUP($A1095,'Anlage 1a_Zuschlagszahlungen_NB'!A230:E463,5,FALSE),0)</f>
        <v>0</v>
      </c>
      <c r="C1095" s="88">
        <f>SUMIFS('Anlage 1c_Korrekturen_NB'!$D$105:$D$295,'Anlage 1c_Korrekturen_NB'!$A$105:$A$295,'Anlage 3a_Zusammenfassung_KWKG'!$A1095)+SUMIFS('Anlage 1c_Korrekturen_NB'!$F$105:$F$295,'Anlage 1c_Korrekturen_NB'!$A$105:$A$295,'Anlage 3a_Zusammenfassung_KWKG'!$A1095)+SUMIFS('Anlage 1c_Korrekturen_NB'!$H$105:$H$295,'Anlage 1c_Korrekturen_NB'!$A$105:$A$295,'Anlage 3a_Zusammenfassung_KWKG'!$A1095)</f>
        <v>0</v>
      </c>
      <c r="D1095" s="134">
        <f t="shared" si="46"/>
        <v>0</v>
      </c>
      <c r="E1095" s="70"/>
      <c r="F1095" s="70"/>
      <c r="G1095" s="70"/>
      <c r="H1095" s="70"/>
      <c r="I1095" s="54"/>
      <c r="J1095" s="27" t="str">
        <f t="shared" si="48"/>
        <v>Gemeindewerke Stockstadt Eigenbetrieb Stockstadt am Main</v>
      </c>
    </row>
    <row r="1096" spans="1:10" s="44" customFormat="1" hidden="1" outlineLevel="1">
      <c r="A1096" s="374" t="str">
        <f t="shared" si="47"/>
        <v>SNB931930462517</v>
      </c>
      <c r="B1096" s="492">
        <f>_xlfn.IFNA(VLOOKUP($A1096,'Anlage 1a_Zuschlagszahlungen_NB'!A231:E464,5,FALSE),0)</f>
        <v>1540353</v>
      </c>
      <c r="C1096" s="88">
        <f>SUMIFS('Anlage 1c_Korrekturen_NB'!$D$105:$D$295,'Anlage 1c_Korrekturen_NB'!$A$105:$A$295,'Anlage 3a_Zusammenfassung_KWKG'!$A1096)+SUMIFS('Anlage 1c_Korrekturen_NB'!$F$105:$F$295,'Anlage 1c_Korrekturen_NB'!$A$105:$A$295,'Anlage 3a_Zusammenfassung_KWKG'!$A1096)+SUMIFS('Anlage 1c_Korrekturen_NB'!$H$105:$H$295,'Anlage 1c_Korrekturen_NB'!$A$105:$A$295,'Anlage 3a_Zusammenfassung_KWKG'!$A1096)</f>
        <v>0</v>
      </c>
      <c r="D1096" s="134">
        <f t="shared" si="46"/>
        <v>1540353</v>
      </c>
      <c r="E1096" s="70"/>
      <c r="F1096" s="70"/>
      <c r="G1096" s="70"/>
      <c r="H1096" s="70"/>
      <c r="I1096" s="54"/>
      <c r="J1096" s="27" t="str">
        <f t="shared" si="48"/>
        <v>Energieversorgung Rüsselsheim GmbH</v>
      </c>
    </row>
    <row r="1097" spans="1:10" s="44" customFormat="1" hidden="1" outlineLevel="1">
      <c r="A1097" s="374" t="str">
        <f t="shared" si="47"/>
        <v>SNB932161540975</v>
      </c>
      <c r="B1097" s="492">
        <f>_xlfn.IFNA(VLOOKUP($A1097,'Anlage 1a_Zuschlagszahlungen_NB'!A232:E465,5,FALSE),0)</f>
        <v>0</v>
      </c>
      <c r="C1097" s="88">
        <f>SUMIFS('Anlage 1c_Korrekturen_NB'!$D$105:$D$295,'Anlage 1c_Korrekturen_NB'!$A$105:$A$295,'Anlage 3a_Zusammenfassung_KWKG'!$A1097)+SUMIFS('Anlage 1c_Korrekturen_NB'!$F$105:$F$295,'Anlage 1c_Korrekturen_NB'!$A$105:$A$295,'Anlage 3a_Zusammenfassung_KWKG'!$A1097)+SUMIFS('Anlage 1c_Korrekturen_NB'!$H$105:$H$295,'Anlage 1c_Korrekturen_NB'!$A$105:$A$295,'Anlage 3a_Zusammenfassung_KWKG'!$A1097)</f>
        <v>0</v>
      </c>
      <c r="D1097" s="134">
        <f t="shared" si="46"/>
        <v>0</v>
      </c>
      <c r="E1097" s="70"/>
      <c r="F1097" s="70"/>
      <c r="G1097" s="70"/>
      <c r="H1097" s="70"/>
      <c r="I1097" s="54"/>
      <c r="J1097" s="27" t="str">
        <f t="shared" si="48"/>
        <v>Verbandsgemeindewerke Enkenbach-Alsenborn</v>
      </c>
    </row>
    <row r="1098" spans="1:10" s="44" customFormat="1" hidden="1" outlineLevel="1">
      <c r="A1098" s="374" t="str">
        <f t="shared" si="47"/>
        <v>SNB932375556731</v>
      </c>
      <c r="B1098" s="492">
        <f>_xlfn.IFNA(VLOOKUP($A1098,'Anlage 1a_Zuschlagszahlungen_NB'!A233:E466,5,FALSE),0)</f>
        <v>1514421</v>
      </c>
      <c r="C1098" s="88">
        <f>SUMIFS('Anlage 1c_Korrekturen_NB'!$D$105:$D$295,'Anlage 1c_Korrekturen_NB'!$A$105:$A$295,'Anlage 3a_Zusammenfassung_KWKG'!$A1098)+SUMIFS('Anlage 1c_Korrekturen_NB'!$F$105:$F$295,'Anlage 1c_Korrekturen_NB'!$A$105:$A$295,'Anlage 3a_Zusammenfassung_KWKG'!$A1098)+SUMIFS('Anlage 1c_Korrekturen_NB'!$H$105:$H$295,'Anlage 1c_Korrekturen_NB'!$A$105:$A$295,'Anlage 3a_Zusammenfassung_KWKG'!$A1098)</f>
        <v>537836</v>
      </c>
      <c r="D1098" s="134">
        <f t="shared" si="46"/>
        <v>2052257</v>
      </c>
      <c r="E1098" s="70"/>
      <c r="F1098" s="70"/>
      <c r="G1098" s="70"/>
      <c r="H1098" s="70"/>
      <c r="I1098" s="54"/>
      <c r="J1098" s="27" t="str">
        <f t="shared" si="48"/>
        <v>Stadtwerke Ostmünsterland GmbH &amp; Co. KG</v>
      </c>
    </row>
    <row r="1099" spans="1:10" s="44" customFormat="1" hidden="1" outlineLevel="1">
      <c r="A1099" s="374" t="str">
        <f t="shared" ref="A1099:A1162" si="49">A233</f>
        <v>SNB932516649124</v>
      </c>
      <c r="B1099" s="492">
        <f>_xlfn.IFNA(VLOOKUP($A1099,'Anlage 1a_Zuschlagszahlungen_NB'!A234:E467,5,FALSE),0)</f>
        <v>2425868</v>
      </c>
      <c r="C1099" s="88">
        <f>SUMIFS('Anlage 1c_Korrekturen_NB'!$D$105:$D$295,'Anlage 1c_Korrekturen_NB'!$A$105:$A$295,'Anlage 3a_Zusammenfassung_KWKG'!$A1099)+SUMIFS('Anlage 1c_Korrekturen_NB'!$F$105:$F$295,'Anlage 1c_Korrekturen_NB'!$A$105:$A$295,'Anlage 3a_Zusammenfassung_KWKG'!$A1099)+SUMIFS('Anlage 1c_Korrekturen_NB'!$H$105:$H$295,'Anlage 1c_Korrekturen_NB'!$A$105:$A$295,'Anlage 3a_Zusammenfassung_KWKG'!$A1099)</f>
        <v>0</v>
      </c>
      <c r="D1099" s="134">
        <f t="shared" si="46"/>
        <v>2425868</v>
      </c>
      <c r="E1099" s="70"/>
      <c r="F1099" s="70"/>
      <c r="G1099" s="70"/>
      <c r="H1099" s="70"/>
      <c r="I1099" s="54"/>
      <c r="J1099" s="27" t="str">
        <f t="shared" ref="J1099:J1162" si="50">J233</f>
        <v>Energie- und Wasserversorgung Rheine GmbH</v>
      </c>
    </row>
    <row r="1100" spans="1:10" s="44" customFormat="1" hidden="1" outlineLevel="1">
      <c r="A1100" s="374" t="str">
        <f t="shared" si="49"/>
        <v>SNB932788203468</v>
      </c>
      <c r="B1100" s="492">
        <f>_xlfn.IFNA(VLOOKUP($A1100,'Anlage 1a_Zuschlagszahlungen_NB'!A235:E468,5,FALSE),0)</f>
        <v>908326</v>
      </c>
      <c r="C1100" s="88">
        <f>SUMIFS('Anlage 1c_Korrekturen_NB'!$D$105:$D$295,'Anlage 1c_Korrekturen_NB'!$A$105:$A$295,'Anlage 3a_Zusammenfassung_KWKG'!$A1100)+SUMIFS('Anlage 1c_Korrekturen_NB'!$F$105:$F$295,'Anlage 1c_Korrekturen_NB'!$A$105:$A$295,'Anlage 3a_Zusammenfassung_KWKG'!$A1100)+SUMIFS('Anlage 1c_Korrekturen_NB'!$H$105:$H$295,'Anlage 1c_Korrekturen_NB'!$A$105:$A$295,'Anlage 3a_Zusammenfassung_KWKG'!$A1100)</f>
        <v>121245</v>
      </c>
      <c r="D1100" s="134">
        <f t="shared" si="46"/>
        <v>1029571</v>
      </c>
      <c r="E1100" s="70"/>
      <c r="F1100" s="70"/>
      <c r="G1100" s="70"/>
      <c r="H1100" s="70"/>
      <c r="I1100" s="54"/>
      <c r="J1100" s="27" t="str">
        <f t="shared" si="50"/>
        <v>Stadtwerke Schwerte GmbH</v>
      </c>
    </row>
    <row r="1101" spans="1:10" s="44" customFormat="1" hidden="1" outlineLevel="1">
      <c r="A1101" s="374" t="str">
        <f t="shared" si="49"/>
        <v>SNB933760214908</v>
      </c>
      <c r="B1101" s="492">
        <f>_xlfn.IFNA(VLOOKUP($A1101,'Anlage 1a_Zuschlagszahlungen_NB'!A236:E469,5,FALSE),0)</f>
        <v>0</v>
      </c>
      <c r="C1101" s="88">
        <f>SUMIFS('Anlage 1c_Korrekturen_NB'!$D$105:$D$295,'Anlage 1c_Korrekturen_NB'!$A$105:$A$295,'Anlage 3a_Zusammenfassung_KWKG'!$A1101)+SUMIFS('Anlage 1c_Korrekturen_NB'!$F$105:$F$295,'Anlage 1c_Korrekturen_NB'!$A$105:$A$295,'Anlage 3a_Zusammenfassung_KWKG'!$A1101)+SUMIFS('Anlage 1c_Korrekturen_NB'!$H$105:$H$295,'Anlage 1c_Korrekturen_NB'!$A$105:$A$295,'Anlage 3a_Zusammenfassung_KWKG'!$A1101)</f>
        <v>0</v>
      </c>
      <c r="D1101" s="134">
        <f t="shared" si="46"/>
        <v>0</v>
      </c>
      <c r="E1101" s="70"/>
      <c r="F1101" s="70"/>
      <c r="G1101" s="70"/>
      <c r="H1101" s="70"/>
      <c r="I1101" s="54"/>
      <c r="J1101" s="27" t="str">
        <f t="shared" si="50"/>
        <v>Veolia Industriepark Deutschland GmbH</v>
      </c>
    </row>
    <row r="1102" spans="1:10" s="44" customFormat="1" hidden="1" outlineLevel="1">
      <c r="A1102" s="374" t="str">
        <f t="shared" si="49"/>
        <v>SNB933767388565</v>
      </c>
      <c r="B1102" s="492">
        <f>_xlfn.IFNA(VLOOKUP($A1102,'Anlage 1a_Zuschlagszahlungen_NB'!A237:E470,5,FALSE),0)</f>
        <v>1717682</v>
      </c>
      <c r="C1102" s="88">
        <f>SUMIFS('Anlage 1c_Korrekturen_NB'!$D$105:$D$295,'Anlage 1c_Korrekturen_NB'!$A$105:$A$295,'Anlage 3a_Zusammenfassung_KWKG'!$A1102)+SUMIFS('Anlage 1c_Korrekturen_NB'!$F$105:$F$295,'Anlage 1c_Korrekturen_NB'!$A$105:$A$295,'Anlage 3a_Zusammenfassung_KWKG'!$A1102)+SUMIFS('Anlage 1c_Korrekturen_NB'!$H$105:$H$295,'Anlage 1c_Korrekturen_NB'!$A$105:$A$295,'Anlage 3a_Zusammenfassung_KWKG'!$A1102)</f>
        <v>0</v>
      </c>
      <c r="D1102" s="134">
        <f t="shared" si="46"/>
        <v>1717682</v>
      </c>
      <c r="E1102" s="70"/>
      <c r="F1102" s="70"/>
      <c r="G1102" s="70"/>
      <c r="H1102" s="70"/>
      <c r="I1102" s="54"/>
      <c r="J1102" s="27" t="str">
        <f t="shared" si="50"/>
        <v>Netzgesellschaft Ahlen mbH</v>
      </c>
    </row>
    <row r="1103" spans="1:10" s="44" customFormat="1" hidden="1" outlineLevel="1">
      <c r="A1103" s="374" t="str">
        <f t="shared" si="49"/>
        <v>SNB933956506145</v>
      </c>
      <c r="B1103" s="492">
        <f>_xlfn.IFNA(VLOOKUP($A1103,'Anlage 1a_Zuschlagszahlungen_NB'!A238:E471,5,FALSE),0)</f>
        <v>991876096</v>
      </c>
      <c r="C1103" s="88">
        <f>SUMIFS('Anlage 1c_Korrekturen_NB'!$D$105:$D$295,'Anlage 1c_Korrekturen_NB'!$A$105:$A$295,'Anlage 3a_Zusammenfassung_KWKG'!$A1103)+SUMIFS('Anlage 1c_Korrekturen_NB'!$F$105:$F$295,'Anlage 1c_Korrekturen_NB'!$A$105:$A$295,'Anlage 3a_Zusammenfassung_KWKG'!$A1103)+SUMIFS('Anlage 1c_Korrekturen_NB'!$H$105:$H$295,'Anlage 1c_Korrekturen_NB'!$A$105:$A$295,'Anlage 3a_Zusammenfassung_KWKG'!$A1103)</f>
        <v>2008528</v>
      </c>
      <c r="D1103" s="134">
        <f t="shared" si="46"/>
        <v>993884624</v>
      </c>
      <c r="E1103" s="70"/>
      <c r="F1103" s="70"/>
      <c r="G1103" s="70"/>
      <c r="H1103" s="70"/>
      <c r="I1103" s="54"/>
      <c r="J1103" s="27" t="str">
        <f t="shared" si="50"/>
        <v>Netzgesellschaft Düsseldorf mbH</v>
      </c>
    </row>
    <row r="1104" spans="1:10" s="44" customFormat="1" hidden="1" outlineLevel="1">
      <c r="A1104" s="374" t="str">
        <f t="shared" si="49"/>
        <v>SNB934068635945</v>
      </c>
      <c r="B1104" s="492">
        <f>_xlfn.IFNA(VLOOKUP($A1104,'Anlage 1a_Zuschlagszahlungen_NB'!A239:E472,5,FALSE),0)</f>
        <v>42711876</v>
      </c>
      <c r="C1104" s="88">
        <f>SUMIFS('Anlage 1c_Korrekturen_NB'!$D$105:$D$295,'Anlage 1c_Korrekturen_NB'!$A$105:$A$295,'Anlage 3a_Zusammenfassung_KWKG'!$A1104)+SUMIFS('Anlage 1c_Korrekturen_NB'!$F$105:$F$295,'Anlage 1c_Korrekturen_NB'!$A$105:$A$295,'Anlage 3a_Zusammenfassung_KWKG'!$A1104)+SUMIFS('Anlage 1c_Korrekturen_NB'!$H$105:$H$295,'Anlage 1c_Korrekturen_NB'!$A$105:$A$295,'Anlage 3a_Zusammenfassung_KWKG'!$A1104)</f>
        <v>0</v>
      </c>
      <c r="D1104" s="134">
        <f t="shared" si="46"/>
        <v>42711876</v>
      </c>
      <c r="E1104" s="70"/>
      <c r="F1104" s="70"/>
      <c r="G1104" s="70"/>
      <c r="H1104" s="70"/>
      <c r="I1104" s="54"/>
      <c r="J1104" s="27" t="str">
        <f t="shared" si="50"/>
        <v>Stadtwerke Ulm/Neu-Ulm Netze GmbH</v>
      </c>
    </row>
    <row r="1105" spans="1:10" s="44" customFormat="1" hidden="1" outlineLevel="1">
      <c r="A1105" s="374" t="str">
        <f t="shared" si="49"/>
        <v>SNB934185023519</v>
      </c>
      <c r="B1105" s="492">
        <f>_xlfn.IFNA(VLOOKUP($A1105,'Anlage 1a_Zuschlagszahlungen_NB'!A240:E473,5,FALSE),0)</f>
        <v>79354</v>
      </c>
      <c r="C1105" s="88">
        <f>SUMIFS('Anlage 1c_Korrekturen_NB'!$D$105:$D$295,'Anlage 1c_Korrekturen_NB'!$A$105:$A$295,'Anlage 3a_Zusammenfassung_KWKG'!$A1105)+SUMIFS('Anlage 1c_Korrekturen_NB'!$F$105:$F$295,'Anlage 1c_Korrekturen_NB'!$A$105:$A$295,'Anlage 3a_Zusammenfassung_KWKG'!$A1105)+SUMIFS('Anlage 1c_Korrekturen_NB'!$H$105:$H$295,'Anlage 1c_Korrekturen_NB'!$A$105:$A$295,'Anlage 3a_Zusammenfassung_KWKG'!$A1105)</f>
        <v>0</v>
      </c>
      <c r="D1105" s="134">
        <f t="shared" si="46"/>
        <v>79354</v>
      </c>
      <c r="E1105" s="70"/>
      <c r="F1105" s="70"/>
      <c r="G1105" s="70"/>
      <c r="H1105" s="70"/>
      <c r="I1105" s="54"/>
      <c r="J1105" s="27" t="str">
        <f t="shared" si="50"/>
        <v>Netzgesellschaft Lübbecke mbH</v>
      </c>
    </row>
    <row r="1106" spans="1:10" s="44" customFormat="1" hidden="1" outlineLevel="1">
      <c r="A1106" s="374" t="str">
        <f t="shared" si="49"/>
        <v>SNB934949020686</v>
      </c>
      <c r="B1106" s="492">
        <f>_xlfn.IFNA(VLOOKUP($A1106,'Anlage 1a_Zuschlagszahlungen_NB'!A241:E474,5,FALSE),0)</f>
        <v>3242590</v>
      </c>
      <c r="C1106" s="88">
        <f>SUMIFS('Anlage 1c_Korrekturen_NB'!$D$105:$D$295,'Anlage 1c_Korrekturen_NB'!$A$105:$A$295,'Anlage 3a_Zusammenfassung_KWKG'!$A1106)+SUMIFS('Anlage 1c_Korrekturen_NB'!$F$105:$F$295,'Anlage 1c_Korrekturen_NB'!$A$105:$A$295,'Anlage 3a_Zusammenfassung_KWKG'!$A1106)+SUMIFS('Anlage 1c_Korrekturen_NB'!$H$105:$H$295,'Anlage 1c_Korrekturen_NB'!$A$105:$A$295,'Anlage 3a_Zusammenfassung_KWKG'!$A1106)</f>
        <v>0</v>
      </c>
      <c r="D1106" s="134">
        <f t="shared" si="46"/>
        <v>3242590</v>
      </c>
      <c r="E1106" s="70"/>
      <c r="F1106" s="70"/>
      <c r="G1106" s="70"/>
      <c r="H1106" s="70"/>
      <c r="I1106" s="54"/>
      <c r="J1106" s="27" t="str">
        <f t="shared" si="50"/>
        <v>Stadtwerke Gronau GmbH</v>
      </c>
    </row>
    <row r="1107" spans="1:10" s="44" customFormat="1" hidden="1" outlineLevel="1">
      <c r="A1107" s="374" t="str">
        <f t="shared" si="49"/>
        <v>SNB934961797092</v>
      </c>
      <c r="B1107" s="492">
        <f>_xlfn.IFNA(VLOOKUP($A1107,'Anlage 1a_Zuschlagszahlungen_NB'!A242:E475,5,FALSE),0)</f>
        <v>1182293</v>
      </c>
      <c r="C1107" s="88">
        <f>SUMIFS('Anlage 1c_Korrekturen_NB'!$D$105:$D$295,'Anlage 1c_Korrekturen_NB'!$A$105:$A$295,'Anlage 3a_Zusammenfassung_KWKG'!$A1107)+SUMIFS('Anlage 1c_Korrekturen_NB'!$F$105:$F$295,'Anlage 1c_Korrekturen_NB'!$A$105:$A$295,'Anlage 3a_Zusammenfassung_KWKG'!$A1107)+SUMIFS('Anlage 1c_Korrekturen_NB'!$H$105:$H$295,'Anlage 1c_Korrekturen_NB'!$A$105:$A$295,'Anlage 3a_Zusammenfassung_KWKG'!$A1107)</f>
        <v>0</v>
      </c>
      <c r="D1107" s="134">
        <f t="shared" si="46"/>
        <v>1182293</v>
      </c>
      <c r="E1107" s="70"/>
      <c r="F1107" s="70"/>
      <c r="G1107" s="70"/>
      <c r="H1107" s="70"/>
      <c r="I1107" s="54"/>
      <c r="J1107" s="27" t="str">
        <f t="shared" si="50"/>
        <v>Stadtwerke Ochtrup</v>
      </c>
    </row>
    <row r="1108" spans="1:10" s="44" customFormat="1" hidden="1" outlineLevel="1">
      <c r="A1108" s="374" t="str">
        <f t="shared" si="49"/>
        <v>SNB935578300972</v>
      </c>
      <c r="B1108" s="492">
        <f>_xlfn.IFNA(VLOOKUP($A1108,'Anlage 1a_Zuschlagszahlungen_NB'!A243:E476,5,FALSE),0)</f>
        <v>2124239</v>
      </c>
      <c r="C1108" s="88">
        <f>SUMIFS('Anlage 1c_Korrekturen_NB'!$D$105:$D$295,'Anlage 1c_Korrekturen_NB'!$A$105:$A$295,'Anlage 3a_Zusammenfassung_KWKG'!$A1108)+SUMIFS('Anlage 1c_Korrekturen_NB'!$F$105:$F$295,'Anlage 1c_Korrekturen_NB'!$A$105:$A$295,'Anlage 3a_Zusammenfassung_KWKG'!$A1108)+SUMIFS('Anlage 1c_Korrekturen_NB'!$H$105:$H$295,'Anlage 1c_Korrekturen_NB'!$A$105:$A$295,'Anlage 3a_Zusammenfassung_KWKG'!$A1108)</f>
        <v>-839687</v>
      </c>
      <c r="D1108" s="134">
        <f t="shared" si="46"/>
        <v>1284552</v>
      </c>
      <c r="E1108" s="70"/>
      <c r="F1108" s="70"/>
      <c r="G1108" s="70"/>
      <c r="H1108" s="70"/>
      <c r="I1108" s="54"/>
      <c r="J1108" s="27" t="str">
        <f t="shared" si="50"/>
        <v>TWL Netze GmbH</v>
      </c>
    </row>
    <row r="1109" spans="1:10" s="44" customFormat="1" hidden="1" outlineLevel="1">
      <c r="A1109" s="374" t="str">
        <f t="shared" si="49"/>
        <v>SNB935600499711</v>
      </c>
      <c r="B1109" s="492">
        <f>_xlfn.IFNA(VLOOKUP($A1109,'Anlage 1a_Zuschlagszahlungen_NB'!A244:E477,5,FALSE),0)</f>
        <v>1175058</v>
      </c>
      <c r="C1109" s="88">
        <f>SUMIFS('Anlage 1c_Korrekturen_NB'!$D$105:$D$295,'Anlage 1c_Korrekturen_NB'!$A$105:$A$295,'Anlage 3a_Zusammenfassung_KWKG'!$A1109)+SUMIFS('Anlage 1c_Korrekturen_NB'!$F$105:$F$295,'Anlage 1c_Korrekturen_NB'!$A$105:$A$295,'Anlage 3a_Zusammenfassung_KWKG'!$A1109)+SUMIFS('Anlage 1c_Korrekturen_NB'!$H$105:$H$295,'Anlage 1c_Korrekturen_NB'!$A$105:$A$295,'Anlage 3a_Zusammenfassung_KWKG'!$A1109)</f>
        <v>0</v>
      </c>
      <c r="D1109" s="134">
        <f t="shared" si="46"/>
        <v>1175058</v>
      </c>
      <c r="E1109" s="70"/>
      <c r="F1109" s="70"/>
      <c r="G1109" s="70"/>
      <c r="H1109" s="70"/>
      <c r="I1109" s="54"/>
      <c r="J1109" s="27" t="str">
        <f t="shared" si="50"/>
        <v>GSW Gemeinschaftsstadtwerke GmbH Kamen, Bönen, Bergkamen</v>
      </c>
    </row>
    <row r="1110" spans="1:10" s="44" customFormat="1" hidden="1" outlineLevel="1">
      <c r="A1110" s="374" t="str">
        <f t="shared" si="49"/>
        <v>SNB935814055062</v>
      </c>
      <c r="B1110" s="492">
        <f>_xlfn.IFNA(VLOOKUP($A1110,'Anlage 1a_Zuschlagszahlungen_NB'!A245:E478,5,FALSE),0)</f>
        <v>406239</v>
      </c>
      <c r="C1110" s="88">
        <f>SUMIFS('Anlage 1c_Korrekturen_NB'!$D$105:$D$295,'Anlage 1c_Korrekturen_NB'!$A$105:$A$295,'Anlage 3a_Zusammenfassung_KWKG'!$A1110)+SUMIFS('Anlage 1c_Korrekturen_NB'!$F$105:$F$295,'Anlage 1c_Korrekturen_NB'!$A$105:$A$295,'Anlage 3a_Zusammenfassung_KWKG'!$A1110)+SUMIFS('Anlage 1c_Korrekturen_NB'!$H$105:$H$295,'Anlage 1c_Korrekturen_NB'!$A$105:$A$295,'Anlage 3a_Zusammenfassung_KWKG'!$A1110)</f>
        <v>0</v>
      </c>
      <c r="D1110" s="134">
        <f t="shared" si="46"/>
        <v>406239</v>
      </c>
      <c r="E1110" s="70"/>
      <c r="F1110" s="70"/>
      <c r="G1110" s="70"/>
      <c r="H1110" s="70"/>
      <c r="I1110" s="54"/>
      <c r="J1110" s="27" t="str">
        <f t="shared" si="50"/>
        <v>Stadtwerke Kleve GmbH</v>
      </c>
    </row>
    <row r="1111" spans="1:10" s="44" customFormat="1" hidden="1" outlineLevel="1">
      <c r="A1111" s="374" t="str">
        <f t="shared" si="49"/>
        <v>SNB939191427887</v>
      </c>
      <c r="B1111" s="492">
        <f>_xlfn.IFNA(VLOOKUP($A1111,'Anlage 1a_Zuschlagszahlungen_NB'!A246:E479,5,FALSE),0)</f>
        <v>0</v>
      </c>
      <c r="C1111" s="88">
        <f>SUMIFS('Anlage 1c_Korrekturen_NB'!$D$105:$D$295,'Anlage 1c_Korrekturen_NB'!$A$105:$A$295,'Anlage 3a_Zusammenfassung_KWKG'!$A1111)+SUMIFS('Anlage 1c_Korrekturen_NB'!$F$105:$F$295,'Anlage 1c_Korrekturen_NB'!$A$105:$A$295,'Anlage 3a_Zusammenfassung_KWKG'!$A1111)+SUMIFS('Anlage 1c_Korrekturen_NB'!$H$105:$H$295,'Anlage 1c_Korrekturen_NB'!$A$105:$A$295,'Anlage 3a_Zusammenfassung_KWKG'!$A1111)</f>
        <v>0</v>
      </c>
      <c r="D1111" s="134">
        <f t="shared" si="46"/>
        <v>0</v>
      </c>
      <c r="E1111" s="70"/>
      <c r="F1111" s="70"/>
      <c r="G1111" s="70"/>
      <c r="H1111" s="70"/>
      <c r="I1111" s="54"/>
      <c r="J1111" s="27" t="str">
        <f t="shared" si="50"/>
        <v>Gelsenkirchen Raffinerie Netz GmbH</v>
      </c>
    </row>
    <row r="1112" spans="1:10" s="44" customFormat="1" hidden="1" outlineLevel="1">
      <c r="A1112" s="374" t="str">
        <f t="shared" si="49"/>
        <v>SNB939688186686</v>
      </c>
      <c r="B1112" s="492">
        <f>_xlfn.IFNA(VLOOKUP($A1112,'Anlage 1a_Zuschlagszahlungen_NB'!A247:E480,5,FALSE),0)</f>
        <v>0</v>
      </c>
      <c r="C1112" s="88">
        <f>SUMIFS('Anlage 1c_Korrekturen_NB'!$D$105:$D$295,'Anlage 1c_Korrekturen_NB'!$A$105:$A$295,'Anlage 3a_Zusammenfassung_KWKG'!$A1112)+SUMIFS('Anlage 1c_Korrekturen_NB'!$F$105:$F$295,'Anlage 1c_Korrekturen_NB'!$A$105:$A$295,'Anlage 3a_Zusammenfassung_KWKG'!$A1112)+SUMIFS('Anlage 1c_Korrekturen_NB'!$H$105:$H$295,'Anlage 1c_Korrekturen_NB'!$A$105:$A$295,'Anlage 3a_Zusammenfassung_KWKG'!$A1112)</f>
        <v>132782</v>
      </c>
      <c r="D1112" s="134">
        <f t="shared" si="46"/>
        <v>132782</v>
      </c>
      <c r="E1112" s="70"/>
      <c r="F1112" s="70"/>
      <c r="G1112" s="70"/>
      <c r="H1112" s="70"/>
      <c r="I1112" s="54"/>
      <c r="J1112" s="27" t="str">
        <f t="shared" si="50"/>
        <v>Abita Energie Otterberg GmbH</v>
      </c>
    </row>
    <row r="1113" spans="1:10" s="44" customFormat="1" hidden="1" outlineLevel="1">
      <c r="A1113" s="374" t="str">
        <f t="shared" si="49"/>
        <v>SNB940122004213</v>
      </c>
      <c r="B1113" s="492">
        <f>_xlfn.IFNA(VLOOKUP($A1113,'Anlage 1a_Zuschlagszahlungen_NB'!A248:E481,5,FALSE),0)</f>
        <v>296398</v>
      </c>
      <c r="C1113" s="88">
        <f>SUMIFS('Anlage 1c_Korrekturen_NB'!$D$105:$D$295,'Anlage 1c_Korrekturen_NB'!$A$105:$A$295,'Anlage 3a_Zusammenfassung_KWKG'!$A1113)+SUMIFS('Anlage 1c_Korrekturen_NB'!$F$105:$F$295,'Anlage 1c_Korrekturen_NB'!$A$105:$A$295,'Anlage 3a_Zusammenfassung_KWKG'!$A1113)+SUMIFS('Anlage 1c_Korrekturen_NB'!$H$105:$H$295,'Anlage 1c_Korrekturen_NB'!$A$105:$A$295,'Anlage 3a_Zusammenfassung_KWKG'!$A1113)</f>
        <v>16283</v>
      </c>
      <c r="D1113" s="134">
        <f t="shared" si="46"/>
        <v>312681</v>
      </c>
      <c r="E1113" s="70"/>
      <c r="F1113" s="70"/>
      <c r="G1113" s="70"/>
      <c r="H1113" s="70"/>
      <c r="I1113" s="54"/>
      <c r="J1113" s="27" t="str">
        <f t="shared" si="50"/>
        <v>Verteilnetze Energie Weißenhorn GmbH &amp; Co. KG</v>
      </c>
    </row>
    <row r="1114" spans="1:10" s="44" customFormat="1" hidden="1" outlineLevel="1">
      <c r="A1114" s="374" t="str">
        <f t="shared" si="49"/>
        <v>SNB940133714842</v>
      </c>
      <c r="B1114" s="492">
        <f>_xlfn.IFNA(VLOOKUP($A1114,'Anlage 1a_Zuschlagszahlungen_NB'!A249:E482,5,FALSE),0)</f>
        <v>90314972</v>
      </c>
      <c r="C1114" s="88">
        <f>SUMIFS('Anlage 1c_Korrekturen_NB'!$D$105:$D$295,'Anlage 1c_Korrekturen_NB'!$A$105:$A$295,'Anlage 3a_Zusammenfassung_KWKG'!$A1114)+SUMIFS('Anlage 1c_Korrekturen_NB'!$F$105:$F$295,'Anlage 1c_Korrekturen_NB'!$A$105:$A$295,'Anlage 3a_Zusammenfassung_KWKG'!$A1114)+SUMIFS('Anlage 1c_Korrekturen_NB'!$H$105:$H$295,'Anlage 1c_Korrekturen_NB'!$A$105:$A$295,'Anlage 3a_Zusammenfassung_KWKG'!$A1114)</f>
        <v>0</v>
      </c>
      <c r="D1114" s="134">
        <f t="shared" si="46"/>
        <v>90314972</v>
      </c>
      <c r="E1114" s="70"/>
      <c r="F1114" s="70"/>
      <c r="G1114" s="70"/>
      <c r="H1114" s="70"/>
      <c r="I1114" s="54"/>
      <c r="J1114" s="27" t="str">
        <f t="shared" si="50"/>
        <v>Creos Deutschland GmbH</v>
      </c>
    </row>
    <row r="1115" spans="1:10" s="44" customFormat="1" hidden="1" outlineLevel="1">
      <c r="A1115" s="374" t="str">
        <f t="shared" si="49"/>
        <v>SNB940437318166</v>
      </c>
      <c r="B1115" s="492">
        <f>_xlfn.IFNA(VLOOKUP($A1115,'Anlage 1a_Zuschlagszahlungen_NB'!A250:E483,5,FALSE),0)</f>
        <v>6943111</v>
      </c>
      <c r="C1115" s="88">
        <f>SUMIFS('Anlage 1c_Korrekturen_NB'!$D$105:$D$295,'Anlage 1c_Korrekturen_NB'!$A$105:$A$295,'Anlage 3a_Zusammenfassung_KWKG'!$A1115)+SUMIFS('Anlage 1c_Korrekturen_NB'!$F$105:$F$295,'Anlage 1c_Korrekturen_NB'!$A$105:$A$295,'Anlage 3a_Zusammenfassung_KWKG'!$A1115)+SUMIFS('Anlage 1c_Korrekturen_NB'!$H$105:$H$295,'Anlage 1c_Korrekturen_NB'!$A$105:$A$295,'Anlage 3a_Zusammenfassung_KWKG'!$A1115)</f>
        <v>5595864</v>
      </c>
      <c r="D1115" s="134">
        <f t="shared" si="46"/>
        <v>12538975</v>
      </c>
      <c r="E1115" s="70"/>
      <c r="F1115" s="70"/>
      <c r="G1115" s="70"/>
      <c r="H1115" s="70"/>
      <c r="I1115" s="54"/>
      <c r="J1115" s="27" t="str">
        <f t="shared" si="50"/>
        <v>NEW Netz GmbH</v>
      </c>
    </row>
    <row r="1116" spans="1:10" s="44" customFormat="1" hidden="1" outlineLevel="1">
      <c r="A1116" s="374" t="str">
        <f t="shared" si="49"/>
        <v>SNB941004899811</v>
      </c>
      <c r="B1116" s="492">
        <f>_xlfn.IFNA(VLOOKUP($A1116,'Anlage 1a_Zuschlagszahlungen_NB'!A251:E484,5,FALSE),0)</f>
        <v>816057</v>
      </c>
      <c r="C1116" s="88">
        <f>SUMIFS('Anlage 1c_Korrekturen_NB'!$D$105:$D$295,'Anlage 1c_Korrekturen_NB'!$A$105:$A$295,'Anlage 3a_Zusammenfassung_KWKG'!$A1116)+SUMIFS('Anlage 1c_Korrekturen_NB'!$F$105:$F$295,'Anlage 1c_Korrekturen_NB'!$A$105:$A$295,'Anlage 3a_Zusammenfassung_KWKG'!$A1116)+SUMIFS('Anlage 1c_Korrekturen_NB'!$H$105:$H$295,'Anlage 1c_Korrekturen_NB'!$A$105:$A$295,'Anlage 3a_Zusammenfassung_KWKG'!$A1116)</f>
        <v>0</v>
      </c>
      <c r="D1116" s="134">
        <f t="shared" si="46"/>
        <v>816057</v>
      </c>
      <c r="E1116" s="70"/>
      <c r="F1116" s="70"/>
      <c r="G1116" s="70"/>
      <c r="H1116" s="70"/>
      <c r="I1116" s="54"/>
      <c r="J1116" s="27" t="str">
        <f t="shared" si="50"/>
        <v>Stadtwerke Goch GmbH</v>
      </c>
    </row>
    <row r="1117" spans="1:10" s="44" customFormat="1" hidden="1" outlineLevel="1">
      <c r="A1117" s="374" t="str">
        <f t="shared" si="49"/>
        <v>SNB941650885558</v>
      </c>
      <c r="B1117" s="492">
        <f>_xlfn.IFNA(VLOOKUP($A1117,'Anlage 1a_Zuschlagszahlungen_NB'!A252:E485,5,FALSE),0)</f>
        <v>0</v>
      </c>
      <c r="C1117" s="88">
        <f>SUMIFS('Anlage 1c_Korrekturen_NB'!$D$105:$D$295,'Anlage 1c_Korrekturen_NB'!$A$105:$A$295,'Anlage 3a_Zusammenfassung_KWKG'!$A1117)+SUMIFS('Anlage 1c_Korrekturen_NB'!$F$105:$F$295,'Anlage 1c_Korrekturen_NB'!$A$105:$A$295,'Anlage 3a_Zusammenfassung_KWKG'!$A1117)+SUMIFS('Anlage 1c_Korrekturen_NB'!$H$105:$H$295,'Anlage 1c_Korrekturen_NB'!$A$105:$A$295,'Anlage 3a_Zusammenfassung_KWKG'!$A1117)</f>
        <v>0</v>
      </c>
      <c r="D1117" s="134">
        <f t="shared" si="46"/>
        <v>0</v>
      </c>
      <c r="E1117" s="70"/>
      <c r="F1117" s="70"/>
      <c r="G1117" s="70"/>
      <c r="H1117" s="70"/>
      <c r="I1117" s="54"/>
      <c r="J1117" s="27" t="str">
        <f t="shared" si="50"/>
        <v>VSE Verteilnetz GmbH</v>
      </c>
    </row>
    <row r="1118" spans="1:10" s="44" customFormat="1" hidden="1" outlineLevel="1">
      <c r="A1118" s="374" t="str">
        <f t="shared" si="49"/>
        <v>SNB942111583372</v>
      </c>
      <c r="B1118" s="492">
        <f>_xlfn.IFNA(VLOOKUP($A1118,'Anlage 1a_Zuschlagszahlungen_NB'!A253:E486,5,FALSE),0)</f>
        <v>1068053</v>
      </c>
      <c r="C1118" s="88">
        <f>SUMIFS('Anlage 1c_Korrekturen_NB'!$D$105:$D$295,'Anlage 1c_Korrekturen_NB'!$A$105:$A$295,'Anlage 3a_Zusammenfassung_KWKG'!$A1118)+SUMIFS('Anlage 1c_Korrekturen_NB'!$F$105:$F$295,'Anlage 1c_Korrekturen_NB'!$A$105:$A$295,'Anlage 3a_Zusammenfassung_KWKG'!$A1118)+SUMIFS('Anlage 1c_Korrekturen_NB'!$H$105:$H$295,'Anlage 1c_Korrekturen_NB'!$A$105:$A$295,'Anlage 3a_Zusammenfassung_KWKG'!$A1118)</f>
        <v>-20010</v>
      </c>
      <c r="D1118" s="134">
        <f t="shared" si="46"/>
        <v>1048043</v>
      </c>
      <c r="E1118" s="70"/>
      <c r="F1118" s="70"/>
      <c r="G1118" s="70"/>
      <c r="H1118" s="70"/>
      <c r="I1118" s="54"/>
      <c r="J1118" s="27" t="str">
        <f t="shared" si="50"/>
        <v>Stadtwerke Lünen GmbH</v>
      </c>
    </row>
    <row r="1119" spans="1:10" s="44" customFormat="1" hidden="1" outlineLevel="1">
      <c r="A1119" s="374" t="str">
        <f t="shared" si="49"/>
        <v>SNB942173666990</v>
      </c>
      <c r="B1119" s="492">
        <f>_xlfn.IFNA(VLOOKUP($A1119,'Anlage 1a_Zuschlagszahlungen_NB'!A254:E487,5,FALSE),0)</f>
        <v>1415675</v>
      </c>
      <c r="C1119" s="88">
        <f>SUMIFS('Anlage 1c_Korrekturen_NB'!$D$105:$D$295,'Anlage 1c_Korrekturen_NB'!$A$105:$A$295,'Anlage 3a_Zusammenfassung_KWKG'!$A1119)+SUMIFS('Anlage 1c_Korrekturen_NB'!$F$105:$F$295,'Anlage 1c_Korrekturen_NB'!$A$105:$A$295,'Anlage 3a_Zusammenfassung_KWKG'!$A1119)+SUMIFS('Anlage 1c_Korrekturen_NB'!$H$105:$H$295,'Anlage 1c_Korrekturen_NB'!$A$105:$A$295,'Anlage 3a_Zusammenfassung_KWKG'!$A1119)</f>
        <v>0</v>
      </c>
      <c r="D1119" s="134">
        <f t="shared" si="46"/>
        <v>1415675</v>
      </c>
      <c r="E1119" s="70"/>
      <c r="F1119" s="70"/>
      <c r="G1119" s="70"/>
      <c r="H1119" s="70"/>
      <c r="I1119" s="54"/>
      <c r="J1119" s="27" t="str">
        <f t="shared" si="50"/>
        <v>Energieversorgung Beckum GmbH &amp; Co. KG</v>
      </c>
    </row>
    <row r="1120" spans="1:10" s="44" customFormat="1" hidden="1" outlineLevel="1">
      <c r="A1120" s="374" t="str">
        <f t="shared" si="49"/>
        <v>SNB942182027607</v>
      </c>
      <c r="B1120" s="492">
        <f>_xlfn.IFNA(VLOOKUP($A1120,'Anlage 1a_Zuschlagszahlungen_NB'!A255:E488,5,FALSE),0)</f>
        <v>0</v>
      </c>
      <c r="C1120" s="88">
        <f>SUMIFS('Anlage 1c_Korrekturen_NB'!$D$105:$D$295,'Anlage 1c_Korrekturen_NB'!$A$105:$A$295,'Anlage 3a_Zusammenfassung_KWKG'!$A1120)+SUMIFS('Anlage 1c_Korrekturen_NB'!$F$105:$F$295,'Anlage 1c_Korrekturen_NB'!$A$105:$A$295,'Anlage 3a_Zusammenfassung_KWKG'!$A1120)+SUMIFS('Anlage 1c_Korrekturen_NB'!$H$105:$H$295,'Anlage 1c_Korrekturen_NB'!$A$105:$A$295,'Anlage 3a_Zusammenfassung_KWKG'!$A1120)</f>
        <v>0</v>
      </c>
      <c r="D1120" s="134">
        <f t="shared" si="46"/>
        <v>0</v>
      </c>
      <c r="E1120" s="70"/>
      <c r="F1120" s="70"/>
      <c r="G1120" s="70"/>
      <c r="H1120" s="70"/>
      <c r="I1120" s="54"/>
      <c r="J1120" s="27" t="str">
        <f t="shared" si="50"/>
        <v>DB Energie GmbH</v>
      </c>
    </row>
    <row r="1121" spans="1:10" s="44" customFormat="1" hidden="1" outlineLevel="1">
      <c r="A1121" s="374" t="str">
        <f t="shared" si="49"/>
        <v>SNB942305388936</v>
      </c>
      <c r="B1121" s="492">
        <f>_xlfn.IFNA(VLOOKUP($A1121,'Anlage 1a_Zuschlagszahlungen_NB'!A256:E489,5,FALSE),0)</f>
        <v>11779093</v>
      </c>
      <c r="C1121" s="88">
        <f>SUMIFS('Anlage 1c_Korrekturen_NB'!$D$105:$D$295,'Anlage 1c_Korrekturen_NB'!$A$105:$A$295,'Anlage 3a_Zusammenfassung_KWKG'!$A1121)+SUMIFS('Anlage 1c_Korrekturen_NB'!$F$105:$F$295,'Anlage 1c_Korrekturen_NB'!$A$105:$A$295,'Anlage 3a_Zusammenfassung_KWKG'!$A1121)+SUMIFS('Anlage 1c_Korrekturen_NB'!$H$105:$H$295,'Anlage 1c_Korrekturen_NB'!$A$105:$A$295,'Anlage 3a_Zusammenfassung_KWKG'!$A1121)</f>
        <v>28911</v>
      </c>
      <c r="D1121" s="134">
        <f t="shared" si="46"/>
        <v>11808004</v>
      </c>
      <c r="E1121" s="70"/>
      <c r="F1121" s="70"/>
      <c r="G1121" s="70"/>
      <c r="H1121" s="70"/>
      <c r="I1121" s="54"/>
      <c r="J1121" s="27" t="str">
        <f t="shared" si="50"/>
        <v>Stadtwerke Neustadt an der Weinstraße GmbH</v>
      </c>
    </row>
    <row r="1122" spans="1:10" s="44" customFormat="1" hidden="1" outlineLevel="1">
      <c r="A1122" s="374" t="str">
        <f t="shared" si="49"/>
        <v>SNB942804093577</v>
      </c>
      <c r="B1122" s="492">
        <f>_xlfn.IFNA(VLOOKUP($A1122,'Anlage 1a_Zuschlagszahlungen_NB'!A257:E490,5,FALSE),0)</f>
        <v>188843</v>
      </c>
      <c r="C1122" s="88">
        <f>SUMIFS('Anlage 1c_Korrekturen_NB'!$D$105:$D$295,'Anlage 1c_Korrekturen_NB'!$A$105:$A$295,'Anlage 3a_Zusammenfassung_KWKG'!$A1122)+SUMIFS('Anlage 1c_Korrekturen_NB'!$F$105:$F$295,'Anlage 1c_Korrekturen_NB'!$A$105:$A$295,'Anlage 3a_Zusammenfassung_KWKG'!$A1122)+SUMIFS('Anlage 1c_Korrekturen_NB'!$H$105:$H$295,'Anlage 1c_Korrekturen_NB'!$A$105:$A$295,'Anlage 3a_Zusammenfassung_KWKG'!$A1122)</f>
        <v>0</v>
      </c>
      <c r="D1122" s="134">
        <f t="shared" si="46"/>
        <v>188843</v>
      </c>
      <c r="E1122" s="70"/>
      <c r="F1122" s="70"/>
      <c r="G1122" s="70"/>
      <c r="H1122" s="70"/>
      <c r="I1122" s="54"/>
      <c r="J1122" s="27" t="str">
        <f t="shared" si="50"/>
        <v>Queichtal Energie Offenbach Netz GmbH</v>
      </c>
    </row>
    <row r="1123" spans="1:10" s="44" customFormat="1" hidden="1" outlineLevel="1">
      <c r="A1123" s="374" t="str">
        <f t="shared" si="49"/>
        <v>SNB943042904373</v>
      </c>
      <c r="B1123" s="492">
        <f>_xlfn.IFNA(VLOOKUP($A1123,'Anlage 1a_Zuschlagszahlungen_NB'!A258:E491,5,FALSE),0)</f>
        <v>36454286</v>
      </c>
      <c r="C1123" s="88">
        <f>SUMIFS('Anlage 1c_Korrekturen_NB'!$D$105:$D$295,'Anlage 1c_Korrekturen_NB'!$A$105:$A$295,'Anlage 3a_Zusammenfassung_KWKG'!$A1123)+SUMIFS('Anlage 1c_Korrekturen_NB'!$F$105:$F$295,'Anlage 1c_Korrekturen_NB'!$A$105:$A$295,'Anlage 3a_Zusammenfassung_KWKG'!$A1123)+SUMIFS('Anlage 1c_Korrekturen_NB'!$H$105:$H$295,'Anlage 1c_Korrekturen_NB'!$A$105:$A$295,'Anlage 3a_Zusammenfassung_KWKG'!$A1123)</f>
        <v>13904689</v>
      </c>
      <c r="D1123" s="134">
        <f t="shared" si="46"/>
        <v>50358975</v>
      </c>
      <c r="E1123" s="70"/>
      <c r="F1123" s="70"/>
      <c r="G1123" s="70"/>
      <c r="H1123" s="70"/>
      <c r="I1123" s="54"/>
      <c r="J1123" s="27" t="str">
        <f t="shared" si="50"/>
        <v>Stadtwerke Kempen GmbH</v>
      </c>
    </row>
    <row r="1124" spans="1:10" s="44" customFormat="1" hidden="1" outlineLevel="1">
      <c r="A1124" s="374" t="str">
        <f t="shared" si="49"/>
        <v>SNB943170046990</v>
      </c>
      <c r="B1124" s="492">
        <f>_xlfn.IFNA(VLOOKUP($A1124,'Anlage 1a_Zuschlagszahlungen_NB'!A259:E492,5,FALSE),0)</f>
        <v>0</v>
      </c>
      <c r="C1124" s="88">
        <f>SUMIFS('Anlage 1c_Korrekturen_NB'!$D$105:$D$295,'Anlage 1c_Korrekturen_NB'!$A$105:$A$295,'Anlage 3a_Zusammenfassung_KWKG'!$A1124)+SUMIFS('Anlage 1c_Korrekturen_NB'!$F$105:$F$295,'Anlage 1c_Korrekturen_NB'!$A$105:$A$295,'Anlage 3a_Zusammenfassung_KWKG'!$A1124)+SUMIFS('Anlage 1c_Korrekturen_NB'!$H$105:$H$295,'Anlage 1c_Korrekturen_NB'!$A$105:$A$295,'Anlage 3a_Zusammenfassung_KWKG'!$A1124)</f>
        <v>0</v>
      </c>
      <c r="D1124" s="134">
        <f t="shared" si="46"/>
        <v>0</v>
      </c>
      <c r="E1124" s="70"/>
      <c r="F1124" s="70"/>
      <c r="G1124" s="70"/>
      <c r="H1124" s="70"/>
      <c r="I1124" s="54"/>
      <c r="J1124" s="27" t="str">
        <f t="shared" si="50"/>
        <v>mve eurokom GmbH</v>
      </c>
    </row>
    <row r="1125" spans="1:10" s="44" customFormat="1" hidden="1" outlineLevel="1">
      <c r="A1125" s="374" t="str">
        <f t="shared" si="49"/>
        <v>SNB943170046990</v>
      </c>
      <c r="B1125" s="492">
        <f>_xlfn.IFNA(VLOOKUP($A1125,'Anlage 1a_Zuschlagszahlungen_NB'!A260:E493,5,FALSE),0)</f>
        <v>0</v>
      </c>
      <c r="C1125" s="88">
        <f>SUMIFS('Anlage 1c_Korrekturen_NB'!$D$105:$D$295,'Anlage 1c_Korrekturen_NB'!$A$105:$A$295,'Anlage 3a_Zusammenfassung_KWKG'!$A1125)+SUMIFS('Anlage 1c_Korrekturen_NB'!$F$105:$F$295,'Anlage 1c_Korrekturen_NB'!$A$105:$A$295,'Anlage 3a_Zusammenfassung_KWKG'!$A1125)+SUMIFS('Anlage 1c_Korrekturen_NB'!$H$105:$H$295,'Anlage 1c_Korrekturen_NB'!$A$105:$A$295,'Anlage 3a_Zusammenfassung_KWKG'!$A1125)</f>
        <v>0</v>
      </c>
      <c r="D1125" s="134">
        <f t="shared" si="46"/>
        <v>0</v>
      </c>
      <c r="E1125" s="70"/>
      <c r="F1125" s="70"/>
      <c r="G1125" s="70"/>
      <c r="H1125" s="70"/>
      <c r="I1125" s="54"/>
      <c r="J1125" s="27" t="str">
        <f t="shared" si="50"/>
        <v>mve eurokom GmbH</v>
      </c>
    </row>
    <row r="1126" spans="1:10" s="44" customFormat="1" hidden="1" outlineLevel="1">
      <c r="A1126" s="374" t="str">
        <f t="shared" si="49"/>
        <v>SNB943261073362</v>
      </c>
      <c r="B1126" s="492">
        <f>_xlfn.IFNA(VLOOKUP($A1126,'Anlage 1a_Zuschlagszahlungen_NB'!A261:E494,5,FALSE),0)</f>
        <v>2692613</v>
      </c>
      <c r="C1126" s="88">
        <f>SUMIFS('Anlage 1c_Korrekturen_NB'!$D$105:$D$295,'Anlage 1c_Korrekturen_NB'!$A$105:$A$295,'Anlage 3a_Zusammenfassung_KWKG'!$A1126)+SUMIFS('Anlage 1c_Korrekturen_NB'!$F$105:$F$295,'Anlage 1c_Korrekturen_NB'!$A$105:$A$295,'Anlage 3a_Zusammenfassung_KWKG'!$A1126)+SUMIFS('Anlage 1c_Korrekturen_NB'!$H$105:$H$295,'Anlage 1c_Korrekturen_NB'!$A$105:$A$295,'Anlage 3a_Zusammenfassung_KWKG'!$A1126)</f>
        <v>0</v>
      </c>
      <c r="D1126" s="134">
        <f t="shared" si="46"/>
        <v>2692613</v>
      </c>
      <c r="E1126" s="70"/>
      <c r="F1126" s="70"/>
      <c r="G1126" s="70"/>
      <c r="H1126" s="70"/>
      <c r="I1126" s="54"/>
      <c r="J1126" s="27" t="str">
        <f t="shared" si="50"/>
        <v>Stadtwerke Sulzbach/Saar GmbH</v>
      </c>
    </row>
    <row r="1127" spans="1:10" s="44" customFormat="1" hidden="1" outlineLevel="1">
      <c r="A1127" s="374" t="str">
        <f t="shared" si="49"/>
        <v>SNB943480673763</v>
      </c>
      <c r="B1127" s="492">
        <f>_xlfn.IFNA(VLOOKUP($A1127,'Anlage 1a_Zuschlagszahlungen_NB'!A262:E495,5,FALSE),0)</f>
        <v>910629</v>
      </c>
      <c r="C1127" s="88">
        <f>SUMIFS('Anlage 1c_Korrekturen_NB'!$D$105:$D$295,'Anlage 1c_Korrekturen_NB'!$A$105:$A$295,'Anlage 3a_Zusammenfassung_KWKG'!$A1127)+SUMIFS('Anlage 1c_Korrekturen_NB'!$F$105:$F$295,'Anlage 1c_Korrekturen_NB'!$A$105:$A$295,'Anlage 3a_Zusammenfassung_KWKG'!$A1127)+SUMIFS('Anlage 1c_Korrekturen_NB'!$H$105:$H$295,'Anlage 1c_Korrekturen_NB'!$A$105:$A$295,'Anlage 3a_Zusammenfassung_KWKG'!$A1127)</f>
        <v>259691</v>
      </c>
      <c r="D1127" s="134">
        <f t="shared" si="46"/>
        <v>1170320</v>
      </c>
      <c r="E1127" s="70"/>
      <c r="F1127" s="70"/>
      <c r="G1127" s="70"/>
      <c r="H1127" s="70"/>
      <c r="I1127" s="54"/>
      <c r="J1127" s="27" t="str">
        <f t="shared" si="50"/>
        <v>Stadtwerke Coesfeld GmbH</v>
      </c>
    </row>
    <row r="1128" spans="1:10" s="44" customFormat="1" hidden="1" outlineLevel="1">
      <c r="A1128" s="374" t="str">
        <f t="shared" si="49"/>
        <v>SNB943662886851</v>
      </c>
      <c r="B1128" s="492">
        <f>_xlfn.IFNA(VLOOKUP($A1128,'Anlage 1a_Zuschlagszahlungen_NB'!A263:E496,5,FALSE),0)</f>
        <v>13785253</v>
      </c>
      <c r="C1128" s="88">
        <f>SUMIFS('Anlage 1c_Korrekturen_NB'!$D$105:$D$295,'Anlage 1c_Korrekturen_NB'!$A$105:$A$295,'Anlage 3a_Zusammenfassung_KWKG'!$A1128)+SUMIFS('Anlage 1c_Korrekturen_NB'!$F$105:$F$295,'Anlage 1c_Korrekturen_NB'!$A$105:$A$295,'Anlage 3a_Zusammenfassung_KWKG'!$A1128)+SUMIFS('Anlage 1c_Korrekturen_NB'!$H$105:$H$295,'Anlage 1c_Korrekturen_NB'!$A$105:$A$295,'Anlage 3a_Zusammenfassung_KWKG'!$A1128)</f>
        <v>0</v>
      </c>
      <c r="D1128" s="134">
        <f t="shared" si="46"/>
        <v>13785253</v>
      </c>
      <c r="E1128" s="70"/>
      <c r="F1128" s="70"/>
      <c r="G1128" s="70"/>
      <c r="H1128" s="70"/>
      <c r="I1128" s="54"/>
      <c r="J1128" s="27" t="str">
        <f t="shared" si="50"/>
        <v>SWO Netz GmbH</v>
      </c>
    </row>
    <row r="1129" spans="1:10" s="44" customFormat="1" hidden="1" outlineLevel="1">
      <c r="A1129" s="374" t="str">
        <f t="shared" si="49"/>
        <v>SNB943841101959</v>
      </c>
      <c r="B1129" s="492">
        <f>_xlfn.IFNA(VLOOKUP($A1129,'Anlage 1a_Zuschlagszahlungen_NB'!A264:E497,5,FALSE),0)</f>
        <v>422863</v>
      </c>
      <c r="C1129" s="88">
        <f>SUMIFS('Anlage 1c_Korrekturen_NB'!$D$105:$D$295,'Anlage 1c_Korrekturen_NB'!$A$105:$A$295,'Anlage 3a_Zusammenfassung_KWKG'!$A1129)+SUMIFS('Anlage 1c_Korrekturen_NB'!$F$105:$F$295,'Anlage 1c_Korrekturen_NB'!$A$105:$A$295,'Anlage 3a_Zusammenfassung_KWKG'!$A1129)+SUMIFS('Anlage 1c_Korrekturen_NB'!$H$105:$H$295,'Anlage 1c_Korrekturen_NB'!$A$105:$A$295,'Anlage 3a_Zusammenfassung_KWKG'!$A1129)</f>
        <v>0</v>
      </c>
      <c r="D1129" s="134">
        <f t="shared" si="46"/>
        <v>422863</v>
      </c>
      <c r="E1129" s="70"/>
      <c r="F1129" s="70"/>
      <c r="G1129" s="70"/>
      <c r="H1129" s="70"/>
      <c r="I1129" s="54"/>
      <c r="J1129" s="27" t="str">
        <f t="shared" si="50"/>
        <v>KEW Kommunale Energie- und Wasserversorgung AG</v>
      </c>
    </row>
    <row r="1130" spans="1:10" s="44" customFormat="1" hidden="1" outlineLevel="1">
      <c r="A1130" s="374" t="str">
        <f t="shared" si="49"/>
        <v>SNB944057190867</v>
      </c>
      <c r="B1130" s="492">
        <f>_xlfn.IFNA(VLOOKUP($A1130,'Anlage 1a_Zuschlagszahlungen_NB'!A265:E498,5,FALSE),0)</f>
        <v>134015</v>
      </c>
      <c r="C1130" s="88">
        <f>SUMIFS('Anlage 1c_Korrekturen_NB'!$D$105:$D$295,'Anlage 1c_Korrekturen_NB'!$A$105:$A$295,'Anlage 3a_Zusammenfassung_KWKG'!$A1130)+SUMIFS('Anlage 1c_Korrekturen_NB'!$F$105:$F$295,'Anlage 1c_Korrekturen_NB'!$A$105:$A$295,'Anlage 3a_Zusammenfassung_KWKG'!$A1130)+SUMIFS('Anlage 1c_Korrekturen_NB'!$H$105:$H$295,'Anlage 1c_Korrekturen_NB'!$A$105:$A$295,'Anlage 3a_Zusammenfassung_KWKG'!$A1130)</f>
        <v>0</v>
      </c>
      <c r="D1130" s="134">
        <f t="shared" si="46"/>
        <v>134015</v>
      </c>
      <c r="E1130" s="70"/>
      <c r="F1130" s="70"/>
      <c r="G1130" s="70"/>
      <c r="H1130" s="70"/>
      <c r="I1130" s="54"/>
      <c r="J1130" s="27" t="str">
        <f t="shared" si="50"/>
        <v>BEW Netze GmbH</v>
      </c>
    </row>
    <row r="1131" spans="1:10" s="44" customFormat="1" hidden="1" outlineLevel="1">
      <c r="A1131" s="374" t="str">
        <f t="shared" si="49"/>
        <v>SNB944150243392</v>
      </c>
      <c r="B1131" s="492">
        <f>_xlfn.IFNA(VLOOKUP($A1131,'Anlage 1a_Zuschlagszahlungen_NB'!A266:E499,5,FALSE),0)</f>
        <v>374183</v>
      </c>
      <c r="C1131" s="88">
        <f>SUMIFS('Anlage 1c_Korrekturen_NB'!$D$105:$D$295,'Anlage 1c_Korrekturen_NB'!$A$105:$A$295,'Anlage 3a_Zusammenfassung_KWKG'!$A1131)+SUMIFS('Anlage 1c_Korrekturen_NB'!$F$105:$F$295,'Anlage 1c_Korrekturen_NB'!$A$105:$A$295,'Anlage 3a_Zusammenfassung_KWKG'!$A1131)+SUMIFS('Anlage 1c_Korrekturen_NB'!$H$105:$H$295,'Anlage 1c_Korrekturen_NB'!$A$105:$A$295,'Anlage 3a_Zusammenfassung_KWKG'!$A1131)</f>
        <v>0</v>
      </c>
      <c r="D1131" s="134">
        <f t="shared" si="46"/>
        <v>374183</v>
      </c>
      <c r="E1131" s="70"/>
      <c r="F1131" s="70"/>
      <c r="G1131" s="70"/>
      <c r="H1131" s="70"/>
      <c r="I1131" s="54"/>
      <c r="J1131" s="27" t="str">
        <f t="shared" si="50"/>
        <v>Stadtwerke Unna GmbH</v>
      </c>
    </row>
    <row r="1132" spans="1:10" s="44" customFormat="1" hidden="1" outlineLevel="1">
      <c r="A1132" s="374" t="str">
        <f t="shared" si="49"/>
        <v>SNB944294076061</v>
      </c>
      <c r="B1132" s="492">
        <f>_xlfn.IFNA(VLOOKUP($A1132,'Anlage 1a_Zuschlagszahlungen_NB'!A267:E500,5,FALSE),0)</f>
        <v>925983</v>
      </c>
      <c r="C1132" s="88">
        <f>SUMIFS('Anlage 1c_Korrekturen_NB'!$D$105:$D$295,'Anlage 1c_Korrekturen_NB'!$A$105:$A$295,'Anlage 3a_Zusammenfassung_KWKG'!$A1132)+SUMIFS('Anlage 1c_Korrekturen_NB'!$F$105:$F$295,'Anlage 1c_Korrekturen_NB'!$A$105:$A$295,'Anlage 3a_Zusammenfassung_KWKG'!$A1132)+SUMIFS('Anlage 1c_Korrekturen_NB'!$H$105:$H$295,'Anlage 1c_Korrekturen_NB'!$A$105:$A$295,'Anlage 3a_Zusammenfassung_KWKG'!$A1132)</f>
        <v>0</v>
      </c>
      <c r="D1132" s="134">
        <f t="shared" si="46"/>
        <v>925983</v>
      </c>
      <c r="E1132" s="70"/>
      <c r="F1132" s="70"/>
      <c r="G1132" s="70"/>
      <c r="H1132" s="70"/>
      <c r="I1132" s="54"/>
      <c r="J1132" s="27" t="str">
        <f t="shared" si="50"/>
        <v>Stadtwerke Schüttorf-Emsbüren GmbH</v>
      </c>
    </row>
    <row r="1133" spans="1:10" s="44" customFormat="1" hidden="1" outlineLevel="1">
      <c r="A1133" s="374" t="str">
        <f t="shared" si="49"/>
        <v>SNB945021456095</v>
      </c>
      <c r="B1133" s="492">
        <f>_xlfn.IFNA(VLOOKUP($A1133,'Anlage 1a_Zuschlagszahlungen_NB'!A268:E501,5,FALSE),0)</f>
        <v>1215369</v>
      </c>
      <c r="C1133" s="88">
        <f>SUMIFS('Anlage 1c_Korrekturen_NB'!$D$105:$D$295,'Anlage 1c_Korrekturen_NB'!$A$105:$A$295,'Anlage 3a_Zusammenfassung_KWKG'!$A1133)+SUMIFS('Anlage 1c_Korrekturen_NB'!$F$105:$F$295,'Anlage 1c_Korrekturen_NB'!$A$105:$A$295,'Anlage 3a_Zusammenfassung_KWKG'!$A1133)+SUMIFS('Anlage 1c_Korrekturen_NB'!$H$105:$H$295,'Anlage 1c_Korrekturen_NB'!$A$105:$A$295,'Anlage 3a_Zusammenfassung_KWKG'!$A1133)</f>
        <v>0</v>
      </c>
      <c r="D1133" s="134">
        <f t="shared" si="46"/>
        <v>1215369</v>
      </c>
      <c r="E1133" s="70"/>
      <c r="F1133" s="70"/>
      <c r="G1133" s="70"/>
      <c r="H1133" s="70"/>
      <c r="I1133" s="54"/>
      <c r="J1133" s="27" t="str">
        <f t="shared" si="50"/>
        <v>Stadtwerke Kusel GmbH</v>
      </c>
    </row>
    <row r="1134" spans="1:10" s="44" customFormat="1" hidden="1" outlineLevel="1">
      <c r="A1134" s="374" t="str">
        <f t="shared" si="49"/>
        <v>SNB945413736880</v>
      </c>
      <c r="B1134" s="492">
        <f>_xlfn.IFNA(VLOOKUP($A1134,'Anlage 1a_Zuschlagszahlungen_NB'!A269:E502,5,FALSE),0)</f>
        <v>591030</v>
      </c>
      <c r="C1134" s="88">
        <f>SUMIFS('Anlage 1c_Korrekturen_NB'!$D$105:$D$295,'Anlage 1c_Korrekturen_NB'!$A$105:$A$295,'Anlage 3a_Zusammenfassung_KWKG'!$A1134)+SUMIFS('Anlage 1c_Korrekturen_NB'!$F$105:$F$295,'Anlage 1c_Korrekturen_NB'!$A$105:$A$295,'Anlage 3a_Zusammenfassung_KWKG'!$A1134)+SUMIFS('Anlage 1c_Korrekturen_NB'!$H$105:$H$295,'Anlage 1c_Korrekturen_NB'!$A$105:$A$295,'Anlage 3a_Zusammenfassung_KWKG'!$A1134)</f>
        <v>0</v>
      </c>
      <c r="D1134" s="134">
        <f t="shared" si="46"/>
        <v>591030</v>
      </c>
      <c r="E1134" s="70"/>
      <c r="F1134" s="70"/>
      <c r="G1134" s="70"/>
      <c r="H1134" s="70"/>
      <c r="I1134" s="54"/>
      <c r="J1134" s="27" t="str">
        <f t="shared" si="50"/>
        <v>Stadtwerke Völklingen Netz GmbH</v>
      </c>
    </row>
    <row r="1135" spans="1:10" s="44" customFormat="1" hidden="1" outlineLevel="1">
      <c r="A1135" s="374" t="str">
        <f t="shared" si="49"/>
        <v>SNB945532057606</v>
      </c>
      <c r="B1135" s="492">
        <f>_xlfn.IFNA(VLOOKUP($A1135,'Anlage 1a_Zuschlagszahlungen_NB'!A270:E503,5,FALSE),0)</f>
        <v>2849873</v>
      </c>
      <c r="C1135" s="88">
        <f>SUMIFS('Anlage 1c_Korrekturen_NB'!$D$105:$D$295,'Anlage 1c_Korrekturen_NB'!$A$105:$A$295,'Anlage 3a_Zusammenfassung_KWKG'!$A1135)+SUMIFS('Anlage 1c_Korrekturen_NB'!$F$105:$F$295,'Anlage 1c_Korrekturen_NB'!$A$105:$A$295,'Anlage 3a_Zusammenfassung_KWKG'!$A1135)+SUMIFS('Anlage 1c_Korrekturen_NB'!$H$105:$H$295,'Anlage 1c_Korrekturen_NB'!$A$105:$A$295,'Anlage 3a_Zusammenfassung_KWKG'!$A1135)</f>
        <v>1790015</v>
      </c>
      <c r="D1135" s="134">
        <f t="shared" si="46"/>
        <v>4639888</v>
      </c>
      <c r="E1135" s="70"/>
      <c r="F1135" s="70"/>
      <c r="G1135" s="70"/>
      <c r="H1135" s="70"/>
      <c r="I1135" s="54"/>
      <c r="J1135" s="27" t="str">
        <f t="shared" si="50"/>
        <v>nvb Nordhorner Versorgungsbetriebe GmbH</v>
      </c>
    </row>
    <row r="1136" spans="1:10" s="44" customFormat="1" hidden="1" outlineLevel="1">
      <c r="A1136" s="374" t="str">
        <f t="shared" si="49"/>
        <v>SNB945750197795</v>
      </c>
      <c r="B1136" s="492">
        <f>_xlfn.IFNA(VLOOKUP($A1136,'Anlage 1a_Zuschlagszahlungen_NB'!A271:E504,5,FALSE),0)</f>
        <v>0</v>
      </c>
      <c r="C1136" s="88">
        <f>SUMIFS('Anlage 1c_Korrekturen_NB'!$D$105:$D$295,'Anlage 1c_Korrekturen_NB'!$A$105:$A$295,'Anlage 3a_Zusammenfassung_KWKG'!$A1136)+SUMIFS('Anlage 1c_Korrekturen_NB'!$F$105:$F$295,'Anlage 1c_Korrekturen_NB'!$A$105:$A$295,'Anlage 3a_Zusammenfassung_KWKG'!$A1136)+SUMIFS('Anlage 1c_Korrekturen_NB'!$H$105:$H$295,'Anlage 1c_Korrekturen_NB'!$A$105:$A$295,'Anlage 3a_Zusammenfassung_KWKG'!$A1136)</f>
        <v>0</v>
      </c>
      <c r="D1136" s="134">
        <f t="shared" si="46"/>
        <v>0</v>
      </c>
      <c r="E1136" s="70"/>
      <c r="F1136" s="70"/>
      <c r="G1136" s="70"/>
      <c r="H1136" s="70"/>
      <c r="I1136" s="54"/>
      <c r="J1136" s="27" t="str">
        <f t="shared" si="50"/>
        <v>EVU Weilerbach</v>
      </c>
    </row>
    <row r="1137" spans="1:10" s="44" customFormat="1" hidden="1" outlineLevel="1">
      <c r="A1137" s="374" t="str">
        <f t="shared" si="49"/>
        <v>SNB947698671429</v>
      </c>
      <c r="B1137" s="492">
        <f>_xlfn.IFNA(VLOOKUP($A1137,'Anlage 1a_Zuschlagszahlungen_NB'!A272:E505,5,FALSE),0)</f>
        <v>1243431</v>
      </c>
      <c r="C1137" s="88">
        <f>SUMIFS('Anlage 1c_Korrekturen_NB'!$D$105:$D$295,'Anlage 1c_Korrekturen_NB'!$A$105:$A$295,'Anlage 3a_Zusammenfassung_KWKG'!$A1137)+SUMIFS('Anlage 1c_Korrekturen_NB'!$F$105:$F$295,'Anlage 1c_Korrekturen_NB'!$A$105:$A$295,'Anlage 3a_Zusammenfassung_KWKG'!$A1137)+SUMIFS('Anlage 1c_Korrekturen_NB'!$H$105:$H$295,'Anlage 1c_Korrekturen_NB'!$A$105:$A$295,'Anlage 3a_Zusammenfassung_KWKG'!$A1137)</f>
        <v>-30155</v>
      </c>
      <c r="D1137" s="134">
        <f t="shared" si="46"/>
        <v>1213276</v>
      </c>
      <c r="E1137" s="70"/>
      <c r="F1137" s="70"/>
      <c r="G1137" s="70"/>
      <c r="H1137" s="70"/>
      <c r="I1137" s="54"/>
      <c r="J1137" s="27" t="str">
        <f t="shared" si="50"/>
        <v>Stadtwerke Dreieich GmbH</v>
      </c>
    </row>
    <row r="1138" spans="1:10" s="44" customFormat="1" hidden="1" outlineLevel="1">
      <c r="A1138" s="374" t="str">
        <f t="shared" si="49"/>
        <v>SNB948311994307</v>
      </c>
      <c r="B1138" s="492">
        <f>_xlfn.IFNA(VLOOKUP($A1138,'Anlage 1a_Zuschlagszahlungen_NB'!A273:E506,5,FALSE),0)</f>
        <v>0</v>
      </c>
      <c r="C1138" s="88">
        <f>SUMIFS('Anlage 1c_Korrekturen_NB'!$D$105:$D$295,'Anlage 1c_Korrekturen_NB'!$A$105:$A$295,'Anlage 3a_Zusammenfassung_KWKG'!$A1138)+SUMIFS('Anlage 1c_Korrekturen_NB'!$F$105:$F$295,'Anlage 1c_Korrekturen_NB'!$A$105:$A$295,'Anlage 3a_Zusammenfassung_KWKG'!$A1138)+SUMIFS('Anlage 1c_Korrekturen_NB'!$H$105:$H$295,'Anlage 1c_Korrekturen_NB'!$A$105:$A$295,'Anlage 3a_Zusammenfassung_KWKG'!$A1138)</f>
        <v>0</v>
      </c>
      <c r="D1138" s="134">
        <f t="shared" si="46"/>
        <v>0</v>
      </c>
      <c r="E1138" s="70"/>
      <c r="F1138" s="70"/>
      <c r="G1138" s="70"/>
      <c r="H1138" s="70"/>
      <c r="I1138" s="54"/>
      <c r="J1138" s="27" t="str">
        <f t="shared" si="50"/>
        <v>Netze BW GmbH</v>
      </c>
    </row>
    <row r="1139" spans="1:10" s="44" customFormat="1" hidden="1" outlineLevel="1">
      <c r="A1139" s="374" t="str">
        <f t="shared" si="49"/>
        <v>SNB948485211972</v>
      </c>
      <c r="B1139" s="492">
        <f>_xlfn.IFNA(VLOOKUP($A1139,'Anlage 1a_Zuschlagszahlungen_NB'!A274:E507,5,FALSE),0)</f>
        <v>0</v>
      </c>
      <c r="C1139" s="88">
        <f>SUMIFS('Anlage 1c_Korrekturen_NB'!$D$105:$D$295,'Anlage 1c_Korrekturen_NB'!$A$105:$A$295,'Anlage 3a_Zusammenfassung_KWKG'!$A1139)+SUMIFS('Anlage 1c_Korrekturen_NB'!$F$105:$F$295,'Anlage 1c_Korrekturen_NB'!$A$105:$A$295,'Anlage 3a_Zusammenfassung_KWKG'!$A1139)+SUMIFS('Anlage 1c_Korrekturen_NB'!$H$105:$H$295,'Anlage 1c_Korrekturen_NB'!$A$105:$A$295,'Anlage 3a_Zusammenfassung_KWKG'!$A1139)</f>
        <v>0</v>
      </c>
      <c r="D1139" s="134">
        <f t="shared" ref="D1139:D1202" si="51">B1139+C1139</f>
        <v>0</v>
      </c>
      <c r="E1139" s="70"/>
      <c r="F1139" s="70"/>
      <c r="G1139" s="70"/>
      <c r="H1139" s="70"/>
      <c r="I1139" s="54"/>
      <c r="J1139" s="27" t="str">
        <f t="shared" si="50"/>
        <v>YNCORIS GmbH &amp; Co. KG</v>
      </c>
    </row>
    <row r="1140" spans="1:10" s="44" customFormat="1" hidden="1" outlineLevel="1">
      <c r="A1140" s="374" t="str">
        <f t="shared" si="49"/>
        <v>SNB948741734467</v>
      </c>
      <c r="B1140" s="492">
        <f>_xlfn.IFNA(VLOOKUP($A1140,'Anlage 1a_Zuschlagszahlungen_NB'!A275:E508,5,FALSE),0)</f>
        <v>729485</v>
      </c>
      <c r="C1140" s="88">
        <f>SUMIFS('Anlage 1c_Korrekturen_NB'!$D$105:$D$295,'Anlage 1c_Korrekturen_NB'!$A$105:$A$295,'Anlage 3a_Zusammenfassung_KWKG'!$A1140)+SUMIFS('Anlage 1c_Korrekturen_NB'!$F$105:$F$295,'Anlage 1c_Korrekturen_NB'!$A$105:$A$295,'Anlage 3a_Zusammenfassung_KWKG'!$A1140)+SUMIFS('Anlage 1c_Korrekturen_NB'!$H$105:$H$295,'Anlage 1c_Korrekturen_NB'!$A$105:$A$295,'Anlage 3a_Zusammenfassung_KWKG'!$A1140)</f>
        <v>0</v>
      </c>
      <c r="D1140" s="134">
        <f t="shared" si="51"/>
        <v>729485</v>
      </c>
      <c r="E1140" s="70"/>
      <c r="F1140" s="70"/>
      <c r="G1140" s="70"/>
      <c r="H1140" s="70"/>
      <c r="I1140" s="54"/>
      <c r="J1140" s="27" t="str">
        <f t="shared" si="50"/>
        <v>Stadtwerke Bad Wörishofen</v>
      </c>
    </row>
    <row r="1141" spans="1:10" s="44" customFormat="1" hidden="1" outlineLevel="1">
      <c r="A1141" s="374" t="str">
        <f t="shared" si="49"/>
        <v>SNB950006175489</v>
      </c>
      <c r="B1141" s="492">
        <f>_xlfn.IFNA(VLOOKUP($A1141,'Anlage 1a_Zuschlagszahlungen_NB'!A276:E509,5,FALSE),0)</f>
        <v>2334899</v>
      </c>
      <c r="C1141" s="88">
        <f>SUMIFS('Anlage 1c_Korrekturen_NB'!$D$105:$D$295,'Anlage 1c_Korrekturen_NB'!$A$105:$A$295,'Anlage 3a_Zusammenfassung_KWKG'!$A1141)+SUMIFS('Anlage 1c_Korrekturen_NB'!$F$105:$F$295,'Anlage 1c_Korrekturen_NB'!$A$105:$A$295,'Anlage 3a_Zusammenfassung_KWKG'!$A1141)+SUMIFS('Anlage 1c_Korrekturen_NB'!$H$105:$H$295,'Anlage 1c_Korrekturen_NB'!$A$105:$A$295,'Anlage 3a_Zusammenfassung_KWKG'!$A1141)</f>
        <v>0</v>
      </c>
      <c r="D1141" s="134">
        <f t="shared" si="51"/>
        <v>2334899</v>
      </c>
      <c r="E1141" s="70"/>
      <c r="F1141" s="70"/>
      <c r="G1141" s="70"/>
      <c r="H1141" s="70"/>
      <c r="I1141" s="54"/>
      <c r="J1141" s="27" t="str">
        <f t="shared" si="50"/>
        <v>SWTE Netz GmbH &amp; Co. KG</v>
      </c>
    </row>
    <row r="1142" spans="1:10" s="44" customFormat="1" hidden="1" outlineLevel="1">
      <c r="A1142" s="374" t="str">
        <f t="shared" si="49"/>
        <v>SNB950584553167</v>
      </c>
      <c r="B1142" s="492">
        <f>_xlfn.IFNA(VLOOKUP($A1142,'Anlage 1a_Zuschlagszahlungen_NB'!A277:E510,5,FALSE),0)</f>
        <v>4842673</v>
      </c>
      <c r="C1142" s="88">
        <f>SUMIFS('Anlage 1c_Korrekturen_NB'!$D$105:$D$295,'Anlage 1c_Korrekturen_NB'!$A$105:$A$295,'Anlage 3a_Zusammenfassung_KWKG'!$A1142)+SUMIFS('Anlage 1c_Korrekturen_NB'!$F$105:$F$295,'Anlage 1c_Korrekturen_NB'!$A$105:$A$295,'Anlage 3a_Zusammenfassung_KWKG'!$A1142)+SUMIFS('Anlage 1c_Korrekturen_NB'!$H$105:$H$295,'Anlage 1c_Korrekturen_NB'!$A$105:$A$295,'Anlage 3a_Zusammenfassung_KWKG'!$A1142)</f>
        <v>3597367</v>
      </c>
      <c r="D1142" s="134">
        <f t="shared" si="51"/>
        <v>8440040</v>
      </c>
      <c r="E1142" s="70"/>
      <c r="F1142" s="70"/>
      <c r="G1142" s="70"/>
      <c r="H1142" s="70"/>
      <c r="I1142" s="54"/>
      <c r="J1142" s="27" t="str">
        <f t="shared" si="50"/>
        <v>Stadtwerke Wiesbaden Netz GmbH</v>
      </c>
    </row>
    <row r="1143" spans="1:10" s="44" customFormat="1" hidden="1" outlineLevel="1">
      <c r="A1143" s="374" t="str">
        <f t="shared" si="49"/>
        <v>SNB950724684287</v>
      </c>
      <c r="B1143" s="492">
        <f>_xlfn.IFNA(VLOOKUP($A1143,'Anlage 1a_Zuschlagszahlungen_NB'!A278:E511,5,FALSE),0)</f>
        <v>74921</v>
      </c>
      <c r="C1143" s="88">
        <f>SUMIFS('Anlage 1c_Korrekturen_NB'!$D$105:$D$295,'Anlage 1c_Korrekturen_NB'!$A$105:$A$295,'Anlage 3a_Zusammenfassung_KWKG'!$A1143)+SUMIFS('Anlage 1c_Korrekturen_NB'!$F$105:$F$295,'Anlage 1c_Korrekturen_NB'!$A$105:$A$295,'Anlage 3a_Zusammenfassung_KWKG'!$A1143)+SUMIFS('Anlage 1c_Korrekturen_NB'!$H$105:$H$295,'Anlage 1c_Korrekturen_NB'!$A$105:$A$295,'Anlage 3a_Zusammenfassung_KWKG'!$A1143)</f>
        <v>0</v>
      </c>
      <c r="D1143" s="134">
        <f t="shared" si="51"/>
        <v>74921</v>
      </c>
      <c r="E1143" s="70"/>
      <c r="F1143" s="70"/>
      <c r="G1143" s="70"/>
      <c r="H1143" s="70"/>
      <c r="I1143" s="54"/>
      <c r="J1143" s="27" t="str">
        <f t="shared" si="50"/>
        <v>Gemeindewerke Dudenhofen</v>
      </c>
    </row>
    <row r="1144" spans="1:10" s="44" customFormat="1" hidden="1" outlineLevel="1">
      <c r="A1144" s="374" t="str">
        <f t="shared" si="49"/>
        <v>SNB950829478767</v>
      </c>
      <c r="B1144" s="492">
        <f>_xlfn.IFNA(VLOOKUP($A1144,'Anlage 1a_Zuschlagszahlungen_NB'!A279:E512,5,FALSE),0)</f>
        <v>0</v>
      </c>
      <c r="C1144" s="88">
        <f>SUMIFS('Anlage 1c_Korrekturen_NB'!$D$105:$D$295,'Anlage 1c_Korrekturen_NB'!$A$105:$A$295,'Anlage 3a_Zusammenfassung_KWKG'!$A1144)+SUMIFS('Anlage 1c_Korrekturen_NB'!$F$105:$F$295,'Anlage 1c_Korrekturen_NB'!$A$105:$A$295,'Anlage 3a_Zusammenfassung_KWKG'!$A1144)+SUMIFS('Anlage 1c_Korrekturen_NB'!$H$105:$H$295,'Anlage 1c_Korrekturen_NB'!$A$105:$A$295,'Anlage 3a_Zusammenfassung_KWKG'!$A1144)</f>
        <v>0</v>
      </c>
      <c r="D1144" s="134">
        <f t="shared" si="51"/>
        <v>0</v>
      </c>
      <c r="E1144" s="70"/>
      <c r="F1144" s="70"/>
      <c r="G1144" s="70"/>
      <c r="H1144" s="70"/>
      <c r="I1144" s="54"/>
      <c r="J1144" s="27" t="str">
        <f t="shared" si="50"/>
        <v>TCA Sustainable Energy Solutions GmbH</v>
      </c>
    </row>
    <row r="1145" spans="1:10" s="44" customFormat="1" hidden="1" outlineLevel="1">
      <c r="A1145" s="374" t="str">
        <f t="shared" si="49"/>
        <v>SNB951760950909</v>
      </c>
      <c r="B1145" s="492">
        <f>_xlfn.IFNA(VLOOKUP($A1145,'Anlage 1a_Zuschlagszahlungen_NB'!A280:E513,5,FALSE),0)</f>
        <v>315144</v>
      </c>
      <c r="C1145" s="88">
        <f>SUMIFS('Anlage 1c_Korrekturen_NB'!$D$105:$D$295,'Anlage 1c_Korrekturen_NB'!$A$105:$A$295,'Anlage 3a_Zusammenfassung_KWKG'!$A1145)+SUMIFS('Anlage 1c_Korrekturen_NB'!$F$105:$F$295,'Anlage 1c_Korrekturen_NB'!$A$105:$A$295,'Anlage 3a_Zusammenfassung_KWKG'!$A1145)+SUMIFS('Anlage 1c_Korrekturen_NB'!$H$105:$H$295,'Anlage 1c_Korrekturen_NB'!$A$105:$A$295,'Anlage 3a_Zusammenfassung_KWKG'!$A1145)</f>
        <v>0</v>
      </c>
      <c r="D1145" s="134">
        <f t="shared" si="51"/>
        <v>315144</v>
      </c>
      <c r="E1145" s="70"/>
      <c r="F1145" s="70"/>
      <c r="G1145" s="70"/>
      <c r="H1145" s="70"/>
      <c r="I1145" s="54"/>
      <c r="J1145" s="27" t="str">
        <f t="shared" si="50"/>
        <v>KEEP - Kommunale Eisenberger Energiepartner GmbH</v>
      </c>
    </row>
    <row r="1146" spans="1:10" s="44" customFormat="1" hidden="1" outlineLevel="1">
      <c r="A1146" s="374" t="str">
        <f t="shared" si="49"/>
        <v>SNB953661539375</v>
      </c>
      <c r="B1146" s="492">
        <f>_xlfn.IFNA(VLOOKUP($A1146,'Anlage 1a_Zuschlagszahlungen_NB'!A281:E514,5,FALSE),0)</f>
        <v>13100489</v>
      </c>
      <c r="C1146" s="88">
        <f>SUMIFS('Anlage 1c_Korrekturen_NB'!$D$105:$D$295,'Anlage 1c_Korrekturen_NB'!$A$105:$A$295,'Anlage 3a_Zusammenfassung_KWKG'!$A1146)+SUMIFS('Anlage 1c_Korrekturen_NB'!$F$105:$F$295,'Anlage 1c_Korrekturen_NB'!$A$105:$A$295,'Anlage 3a_Zusammenfassung_KWKG'!$A1146)+SUMIFS('Anlage 1c_Korrekturen_NB'!$H$105:$H$295,'Anlage 1c_Korrekturen_NB'!$A$105:$A$295,'Anlage 3a_Zusammenfassung_KWKG'!$A1146)</f>
        <v>91142</v>
      </c>
      <c r="D1146" s="134">
        <f t="shared" si="51"/>
        <v>13191631</v>
      </c>
      <c r="E1146" s="70"/>
      <c r="F1146" s="70"/>
      <c r="G1146" s="70"/>
      <c r="H1146" s="70"/>
      <c r="I1146" s="54"/>
      <c r="J1146" s="27" t="str">
        <f t="shared" si="50"/>
        <v>Stadtwerke Ratingen GmbH</v>
      </c>
    </row>
    <row r="1147" spans="1:10" s="44" customFormat="1" hidden="1" outlineLevel="1">
      <c r="A1147" s="374" t="str">
        <f t="shared" si="49"/>
        <v>SNB954537392643</v>
      </c>
      <c r="B1147" s="492">
        <f>_xlfn.IFNA(VLOOKUP($A1147,'Anlage 1a_Zuschlagszahlungen_NB'!A282:E515,5,FALSE),0)</f>
        <v>453289</v>
      </c>
      <c r="C1147" s="88">
        <f>SUMIFS('Anlage 1c_Korrekturen_NB'!$D$105:$D$295,'Anlage 1c_Korrekturen_NB'!$A$105:$A$295,'Anlage 3a_Zusammenfassung_KWKG'!$A1147)+SUMIFS('Anlage 1c_Korrekturen_NB'!$F$105:$F$295,'Anlage 1c_Korrekturen_NB'!$A$105:$A$295,'Anlage 3a_Zusammenfassung_KWKG'!$A1147)+SUMIFS('Anlage 1c_Korrekturen_NB'!$H$105:$H$295,'Anlage 1c_Korrekturen_NB'!$A$105:$A$295,'Anlage 3a_Zusammenfassung_KWKG'!$A1147)</f>
        <v>500672</v>
      </c>
      <c r="D1147" s="134">
        <f t="shared" si="51"/>
        <v>953961</v>
      </c>
      <c r="E1147" s="70"/>
      <c r="F1147" s="70"/>
      <c r="G1147" s="70"/>
      <c r="H1147" s="70"/>
      <c r="I1147" s="54"/>
      <c r="J1147" s="27" t="str">
        <f t="shared" si="50"/>
        <v>Stadtwerke Homburg GmbH</v>
      </c>
    </row>
    <row r="1148" spans="1:10" s="44" customFormat="1" hidden="1" outlineLevel="1">
      <c r="A1148" s="374" t="str">
        <f t="shared" si="49"/>
        <v>SNB955001358523</v>
      </c>
      <c r="B1148" s="492">
        <f>_xlfn.IFNA(VLOOKUP($A1148,'Anlage 1a_Zuschlagszahlungen_NB'!A283:E516,5,FALSE),0)</f>
        <v>2488377</v>
      </c>
      <c r="C1148" s="88">
        <f>SUMIFS('Anlage 1c_Korrekturen_NB'!$D$105:$D$295,'Anlage 1c_Korrekturen_NB'!$A$105:$A$295,'Anlage 3a_Zusammenfassung_KWKG'!$A1148)+SUMIFS('Anlage 1c_Korrekturen_NB'!$F$105:$F$295,'Anlage 1c_Korrekturen_NB'!$A$105:$A$295,'Anlage 3a_Zusammenfassung_KWKG'!$A1148)+SUMIFS('Anlage 1c_Korrekturen_NB'!$H$105:$H$295,'Anlage 1c_Korrekturen_NB'!$A$105:$A$295,'Anlage 3a_Zusammenfassung_KWKG'!$A1148)</f>
        <v>0</v>
      </c>
      <c r="D1148" s="134">
        <f t="shared" si="51"/>
        <v>2488377</v>
      </c>
      <c r="E1148" s="70"/>
      <c r="F1148" s="70"/>
      <c r="G1148" s="70"/>
      <c r="H1148" s="70"/>
      <c r="I1148" s="54"/>
      <c r="J1148" s="27" t="str">
        <f t="shared" si="50"/>
        <v>Stadtwerke Pirmasens Versorgungs GmbH</v>
      </c>
    </row>
    <row r="1149" spans="1:10" s="44" customFormat="1" hidden="1" outlineLevel="1">
      <c r="A1149" s="374" t="str">
        <f t="shared" si="49"/>
        <v>SNB955266506998</v>
      </c>
      <c r="B1149" s="492">
        <f>_xlfn.IFNA(VLOOKUP($A1149,'Anlage 1a_Zuschlagszahlungen_NB'!A284:E517,5,FALSE),0)</f>
        <v>485203</v>
      </c>
      <c r="C1149" s="88">
        <f>SUMIFS('Anlage 1c_Korrekturen_NB'!$D$105:$D$295,'Anlage 1c_Korrekturen_NB'!$A$105:$A$295,'Anlage 3a_Zusammenfassung_KWKG'!$A1149)+SUMIFS('Anlage 1c_Korrekturen_NB'!$F$105:$F$295,'Anlage 1c_Korrekturen_NB'!$A$105:$A$295,'Anlage 3a_Zusammenfassung_KWKG'!$A1149)+SUMIFS('Anlage 1c_Korrekturen_NB'!$H$105:$H$295,'Anlage 1c_Korrekturen_NB'!$A$105:$A$295,'Anlage 3a_Zusammenfassung_KWKG'!$A1149)</f>
        <v>0</v>
      </c>
      <c r="D1149" s="134">
        <f t="shared" si="51"/>
        <v>485203</v>
      </c>
      <c r="E1149" s="70"/>
      <c r="F1149" s="70"/>
      <c r="G1149" s="70"/>
      <c r="H1149" s="70"/>
      <c r="I1149" s="54"/>
      <c r="J1149" s="27" t="str">
        <f t="shared" si="50"/>
        <v>Stadtwerke Bramsche GmbH</v>
      </c>
    </row>
    <row r="1150" spans="1:10" s="44" customFormat="1" hidden="1" outlineLevel="1">
      <c r="A1150" s="374" t="str">
        <f t="shared" si="49"/>
        <v>SNB955586052717</v>
      </c>
      <c r="B1150" s="492">
        <f>_xlfn.IFNA(VLOOKUP($A1150,'Anlage 1a_Zuschlagszahlungen_NB'!A285:E518,5,FALSE),0)</f>
        <v>367816</v>
      </c>
      <c r="C1150" s="88">
        <f>SUMIFS('Anlage 1c_Korrekturen_NB'!$D$105:$D$295,'Anlage 1c_Korrekturen_NB'!$A$105:$A$295,'Anlage 3a_Zusammenfassung_KWKG'!$A1150)+SUMIFS('Anlage 1c_Korrekturen_NB'!$F$105:$F$295,'Anlage 1c_Korrekturen_NB'!$A$105:$A$295,'Anlage 3a_Zusammenfassung_KWKG'!$A1150)+SUMIFS('Anlage 1c_Korrekturen_NB'!$H$105:$H$295,'Anlage 1c_Korrekturen_NB'!$A$105:$A$295,'Anlage 3a_Zusammenfassung_KWKG'!$A1150)</f>
        <v>0</v>
      </c>
      <c r="D1150" s="134">
        <f t="shared" si="51"/>
        <v>367816</v>
      </c>
      <c r="E1150" s="70"/>
      <c r="F1150" s="70"/>
      <c r="G1150" s="70"/>
      <c r="H1150" s="70"/>
      <c r="I1150" s="54"/>
      <c r="J1150" s="27" t="str">
        <f t="shared" si="50"/>
        <v>Stadtwerke Bexbach GmbH</v>
      </c>
    </row>
    <row r="1151" spans="1:10" s="44" customFormat="1" hidden="1" outlineLevel="1">
      <c r="A1151" s="374" t="str">
        <f t="shared" si="49"/>
        <v>SNB956923775696</v>
      </c>
      <c r="B1151" s="492">
        <f>_xlfn.IFNA(VLOOKUP($A1151,'Anlage 1a_Zuschlagszahlungen_NB'!A286:E519,5,FALSE),0)</f>
        <v>1040210007</v>
      </c>
      <c r="C1151" s="88">
        <f>SUMIFS('Anlage 1c_Korrekturen_NB'!$D$105:$D$295,'Anlage 1c_Korrekturen_NB'!$A$105:$A$295,'Anlage 3a_Zusammenfassung_KWKG'!$A1151)+SUMIFS('Anlage 1c_Korrekturen_NB'!$F$105:$F$295,'Anlage 1c_Korrekturen_NB'!$A$105:$A$295,'Anlage 3a_Zusammenfassung_KWKG'!$A1151)+SUMIFS('Anlage 1c_Korrekturen_NB'!$H$105:$H$295,'Anlage 1c_Korrekturen_NB'!$A$105:$A$295,'Anlage 3a_Zusammenfassung_KWKG'!$A1151)</f>
        <v>0</v>
      </c>
      <c r="D1151" s="134">
        <f t="shared" si="51"/>
        <v>1040210007</v>
      </c>
      <c r="E1151" s="70"/>
      <c r="F1151" s="70"/>
      <c r="G1151" s="70"/>
      <c r="H1151" s="70"/>
      <c r="I1151" s="54"/>
      <c r="J1151" s="27" t="str">
        <f t="shared" si="50"/>
        <v>CPM Netz GmbH</v>
      </c>
    </row>
    <row r="1152" spans="1:10" s="44" customFormat="1" hidden="1" outlineLevel="1">
      <c r="A1152" s="374" t="str">
        <f t="shared" si="49"/>
        <v>SNB956958990736</v>
      </c>
      <c r="B1152" s="492">
        <f>_xlfn.IFNA(VLOOKUP($A1152,'Anlage 1a_Zuschlagszahlungen_NB'!A287:E520,5,FALSE),0)</f>
        <v>14935975</v>
      </c>
      <c r="C1152" s="88">
        <f>SUMIFS('Anlage 1c_Korrekturen_NB'!$D$105:$D$295,'Anlage 1c_Korrekturen_NB'!$A$105:$A$295,'Anlage 3a_Zusammenfassung_KWKG'!$A1152)+SUMIFS('Anlage 1c_Korrekturen_NB'!$F$105:$F$295,'Anlage 1c_Korrekturen_NB'!$A$105:$A$295,'Anlage 3a_Zusammenfassung_KWKG'!$A1152)+SUMIFS('Anlage 1c_Korrekturen_NB'!$H$105:$H$295,'Anlage 1c_Korrekturen_NB'!$A$105:$A$295,'Anlage 3a_Zusammenfassung_KWKG'!$A1152)</f>
        <v>4630892</v>
      </c>
      <c r="D1152" s="134">
        <f t="shared" si="51"/>
        <v>19566867</v>
      </c>
      <c r="E1152" s="70"/>
      <c r="F1152" s="70"/>
      <c r="G1152" s="70"/>
      <c r="H1152" s="70"/>
      <c r="I1152" s="54"/>
      <c r="J1152" s="27" t="str">
        <f t="shared" si="50"/>
        <v>e-netz Südhessen AG</v>
      </c>
    </row>
    <row r="1153" spans="1:10" s="44" customFormat="1" hidden="1" outlineLevel="1">
      <c r="A1153" s="374" t="str">
        <f t="shared" si="49"/>
        <v>SNB956986612075</v>
      </c>
      <c r="B1153" s="492">
        <f>_xlfn.IFNA(VLOOKUP($A1153,'Anlage 1a_Zuschlagszahlungen_NB'!A288:E521,5,FALSE),0)</f>
        <v>146375</v>
      </c>
      <c r="C1153" s="88">
        <f>SUMIFS('Anlage 1c_Korrekturen_NB'!$D$105:$D$295,'Anlage 1c_Korrekturen_NB'!$A$105:$A$295,'Anlage 3a_Zusammenfassung_KWKG'!$A1153)+SUMIFS('Anlage 1c_Korrekturen_NB'!$F$105:$F$295,'Anlage 1c_Korrekturen_NB'!$A$105:$A$295,'Anlage 3a_Zusammenfassung_KWKG'!$A1153)+SUMIFS('Anlage 1c_Korrekturen_NB'!$H$105:$H$295,'Anlage 1c_Korrekturen_NB'!$A$105:$A$295,'Anlage 3a_Zusammenfassung_KWKG'!$A1153)</f>
        <v>0</v>
      </c>
      <c r="D1153" s="134">
        <f t="shared" si="51"/>
        <v>146375</v>
      </c>
      <c r="E1153" s="70"/>
      <c r="F1153" s="70"/>
      <c r="G1153" s="70"/>
      <c r="H1153" s="70"/>
      <c r="I1153" s="54"/>
      <c r="J1153" s="27" t="str">
        <f t="shared" si="50"/>
        <v>Saerbecker Ver- und Entsorgungsnetzgesellschaft mbH</v>
      </c>
    </row>
    <row r="1154" spans="1:10" s="44" customFormat="1" hidden="1" outlineLevel="1">
      <c r="A1154" s="374" t="str">
        <f t="shared" si="49"/>
        <v>SNB958070514050</v>
      </c>
      <c r="B1154" s="492">
        <f>_xlfn.IFNA(VLOOKUP($A1154,'Anlage 1a_Zuschlagszahlungen_NB'!A289:E522,5,FALSE),0)</f>
        <v>220408</v>
      </c>
      <c r="C1154" s="88">
        <f>SUMIFS('Anlage 1c_Korrekturen_NB'!$D$105:$D$295,'Anlage 1c_Korrekturen_NB'!$A$105:$A$295,'Anlage 3a_Zusammenfassung_KWKG'!$A1154)+SUMIFS('Anlage 1c_Korrekturen_NB'!$F$105:$F$295,'Anlage 1c_Korrekturen_NB'!$A$105:$A$295,'Anlage 3a_Zusammenfassung_KWKG'!$A1154)+SUMIFS('Anlage 1c_Korrekturen_NB'!$H$105:$H$295,'Anlage 1c_Korrekturen_NB'!$A$105:$A$295,'Anlage 3a_Zusammenfassung_KWKG'!$A1154)</f>
        <v>0</v>
      </c>
      <c r="D1154" s="134">
        <f t="shared" si="51"/>
        <v>220408</v>
      </c>
      <c r="E1154" s="70"/>
      <c r="F1154" s="70"/>
      <c r="G1154" s="70"/>
      <c r="H1154" s="70"/>
      <c r="I1154" s="54"/>
      <c r="J1154" s="27" t="str">
        <f t="shared" si="50"/>
        <v>Stadtwerke Grünstadt GmbH</v>
      </c>
    </row>
    <row r="1155" spans="1:10" s="44" customFormat="1" hidden="1" outlineLevel="1">
      <c r="A1155" s="374" t="str">
        <f t="shared" si="49"/>
        <v>SNB958077102830</v>
      </c>
      <c r="B1155" s="492">
        <f>_xlfn.IFNA(VLOOKUP($A1155,'Anlage 1a_Zuschlagszahlungen_NB'!A290:E523,5,FALSE),0)</f>
        <v>2834811</v>
      </c>
      <c r="C1155" s="88">
        <f>SUMIFS('Anlage 1c_Korrekturen_NB'!$D$105:$D$295,'Anlage 1c_Korrekturen_NB'!$A$105:$A$295,'Anlage 3a_Zusammenfassung_KWKG'!$A1155)+SUMIFS('Anlage 1c_Korrekturen_NB'!$F$105:$F$295,'Anlage 1c_Korrekturen_NB'!$A$105:$A$295,'Anlage 3a_Zusammenfassung_KWKG'!$A1155)+SUMIFS('Anlage 1c_Korrekturen_NB'!$H$105:$H$295,'Anlage 1c_Korrekturen_NB'!$A$105:$A$295,'Anlage 3a_Zusammenfassung_KWKG'!$A1155)</f>
        <v>0</v>
      </c>
      <c r="D1155" s="134">
        <f t="shared" si="51"/>
        <v>2834811</v>
      </c>
      <c r="E1155" s="70"/>
      <c r="F1155" s="70"/>
      <c r="G1155" s="70"/>
      <c r="H1155" s="70"/>
      <c r="I1155" s="54"/>
      <c r="J1155" s="27" t="str">
        <f t="shared" si="50"/>
        <v>swa Netze GmbH</v>
      </c>
    </row>
    <row r="1156" spans="1:10" s="44" customFormat="1" hidden="1" outlineLevel="1">
      <c r="A1156" s="374" t="str">
        <f t="shared" si="49"/>
        <v>SNB958116260552</v>
      </c>
      <c r="B1156" s="492">
        <f>_xlfn.IFNA(VLOOKUP($A1156,'Anlage 1a_Zuschlagszahlungen_NB'!A291:E524,5,FALSE),0)</f>
        <v>0</v>
      </c>
      <c r="C1156" s="88">
        <f>SUMIFS('Anlage 1c_Korrekturen_NB'!$D$105:$D$295,'Anlage 1c_Korrekturen_NB'!$A$105:$A$295,'Anlage 3a_Zusammenfassung_KWKG'!$A1156)+SUMIFS('Anlage 1c_Korrekturen_NB'!$F$105:$F$295,'Anlage 1c_Korrekturen_NB'!$A$105:$A$295,'Anlage 3a_Zusammenfassung_KWKG'!$A1156)+SUMIFS('Anlage 1c_Korrekturen_NB'!$H$105:$H$295,'Anlage 1c_Korrekturen_NB'!$A$105:$A$295,'Anlage 3a_Zusammenfassung_KWKG'!$A1156)</f>
        <v>0</v>
      </c>
      <c r="D1156" s="134">
        <f t="shared" si="51"/>
        <v>0</v>
      </c>
      <c r="E1156" s="70"/>
      <c r="F1156" s="70"/>
      <c r="G1156" s="70"/>
      <c r="H1156" s="70"/>
      <c r="I1156" s="54"/>
      <c r="J1156" s="27" t="str">
        <f t="shared" si="50"/>
        <v>Flughafen Düsseldorf GmbH</v>
      </c>
    </row>
    <row r="1157" spans="1:10" s="44" customFormat="1" hidden="1" outlineLevel="1">
      <c r="A1157" s="374" t="str">
        <f t="shared" si="49"/>
        <v>SNB958416423039</v>
      </c>
      <c r="B1157" s="492">
        <f>_xlfn.IFNA(VLOOKUP($A1157,'Anlage 1a_Zuschlagszahlungen_NB'!A292:E525,5,FALSE),0)</f>
        <v>611135</v>
      </c>
      <c r="C1157" s="88">
        <f>SUMIFS('Anlage 1c_Korrekturen_NB'!$D$105:$D$295,'Anlage 1c_Korrekturen_NB'!$A$105:$A$295,'Anlage 3a_Zusammenfassung_KWKG'!$A1157)+SUMIFS('Anlage 1c_Korrekturen_NB'!$F$105:$F$295,'Anlage 1c_Korrekturen_NB'!$A$105:$A$295,'Anlage 3a_Zusammenfassung_KWKG'!$A1157)+SUMIFS('Anlage 1c_Korrekturen_NB'!$H$105:$H$295,'Anlage 1c_Korrekturen_NB'!$A$105:$A$295,'Anlage 3a_Zusammenfassung_KWKG'!$A1157)</f>
        <v>0</v>
      </c>
      <c r="D1157" s="134">
        <f t="shared" si="51"/>
        <v>611135</v>
      </c>
      <c r="E1157" s="70"/>
      <c r="F1157" s="70"/>
      <c r="G1157" s="70"/>
      <c r="H1157" s="70"/>
      <c r="I1157" s="54"/>
      <c r="J1157" s="27" t="str">
        <f t="shared" si="50"/>
        <v>Stadtwerke Emsdetten GmbH</v>
      </c>
    </row>
    <row r="1158" spans="1:10" s="44" customFormat="1" hidden="1" outlineLevel="1">
      <c r="A1158" s="374" t="str">
        <f t="shared" si="49"/>
        <v>SNB959523885956</v>
      </c>
      <c r="B1158" s="492">
        <f>_xlfn.IFNA(VLOOKUP($A1158,'Anlage 1a_Zuschlagszahlungen_NB'!A293:E526,5,FALSE),0)</f>
        <v>117967781</v>
      </c>
      <c r="C1158" s="88">
        <f>SUMIFS('Anlage 1c_Korrekturen_NB'!$D$105:$D$295,'Anlage 1c_Korrekturen_NB'!$A$105:$A$295,'Anlage 3a_Zusammenfassung_KWKG'!$A1158)+SUMIFS('Anlage 1c_Korrekturen_NB'!$F$105:$F$295,'Anlage 1c_Korrekturen_NB'!$A$105:$A$295,'Anlage 3a_Zusammenfassung_KWKG'!$A1158)+SUMIFS('Anlage 1c_Korrekturen_NB'!$H$105:$H$295,'Anlage 1c_Korrekturen_NB'!$A$105:$A$295,'Anlage 3a_Zusammenfassung_KWKG'!$A1158)</f>
        <v>6792365</v>
      </c>
      <c r="D1158" s="134">
        <f t="shared" si="51"/>
        <v>124760146</v>
      </c>
      <c r="E1158" s="70"/>
      <c r="F1158" s="70"/>
      <c r="G1158" s="70"/>
      <c r="H1158" s="70"/>
      <c r="I1158" s="54"/>
      <c r="J1158" s="27" t="str">
        <f t="shared" si="50"/>
        <v>Mainzer Netze GmbH</v>
      </c>
    </row>
    <row r="1159" spans="1:10" s="44" customFormat="1" hidden="1" outlineLevel="1">
      <c r="A1159" s="374" t="str">
        <f t="shared" si="49"/>
        <v>SNB959585826225</v>
      </c>
      <c r="B1159" s="492">
        <f>_xlfn.IFNA(VLOOKUP($A1159,'Anlage 1a_Zuschlagszahlungen_NB'!A294:E527,5,FALSE),0)</f>
        <v>13733</v>
      </c>
      <c r="C1159" s="88">
        <f>SUMIFS('Anlage 1c_Korrekturen_NB'!$D$105:$D$295,'Anlage 1c_Korrekturen_NB'!$A$105:$A$295,'Anlage 3a_Zusammenfassung_KWKG'!$A1159)+SUMIFS('Anlage 1c_Korrekturen_NB'!$F$105:$F$295,'Anlage 1c_Korrekturen_NB'!$A$105:$A$295,'Anlage 3a_Zusammenfassung_KWKG'!$A1159)+SUMIFS('Anlage 1c_Korrekturen_NB'!$H$105:$H$295,'Anlage 1c_Korrekturen_NB'!$A$105:$A$295,'Anlage 3a_Zusammenfassung_KWKG'!$A1159)</f>
        <v>0</v>
      </c>
      <c r="D1159" s="134">
        <f t="shared" si="51"/>
        <v>13733</v>
      </c>
      <c r="E1159" s="70"/>
      <c r="F1159" s="70"/>
      <c r="G1159" s="70"/>
      <c r="H1159" s="70"/>
      <c r="I1159" s="54"/>
      <c r="J1159" s="27" t="str">
        <f t="shared" si="50"/>
        <v>Stadtwerke Lambrecht (Pfalz) GmbH</v>
      </c>
    </row>
    <row r="1160" spans="1:10" s="44" customFormat="1" hidden="1" outlineLevel="1">
      <c r="A1160" s="374" t="str">
        <f t="shared" si="49"/>
        <v>SNB960263813482</v>
      </c>
      <c r="B1160" s="492">
        <f>_xlfn.IFNA(VLOOKUP($A1160,'Anlage 1a_Zuschlagszahlungen_NB'!A295:E528,5,FALSE),0)</f>
        <v>0</v>
      </c>
      <c r="C1160" s="88">
        <f>SUMIFS('Anlage 1c_Korrekturen_NB'!$D$105:$D$295,'Anlage 1c_Korrekturen_NB'!$A$105:$A$295,'Anlage 3a_Zusammenfassung_KWKG'!$A1160)+SUMIFS('Anlage 1c_Korrekturen_NB'!$F$105:$F$295,'Anlage 1c_Korrekturen_NB'!$A$105:$A$295,'Anlage 3a_Zusammenfassung_KWKG'!$A1160)+SUMIFS('Anlage 1c_Korrekturen_NB'!$H$105:$H$295,'Anlage 1c_Korrekturen_NB'!$A$105:$A$295,'Anlage 3a_Zusammenfassung_KWKG'!$A1160)</f>
        <v>0</v>
      </c>
      <c r="D1160" s="134">
        <f t="shared" si="51"/>
        <v>0</v>
      </c>
      <c r="E1160" s="70"/>
      <c r="F1160" s="70"/>
      <c r="G1160" s="70"/>
      <c r="H1160" s="70"/>
      <c r="I1160" s="54"/>
      <c r="J1160" s="27" t="str">
        <f t="shared" si="50"/>
        <v>DB Energie GmbH</v>
      </c>
    </row>
    <row r="1161" spans="1:10" s="44" customFormat="1" hidden="1" outlineLevel="1">
      <c r="A1161" s="374" t="str">
        <f t="shared" si="49"/>
        <v>SNB960797798422</v>
      </c>
      <c r="B1161" s="492">
        <f>_xlfn.IFNA(VLOOKUP($A1161,'Anlage 1a_Zuschlagszahlungen_NB'!A296:E529,5,FALSE),0)</f>
        <v>1638299</v>
      </c>
      <c r="C1161" s="88">
        <f>SUMIFS('Anlage 1c_Korrekturen_NB'!$D$105:$D$295,'Anlage 1c_Korrekturen_NB'!$A$105:$A$295,'Anlage 3a_Zusammenfassung_KWKG'!$A1161)+SUMIFS('Anlage 1c_Korrekturen_NB'!$F$105:$F$295,'Anlage 1c_Korrekturen_NB'!$A$105:$A$295,'Anlage 3a_Zusammenfassung_KWKG'!$A1161)+SUMIFS('Anlage 1c_Korrekturen_NB'!$H$105:$H$295,'Anlage 1c_Korrekturen_NB'!$A$105:$A$295,'Anlage 3a_Zusammenfassung_KWKG'!$A1161)</f>
        <v>0</v>
      </c>
      <c r="D1161" s="134">
        <f t="shared" si="51"/>
        <v>1638299</v>
      </c>
      <c r="E1161" s="70"/>
      <c r="F1161" s="70"/>
      <c r="G1161" s="70"/>
      <c r="H1161" s="70"/>
      <c r="I1161" s="54"/>
      <c r="J1161" s="27" t="str">
        <f t="shared" si="50"/>
        <v>Stadtwerke Neu-Isenburg GmbH</v>
      </c>
    </row>
    <row r="1162" spans="1:10" s="44" customFormat="1" hidden="1" outlineLevel="1">
      <c r="A1162" s="374" t="str">
        <f t="shared" si="49"/>
        <v>SNB960884494671</v>
      </c>
      <c r="B1162" s="492">
        <f>_xlfn.IFNA(VLOOKUP($A1162,'Anlage 1a_Zuschlagszahlungen_NB'!A297:E530,5,FALSE),0)</f>
        <v>220681015</v>
      </c>
      <c r="C1162" s="88">
        <f>SUMIFS('Anlage 1c_Korrekturen_NB'!$D$105:$D$295,'Anlage 1c_Korrekturen_NB'!$A$105:$A$295,'Anlage 3a_Zusammenfassung_KWKG'!$A1162)+SUMIFS('Anlage 1c_Korrekturen_NB'!$F$105:$F$295,'Anlage 1c_Korrekturen_NB'!$A$105:$A$295,'Anlage 3a_Zusammenfassung_KWKG'!$A1162)+SUMIFS('Anlage 1c_Korrekturen_NB'!$H$105:$H$295,'Anlage 1c_Korrekturen_NB'!$A$105:$A$295,'Anlage 3a_Zusammenfassung_KWKG'!$A1162)</f>
        <v>0</v>
      </c>
      <c r="D1162" s="134">
        <f t="shared" si="51"/>
        <v>220681015</v>
      </c>
      <c r="E1162" s="70"/>
      <c r="F1162" s="70"/>
      <c r="G1162" s="70"/>
      <c r="H1162" s="70"/>
      <c r="I1162" s="54"/>
      <c r="J1162" s="27" t="str">
        <f t="shared" si="50"/>
        <v>InfraServ GmbH &amp; Co. Wiesbaden KG</v>
      </c>
    </row>
    <row r="1163" spans="1:10" s="44" customFormat="1" hidden="1" outlineLevel="1">
      <c r="A1163" s="374" t="str">
        <f t="shared" ref="A1163:A1226" si="52">A297</f>
        <v>SNB961322866920</v>
      </c>
      <c r="B1163" s="492">
        <f>_xlfn.IFNA(VLOOKUP($A1163,'Anlage 1a_Zuschlagszahlungen_NB'!A298:E531,5,FALSE),0)</f>
        <v>692802</v>
      </c>
      <c r="C1163" s="88">
        <f>SUMIFS('Anlage 1c_Korrekturen_NB'!$D$105:$D$295,'Anlage 1c_Korrekturen_NB'!$A$105:$A$295,'Anlage 3a_Zusammenfassung_KWKG'!$A1163)+SUMIFS('Anlage 1c_Korrekturen_NB'!$F$105:$F$295,'Anlage 1c_Korrekturen_NB'!$A$105:$A$295,'Anlage 3a_Zusammenfassung_KWKG'!$A1163)+SUMIFS('Anlage 1c_Korrekturen_NB'!$H$105:$H$295,'Anlage 1c_Korrekturen_NB'!$A$105:$A$295,'Anlage 3a_Zusammenfassung_KWKG'!$A1163)</f>
        <v>2000</v>
      </c>
      <c r="D1163" s="134">
        <f t="shared" si="51"/>
        <v>694802</v>
      </c>
      <c r="E1163" s="70"/>
      <c r="F1163" s="70"/>
      <c r="G1163" s="70"/>
      <c r="H1163" s="70"/>
      <c r="I1163" s="54"/>
      <c r="J1163" s="27" t="str">
        <f t="shared" ref="J1163:J1226" si="53">J297</f>
        <v>Gemeindewerke Herxheim - Elektrizitätswerk -</v>
      </c>
    </row>
    <row r="1164" spans="1:10" s="44" customFormat="1" hidden="1" outlineLevel="1">
      <c r="A1164" s="374" t="str">
        <f t="shared" si="52"/>
        <v>SNB961471621746</v>
      </c>
      <c r="B1164" s="492">
        <f>_xlfn.IFNA(VLOOKUP($A1164,'Anlage 1a_Zuschlagszahlungen_NB'!A299:E532,5,FALSE),0)</f>
        <v>301833678</v>
      </c>
      <c r="C1164" s="88">
        <f>SUMIFS('Anlage 1c_Korrekturen_NB'!$D$105:$D$295,'Anlage 1c_Korrekturen_NB'!$A$105:$A$295,'Anlage 3a_Zusammenfassung_KWKG'!$A1164)+SUMIFS('Anlage 1c_Korrekturen_NB'!$F$105:$F$295,'Anlage 1c_Korrekturen_NB'!$A$105:$A$295,'Anlage 3a_Zusammenfassung_KWKG'!$A1164)+SUMIFS('Anlage 1c_Korrekturen_NB'!$H$105:$H$295,'Anlage 1c_Korrekturen_NB'!$A$105:$A$295,'Anlage 3a_Zusammenfassung_KWKG'!$A1164)</f>
        <v>0</v>
      </c>
      <c r="D1164" s="134">
        <f t="shared" si="51"/>
        <v>301833678</v>
      </c>
      <c r="E1164" s="70"/>
      <c r="F1164" s="70"/>
      <c r="G1164" s="70"/>
      <c r="H1164" s="70"/>
      <c r="I1164" s="54"/>
      <c r="J1164" s="27" t="str">
        <f t="shared" si="53"/>
        <v>Pfalzwerke Netz AG</v>
      </c>
    </row>
    <row r="1165" spans="1:10" s="44" customFormat="1" hidden="1" outlineLevel="1">
      <c r="A1165" s="374" t="str">
        <f t="shared" si="52"/>
        <v>SNB961497906636</v>
      </c>
      <c r="B1165" s="492">
        <f>_xlfn.IFNA(VLOOKUP($A1165,'Anlage 1a_Zuschlagszahlungen_NB'!A300:E533,5,FALSE),0)</f>
        <v>859511</v>
      </c>
      <c r="C1165" s="88">
        <f>SUMIFS('Anlage 1c_Korrekturen_NB'!$D$105:$D$295,'Anlage 1c_Korrekturen_NB'!$A$105:$A$295,'Anlage 3a_Zusammenfassung_KWKG'!$A1165)+SUMIFS('Anlage 1c_Korrekturen_NB'!$F$105:$F$295,'Anlage 1c_Korrekturen_NB'!$A$105:$A$295,'Anlage 3a_Zusammenfassung_KWKG'!$A1165)+SUMIFS('Anlage 1c_Korrekturen_NB'!$H$105:$H$295,'Anlage 1c_Korrekturen_NB'!$A$105:$A$295,'Anlage 3a_Zusammenfassung_KWKG'!$A1165)</f>
        <v>1636033</v>
      </c>
      <c r="D1165" s="134">
        <f t="shared" si="51"/>
        <v>2495544</v>
      </c>
      <c r="E1165" s="70"/>
      <c r="F1165" s="70"/>
      <c r="G1165" s="70"/>
      <c r="H1165" s="70"/>
      <c r="I1165" s="54"/>
      <c r="J1165" s="27" t="str">
        <f t="shared" si="53"/>
        <v>GELSENWASSER Energienetze GmbH</v>
      </c>
    </row>
    <row r="1166" spans="1:10" s="44" customFormat="1" hidden="1" outlineLevel="1">
      <c r="A1166" s="374" t="str">
        <f t="shared" si="52"/>
        <v>SNB961745390019</v>
      </c>
      <c r="B1166" s="492">
        <f>_xlfn.IFNA(VLOOKUP($A1166,'Anlage 1a_Zuschlagszahlungen_NB'!A301:E534,5,FALSE),0)</f>
        <v>1016644</v>
      </c>
      <c r="C1166" s="88">
        <f>SUMIFS('Anlage 1c_Korrekturen_NB'!$D$105:$D$295,'Anlage 1c_Korrekturen_NB'!$A$105:$A$295,'Anlage 3a_Zusammenfassung_KWKG'!$A1166)+SUMIFS('Anlage 1c_Korrekturen_NB'!$F$105:$F$295,'Anlage 1c_Korrekturen_NB'!$A$105:$A$295,'Anlage 3a_Zusammenfassung_KWKG'!$A1166)+SUMIFS('Anlage 1c_Korrekturen_NB'!$H$105:$H$295,'Anlage 1c_Korrekturen_NB'!$A$105:$A$295,'Anlage 3a_Zusammenfassung_KWKG'!$A1166)</f>
        <v>0</v>
      </c>
      <c r="D1166" s="134">
        <f t="shared" si="51"/>
        <v>1016644</v>
      </c>
      <c r="E1166" s="70"/>
      <c r="F1166" s="70"/>
      <c r="G1166" s="70"/>
      <c r="H1166" s="70"/>
      <c r="I1166" s="54"/>
      <c r="J1166" s="27" t="str">
        <f t="shared" si="53"/>
        <v>Stadtwerke Frankenthal GmbH</v>
      </c>
    </row>
    <row r="1167" spans="1:10" s="44" customFormat="1" hidden="1" outlineLevel="1">
      <c r="A1167" s="374" t="str">
        <f t="shared" si="52"/>
        <v>SNB962064980332</v>
      </c>
      <c r="B1167" s="492">
        <f>_xlfn.IFNA(VLOOKUP($A1167,'Anlage 1a_Zuschlagszahlungen_NB'!A302:E535,5,FALSE),0)</f>
        <v>175000</v>
      </c>
      <c r="C1167" s="88">
        <f>SUMIFS('Anlage 1c_Korrekturen_NB'!$D$105:$D$295,'Anlage 1c_Korrekturen_NB'!$A$105:$A$295,'Anlage 3a_Zusammenfassung_KWKG'!$A1167)+SUMIFS('Anlage 1c_Korrekturen_NB'!$F$105:$F$295,'Anlage 1c_Korrekturen_NB'!$A$105:$A$295,'Anlage 3a_Zusammenfassung_KWKG'!$A1167)+SUMIFS('Anlage 1c_Korrekturen_NB'!$H$105:$H$295,'Anlage 1c_Korrekturen_NB'!$A$105:$A$295,'Anlage 3a_Zusammenfassung_KWKG'!$A1167)</f>
        <v>452167</v>
      </c>
      <c r="D1167" s="134">
        <f t="shared" si="51"/>
        <v>627167</v>
      </c>
      <c r="E1167" s="70"/>
      <c r="F1167" s="70"/>
      <c r="G1167" s="70"/>
      <c r="H1167" s="70"/>
      <c r="I1167" s="54"/>
      <c r="J1167" s="27" t="str">
        <f t="shared" si="53"/>
        <v>Nahwerk-Energie GmbH &amp; Co. KG</v>
      </c>
    </row>
    <row r="1168" spans="1:10" s="44" customFormat="1" hidden="1" outlineLevel="1">
      <c r="A1168" s="374" t="str">
        <f t="shared" si="52"/>
        <v>SNB963671951227</v>
      </c>
      <c r="B1168" s="492">
        <f>_xlfn.IFNA(VLOOKUP($A1168,'Anlage 1a_Zuschlagszahlungen_NB'!A303:E536,5,FALSE),0)</f>
        <v>1302127</v>
      </c>
      <c r="C1168" s="88">
        <f>SUMIFS('Anlage 1c_Korrekturen_NB'!$D$105:$D$295,'Anlage 1c_Korrekturen_NB'!$A$105:$A$295,'Anlage 3a_Zusammenfassung_KWKG'!$A1168)+SUMIFS('Anlage 1c_Korrekturen_NB'!$F$105:$F$295,'Anlage 1c_Korrekturen_NB'!$A$105:$A$295,'Anlage 3a_Zusammenfassung_KWKG'!$A1168)+SUMIFS('Anlage 1c_Korrekturen_NB'!$H$105:$H$295,'Anlage 1c_Korrekturen_NB'!$A$105:$A$295,'Anlage 3a_Zusammenfassung_KWKG'!$A1168)</f>
        <v>0</v>
      </c>
      <c r="D1168" s="134">
        <f t="shared" si="51"/>
        <v>1302127</v>
      </c>
      <c r="E1168" s="70"/>
      <c r="F1168" s="70"/>
      <c r="G1168" s="70"/>
      <c r="H1168" s="70"/>
      <c r="I1168" s="54"/>
      <c r="J1168" s="27" t="str">
        <f t="shared" si="53"/>
        <v>Stadtwerke Herne AG</v>
      </c>
    </row>
    <row r="1169" spans="1:10" s="44" customFormat="1" hidden="1" outlineLevel="1">
      <c r="A1169" s="374" t="str">
        <f t="shared" si="52"/>
        <v>SNB964262506406</v>
      </c>
      <c r="B1169" s="492">
        <f>_xlfn.IFNA(VLOOKUP($A1169,'Anlage 1a_Zuschlagszahlungen_NB'!A304:E537,5,FALSE),0)</f>
        <v>199116</v>
      </c>
      <c r="C1169" s="88">
        <f>SUMIFS('Anlage 1c_Korrekturen_NB'!$D$105:$D$295,'Anlage 1c_Korrekturen_NB'!$A$105:$A$295,'Anlage 3a_Zusammenfassung_KWKG'!$A1169)+SUMIFS('Anlage 1c_Korrekturen_NB'!$F$105:$F$295,'Anlage 1c_Korrekturen_NB'!$A$105:$A$295,'Anlage 3a_Zusammenfassung_KWKG'!$A1169)+SUMIFS('Anlage 1c_Korrekturen_NB'!$H$105:$H$295,'Anlage 1c_Korrekturen_NB'!$A$105:$A$295,'Anlage 3a_Zusammenfassung_KWKG'!$A1169)</f>
        <v>0</v>
      </c>
      <c r="D1169" s="134">
        <f t="shared" si="51"/>
        <v>199116</v>
      </c>
      <c r="E1169" s="70"/>
      <c r="F1169" s="70"/>
      <c r="G1169" s="70"/>
      <c r="H1169" s="70"/>
      <c r="I1169" s="54"/>
      <c r="J1169" s="27" t="str">
        <f t="shared" si="53"/>
        <v>Stadtwerke Radevormwald GmbH</v>
      </c>
    </row>
    <row r="1170" spans="1:10" s="44" customFormat="1" hidden="1" outlineLevel="1">
      <c r="A1170" s="374" t="str">
        <f t="shared" si="52"/>
        <v>SNB964592501355</v>
      </c>
      <c r="B1170" s="492">
        <f>_xlfn.IFNA(VLOOKUP($A1170,'Anlage 1a_Zuschlagszahlungen_NB'!A305:E538,5,FALSE),0)</f>
        <v>1854192</v>
      </c>
      <c r="C1170" s="88">
        <f>SUMIFS('Anlage 1c_Korrekturen_NB'!$D$105:$D$295,'Anlage 1c_Korrekturen_NB'!$A$105:$A$295,'Anlage 3a_Zusammenfassung_KWKG'!$A1170)+SUMIFS('Anlage 1c_Korrekturen_NB'!$F$105:$F$295,'Anlage 1c_Korrekturen_NB'!$A$105:$A$295,'Anlage 3a_Zusammenfassung_KWKG'!$A1170)+SUMIFS('Anlage 1c_Korrekturen_NB'!$H$105:$H$295,'Anlage 1c_Korrekturen_NB'!$A$105:$A$295,'Anlage 3a_Zusammenfassung_KWKG'!$A1170)</f>
        <v>0</v>
      </c>
      <c r="D1170" s="134">
        <f t="shared" si="51"/>
        <v>1854192</v>
      </c>
      <c r="E1170" s="70"/>
      <c r="F1170" s="70"/>
      <c r="G1170" s="70"/>
      <c r="H1170" s="70"/>
      <c r="I1170" s="54"/>
      <c r="J1170" s="27" t="str">
        <f t="shared" si="53"/>
        <v>Hertener Stadtwerke GmbH</v>
      </c>
    </row>
    <row r="1171" spans="1:10" s="44" customFormat="1" hidden="1" outlineLevel="1">
      <c r="A1171" s="374" t="str">
        <f t="shared" si="52"/>
        <v>SNB965107360993</v>
      </c>
      <c r="B1171" s="492">
        <f>_xlfn.IFNA(VLOOKUP($A1171,'Anlage 1a_Zuschlagszahlungen_NB'!A306:E539,5,FALSE),0)</f>
        <v>2981820</v>
      </c>
      <c r="C1171" s="88">
        <f>SUMIFS('Anlage 1c_Korrekturen_NB'!$D$105:$D$295,'Anlage 1c_Korrekturen_NB'!$A$105:$A$295,'Anlage 3a_Zusammenfassung_KWKG'!$A1171)+SUMIFS('Anlage 1c_Korrekturen_NB'!$F$105:$F$295,'Anlage 1c_Korrekturen_NB'!$A$105:$A$295,'Anlage 3a_Zusammenfassung_KWKG'!$A1171)+SUMIFS('Anlage 1c_Korrekturen_NB'!$H$105:$H$295,'Anlage 1c_Korrekturen_NB'!$A$105:$A$295,'Anlage 3a_Zusammenfassung_KWKG'!$A1171)</f>
        <v>246805</v>
      </c>
      <c r="D1171" s="134">
        <f t="shared" si="51"/>
        <v>3228625</v>
      </c>
      <c r="E1171" s="70"/>
      <c r="F1171" s="70"/>
      <c r="G1171" s="70"/>
      <c r="H1171" s="70"/>
      <c r="I1171" s="54"/>
      <c r="J1171" s="27" t="str">
        <f t="shared" si="53"/>
        <v>Stadtwerke Geldern Netz GmbH</v>
      </c>
    </row>
    <row r="1172" spans="1:10" s="44" customFormat="1" hidden="1" outlineLevel="1">
      <c r="A1172" s="374" t="str">
        <f t="shared" si="52"/>
        <v>SNB965118678667</v>
      </c>
      <c r="B1172" s="492">
        <f>_xlfn.IFNA(VLOOKUP($A1172,'Anlage 1a_Zuschlagszahlungen_NB'!A307:E540,5,FALSE),0)</f>
        <v>1568834</v>
      </c>
      <c r="C1172" s="88">
        <f>SUMIFS('Anlage 1c_Korrekturen_NB'!$D$105:$D$295,'Anlage 1c_Korrekturen_NB'!$A$105:$A$295,'Anlage 3a_Zusammenfassung_KWKG'!$A1172)+SUMIFS('Anlage 1c_Korrekturen_NB'!$F$105:$F$295,'Anlage 1c_Korrekturen_NB'!$A$105:$A$295,'Anlage 3a_Zusammenfassung_KWKG'!$A1172)+SUMIFS('Anlage 1c_Korrekturen_NB'!$H$105:$H$295,'Anlage 1c_Korrekturen_NB'!$A$105:$A$295,'Anlage 3a_Zusammenfassung_KWKG'!$A1172)</f>
        <v>0</v>
      </c>
      <c r="D1172" s="134">
        <f t="shared" si="51"/>
        <v>1568834</v>
      </c>
      <c r="E1172" s="70"/>
      <c r="F1172" s="70"/>
      <c r="G1172" s="70"/>
      <c r="H1172" s="70"/>
      <c r="I1172" s="54"/>
      <c r="J1172" s="27" t="str">
        <f t="shared" si="53"/>
        <v>Stadtwerke Soest GmbH</v>
      </c>
    </row>
    <row r="1173" spans="1:10" s="44" customFormat="1" hidden="1" outlineLevel="1">
      <c r="A1173" s="374" t="str">
        <f t="shared" si="52"/>
        <v>SNB965164398427</v>
      </c>
      <c r="B1173" s="492">
        <f>_xlfn.IFNA(VLOOKUP($A1173,'Anlage 1a_Zuschlagszahlungen_NB'!A308:E541,5,FALSE),0)</f>
        <v>0</v>
      </c>
      <c r="C1173" s="88">
        <f>SUMIFS('Anlage 1c_Korrekturen_NB'!$D$105:$D$295,'Anlage 1c_Korrekturen_NB'!$A$105:$A$295,'Anlage 3a_Zusammenfassung_KWKG'!$A1173)+SUMIFS('Anlage 1c_Korrekturen_NB'!$F$105:$F$295,'Anlage 1c_Korrekturen_NB'!$A$105:$A$295,'Anlage 3a_Zusammenfassung_KWKG'!$A1173)+SUMIFS('Anlage 1c_Korrekturen_NB'!$H$105:$H$295,'Anlage 1c_Korrekturen_NB'!$A$105:$A$295,'Anlage 3a_Zusammenfassung_KWKG'!$A1173)</f>
        <v>0</v>
      </c>
      <c r="D1173" s="134">
        <f t="shared" si="51"/>
        <v>0</v>
      </c>
      <c r="E1173" s="70"/>
      <c r="F1173" s="70"/>
      <c r="G1173" s="70"/>
      <c r="H1173" s="70"/>
      <c r="I1173" s="54"/>
      <c r="J1173" s="27" t="str">
        <f t="shared" si="53"/>
        <v>Fraport AG</v>
      </c>
    </row>
    <row r="1174" spans="1:10" s="44" customFormat="1" hidden="1" outlineLevel="1">
      <c r="A1174" s="374" t="str">
        <f t="shared" si="52"/>
        <v>SNB965281540327</v>
      </c>
      <c r="B1174" s="492">
        <f>_xlfn.IFNA(VLOOKUP($A1174,'Anlage 1a_Zuschlagszahlungen_NB'!A309:E542,5,FALSE),0)</f>
        <v>1423911</v>
      </c>
      <c r="C1174" s="88">
        <f>SUMIFS('Anlage 1c_Korrekturen_NB'!$D$105:$D$295,'Anlage 1c_Korrekturen_NB'!$A$105:$A$295,'Anlage 3a_Zusammenfassung_KWKG'!$A1174)+SUMIFS('Anlage 1c_Korrekturen_NB'!$F$105:$F$295,'Anlage 1c_Korrekturen_NB'!$A$105:$A$295,'Anlage 3a_Zusammenfassung_KWKG'!$A1174)+SUMIFS('Anlage 1c_Korrekturen_NB'!$H$105:$H$295,'Anlage 1c_Korrekturen_NB'!$A$105:$A$295,'Anlage 3a_Zusammenfassung_KWKG'!$A1174)</f>
        <v>0</v>
      </c>
      <c r="D1174" s="134">
        <f t="shared" si="51"/>
        <v>1423911</v>
      </c>
      <c r="E1174" s="70"/>
      <c r="F1174" s="70"/>
      <c r="G1174" s="70"/>
      <c r="H1174" s="70"/>
      <c r="I1174" s="54"/>
      <c r="J1174" s="27" t="str">
        <f t="shared" si="53"/>
        <v>Energieversorgung Limburg GmbH</v>
      </c>
    </row>
    <row r="1175" spans="1:10" s="44" customFormat="1" hidden="1" outlineLevel="1">
      <c r="A1175" s="374" t="str">
        <f t="shared" si="52"/>
        <v>SNB965379905076</v>
      </c>
      <c r="B1175" s="492">
        <f>_xlfn.IFNA(VLOOKUP($A1175,'Anlage 1a_Zuschlagszahlungen_NB'!A310:E543,5,FALSE),0)</f>
        <v>7878405</v>
      </c>
      <c r="C1175" s="88">
        <f>SUMIFS('Anlage 1c_Korrekturen_NB'!$D$105:$D$295,'Anlage 1c_Korrekturen_NB'!$A$105:$A$295,'Anlage 3a_Zusammenfassung_KWKG'!$A1175)+SUMIFS('Anlage 1c_Korrekturen_NB'!$F$105:$F$295,'Anlage 1c_Korrekturen_NB'!$A$105:$A$295,'Anlage 3a_Zusammenfassung_KWKG'!$A1175)+SUMIFS('Anlage 1c_Korrekturen_NB'!$H$105:$H$295,'Anlage 1c_Korrekturen_NB'!$A$105:$A$295,'Anlage 3a_Zusammenfassung_KWKG'!$A1175)</f>
        <v>0</v>
      </c>
      <c r="D1175" s="134">
        <f t="shared" si="51"/>
        <v>7878405</v>
      </c>
      <c r="E1175" s="70"/>
      <c r="F1175" s="70"/>
      <c r="G1175" s="70"/>
      <c r="H1175" s="70"/>
      <c r="I1175" s="54"/>
      <c r="J1175" s="27" t="str">
        <f t="shared" si="53"/>
        <v>Stadtwerke Langen GmbH</v>
      </c>
    </row>
    <row r="1176" spans="1:10" s="44" customFormat="1" hidden="1" outlineLevel="1">
      <c r="A1176" s="374" t="str">
        <f t="shared" si="52"/>
        <v>SNB965394941448</v>
      </c>
      <c r="B1176" s="492">
        <f>_xlfn.IFNA(VLOOKUP($A1176,'Anlage 1a_Zuschlagszahlungen_NB'!A311:E544,5,FALSE),0)</f>
        <v>0</v>
      </c>
      <c r="C1176" s="88">
        <f>SUMIFS('Anlage 1c_Korrekturen_NB'!$D$105:$D$295,'Anlage 1c_Korrekturen_NB'!$A$105:$A$295,'Anlage 3a_Zusammenfassung_KWKG'!$A1176)+SUMIFS('Anlage 1c_Korrekturen_NB'!$F$105:$F$295,'Anlage 1c_Korrekturen_NB'!$A$105:$A$295,'Anlage 3a_Zusammenfassung_KWKG'!$A1176)+SUMIFS('Anlage 1c_Korrekturen_NB'!$H$105:$H$295,'Anlage 1c_Korrekturen_NB'!$A$105:$A$295,'Anlage 3a_Zusammenfassung_KWKG'!$A1176)</f>
        <v>0</v>
      </c>
      <c r="D1176" s="134">
        <f t="shared" si="51"/>
        <v>0</v>
      </c>
      <c r="E1176" s="70"/>
      <c r="F1176" s="70"/>
      <c r="G1176" s="70"/>
      <c r="H1176" s="70"/>
      <c r="I1176" s="54"/>
      <c r="J1176" s="27" t="str">
        <f t="shared" si="53"/>
        <v>Outokumpu Stainless Nirosta GmbH</v>
      </c>
    </row>
    <row r="1177" spans="1:10" s="44" customFormat="1" hidden="1" outlineLevel="1">
      <c r="A1177" s="374" t="str">
        <f t="shared" si="52"/>
        <v>SNB966808200267</v>
      </c>
      <c r="B1177" s="492">
        <f>_xlfn.IFNA(VLOOKUP($A1177,'Anlage 1a_Zuschlagszahlungen_NB'!A312:E545,5,FALSE),0)</f>
        <v>5471867</v>
      </c>
      <c r="C1177" s="88">
        <f>SUMIFS('Anlage 1c_Korrekturen_NB'!$D$105:$D$295,'Anlage 1c_Korrekturen_NB'!$A$105:$A$295,'Anlage 3a_Zusammenfassung_KWKG'!$A1177)+SUMIFS('Anlage 1c_Korrekturen_NB'!$F$105:$F$295,'Anlage 1c_Korrekturen_NB'!$A$105:$A$295,'Anlage 3a_Zusammenfassung_KWKG'!$A1177)+SUMIFS('Anlage 1c_Korrekturen_NB'!$H$105:$H$295,'Anlage 1c_Korrekturen_NB'!$A$105:$A$295,'Anlage 3a_Zusammenfassung_KWKG'!$A1177)</f>
        <v>884000</v>
      </c>
      <c r="D1177" s="134">
        <f t="shared" si="51"/>
        <v>6355867</v>
      </c>
      <c r="E1177" s="70"/>
      <c r="F1177" s="70"/>
      <c r="G1177" s="70"/>
      <c r="H1177" s="70"/>
      <c r="I1177" s="54"/>
      <c r="J1177" s="27" t="str">
        <f t="shared" si="53"/>
        <v>Vereinigte Wertach-Elektrizitätswerke GmbH</v>
      </c>
    </row>
    <row r="1178" spans="1:10" s="44" customFormat="1" hidden="1" outlineLevel="1">
      <c r="A1178" s="374" t="str">
        <f t="shared" si="52"/>
        <v>SNB966809778161</v>
      </c>
      <c r="B1178" s="492">
        <f>_xlfn.IFNA(VLOOKUP($A1178,'Anlage 1a_Zuschlagszahlungen_NB'!A313:E546,5,FALSE),0)</f>
        <v>1412392</v>
      </c>
      <c r="C1178" s="88">
        <f>SUMIFS('Anlage 1c_Korrekturen_NB'!$D$105:$D$295,'Anlage 1c_Korrekturen_NB'!$A$105:$A$295,'Anlage 3a_Zusammenfassung_KWKG'!$A1178)+SUMIFS('Anlage 1c_Korrekturen_NB'!$F$105:$F$295,'Anlage 1c_Korrekturen_NB'!$A$105:$A$295,'Anlage 3a_Zusammenfassung_KWKG'!$A1178)+SUMIFS('Anlage 1c_Korrekturen_NB'!$H$105:$H$295,'Anlage 1c_Korrekturen_NB'!$A$105:$A$295,'Anlage 3a_Zusammenfassung_KWKG'!$A1178)</f>
        <v>0</v>
      </c>
      <c r="D1178" s="134">
        <f t="shared" si="51"/>
        <v>1412392</v>
      </c>
      <c r="E1178" s="70"/>
      <c r="F1178" s="70"/>
      <c r="G1178" s="70"/>
      <c r="H1178" s="70"/>
      <c r="I1178" s="54"/>
      <c r="J1178" s="27" t="str">
        <f t="shared" si="53"/>
        <v>Stadtwerke Groß-Gerau Versorgungs GmbH</v>
      </c>
    </row>
    <row r="1179" spans="1:10" s="44" customFormat="1" hidden="1" outlineLevel="1">
      <c r="A1179" s="374" t="str">
        <f t="shared" si="52"/>
        <v>SNB966813503780</v>
      </c>
      <c r="B1179" s="492">
        <f>_xlfn.IFNA(VLOOKUP($A1179,'Anlage 1a_Zuschlagszahlungen_NB'!A314:E547,5,FALSE),0)</f>
        <v>3662596</v>
      </c>
      <c r="C1179" s="88">
        <f>SUMIFS('Anlage 1c_Korrekturen_NB'!$D$105:$D$295,'Anlage 1c_Korrekturen_NB'!$A$105:$A$295,'Anlage 3a_Zusammenfassung_KWKG'!$A1179)+SUMIFS('Anlage 1c_Korrekturen_NB'!$F$105:$F$295,'Anlage 1c_Korrekturen_NB'!$A$105:$A$295,'Anlage 3a_Zusammenfassung_KWKG'!$A1179)+SUMIFS('Anlage 1c_Korrekturen_NB'!$H$105:$H$295,'Anlage 1c_Korrekturen_NB'!$A$105:$A$295,'Anlage 3a_Zusammenfassung_KWKG'!$A1179)</f>
        <v>2057815</v>
      </c>
      <c r="D1179" s="134">
        <f t="shared" si="51"/>
        <v>5720411</v>
      </c>
      <c r="E1179" s="70"/>
      <c r="F1179" s="70"/>
      <c r="G1179" s="70"/>
      <c r="H1179" s="70"/>
      <c r="I1179" s="54"/>
      <c r="J1179" s="27" t="str">
        <f t="shared" si="53"/>
        <v>SWT Stadtwerke Trier Versorgungs-GmbH</v>
      </c>
    </row>
    <row r="1180" spans="1:10" s="44" customFormat="1" hidden="1" outlineLevel="1">
      <c r="A1180" s="374" t="str">
        <f t="shared" si="52"/>
        <v>SNB966823215826</v>
      </c>
      <c r="B1180" s="492">
        <f>_xlfn.IFNA(VLOOKUP($A1180,'Anlage 1a_Zuschlagszahlungen_NB'!A315:E548,5,FALSE),0)</f>
        <v>0</v>
      </c>
      <c r="C1180" s="88">
        <f>SUMIFS('Anlage 1c_Korrekturen_NB'!$D$105:$D$295,'Anlage 1c_Korrekturen_NB'!$A$105:$A$295,'Anlage 3a_Zusammenfassung_KWKG'!$A1180)+SUMIFS('Anlage 1c_Korrekturen_NB'!$F$105:$F$295,'Anlage 1c_Korrekturen_NB'!$A$105:$A$295,'Anlage 3a_Zusammenfassung_KWKG'!$A1180)+SUMIFS('Anlage 1c_Korrekturen_NB'!$H$105:$H$295,'Anlage 1c_Korrekturen_NB'!$A$105:$A$295,'Anlage 3a_Zusammenfassung_KWKG'!$A1180)</f>
        <v>0</v>
      </c>
      <c r="D1180" s="134">
        <f t="shared" si="51"/>
        <v>0</v>
      </c>
      <c r="E1180" s="70"/>
      <c r="F1180" s="70"/>
      <c r="G1180" s="70"/>
      <c r="H1180" s="70"/>
      <c r="I1180" s="54"/>
      <c r="J1180" s="27" t="str">
        <f t="shared" si="53"/>
        <v>Talwerk GmbH</v>
      </c>
    </row>
    <row r="1181" spans="1:10" s="44" customFormat="1" hidden="1" outlineLevel="1">
      <c r="A1181" s="374" t="str">
        <f t="shared" si="52"/>
        <v>SNB967148688999</v>
      </c>
      <c r="B1181" s="492">
        <f>_xlfn.IFNA(VLOOKUP($A1181,'Anlage 1a_Zuschlagszahlungen_NB'!A316:E549,5,FALSE),0)</f>
        <v>3432136</v>
      </c>
      <c r="C1181" s="88">
        <f>SUMIFS('Anlage 1c_Korrekturen_NB'!$D$105:$D$295,'Anlage 1c_Korrekturen_NB'!$A$105:$A$295,'Anlage 3a_Zusammenfassung_KWKG'!$A1181)+SUMIFS('Anlage 1c_Korrekturen_NB'!$F$105:$F$295,'Anlage 1c_Korrekturen_NB'!$A$105:$A$295,'Anlage 3a_Zusammenfassung_KWKG'!$A1181)+SUMIFS('Anlage 1c_Korrekturen_NB'!$H$105:$H$295,'Anlage 1c_Korrekturen_NB'!$A$105:$A$295,'Anlage 3a_Zusammenfassung_KWKG'!$A1181)</f>
        <v>0</v>
      </c>
      <c r="D1181" s="134">
        <f t="shared" si="51"/>
        <v>3432136</v>
      </c>
      <c r="E1181" s="70"/>
      <c r="F1181" s="70"/>
      <c r="G1181" s="70"/>
      <c r="H1181" s="70"/>
      <c r="I1181" s="54"/>
      <c r="J1181" s="27" t="str">
        <f t="shared" si="53"/>
        <v>SWL Verteilungsnetzgesellschaft mbH</v>
      </c>
    </row>
    <row r="1182" spans="1:10" s="44" customFormat="1" hidden="1" outlineLevel="1">
      <c r="A1182" s="374" t="str">
        <f t="shared" si="52"/>
        <v>SNB967794191157</v>
      </c>
      <c r="B1182" s="492">
        <f>_xlfn.IFNA(VLOOKUP($A1182,'Anlage 1a_Zuschlagszahlungen_NB'!A317:E550,5,FALSE),0)</f>
        <v>4229007</v>
      </c>
      <c r="C1182" s="88">
        <f>SUMIFS('Anlage 1c_Korrekturen_NB'!$D$105:$D$295,'Anlage 1c_Korrekturen_NB'!$A$105:$A$295,'Anlage 3a_Zusammenfassung_KWKG'!$A1182)+SUMIFS('Anlage 1c_Korrekturen_NB'!$F$105:$F$295,'Anlage 1c_Korrekturen_NB'!$A$105:$A$295,'Anlage 3a_Zusammenfassung_KWKG'!$A1182)+SUMIFS('Anlage 1c_Korrekturen_NB'!$H$105:$H$295,'Anlage 1c_Korrekturen_NB'!$A$105:$A$295,'Anlage 3a_Zusammenfassung_KWKG'!$A1182)</f>
        <v>0</v>
      </c>
      <c r="D1182" s="134">
        <f t="shared" si="51"/>
        <v>4229007</v>
      </c>
      <c r="E1182" s="70"/>
      <c r="F1182" s="70"/>
      <c r="G1182" s="70"/>
      <c r="H1182" s="70"/>
      <c r="I1182" s="54"/>
      <c r="J1182" s="27" t="str">
        <f t="shared" si="53"/>
        <v>AVU Netz GmbH</v>
      </c>
    </row>
    <row r="1183" spans="1:10" s="44" customFormat="1" hidden="1" outlineLevel="1">
      <c r="A1183" s="374" t="str">
        <f t="shared" si="52"/>
        <v>SNB968648650424</v>
      </c>
      <c r="B1183" s="492">
        <f>_xlfn.IFNA(VLOOKUP($A1183,'Anlage 1a_Zuschlagszahlungen_NB'!A318:E551,5,FALSE),0)</f>
        <v>76488</v>
      </c>
      <c r="C1183" s="88">
        <f>SUMIFS('Anlage 1c_Korrekturen_NB'!$D$105:$D$295,'Anlage 1c_Korrekturen_NB'!$A$105:$A$295,'Anlage 3a_Zusammenfassung_KWKG'!$A1183)+SUMIFS('Anlage 1c_Korrekturen_NB'!$F$105:$F$295,'Anlage 1c_Korrekturen_NB'!$A$105:$A$295,'Anlage 3a_Zusammenfassung_KWKG'!$A1183)+SUMIFS('Anlage 1c_Korrekturen_NB'!$H$105:$H$295,'Anlage 1c_Korrekturen_NB'!$A$105:$A$295,'Anlage 3a_Zusammenfassung_KWKG'!$A1183)</f>
        <v>0</v>
      </c>
      <c r="D1183" s="134">
        <f t="shared" si="51"/>
        <v>76488</v>
      </c>
      <c r="E1183" s="70"/>
      <c r="F1183" s="70"/>
      <c r="G1183" s="70"/>
      <c r="H1183" s="70"/>
      <c r="I1183" s="54"/>
      <c r="J1183" s="27" t="str">
        <f t="shared" si="53"/>
        <v>Stadtwerke Wachenheim</v>
      </c>
    </row>
    <row r="1184" spans="1:10" s="44" customFormat="1" hidden="1" outlineLevel="1">
      <c r="A1184" s="374" t="str">
        <f t="shared" si="52"/>
        <v>SNB968670865650</v>
      </c>
      <c r="B1184" s="492">
        <f>_xlfn.IFNA(VLOOKUP($A1184,'Anlage 1a_Zuschlagszahlungen_NB'!A319:E552,5,FALSE),0)</f>
        <v>1894099</v>
      </c>
      <c r="C1184" s="88">
        <f>SUMIFS('Anlage 1c_Korrekturen_NB'!$D$105:$D$295,'Anlage 1c_Korrekturen_NB'!$A$105:$A$295,'Anlage 3a_Zusammenfassung_KWKG'!$A1184)+SUMIFS('Anlage 1c_Korrekturen_NB'!$F$105:$F$295,'Anlage 1c_Korrekturen_NB'!$A$105:$A$295,'Anlage 3a_Zusammenfassung_KWKG'!$A1184)+SUMIFS('Anlage 1c_Korrekturen_NB'!$H$105:$H$295,'Anlage 1c_Korrekturen_NB'!$A$105:$A$295,'Anlage 3a_Zusammenfassung_KWKG'!$A1184)</f>
        <v>0</v>
      </c>
      <c r="D1184" s="134">
        <f t="shared" si="51"/>
        <v>1894099</v>
      </c>
      <c r="E1184" s="70"/>
      <c r="F1184" s="70"/>
      <c r="G1184" s="70"/>
      <c r="H1184" s="70"/>
      <c r="I1184" s="54"/>
      <c r="J1184" s="27" t="str">
        <f t="shared" si="53"/>
        <v>GGEW, Gruppen-Gas- und Elektrizitätswerk Bergstraße AG</v>
      </c>
    </row>
    <row r="1185" spans="1:10" s="44" customFormat="1" hidden="1" outlineLevel="1">
      <c r="A1185" s="374" t="str">
        <f t="shared" si="52"/>
        <v>SNB968694358282</v>
      </c>
      <c r="B1185" s="492">
        <f>_xlfn.IFNA(VLOOKUP($A1185,'Anlage 1a_Zuschlagszahlungen_NB'!A320:E553,5,FALSE),0)</f>
        <v>540941</v>
      </c>
      <c r="C1185" s="88">
        <f>SUMIFS('Anlage 1c_Korrekturen_NB'!$D$105:$D$295,'Anlage 1c_Korrekturen_NB'!$A$105:$A$295,'Anlage 3a_Zusammenfassung_KWKG'!$A1185)+SUMIFS('Anlage 1c_Korrekturen_NB'!$F$105:$F$295,'Anlage 1c_Korrekturen_NB'!$A$105:$A$295,'Anlage 3a_Zusammenfassung_KWKG'!$A1185)+SUMIFS('Anlage 1c_Korrekturen_NB'!$H$105:$H$295,'Anlage 1c_Korrekturen_NB'!$A$105:$A$295,'Anlage 3a_Zusammenfassung_KWKG'!$A1185)</f>
        <v>0</v>
      </c>
      <c r="D1185" s="134">
        <f t="shared" si="51"/>
        <v>540941</v>
      </c>
      <c r="E1185" s="70"/>
      <c r="F1185" s="70"/>
      <c r="G1185" s="70"/>
      <c r="H1185" s="70"/>
      <c r="I1185" s="54"/>
      <c r="J1185" s="27" t="str">
        <f t="shared" si="53"/>
        <v>Stadtwerke Heiligenhaus GmbH</v>
      </c>
    </row>
    <row r="1186" spans="1:10" s="44" customFormat="1" hidden="1" outlineLevel="1">
      <c r="A1186" s="374" t="str">
        <f t="shared" si="52"/>
        <v>SNB969058795651</v>
      </c>
      <c r="B1186" s="492">
        <f>_xlfn.IFNA(VLOOKUP($A1186,'Anlage 1a_Zuschlagszahlungen_NB'!A321:E554,5,FALSE),0)</f>
        <v>5679603</v>
      </c>
      <c r="C1186" s="88">
        <f>SUMIFS('Anlage 1c_Korrekturen_NB'!$D$105:$D$295,'Anlage 1c_Korrekturen_NB'!$A$105:$A$295,'Anlage 3a_Zusammenfassung_KWKG'!$A1186)+SUMIFS('Anlage 1c_Korrekturen_NB'!$F$105:$F$295,'Anlage 1c_Korrekturen_NB'!$A$105:$A$295,'Anlage 3a_Zusammenfassung_KWKG'!$A1186)+SUMIFS('Anlage 1c_Korrekturen_NB'!$H$105:$H$295,'Anlage 1c_Korrekturen_NB'!$A$105:$A$295,'Anlage 3a_Zusammenfassung_KWKG'!$A1186)</f>
        <v>0</v>
      </c>
      <c r="D1186" s="134">
        <f t="shared" si="51"/>
        <v>5679603</v>
      </c>
      <c r="E1186" s="70"/>
      <c r="F1186" s="70"/>
      <c r="G1186" s="70"/>
      <c r="H1186" s="70"/>
      <c r="I1186" s="54"/>
      <c r="J1186" s="27" t="str">
        <f t="shared" si="53"/>
        <v>Stadtwerke Waiblingen GmbH</v>
      </c>
    </row>
    <row r="1187" spans="1:10" s="44" customFormat="1" hidden="1" outlineLevel="1">
      <c r="A1187" s="374" t="str">
        <f t="shared" si="52"/>
        <v>SNB969068596941</v>
      </c>
      <c r="B1187" s="492">
        <f>_xlfn.IFNA(VLOOKUP($A1187,'Anlage 1a_Zuschlagszahlungen_NB'!A322:E555,5,FALSE),0)</f>
        <v>7245694</v>
      </c>
      <c r="C1187" s="88">
        <f>SUMIFS('Anlage 1c_Korrekturen_NB'!$D$105:$D$295,'Anlage 1c_Korrekturen_NB'!$A$105:$A$295,'Anlage 3a_Zusammenfassung_KWKG'!$A1187)+SUMIFS('Anlage 1c_Korrekturen_NB'!$F$105:$F$295,'Anlage 1c_Korrekturen_NB'!$A$105:$A$295,'Anlage 3a_Zusammenfassung_KWKG'!$A1187)+SUMIFS('Anlage 1c_Korrekturen_NB'!$H$105:$H$295,'Anlage 1c_Korrekturen_NB'!$A$105:$A$295,'Anlage 3a_Zusammenfassung_KWKG'!$A1187)</f>
        <v>2659086</v>
      </c>
      <c r="D1187" s="134">
        <f t="shared" si="51"/>
        <v>9904780</v>
      </c>
      <c r="E1187" s="70"/>
      <c r="F1187" s="70"/>
      <c r="G1187" s="70"/>
      <c r="H1187" s="70"/>
      <c r="I1187" s="54"/>
      <c r="J1187" s="27" t="str">
        <f t="shared" si="53"/>
        <v>EWR Netz GmbH</v>
      </c>
    </row>
    <row r="1188" spans="1:10" s="44" customFormat="1" hidden="1" outlineLevel="1">
      <c r="A1188" s="374" t="str">
        <f t="shared" si="52"/>
        <v>SNB969345305204</v>
      </c>
      <c r="B1188" s="492">
        <f>_xlfn.IFNA(VLOOKUP($A1188,'Anlage 1a_Zuschlagszahlungen_NB'!A323:E556,5,FALSE),0)</f>
        <v>1238099</v>
      </c>
      <c r="C1188" s="88">
        <f>SUMIFS('Anlage 1c_Korrekturen_NB'!$D$105:$D$295,'Anlage 1c_Korrekturen_NB'!$A$105:$A$295,'Anlage 3a_Zusammenfassung_KWKG'!$A1188)+SUMIFS('Anlage 1c_Korrekturen_NB'!$F$105:$F$295,'Anlage 1c_Korrekturen_NB'!$A$105:$A$295,'Anlage 3a_Zusammenfassung_KWKG'!$A1188)+SUMIFS('Anlage 1c_Korrekturen_NB'!$H$105:$H$295,'Anlage 1c_Korrekturen_NB'!$A$105:$A$295,'Anlage 3a_Zusammenfassung_KWKG'!$A1188)</f>
        <v>17723</v>
      </c>
      <c r="D1188" s="134">
        <f t="shared" si="51"/>
        <v>1255822</v>
      </c>
      <c r="E1188" s="70"/>
      <c r="F1188" s="70"/>
      <c r="G1188" s="70"/>
      <c r="H1188" s="70"/>
      <c r="I1188" s="54"/>
      <c r="J1188" s="27" t="str">
        <f t="shared" si="53"/>
        <v>Stadtwerke Warendorf GmbH</v>
      </c>
    </row>
    <row r="1189" spans="1:10" s="44" customFormat="1" hidden="1" outlineLevel="1">
      <c r="A1189" s="374" t="str">
        <f t="shared" si="52"/>
        <v>SNB969362778135</v>
      </c>
      <c r="B1189" s="492">
        <f>_xlfn.IFNA(VLOOKUP($A1189,'Anlage 1a_Zuschlagszahlungen_NB'!A324:E557,5,FALSE),0)</f>
        <v>1838699</v>
      </c>
      <c r="C1189" s="88">
        <f>SUMIFS('Anlage 1c_Korrekturen_NB'!$D$105:$D$295,'Anlage 1c_Korrekturen_NB'!$A$105:$A$295,'Anlage 3a_Zusammenfassung_KWKG'!$A1189)+SUMIFS('Anlage 1c_Korrekturen_NB'!$F$105:$F$295,'Anlage 1c_Korrekturen_NB'!$A$105:$A$295,'Anlage 3a_Zusammenfassung_KWKG'!$A1189)+SUMIFS('Anlage 1c_Korrekturen_NB'!$H$105:$H$295,'Anlage 1c_Korrekturen_NB'!$A$105:$A$295,'Anlage 3a_Zusammenfassung_KWKG'!$A1189)</f>
        <v>36943</v>
      </c>
      <c r="D1189" s="134">
        <f t="shared" si="51"/>
        <v>1875642</v>
      </c>
      <c r="E1189" s="70"/>
      <c r="F1189" s="70"/>
      <c r="G1189" s="70"/>
      <c r="H1189" s="70"/>
      <c r="I1189" s="54"/>
      <c r="J1189" s="27" t="str">
        <f t="shared" si="53"/>
        <v>SWS Netze Solingen GmbH</v>
      </c>
    </row>
    <row r="1190" spans="1:10" s="44" customFormat="1" hidden="1" outlineLevel="1">
      <c r="A1190" s="374" t="str">
        <f t="shared" si="52"/>
        <v>SNB969688824103</v>
      </c>
      <c r="B1190" s="492">
        <f>_xlfn.IFNA(VLOOKUP($A1190,'Anlage 1a_Zuschlagszahlungen_NB'!A325:E558,5,FALSE),0)</f>
        <v>242357</v>
      </c>
      <c r="C1190" s="88">
        <f>SUMIFS('Anlage 1c_Korrekturen_NB'!$D$105:$D$295,'Anlage 1c_Korrekturen_NB'!$A$105:$A$295,'Anlage 3a_Zusammenfassung_KWKG'!$A1190)+SUMIFS('Anlage 1c_Korrekturen_NB'!$F$105:$F$295,'Anlage 1c_Korrekturen_NB'!$A$105:$A$295,'Anlage 3a_Zusammenfassung_KWKG'!$A1190)+SUMIFS('Anlage 1c_Korrekturen_NB'!$H$105:$H$295,'Anlage 1c_Korrekturen_NB'!$A$105:$A$295,'Anlage 3a_Zusammenfassung_KWKG'!$A1190)</f>
        <v>0</v>
      </c>
      <c r="D1190" s="134">
        <f t="shared" si="51"/>
        <v>242357</v>
      </c>
      <c r="E1190" s="70"/>
      <c r="F1190" s="70"/>
      <c r="G1190" s="70"/>
      <c r="H1190" s="70"/>
      <c r="I1190" s="54"/>
      <c r="J1190" s="27" t="str">
        <f t="shared" si="53"/>
        <v>Gemeindewerke Kirkel GmbH</v>
      </c>
    </row>
    <row r="1191" spans="1:10" s="44" customFormat="1" hidden="1" outlineLevel="1">
      <c r="A1191" s="374" t="str">
        <f t="shared" si="52"/>
        <v>SNB969826201797</v>
      </c>
      <c r="B1191" s="492">
        <f>_xlfn.IFNA(VLOOKUP($A1191,'Anlage 1a_Zuschlagszahlungen_NB'!A326:E559,5,FALSE),0)</f>
        <v>1218839</v>
      </c>
      <c r="C1191" s="88">
        <f>SUMIFS('Anlage 1c_Korrekturen_NB'!$D$105:$D$295,'Anlage 1c_Korrekturen_NB'!$A$105:$A$295,'Anlage 3a_Zusammenfassung_KWKG'!$A1191)+SUMIFS('Anlage 1c_Korrekturen_NB'!$F$105:$F$295,'Anlage 1c_Korrekturen_NB'!$A$105:$A$295,'Anlage 3a_Zusammenfassung_KWKG'!$A1191)+SUMIFS('Anlage 1c_Korrekturen_NB'!$H$105:$H$295,'Anlage 1c_Korrekturen_NB'!$A$105:$A$295,'Anlage 3a_Zusammenfassung_KWKG'!$A1191)</f>
        <v>0</v>
      </c>
      <c r="D1191" s="134">
        <f t="shared" si="51"/>
        <v>1218839</v>
      </c>
      <c r="E1191" s="70"/>
      <c r="F1191" s="70"/>
      <c r="G1191" s="70"/>
      <c r="H1191" s="70"/>
      <c r="I1191" s="54"/>
      <c r="J1191" s="27" t="str">
        <f t="shared" si="53"/>
        <v>Stadtwerke Hilden GmbH</v>
      </c>
    </row>
    <row r="1192" spans="1:10" s="44" customFormat="1" hidden="1" outlineLevel="1">
      <c r="A1192" s="374" t="str">
        <f t="shared" si="52"/>
        <v>SNB971007500575</v>
      </c>
      <c r="B1192" s="492">
        <f>_xlfn.IFNA(VLOOKUP($A1192,'Anlage 1a_Zuschlagszahlungen_NB'!A327:E560,5,FALSE),0)</f>
        <v>721111</v>
      </c>
      <c r="C1192" s="88">
        <f>SUMIFS('Anlage 1c_Korrekturen_NB'!$D$105:$D$295,'Anlage 1c_Korrekturen_NB'!$A$105:$A$295,'Anlage 3a_Zusammenfassung_KWKG'!$A1192)+SUMIFS('Anlage 1c_Korrekturen_NB'!$F$105:$F$295,'Anlage 1c_Korrekturen_NB'!$A$105:$A$295,'Anlage 3a_Zusammenfassung_KWKG'!$A1192)+SUMIFS('Anlage 1c_Korrekturen_NB'!$H$105:$H$295,'Anlage 1c_Korrekturen_NB'!$A$105:$A$295,'Anlage 3a_Zusammenfassung_KWKG'!$A1192)</f>
        <v>0</v>
      </c>
      <c r="D1192" s="134">
        <f t="shared" si="51"/>
        <v>721111</v>
      </c>
      <c r="E1192" s="70"/>
      <c r="F1192" s="70"/>
      <c r="G1192" s="70"/>
      <c r="H1192" s="70"/>
      <c r="I1192" s="54"/>
      <c r="J1192" s="27" t="str">
        <f t="shared" si="53"/>
        <v>Stadtwerke Witten GmbH</v>
      </c>
    </row>
    <row r="1193" spans="1:10" s="44" customFormat="1" hidden="1" outlineLevel="1">
      <c r="A1193" s="374" t="str">
        <f t="shared" si="52"/>
        <v>SNB971155221315</v>
      </c>
      <c r="B1193" s="492">
        <f>_xlfn.IFNA(VLOOKUP($A1193,'Anlage 1a_Zuschlagszahlungen_NB'!A328:E561,5,FALSE),0)</f>
        <v>18422476</v>
      </c>
      <c r="C1193" s="88">
        <f>SUMIFS('Anlage 1c_Korrekturen_NB'!$D$105:$D$295,'Anlage 1c_Korrekturen_NB'!$A$105:$A$295,'Anlage 3a_Zusammenfassung_KWKG'!$A1193)+SUMIFS('Anlage 1c_Korrekturen_NB'!$F$105:$F$295,'Anlage 1c_Korrekturen_NB'!$A$105:$A$295,'Anlage 3a_Zusammenfassung_KWKG'!$A1193)+SUMIFS('Anlage 1c_Korrekturen_NB'!$H$105:$H$295,'Anlage 1c_Korrekturen_NB'!$A$105:$A$295,'Anlage 3a_Zusammenfassung_KWKG'!$A1193)</f>
        <v>0</v>
      </c>
      <c r="D1193" s="134">
        <f t="shared" si="51"/>
        <v>18422476</v>
      </c>
      <c r="E1193" s="70"/>
      <c r="F1193" s="70"/>
      <c r="G1193" s="70"/>
      <c r="H1193" s="70"/>
      <c r="I1193" s="54"/>
      <c r="J1193" s="27" t="str">
        <f t="shared" si="53"/>
        <v>Flughafen Köln/Bonn GmbH</v>
      </c>
    </row>
    <row r="1194" spans="1:10" s="44" customFormat="1" hidden="1" outlineLevel="1">
      <c r="A1194" s="374" t="str">
        <f t="shared" si="52"/>
        <v>SNB971169136186</v>
      </c>
      <c r="B1194" s="492">
        <f>_xlfn.IFNA(VLOOKUP($A1194,'Anlage 1a_Zuschlagszahlungen_NB'!A329:E562,5,FALSE),0)</f>
        <v>892731</v>
      </c>
      <c r="C1194" s="88">
        <f>SUMIFS('Anlage 1c_Korrekturen_NB'!$D$105:$D$295,'Anlage 1c_Korrekturen_NB'!$A$105:$A$295,'Anlage 3a_Zusammenfassung_KWKG'!$A1194)+SUMIFS('Anlage 1c_Korrekturen_NB'!$F$105:$F$295,'Anlage 1c_Korrekturen_NB'!$A$105:$A$295,'Anlage 3a_Zusammenfassung_KWKG'!$A1194)+SUMIFS('Anlage 1c_Korrekturen_NB'!$H$105:$H$295,'Anlage 1c_Korrekturen_NB'!$A$105:$A$295,'Anlage 3a_Zusammenfassung_KWKG'!$A1194)</f>
        <v>0</v>
      </c>
      <c r="D1194" s="134">
        <f t="shared" si="51"/>
        <v>892731</v>
      </c>
      <c r="E1194" s="70"/>
      <c r="F1194" s="70"/>
      <c r="G1194" s="70"/>
      <c r="H1194" s="70"/>
      <c r="I1194" s="54"/>
      <c r="J1194" s="27" t="str">
        <f t="shared" si="53"/>
        <v>Weißachtal-Kraftwerke eG</v>
      </c>
    </row>
    <row r="1195" spans="1:10" s="44" customFormat="1" hidden="1" outlineLevel="1">
      <c r="A1195" s="374" t="str">
        <f t="shared" si="52"/>
        <v>SNB971311555230</v>
      </c>
      <c r="B1195" s="492">
        <f>_xlfn.IFNA(VLOOKUP($A1195,'Anlage 1a_Zuschlagszahlungen_NB'!A330:E563,5,FALSE),0)</f>
        <v>1186490</v>
      </c>
      <c r="C1195" s="88">
        <f>SUMIFS('Anlage 1c_Korrekturen_NB'!$D$105:$D$295,'Anlage 1c_Korrekturen_NB'!$A$105:$A$295,'Anlage 3a_Zusammenfassung_KWKG'!$A1195)+SUMIFS('Anlage 1c_Korrekturen_NB'!$F$105:$F$295,'Anlage 1c_Korrekturen_NB'!$A$105:$A$295,'Anlage 3a_Zusammenfassung_KWKG'!$A1195)+SUMIFS('Anlage 1c_Korrekturen_NB'!$H$105:$H$295,'Anlage 1c_Korrekturen_NB'!$A$105:$A$295,'Anlage 3a_Zusammenfassung_KWKG'!$A1195)</f>
        <v>209583</v>
      </c>
      <c r="D1195" s="134">
        <f t="shared" si="51"/>
        <v>1396073</v>
      </c>
      <c r="E1195" s="70"/>
      <c r="F1195" s="70"/>
      <c r="G1195" s="70"/>
      <c r="H1195" s="70"/>
      <c r="I1195" s="54"/>
      <c r="J1195" s="27" t="str">
        <f t="shared" si="53"/>
        <v>EAM Netz GmbH</v>
      </c>
    </row>
    <row r="1196" spans="1:10" s="44" customFormat="1" hidden="1" outlineLevel="1">
      <c r="A1196" s="374" t="str">
        <f t="shared" si="52"/>
        <v>SNB971503120734</v>
      </c>
      <c r="B1196" s="492">
        <f>_xlfn.IFNA(VLOOKUP($A1196,'Anlage 1a_Zuschlagszahlungen_NB'!A331:E564,5,FALSE),0)</f>
        <v>4019695</v>
      </c>
      <c r="C1196" s="88">
        <f>SUMIFS('Anlage 1c_Korrekturen_NB'!$D$105:$D$295,'Anlage 1c_Korrekturen_NB'!$A$105:$A$295,'Anlage 3a_Zusammenfassung_KWKG'!$A1196)+SUMIFS('Anlage 1c_Korrekturen_NB'!$F$105:$F$295,'Anlage 1c_Korrekturen_NB'!$A$105:$A$295,'Anlage 3a_Zusammenfassung_KWKG'!$A1196)+SUMIFS('Anlage 1c_Korrekturen_NB'!$H$105:$H$295,'Anlage 1c_Korrekturen_NB'!$A$105:$A$295,'Anlage 3a_Zusammenfassung_KWKG'!$A1196)</f>
        <v>0</v>
      </c>
      <c r="D1196" s="134">
        <f t="shared" si="51"/>
        <v>4019695</v>
      </c>
      <c r="E1196" s="70"/>
      <c r="F1196" s="70"/>
      <c r="G1196" s="70"/>
      <c r="H1196" s="70"/>
      <c r="I1196" s="54"/>
      <c r="J1196" s="27" t="str">
        <f t="shared" si="53"/>
        <v>Stadtwerke Service Meerbusch Willich GmbH &amp; Co. KG</v>
      </c>
    </row>
    <row r="1197" spans="1:10" s="44" customFormat="1" hidden="1" outlineLevel="1">
      <c r="A1197" s="374" t="str">
        <f t="shared" si="52"/>
        <v>SNB972040623122</v>
      </c>
      <c r="B1197" s="492">
        <f>_xlfn.IFNA(VLOOKUP($A1197,'Anlage 1a_Zuschlagszahlungen_NB'!A332:E565,5,FALSE),0)</f>
        <v>579201</v>
      </c>
      <c r="C1197" s="88">
        <f>SUMIFS('Anlage 1c_Korrekturen_NB'!$D$105:$D$295,'Anlage 1c_Korrekturen_NB'!$A$105:$A$295,'Anlage 3a_Zusammenfassung_KWKG'!$A1197)+SUMIFS('Anlage 1c_Korrekturen_NB'!$F$105:$F$295,'Anlage 1c_Korrekturen_NB'!$A$105:$A$295,'Anlage 3a_Zusammenfassung_KWKG'!$A1197)+SUMIFS('Anlage 1c_Korrekturen_NB'!$H$105:$H$295,'Anlage 1c_Korrekturen_NB'!$A$105:$A$295,'Anlage 3a_Zusammenfassung_KWKG'!$A1197)</f>
        <v>754311</v>
      </c>
      <c r="D1197" s="134">
        <f t="shared" si="51"/>
        <v>1333512</v>
      </c>
      <c r="E1197" s="70"/>
      <c r="F1197" s="70"/>
      <c r="G1197" s="70"/>
      <c r="H1197" s="70"/>
      <c r="I1197" s="54"/>
      <c r="J1197" s="27" t="str">
        <f t="shared" si="53"/>
        <v>Stadtwerke Annweiler</v>
      </c>
    </row>
    <row r="1198" spans="1:10" s="44" customFormat="1" hidden="1" outlineLevel="1">
      <c r="A1198" s="374" t="str">
        <f t="shared" si="52"/>
        <v>SNB972046955654</v>
      </c>
      <c r="B1198" s="492">
        <f>_xlfn.IFNA(VLOOKUP($A1198,'Anlage 1a_Zuschlagszahlungen_NB'!A333:E566,5,FALSE),0)</f>
        <v>572932</v>
      </c>
      <c r="C1198" s="88">
        <f>SUMIFS('Anlage 1c_Korrekturen_NB'!$D$105:$D$295,'Anlage 1c_Korrekturen_NB'!$A$105:$A$295,'Anlage 3a_Zusammenfassung_KWKG'!$A1198)+SUMIFS('Anlage 1c_Korrekturen_NB'!$F$105:$F$295,'Anlage 1c_Korrekturen_NB'!$A$105:$A$295,'Anlage 3a_Zusammenfassung_KWKG'!$A1198)+SUMIFS('Anlage 1c_Korrekturen_NB'!$H$105:$H$295,'Anlage 1c_Korrekturen_NB'!$A$105:$A$295,'Anlage 3a_Zusammenfassung_KWKG'!$A1198)</f>
        <v>202470</v>
      </c>
      <c r="D1198" s="134">
        <f t="shared" si="51"/>
        <v>775402</v>
      </c>
      <c r="E1198" s="70"/>
      <c r="F1198" s="70"/>
      <c r="G1198" s="70"/>
      <c r="H1198" s="70"/>
      <c r="I1198" s="54"/>
      <c r="J1198" s="27" t="str">
        <f t="shared" si="53"/>
        <v>Stadtwerke Harsewinkel GmbH</v>
      </c>
    </row>
    <row r="1199" spans="1:10" s="44" customFormat="1" hidden="1" outlineLevel="1">
      <c r="A1199" s="374" t="str">
        <f t="shared" si="52"/>
        <v>SNB972265030262</v>
      </c>
      <c r="B1199" s="492">
        <f>_xlfn.IFNA(VLOOKUP($A1199,'Anlage 1a_Zuschlagszahlungen_NB'!A334:E567,5,FALSE),0)</f>
        <v>0</v>
      </c>
      <c r="C1199" s="88">
        <f>SUMIFS('Anlage 1c_Korrekturen_NB'!$D$105:$D$295,'Anlage 1c_Korrekturen_NB'!$A$105:$A$295,'Anlage 3a_Zusammenfassung_KWKG'!$A1199)+SUMIFS('Anlage 1c_Korrekturen_NB'!$F$105:$F$295,'Anlage 1c_Korrekturen_NB'!$A$105:$A$295,'Anlage 3a_Zusammenfassung_KWKG'!$A1199)+SUMIFS('Anlage 1c_Korrekturen_NB'!$H$105:$H$295,'Anlage 1c_Korrekturen_NB'!$A$105:$A$295,'Anlage 3a_Zusammenfassung_KWKG'!$A1199)</f>
        <v>0</v>
      </c>
      <c r="D1199" s="134">
        <f t="shared" si="51"/>
        <v>0</v>
      </c>
      <c r="E1199" s="70"/>
      <c r="F1199" s="70"/>
      <c r="G1199" s="70"/>
      <c r="H1199" s="70"/>
      <c r="I1199" s="54"/>
      <c r="J1199" s="27" t="str">
        <f t="shared" si="53"/>
        <v>Gemeindewerke Münchweiler a.d. Rodalb AöR</v>
      </c>
    </row>
    <row r="1200" spans="1:10" s="44" customFormat="1" hidden="1" outlineLevel="1">
      <c r="A1200" s="374" t="str">
        <f t="shared" si="52"/>
        <v>SNB973074326355</v>
      </c>
      <c r="B1200" s="492">
        <f>_xlfn.IFNA(VLOOKUP($A1200,'Anlage 1a_Zuschlagszahlungen_NB'!A335:E568,5,FALSE),0)</f>
        <v>7761914</v>
      </c>
      <c r="C1200" s="88">
        <f>SUMIFS('Anlage 1c_Korrekturen_NB'!$D$105:$D$295,'Anlage 1c_Korrekturen_NB'!$A$105:$A$295,'Anlage 3a_Zusammenfassung_KWKG'!$A1200)+SUMIFS('Anlage 1c_Korrekturen_NB'!$F$105:$F$295,'Anlage 1c_Korrekturen_NB'!$A$105:$A$295,'Anlage 3a_Zusammenfassung_KWKG'!$A1200)+SUMIFS('Anlage 1c_Korrekturen_NB'!$H$105:$H$295,'Anlage 1c_Korrekturen_NB'!$A$105:$A$295,'Anlage 3a_Zusammenfassung_KWKG'!$A1200)</f>
        <v>3397037</v>
      </c>
      <c r="D1200" s="134">
        <f t="shared" si="51"/>
        <v>11158951</v>
      </c>
      <c r="E1200" s="70"/>
      <c r="F1200" s="70"/>
      <c r="G1200" s="70"/>
      <c r="H1200" s="70"/>
      <c r="I1200" s="54"/>
      <c r="J1200" s="27" t="str">
        <f t="shared" si="53"/>
        <v>ELE Verteilnetz GmbH</v>
      </c>
    </row>
    <row r="1201" spans="1:10" s="44" customFormat="1" hidden="1" outlineLevel="1">
      <c r="A1201" s="374" t="str">
        <f t="shared" si="52"/>
        <v>SNB973356062049</v>
      </c>
      <c r="B1201" s="492">
        <f>_xlfn.IFNA(VLOOKUP($A1201,'Anlage 1a_Zuschlagszahlungen_NB'!A336:E569,5,FALSE),0)</f>
        <v>1601850</v>
      </c>
      <c r="C1201" s="88">
        <f>SUMIFS('Anlage 1c_Korrekturen_NB'!$D$105:$D$295,'Anlage 1c_Korrekturen_NB'!$A$105:$A$295,'Anlage 3a_Zusammenfassung_KWKG'!$A1201)+SUMIFS('Anlage 1c_Korrekturen_NB'!$F$105:$F$295,'Anlage 1c_Korrekturen_NB'!$A$105:$A$295,'Anlage 3a_Zusammenfassung_KWKG'!$A1201)+SUMIFS('Anlage 1c_Korrekturen_NB'!$H$105:$H$295,'Anlage 1c_Korrekturen_NB'!$A$105:$A$295,'Anlage 3a_Zusammenfassung_KWKG'!$A1201)</f>
        <v>0</v>
      </c>
      <c r="D1201" s="134">
        <f t="shared" si="51"/>
        <v>1601850</v>
      </c>
      <c r="E1201" s="70"/>
      <c r="F1201" s="70"/>
      <c r="G1201" s="70"/>
      <c r="H1201" s="70"/>
      <c r="I1201" s="54"/>
      <c r="J1201" s="27" t="str">
        <f t="shared" si="53"/>
        <v>Bad Honnef AG</v>
      </c>
    </row>
    <row r="1202" spans="1:10" s="44" customFormat="1" hidden="1" outlineLevel="1">
      <c r="A1202" s="374" t="str">
        <f t="shared" si="52"/>
        <v>SNB973672371320</v>
      </c>
      <c r="B1202" s="492">
        <f>_xlfn.IFNA(VLOOKUP($A1202,'Anlage 1a_Zuschlagszahlungen_NB'!A337:E570,5,FALSE),0)</f>
        <v>616166</v>
      </c>
      <c r="C1202" s="88">
        <f>SUMIFS('Anlage 1c_Korrekturen_NB'!$D$105:$D$295,'Anlage 1c_Korrekturen_NB'!$A$105:$A$295,'Anlage 3a_Zusammenfassung_KWKG'!$A1202)+SUMIFS('Anlage 1c_Korrekturen_NB'!$F$105:$F$295,'Anlage 1c_Korrekturen_NB'!$A$105:$A$295,'Anlage 3a_Zusammenfassung_KWKG'!$A1202)+SUMIFS('Anlage 1c_Korrekturen_NB'!$H$105:$H$295,'Anlage 1c_Korrekturen_NB'!$A$105:$A$295,'Anlage 3a_Zusammenfassung_KWKG'!$A1202)</f>
        <v>85108</v>
      </c>
      <c r="D1202" s="134">
        <f t="shared" si="51"/>
        <v>701274</v>
      </c>
      <c r="E1202" s="70"/>
      <c r="F1202" s="70"/>
      <c r="G1202" s="70"/>
      <c r="H1202" s="70"/>
      <c r="I1202" s="54"/>
      <c r="J1202" s="27" t="str">
        <f t="shared" si="53"/>
        <v>Stadtwerke Jülich GmbH</v>
      </c>
    </row>
    <row r="1203" spans="1:10" s="44" customFormat="1" hidden="1" outlineLevel="1">
      <c r="A1203" s="374" t="str">
        <f t="shared" si="52"/>
        <v>SNB974319144116</v>
      </c>
      <c r="B1203" s="492">
        <f>_xlfn.IFNA(VLOOKUP($A1203,'Anlage 1a_Zuschlagszahlungen_NB'!A338:E571,5,FALSE),0)</f>
        <v>0</v>
      </c>
      <c r="C1203" s="88">
        <f>SUMIFS('Anlage 1c_Korrekturen_NB'!$D$105:$D$295,'Anlage 1c_Korrekturen_NB'!$A$105:$A$295,'Anlage 3a_Zusammenfassung_KWKG'!$A1203)+SUMIFS('Anlage 1c_Korrekturen_NB'!$F$105:$F$295,'Anlage 1c_Korrekturen_NB'!$A$105:$A$295,'Anlage 3a_Zusammenfassung_KWKG'!$A1203)+SUMIFS('Anlage 1c_Korrekturen_NB'!$H$105:$H$295,'Anlage 1c_Korrekturen_NB'!$A$105:$A$295,'Anlage 3a_Zusammenfassung_KWKG'!$A1203)</f>
        <v>0</v>
      </c>
      <c r="D1203" s="134">
        <f t="shared" ref="D1203:D1266" si="54">B1203+C1203</f>
        <v>0</v>
      </c>
      <c r="E1203" s="70"/>
      <c r="F1203" s="70"/>
      <c r="G1203" s="70"/>
      <c r="H1203" s="70"/>
      <c r="I1203" s="54"/>
      <c r="J1203" s="27" t="str">
        <f t="shared" si="53"/>
        <v>IGS Netze GmbH</v>
      </c>
    </row>
    <row r="1204" spans="1:10" s="44" customFormat="1" hidden="1" outlineLevel="1">
      <c r="A1204" s="374" t="str">
        <f t="shared" si="52"/>
        <v>SNB974492211483</v>
      </c>
      <c r="B1204" s="492">
        <f>_xlfn.IFNA(VLOOKUP($A1204,'Anlage 1a_Zuschlagszahlungen_NB'!A339:E572,5,FALSE),0)</f>
        <v>617962</v>
      </c>
      <c r="C1204" s="88">
        <f>SUMIFS('Anlage 1c_Korrekturen_NB'!$D$105:$D$295,'Anlage 1c_Korrekturen_NB'!$A$105:$A$295,'Anlage 3a_Zusammenfassung_KWKG'!$A1204)+SUMIFS('Anlage 1c_Korrekturen_NB'!$F$105:$F$295,'Anlage 1c_Korrekturen_NB'!$A$105:$A$295,'Anlage 3a_Zusammenfassung_KWKG'!$A1204)+SUMIFS('Anlage 1c_Korrekturen_NB'!$H$105:$H$295,'Anlage 1c_Korrekturen_NB'!$A$105:$A$295,'Anlage 3a_Zusammenfassung_KWKG'!$A1204)</f>
        <v>0</v>
      </c>
      <c r="D1204" s="134">
        <f t="shared" si="54"/>
        <v>617962</v>
      </c>
      <c r="E1204" s="70"/>
      <c r="F1204" s="70"/>
      <c r="G1204" s="70"/>
      <c r="H1204" s="70"/>
      <c r="I1204" s="54"/>
      <c r="J1204" s="27" t="str">
        <f t="shared" si="53"/>
        <v>Stadtwerke Velbert GmbH</v>
      </c>
    </row>
    <row r="1205" spans="1:10" s="44" customFormat="1" hidden="1" outlineLevel="1">
      <c r="A1205" s="374" t="str">
        <f t="shared" si="52"/>
        <v>SNB974556654430</v>
      </c>
      <c r="B1205" s="492">
        <f>_xlfn.IFNA(VLOOKUP($A1205,'Anlage 1a_Zuschlagszahlungen_NB'!A340:E573,5,FALSE),0)</f>
        <v>691713</v>
      </c>
      <c r="C1205" s="88">
        <f>SUMIFS('Anlage 1c_Korrekturen_NB'!$D$105:$D$295,'Anlage 1c_Korrekturen_NB'!$A$105:$A$295,'Anlage 3a_Zusammenfassung_KWKG'!$A1205)+SUMIFS('Anlage 1c_Korrekturen_NB'!$F$105:$F$295,'Anlage 1c_Korrekturen_NB'!$A$105:$A$295,'Anlage 3a_Zusammenfassung_KWKG'!$A1205)+SUMIFS('Anlage 1c_Korrekturen_NB'!$H$105:$H$295,'Anlage 1c_Korrekturen_NB'!$A$105:$A$295,'Anlage 3a_Zusammenfassung_KWKG'!$A1205)</f>
        <v>0</v>
      </c>
      <c r="D1205" s="134">
        <f t="shared" si="54"/>
        <v>691713</v>
      </c>
      <c r="E1205" s="70"/>
      <c r="F1205" s="70"/>
      <c r="G1205" s="70"/>
      <c r="H1205" s="70"/>
      <c r="I1205" s="54"/>
      <c r="J1205" s="27" t="str">
        <f t="shared" si="53"/>
        <v>Donau-Stadtwerke Dillingen-Lauingen</v>
      </c>
    </row>
    <row r="1206" spans="1:10" s="44" customFormat="1" hidden="1" outlineLevel="1">
      <c r="A1206" s="374" t="str">
        <f t="shared" si="52"/>
        <v>SNB974711150357</v>
      </c>
      <c r="B1206" s="492">
        <f>_xlfn.IFNA(VLOOKUP($A1206,'Anlage 1a_Zuschlagszahlungen_NB'!A341:E574,5,FALSE),0)</f>
        <v>838699</v>
      </c>
      <c r="C1206" s="88">
        <f>SUMIFS('Anlage 1c_Korrekturen_NB'!$D$105:$D$295,'Anlage 1c_Korrekturen_NB'!$A$105:$A$295,'Anlage 3a_Zusammenfassung_KWKG'!$A1206)+SUMIFS('Anlage 1c_Korrekturen_NB'!$F$105:$F$295,'Anlage 1c_Korrekturen_NB'!$A$105:$A$295,'Anlage 3a_Zusammenfassung_KWKG'!$A1206)+SUMIFS('Anlage 1c_Korrekturen_NB'!$H$105:$H$295,'Anlage 1c_Korrekturen_NB'!$A$105:$A$295,'Anlage 3a_Zusammenfassung_KWKG'!$A1206)</f>
        <v>0</v>
      </c>
      <c r="D1206" s="134">
        <f t="shared" si="54"/>
        <v>838699</v>
      </c>
      <c r="E1206" s="70"/>
      <c r="F1206" s="70"/>
      <c r="G1206" s="70"/>
      <c r="H1206" s="70"/>
      <c r="I1206" s="54"/>
      <c r="J1206" s="27" t="str">
        <f t="shared" si="53"/>
        <v>Netcur GmbH</v>
      </c>
    </row>
    <row r="1207" spans="1:10" s="44" customFormat="1" hidden="1" outlineLevel="1">
      <c r="A1207" s="374" t="str">
        <f t="shared" si="52"/>
        <v>SNB974739102161</v>
      </c>
      <c r="B1207" s="492">
        <f>_xlfn.IFNA(VLOOKUP($A1207,'Anlage 1a_Zuschlagszahlungen_NB'!A342:E575,5,FALSE),0)</f>
        <v>556127</v>
      </c>
      <c r="C1207" s="88">
        <f>SUMIFS('Anlage 1c_Korrekturen_NB'!$D$105:$D$295,'Anlage 1c_Korrekturen_NB'!$A$105:$A$295,'Anlage 3a_Zusammenfassung_KWKG'!$A1207)+SUMIFS('Anlage 1c_Korrekturen_NB'!$F$105:$F$295,'Anlage 1c_Korrekturen_NB'!$A$105:$A$295,'Anlage 3a_Zusammenfassung_KWKG'!$A1207)+SUMIFS('Anlage 1c_Korrekturen_NB'!$H$105:$H$295,'Anlage 1c_Korrekturen_NB'!$A$105:$A$295,'Anlage 3a_Zusammenfassung_KWKG'!$A1207)</f>
        <v>0</v>
      </c>
      <c r="D1207" s="134">
        <f t="shared" si="54"/>
        <v>556127</v>
      </c>
      <c r="E1207" s="70"/>
      <c r="F1207" s="70"/>
      <c r="G1207" s="70"/>
      <c r="H1207" s="70"/>
      <c r="I1207" s="54"/>
      <c r="J1207" s="27" t="str">
        <f t="shared" si="53"/>
        <v>T.W.O. Technische Werke Osning GmbH</v>
      </c>
    </row>
    <row r="1208" spans="1:10" s="44" customFormat="1" hidden="1" outlineLevel="1">
      <c r="A1208" s="374" t="str">
        <f t="shared" si="52"/>
        <v>SNB975680234468</v>
      </c>
      <c r="B1208" s="492">
        <f>_xlfn.IFNA(VLOOKUP($A1208,'Anlage 1a_Zuschlagszahlungen_NB'!A343:E576,5,FALSE),0)</f>
        <v>319839</v>
      </c>
      <c r="C1208" s="88">
        <f>SUMIFS('Anlage 1c_Korrekturen_NB'!$D$105:$D$295,'Anlage 1c_Korrekturen_NB'!$A$105:$A$295,'Anlage 3a_Zusammenfassung_KWKG'!$A1208)+SUMIFS('Anlage 1c_Korrekturen_NB'!$F$105:$F$295,'Anlage 1c_Korrekturen_NB'!$A$105:$A$295,'Anlage 3a_Zusammenfassung_KWKG'!$A1208)+SUMIFS('Anlage 1c_Korrekturen_NB'!$H$105:$H$295,'Anlage 1c_Korrekturen_NB'!$A$105:$A$295,'Anlage 3a_Zusammenfassung_KWKG'!$A1208)</f>
        <v>0</v>
      </c>
      <c r="D1208" s="134">
        <f t="shared" si="54"/>
        <v>319839</v>
      </c>
      <c r="E1208" s="70"/>
      <c r="F1208" s="70"/>
      <c r="G1208" s="70"/>
      <c r="H1208" s="70"/>
      <c r="I1208" s="54"/>
      <c r="J1208" s="27" t="str">
        <f t="shared" si="53"/>
        <v>Stadtwerke Witten Mittelspannungsnetz GmbH</v>
      </c>
    </row>
    <row r="1209" spans="1:10" s="44" customFormat="1" hidden="1" outlineLevel="1">
      <c r="A1209" s="374" t="str">
        <f t="shared" si="52"/>
        <v>SNB976379598847</v>
      </c>
      <c r="B1209" s="492">
        <f>_xlfn.IFNA(VLOOKUP($A1209,'Anlage 1a_Zuschlagszahlungen_NB'!A344:E577,5,FALSE),0)</f>
        <v>4562346</v>
      </c>
      <c r="C1209" s="88">
        <f>SUMIFS('Anlage 1c_Korrekturen_NB'!$D$105:$D$295,'Anlage 1c_Korrekturen_NB'!$A$105:$A$295,'Anlage 3a_Zusammenfassung_KWKG'!$A1209)+SUMIFS('Anlage 1c_Korrekturen_NB'!$F$105:$F$295,'Anlage 1c_Korrekturen_NB'!$A$105:$A$295,'Anlage 3a_Zusammenfassung_KWKG'!$A1209)+SUMIFS('Anlage 1c_Korrekturen_NB'!$H$105:$H$295,'Anlage 1c_Korrekturen_NB'!$A$105:$A$295,'Anlage 3a_Zusammenfassung_KWKG'!$A1209)</f>
        <v>0</v>
      </c>
      <c r="D1209" s="134">
        <f t="shared" si="54"/>
        <v>4562346</v>
      </c>
      <c r="E1209" s="70"/>
      <c r="F1209" s="70"/>
      <c r="G1209" s="70"/>
      <c r="H1209" s="70"/>
      <c r="I1209" s="54"/>
      <c r="J1209" s="27" t="str">
        <f t="shared" si="53"/>
        <v>energis-Netzgesellschaft mbH</v>
      </c>
    </row>
    <row r="1210" spans="1:10" s="44" customFormat="1" hidden="1" outlineLevel="1">
      <c r="A1210" s="374" t="str">
        <f t="shared" si="52"/>
        <v>SNB976890256486</v>
      </c>
      <c r="B1210" s="492">
        <f>_xlfn.IFNA(VLOOKUP($A1210,'Anlage 1a_Zuschlagszahlungen_NB'!A345:E578,5,FALSE),0)</f>
        <v>1570534438</v>
      </c>
      <c r="C1210" s="88">
        <f>SUMIFS('Anlage 1c_Korrekturen_NB'!$D$105:$D$295,'Anlage 1c_Korrekturen_NB'!$A$105:$A$295,'Anlage 3a_Zusammenfassung_KWKG'!$A1210)+SUMIFS('Anlage 1c_Korrekturen_NB'!$F$105:$F$295,'Anlage 1c_Korrekturen_NB'!$A$105:$A$295,'Anlage 3a_Zusammenfassung_KWKG'!$A1210)+SUMIFS('Anlage 1c_Korrekturen_NB'!$H$105:$H$295,'Anlage 1c_Korrekturen_NB'!$A$105:$A$295,'Anlage 3a_Zusammenfassung_KWKG'!$A1210)</f>
        <v>413024542</v>
      </c>
      <c r="D1210" s="134">
        <f t="shared" si="54"/>
        <v>1983558980</v>
      </c>
      <c r="E1210" s="70"/>
      <c r="F1210" s="70"/>
      <c r="G1210" s="70"/>
      <c r="H1210" s="70"/>
      <c r="I1210" s="54"/>
      <c r="J1210" s="27" t="str">
        <f t="shared" si="53"/>
        <v>Amprion GmbH</v>
      </c>
    </row>
    <row r="1211" spans="1:10" s="44" customFormat="1" hidden="1" outlineLevel="1">
      <c r="A1211" s="374" t="str">
        <f t="shared" si="52"/>
        <v>SNB977443469322</v>
      </c>
      <c r="B1211" s="492">
        <f>_xlfn.IFNA(VLOOKUP($A1211,'Anlage 1a_Zuschlagszahlungen_NB'!A346:E579,5,FALSE),0)</f>
        <v>1911285</v>
      </c>
      <c r="C1211" s="88">
        <f>SUMIFS('Anlage 1c_Korrekturen_NB'!$D$105:$D$295,'Anlage 1c_Korrekturen_NB'!$A$105:$A$295,'Anlage 3a_Zusammenfassung_KWKG'!$A1211)+SUMIFS('Anlage 1c_Korrekturen_NB'!$F$105:$F$295,'Anlage 1c_Korrekturen_NB'!$A$105:$A$295,'Anlage 3a_Zusammenfassung_KWKG'!$A1211)+SUMIFS('Anlage 1c_Korrekturen_NB'!$H$105:$H$295,'Anlage 1c_Korrekturen_NB'!$A$105:$A$295,'Anlage 3a_Zusammenfassung_KWKG'!$A1211)</f>
        <v>35692</v>
      </c>
      <c r="D1211" s="134">
        <f t="shared" si="54"/>
        <v>1946977</v>
      </c>
      <c r="E1211" s="70"/>
      <c r="F1211" s="70"/>
      <c r="G1211" s="70"/>
      <c r="H1211" s="70"/>
      <c r="I1211" s="54"/>
      <c r="J1211" s="27" t="str">
        <f t="shared" si="53"/>
        <v>LokalWerke GmbH</v>
      </c>
    </row>
    <row r="1212" spans="1:10" s="44" customFormat="1" hidden="1" outlineLevel="1">
      <c r="A1212" s="374" t="str">
        <f t="shared" si="52"/>
        <v>SNB977443469322</v>
      </c>
      <c r="B1212" s="492">
        <f>_xlfn.IFNA(VLOOKUP($A1212,'Anlage 1a_Zuschlagszahlungen_NB'!A347:E580,5,FALSE),0)</f>
        <v>4513699</v>
      </c>
      <c r="C1212" s="1647">
        <v>0</v>
      </c>
      <c r="D1212" s="134">
        <f t="shared" si="54"/>
        <v>4513699</v>
      </c>
      <c r="E1212" s="70"/>
      <c r="F1212" s="70"/>
      <c r="G1212" s="70"/>
      <c r="H1212" s="70"/>
      <c r="I1212" s="54"/>
      <c r="J1212" s="27" t="str">
        <f t="shared" si="53"/>
        <v>LokalWerke GmbH</v>
      </c>
    </row>
    <row r="1213" spans="1:10" s="44" customFormat="1" hidden="1" outlineLevel="1">
      <c r="A1213" s="374" t="str">
        <f t="shared" si="52"/>
        <v>SNB977451702473</v>
      </c>
      <c r="B1213" s="492">
        <f>_xlfn.IFNA(VLOOKUP($A1213,'Anlage 1a_Zuschlagszahlungen_NB'!A348:E581,5,FALSE),0)</f>
        <v>0</v>
      </c>
      <c r="C1213" s="88">
        <f>SUMIFS('Anlage 1c_Korrekturen_NB'!$D$105:$D$295,'Anlage 1c_Korrekturen_NB'!$A$105:$A$295,'Anlage 3a_Zusammenfassung_KWKG'!$A1213)+SUMIFS('Anlage 1c_Korrekturen_NB'!$F$105:$F$295,'Anlage 1c_Korrekturen_NB'!$A$105:$A$295,'Anlage 3a_Zusammenfassung_KWKG'!$A1213)+SUMIFS('Anlage 1c_Korrekturen_NB'!$H$105:$H$295,'Anlage 1c_Korrekturen_NB'!$A$105:$A$295,'Anlage 3a_Zusammenfassung_KWKG'!$A1213)</f>
        <v>0</v>
      </c>
      <c r="D1213" s="134">
        <f t="shared" si="54"/>
        <v>0</v>
      </c>
      <c r="E1213" s="70"/>
      <c r="F1213" s="70"/>
      <c r="G1213" s="70"/>
      <c r="H1213" s="70"/>
      <c r="I1213" s="54"/>
      <c r="J1213" s="27" t="str">
        <f t="shared" si="53"/>
        <v>Stromkontor Griesheim GmbH</v>
      </c>
    </row>
    <row r="1214" spans="1:10" s="44" customFormat="1" hidden="1" outlineLevel="1">
      <c r="A1214" s="374" t="str">
        <f t="shared" si="52"/>
        <v>SNB977481237679</v>
      </c>
      <c r="B1214" s="492">
        <f>_xlfn.IFNA(VLOOKUP($A1214,'Anlage 1a_Zuschlagszahlungen_NB'!A349:E582,5,FALSE),0)</f>
        <v>1088260</v>
      </c>
      <c r="C1214" s="88">
        <f>SUMIFS('Anlage 1c_Korrekturen_NB'!$D$105:$D$295,'Anlage 1c_Korrekturen_NB'!$A$105:$A$295,'Anlage 3a_Zusammenfassung_KWKG'!$A1214)+SUMIFS('Anlage 1c_Korrekturen_NB'!$F$105:$F$295,'Anlage 1c_Korrekturen_NB'!$A$105:$A$295,'Anlage 3a_Zusammenfassung_KWKG'!$A1214)+SUMIFS('Anlage 1c_Korrekturen_NB'!$H$105:$H$295,'Anlage 1c_Korrekturen_NB'!$A$105:$A$295,'Anlage 3a_Zusammenfassung_KWKG'!$A1214)</f>
        <v>16976</v>
      </c>
      <c r="D1214" s="134">
        <f t="shared" si="54"/>
        <v>1105236</v>
      </c>
      <c r="E1214" s="70"/>
      <c r="F1214" s="70"/>
      <c r="G1214" s="70"/>
      <c r="H1214" s="70"/>
      <c r="I1214" s="54"/>
      <c r="J1214" s="27" t="str">
        <f t="shared" si="53"/>
        <v>Stadtwerke Georgsmarienhütte Netz GmbH</v>
      </c>
    </row>
    <row r="1215" spans="1:10" s="44" customFormat="1" hidden="1" outlineLevel="1">
      <c r="A1215" s="374" t="str">
        <f t="shared" si="52"/>
        <v>SNB977535807001</v>
      </c>
      <c r="B1215" s="492">
        <f>_xlfn.IFNA(VLOOKUP($A1215,'Anlage 1a_Zuschlagszahlungen_NB'!A350:E583,5,FALSE),0)</f>
        <v>14473656</v>
      </c>
      <c r="C1215" s="88">
        <f>SUMIFS('Anlage 1c_Korrekturen_NB'!$D$105:$D$295,'Anlage 1c_Korrekturen_NB'!$A$105:$A$295,'Anlage 3a_Zusammenfassung_KWKG'!$A1215)+SUMIFS('Anlage 1c_Korrekturen_NB'!$F$105:$F$295,'Anlage 1c_Korrekturen_NB'!$A$105:$A$295,'Anlage 3a_Zusammenfassung_KWKG'!$A1215)+SUMIFS('Anlage 1c_Korrekturen_NB'!$H$105:$H$295,'Anlage 1c_Korrekturen_NB'!$A$105:$A$295,'Anlage 3a_Zusammenfassung_KWKG'!$A1215)</f>
        <v>0</v>
      </c>
      <c r="D1215" s="134">
        <f t="shared" si="54"/>
        <v>14473656</v>
      </c>
      <c r="E1215" s="70"/>
      <c r="F1215" s="70"/>
      <c r="G1215" s="70"/>
      <c r="H1215" s="70"/>
      <c r="I1215" s="54"/>
      <c r="J1215" s="27" t="str">
        <f t="shared" si="53"/>
        <v>Infraserv Netze GmbH</v>
      </c>
    </row>
    <row r="1216" spans="1:10" s="44" customFormat="1" hidden="1" outlineLevel="1">
      <c r="A1216" s="374" t="str">
        <f t="shared" si="52"/>
        <v>SNB978108787379</v>
      </c>
      <c r="B1216" s="492">
        <f>_xlfn.IFNA(VLOOKUP($A1216,'Anlage 1a_Zuschlagszahlungen_NB'!A351:E584,5,FALSE),0)</f>
        <v>86896</v>
      </c>
      <c r="C1216" s="88">
        <f>SUMIFS('Anlage 1c_Korrekturen_NB'!$D$105:$D$295,'Anlage 1c_Korrekturen_NB'!$A$105:$A$295,'Anlage 3a_Zusammenfassung_KWKG'!$A1216)+SUMIFS('Anlage 1c_Korrekturen_NB'!$F$105:$F$295,'Anlage 1c_Korrekturen_NB'!$A$105:$A$295,'Anlage 3a_Zusammenfassung_KWKG'!$A1216)+SUMIFS('Anlage 1c_Korrekturen_NB'!$H$105:$H$295,'Anlage 1c_Korrekturen_NB'!$A$105:$A$295,'Anlage 3a_Zusammenfassung_KWKG'!$A1216)</f>
        <v>1682339</v>
      </c>
      <c r="D1216" s="134">
        <f t="shared" si="54"/>
        <v>1769235</v>
      </c>
      <c r="E1216" s="70"/>
      <c r="F1216" s="70"/>
      <c r="G1216" s="70"/>
      <c r="H1216" s="70"/>
      <c r="I1216" s="54"/>
      <c r="J1216" s="27" t="str">
        <f t="shared" si="53"/>
        <v>NHL Netzgesellschaft Heilbronner Land GmbH &amp; Co. KG</v>
      </c>
    </row>
    <row r="1217" spans="1:10" s="44" customFormat="1" hidden="1" outlineLevel="1">
      <c r="A1217" s="374" t="str">
        <f t="shared" si="52"/>
        <v>SNB978730380269</v>
      </c>
      <c r="B1217" s="492">
        <f>_xlfn.IFNA(VLOOKUP($A1217,'Anlage 1a_Zuschlagszahlungen_NB'!A352:E585,5,FALSE),0)</f>
        <v>646884</v>
      </c>
      <c r="C1217" s="88">
        <f>SUMIFS('Anlage 1c_Korrekturen_NB'!$D$105:$D$295,'Anlage 1c_Korrekturen_NB'!$A$105:$A$295,'Anlage 3a_Zusammenfassung_KWKG'!$A1217)+SUMIFS('Anlage 1c_Korrekturen_NB'!$F$105:$F$295,'Anlage 1c_Korrekturen_NB'!$A$105:$A$295,'Anlage 3a_Zusammenfassung_KWKG'!$A1217)+SUMIFS('Anlage 1c_Korrekturen_NB'!$H$105:$H$295,'Anlage 1c_Korrekturen_NB'!$A$105:$A$295,'Anlage 3a_Zusammenfassung_KWKG'!$A1217)</f>
        <v>271554</v>
      </c>
      <c r="D1217" s="134">
        <f t="shared" si="54"/>
        <v>918438</v>
      </c>
      <c r="E1217" s="70"/>
      <c r="F1217" s="70"/>
      <c r="G1217" s="70"/>
      <c r="H1217" s="70"/>
      <c r="I1217" s="54"/>
      <c r="J1217" s="27" t="str">
        <f t="shared" si="53"/>
        <v>Stadtwerke Ludwigsburg-Kornwestheim GmbH</v>
      </c>
    </row>
    <row r="1218" spans="1:10" s="44" customFormat="1" hidden="1" outlineLevel="1">
      <c r="A1218" s="374" t="str">
        <f t="shared" si="52"/>
        <v>SNB979326623005</v>
      </c>
      <c r="B1218" s="492">
        <f>_xlfn.IFNA(VLOOKUP($A1218,'Anlage 1a_Zuschlagszahlungen_NB'!A353:E586,5,FALSE),0)</f>
        <v>55501</v>
      </c>
      <c r="C1218" s="88">
        <f>SUMIFS('Anlage 1c_Korrekturen_NB'!$D$105:$D$295,'Anlage 1c_Korrekturen_NB'!$A$105:$A$295,'Anlage 3a_Zusammenfassung_KWKG'!$A1218)+SUMIFS('Anlage 1c_Korrekturen_NB'!$F$105:$F$295,'Anlage 1c_Korrekturen_NB'!$A$105:$A$295,'Anlage 3a_Zusammenfassung_KWKG'!$A1218)+SUMIFS('Anlage 1c_Korrekturen_NB'!$H$105:$H$295,'Anlage 1c_Korrekturen_NB'!$A$105:$A$295,'Anlage 3a_Zusammenfassung_KWKG'!$A1218)</f>
        <v>0</v>
      </c>
      <c r="D1218" s="134">
        <f t="shared" si="54"/>
        <v>55501</v>
      </c>
      <c r="E1218" s="70"/>
      <c r="F1218" s="70"/>
      <c r="G1218" s="70"/>
      <c r="H1218" s="70"/>
      <c r="I1218" s="54"/>
      <c r="J1218" s="27" t="str">
        <f t="shared" si="53"/>
        <v>stadtwerker Versorgungs GmbH</v>
      </c>
    </row>
    <row r="1219" spans="1:10" s="44" customFormat="1" hidden="1" outlineLevel="1">
      <c r="A1219" s="374" t="str">
        <f t="shared" si="52"/>
        <v>SNB979980141082</v>
      </c>
      <c r="B1219" s="492">
        <f>_xlfn.IFNA(VLOOKUP($A1219,'Anlage 1a_Zuschlagszahlungen_NB'!A354:E587,5,FALSE),0)</f>
        <v>430423</v>
      </c>
      <c r="C1219" s="88">
        <f>SUMIFS('Anlage 1c_Korrekturen_NB'!$D$105:$D$295,'Anlage 1c_Korrekturen_NB'!$A$105:$A$295,'Anlage 3a_Zusammenfassung_KWKG'!$A1219)+SUMIFS('Anlage 1c_Korrekturen_NB'!$F$105:$F$295,'Anlage 1c_Korrekturen_NB'!$A$105:$A$295,'Anlage 3a_Zusammenfassung_KWKG'!$A1219)+SUMIFS('Anlage 1c_Korrekturen_NB'!$H$105:$H$295,'Anlage 1c_Korrekturen_NB'!$A$105:$A$295,'Anlage 3a_Zusammenfassung_KWKG'!$A1219)</f>
        <v>71930</v>
      </c>
      <c r="D1219" s="134">
        <f t="shared" si="54"/>
        <v>502353</v>
      </c>
      <c r="E1219" s="70"/>
      <c r="F1219" s="70"/>
      <c r="G1219" s="70"/>
      <c r="H1219" s="70"/>
      <c r="I1219" s="54"/>
      <c r="J1219" s="27" t="str">
        <f t="shared" si="53"/>
        <v>Stadtwerke Werl GmbH</v>
      </c>
    </row>
    <row r="1220" spans="1:10" s="44" customFormat="1" hidden="1" outlineLevel="1">
      <c r="A1220" s="374" t="str">
        <f t="shared" si="52"/>
        <v>SNB980055629275</v>
      </c>
      <c r="B1220" s="492">
        <f>_xlfn.IFNA(VLOOKUP($A1220,'Anlage 1a_Zuschlagszahlungen_NB'!A355:E588,5,FALSE),0)</f>
        <v>10960464</v>
      </c>
      <c r="C1220" s="88">
        <f>SUMIFS('Anlage 1c_Korrekturen_NB'!$D$105:$D$295,'Anlage 1c_Korrekturen_NB'!$A$105:$A$295,'Anlage 3a_Zusammenfassung_KWKG'!$A1220)+SUMIFS('Anlage 1c_Korrekturen_NB'!$F$105:$F$295,'Anlage 1c_Korrekturen_NB'!$A$105:$A$295,'Anlage 3a_Zusammenfassung_KWKG'!$A1220)+SUMIFS('Anlage 1c_Korrekturen_NB'!$H$105:$H$295,'Anlage 1c_Korrekturen_NB'!$A$105:$A$295,'Anlage 3a_Zusammenfassung_KWKG'!$A1220)</f>
        <v>268757</v>
      </c>
      <c r="D1220" s="134">
        <f t="shared" si="54"/>
        <v>11229221</v>
      </c>
      <c r="E1220" s="70"/>
      <c r="F1220" s="70"/>
      <c r="G1220" s="70"/>
      <c r="H1220" s="70"/>
      <c r="I1220" s="54"/>
      <c r="J1220" s="27" t="str">
        <f t="shared" si="53"/>
        <v>Energienetze Mittelrhein GmbH &amp; Co. KG</v>
      </c>
    </row>
    <row r="1221" spans="1:10" s="44" customFormat="1" hidden="1" outlineLevel="1">
      <c r="A1221" s="374" t="str">
        <f t="shared" si="52"/>
        <v>SNB980362940834</v>
      </c>
      <c r="B1221" s="492">
        <f>_xlfn.IFNA(VLOOKUP($A1221,'Anlage 1a_Zuschlagszahlungen_NB'!A356:E589,5,FALSE),0)</f>
        <v>0</v>
      </c>
      <c r="C1221" s="88">
        <f>SUMIFS('Anlage 1c_Korrekturen_NB'!$D$105:$D$295,'Anlage 1c_Korrekturen_NB'!$A$105:$A$295,'Anlage 3a_Zusammenfassung_KWKG'!$A1221)+SUMIFS('Anlage 1c_Korrekturen_NB'!$F$105:$F$295,'Anlage 1c_Korrekturen_NB'!$A$105:$A$295,'Anlage 3a_Zusammenfassung_KWKG'!$A1221)+SUMIFS('Anlage 1c_Korrekturen_NB'!$H$105:$H$295,'Anlage 1c_Korrekturen_NB'!$A$105:$A$295,'Anlage 3a_Zusammenfassung_KWKG'!$A1221)</f>
        <v>0</v>
      </c>
      <c r="D1221" s="134">
        <f t="shared" si="54"/>
        <v>0</v>
      </c>
      <c r="E1221" s="70"/>
      <c r="F1221" s="70"/>
      <c r="G1221" s="70"/>
      <c r="H1221" s="70"/>
      <c r="I1221" s="54"/>
      <c r="J1221" s="27" t="str">
        <f t="shared" si="53"/>
        <v>Stromnetz24 GmbH</v>
      </c>
    </row>
    <row r="1222" spans="1:10" s="44" customFormat="1" hidden="1" outlineLevel="1">
      <c r="A1222" s="374" t="str">
        <f t="shared" si="52"/>
        <v>SNB980883363112</v>
      </c>
      <c r="B1222" s="492">
        <f>_xlfn.IFNA(VLOOKUP($A1222,'Anlage 1a_Zuschlagszahlungen_NB'!A357:E590,5,FALSE),0)</f>
        <v>20426726</v>
      </c>
      <c r="C1222" s="88">
        <f>SUMIFS('Anlage 1c_Korrekturen_NB'!$D$105:$D$295,'Anlage 1c_Korrekturen_NB'!$A$105:$A$295,'Anlage 3a_Zusammenfassung_KWKG'!$A1222)+SUMIFS('Anlage 1c_Korrekturen_NB'!$F$105:$F$295,'Anlage 1c_Korrekturen_NB'!$A$105:$A$295,'Anlage 3a_Zusammenfassung_KWKG'!$A1222)+SUMIFS('Anlage 1c_Korrekturen_NB'!$H$105:$H$295,'Anlage 1c_Korrekturen_NB'!$A$105:$A$295,'Anlage 3a_Zusammenfassung_KWKG'!$A1222)</f>
        <v>-87513</v>
      </c>
      <c r="D1222" s="134">
        <f t="shared" si="54"/>
        <v>20339213</v>
      </c>
      <c r="E1222" s="70"/>
      <c r="F1222" s="70"/>
      <c r="G1222" s="70"/>
      <c r="H1222" s="70"/>
      <c r="I1222" s="54"/>
      <c r="J1222" s="27" t="str">
        <f t="shared" si="53"/>
        <v>Stadtnetze Münster GmbH</v>
      </c>
    </row>
    <row r="1223" spans="1:10" s="44" customFormat="1" hidden="1" outlineLevel="1">
      <c r="A1223" s="374" t="str">
        <f t="shared" si="52"/>
        <v>SNB981060961299</v>
      </c>
      <c r="B1223" s="492">
        <f>_xlfn.IFNA(VLOOKUP($A1223,'Anlage 1a_Zuschlagszahlungen_NB'!A358:E591,5,FALSE),0)</f>
        <v>3429186</v>
      </c>
      <c r="C1223" s="88">
        <f>SUMIFS('Anlage 1c_Korrekturen_NB'!$D$105:$D$295,'Anlage 1c_Korrekturen_NB'!$A$105:$A$295,'Anlage 3a_Zusammenfassung_KWKG'!$A1223)+SUMIFS('Anlage 1c_Korrekturen_NB'!$F$105:$F$295,'Anlage 1c_Korrekturen_NB'!$A$105:$A$295,'Anlage 3a_Zusammenfassung_KWKG'!$A1223)+SUMIFS('Anlage 1c_Korrekturen_NB'!$H$105:$H$295,'Anlage 1c_Korrekturen_NB'!$A$105:$A$295,'Anlage 3a_Zusammenfassung_KWKG'!$A1223)</f>
        <v>2896331</v>
      </c>
      <c r="D1223" s="134">
        <f t="shared" si="54"/>
        <v>6325517</v>
      </c>
      <c r="E1223" s="70"/>
      <c r="F1223" s="70"/>
      <c r="G1223" s="70"/>
      <c r="H1223" s="70"/>
      <c r="I1223" s="54"/>
      <c r="J1223" s="27" t="str">
        <f t="shared" si="53"/>
        <v>Dortmunder Netz GmbH</v>
      </c>
    </row>
    <row r="1224" spans="1:10" s="44" customFormat="1" hidden="1" outlineLevel="1">
      <c r="A1224" s="374" t="str">
        <f t="shared" si="52"/>
        <v>SNB981122608278</v>
      </c>
      <c r="B1224" s="492">
        <f>_xlfn.IFNA(VLOOKUP($A1224,'Anlage 1a_Zuschlagszahlungen_NB'!A359:E592,5,FALSE),0)</f>
        <v>0</v>
      </c>
      <c r="C1224" s="88">
        <f>SUMIFS('Anlage 1c_Korrekturen_NB'!$D$105:$D$295,'Anlage 1c_Korrekturen_NB'!$A$105:$A$295,'Anlage 3a_Zusammenfassung_KWKG'!$A1224)+SUMIFS('Anlage 1c_Korrekturen_NB'!$F$105:$F$295,'Anlage 1c_Korrekturen_NB'!$A$105:$A$295,'Anlage 3a_Zusammenfassung_KWKG'!$A1224)+SUMIFS('Anlage 1c_Korrekturen_NB'!$H$105:$H$295,'Anlage 1c_Korrekturen_NB'!$A$105:$A$295,'Anlage 3a_Zusammenfassung_KWKG'!$A1224)</f>
        <v>0</v>
      </c>
      <c r="D1224" s="134">
        <f t="shared" si="54"/>
        <v>0</v>
      </c>
      <c r="E1224" s="70"/>
      <c r="F1224" s="70"/>
      <c r="G1224" s="70"/>
      <c r="H1224" s="70"/>
      <c r="I1224" s="54"/>
      <c r="J1224" s="27" t="str">
        <f t="shared" si="53"/>
        <v>Stromkontor Netzgesellschaft mbH</v>
      </c>
    </row>
    <row r="1225" spans="1:10" s="44" customFormat="1" hidden="1" outlineLevel="1">
      <c r="A1225" s="374" t="str">
        <f t="shared" si="52"/>
        <v>SNB981335690930</v>
      </c>
      <c r="B1225" s="492">
        <f>_xlfn.IFNA(VLOOKUP($A1225,'Anlage 1a_Zuschlagszahlungen_NB'!A360:E593,5,FALSE),0)</f>
        <v>654575</v>
      </c>
      <c r="C1225" s="88">
        <f>SUMIFS('Anlage 1c_Korrekturen_NB'!$D$105:$D$295,'Anlage 1c_Korrekturen_NB'!$A$105:$A$295,'Anlage 3a_Zusammenfassung_KWKG'!$A1225)+SUMIFS('Anlage 1c_Korrekturen_NB'!$F$105:$F$295,'Anlage 1c_Korrekturen_NB'!$A$105:$A$295,'Anlage 3a_Zusammenfassung_KWKG'!$A1225)+SUMIFS('Anlage 1c_Korrekturen_NB'!$H$105:$H$295,'Anlage 1c_Korrekturen_NB'!$A$105:$A$295,'Anlage 3a_Zusammenfassung_KWKG'!$A1225)</f>
        <v>108478</v>
      </c>
      <c r="D1225" s="134">
        <f t="shared" si="54"/>
        <v>763053</v>
      </c>
      <c r="E1225" s="70"/>
      <c r="F1225" s="70"/>
      <c r="G1225" s="70"/>
      <c r="H1225" s="70"/>
      <c r="I1225" s="54"/>
      <c r="J1225" s="27" t="str">
        <f t="shared" si="53"/>
        <v>Stadtwerke Andernach Energie GmbH</v>
      </c>
    </row>
    <row r="1226" spans="1:10" s="44" customFormat="1" hidden="1" outlineLevel="1">
      <c r="A1226" s="374" t="str">
        <f t="shared" si="52"/>
        <v>SNB982030394239</v>
      </c>
      <c r="B1226" s="492">
        <f>_xlfn.IFNA(VLOOKUP($A1226,'Anlage 1a_Zuschlagszahlungen_NB'!A361:E594,5,FALSE),0)</f>
        <v>2533680</v>
      </c>
      <c r="C1226" s="88">
        <f>SUMIFS('Anlage 1c_Korrekturen_NB'!$D$105:$D$295,'Anlage 1c_Korrekturen_NB'!$A$105:$A$295,'Anlage 3a_Zusammenfassung_KWKG'!$A1226)+SUMIFS('Anlage 1c_Korrekturen_NB'!$F$105:$F$295,'Anlage 1c_Korrekturen_NB'!$A$105:$A$295,'Anlage 3a_Zusammenfassung_KWKG'!$A1226)+SUMIFS('Anlage 1c_Korrekturen_NB'!$H$105:$H$295,'Anlage 1c_Korrekturen_NB'!$A$105:$A$295,'Anlage 3a_Zusammenfassung_KWKG'!$A1226)</f>
        <v>-435994</v>
      </c>
      <c r="D1226" s="134">
        <f t="shared" si="54"/>
        <v>2097686</v>
      </c>
      <c r="E1226" s="70"/>
      <c r="F1226" s="70"/>
      <c r="G1226" s="70"/>
      <c r="H1226" s="70"/>
      <c r="I1226" s="54"/>
      <c r="J1226" s="27" t="str">
        <f t="shared" si="53"/>
        <v>Stadtwerke Lingen GmbH</v>
      </c>
    </row>
    <row r="1227" spans="1:10" s="44" customFormat="1" hidden="1" outlineLevel="1">
      <c r="A1227" s="374" t="str">
        <f t="shared" ref="A1227:A1267" si="55">A361</f>
        <v>SNB982049301273</v>
      </c>
      <c r="B1227" s="492">
        <f>_xlfn.IFNA(VLOOKUP($A1227,'Anlage 1a_Zuschlagszahlungen_NB'!A362:E595,5,FALSE),0)</f>
        <v>286429</v>
      </c>
      <c r="C1227" s="88">
        <f>SUMIFS('Anlage 1c_Korrekturen_NB'!$D$105:$D$295,'Anlage 1c_Korrekturen_NB'!$A$105:$A$295,'Anlage 3a_Zusammenfassung_KWKG'!$A1227)+SUMIFS('Anlage 1c_Korrekturen_NB'!$F$105:$F$295,'Anlage 1c_Korrekturen_NB'!$A$105:$A$295,'Anlage 3a_Zusammenfassung_KWKG'!$A1227)+SUMIFS('Anlage 1c_Korrekturen_NB'!$H$105:$H$295,'Anlage 1c_Korrekturen_NB'!$A$105:$A$295,'Anlage 3a_Zusammenfassung_KWKG'!$A1227)</f>
        <v>-5227</v>
      </c>
      <c r="D1227" s="134">
        <f t="shared" si="54"/>
        <v>281202</v>
      </c>
      <c r="E1227" s="70"/>
      <c r="F1227" s="70"/>
      <c r="G1227" s="70"/>
      <c r="H1227" s="70"/>
      <c r="I1227" s="54"/>
      <c r="J1227" s="27" t="str">
        <f t="shared" ref="J1227:J1267" si="56">J361</f>
        <v>Stadtwerke Germersheim GmbH</v>
      </c>
    </row>
    <row r="1228" spans="1:10" s="44" customFormat="1" hidden="1" outlineLevel="1">
      <c r="A1228" s="374" t="str">
        <f t="shared" si="55"/>
        <v>SNB982394830312</v>
      </c>
      <c r="B1228" s="492">
        <f>_xlfn.IFNA(VLOOKUP($A1228,'Anlage 1a_Zuschlagszahlungen_NB'!A363:E596,5,FALSE),0)</f>
        <v>131429359</v>
      </c>
      <c r="C1228" s="88">
        <f>SUMIFS('Anlage 1c_Korrekturen_NB'!$D$105:$D$295,'Anlage 1c_Korrekturen_NB'!$A$105:$A$295,'Anlage 3a_Zusammenfassung_KWKG'!$A1228)+SUMIFS('Anlage 1c_Korrekturen_NB'!$F$105:$F$295,'Anlage 1c_Korrekturen_NB'!$A$105:$A$295,'Anlage 3a_Zusammenfassung_KWKG'!$A1228)+SUMIFS('Anlage 1c_Korrekturen_NB'!$H$105:$H$295,'Anlage 1c_Korrekturen_NB'!$A$105:$A$295,'Anlage 3a_Zusammenfassung_KWKG'!$A1228)</f>
        <v>257096</v>
      </c>
      <c r="D1228" s="134">
        <f t="shared" si="54"/>
        <v>131686455</v>
      </c>
      <c r="E1228" s="70"/>
      <c r="F1228" s="70"/>
      <c r="G1228" s="70"/>
      <c r="H1228" s="70"/>
      <c r="I1228" s="54"/>
      <c r="J1228" s="27" t="str">
        <f t="shared" si="56"/>
        <v>SWK Stadtwerke Kaiserslautern Versorgungs-AG</v>
      </c>
    </row>
    <row r="1229" spans="1:10" s="44" customFormat="1" hidden="1" outlineLevel="1">
      <c r="A1229" s="374" t="str">
        <f t="shared" si="55"/>
        <v>SNB982432856366</v>
      </c>
      <c r="B1229" s="492">
        <f>_xlfn.IFNA(VLOOKUP($A1229,'Anlage 1a_Zuschlagszahlungen_NB'!A364:E597,5,FALSE),0)</f>
        <v>1882793</v>
      </c>
      <c r="C1229" s="88">
        <f>SUMIFS('Anlage 1c_Korrekturen_NB'!$D$105:$D$295,'Anlage 1c_Korrekturen_NB'!$A$105:$A$295,'Anlage 3a_Zusammenfassung_KWKG'!$A1229)+SUMIFS('Anlage 1c_Korrekturen_NB'!$F$105:$F$295,'Anlage 1c_Korrekturen_NB'!$A$105:$A$295,'Anlage 3a_Zusammenfassung_KWKG'!$A1229)+SUMIFS('Anlage 1c_Korrekturen_NB'!$H$105:$H$295,'Anlage 1c_Korrekturen_NB'!$A$105:$A$295,'Anlage 3a_Zusammenfassung_KWKG'!$A1229)</f>
        <v>568804</v>
      </c>
      <c r="D1229" s="134">
        <f t="shared" si="54"/>
        <v>2451597</v>
      </c>
      <c r="E1229" s="70"/>
      <c r="F1229" s="70"/>
      <c r="G1229" s="70"/>
      <c r="H1229" s="70"/>
      <c r="I1229" s="54"/>
      <c r="J1229" s="27" t="str">
        <f t="shared" si="56"/>
        <v>Stadtwerke Borken/Westf. GmbH</v>
      </c>
    </row>
    <row r="1230" spans="1:10" s="44" customFormat="1" hidden="1" outlineLevel="1">
      <c r="A1230" s="374" t="str">
        <f t="shared" si="55"/>
        <v>SNB982660786343</v>
      </c>
      <c r="B1230" s="492">
        <f>_xlfn.IFNA(VLOOKUP($A1230,'Anlage 1a_Zuschlagszahlungen_NB'!A365:E598,5,FALSE),0)</f>
        <v>0</v>
      </c>
      <c r="C1230" s="88">
        <f>SUMIFS('Anlage 1c_Korrekturen_NB'!$D$105:$D$295,'Anlage 1c_Korrekturen_NB'!$A$105:$A$295,'Anlage 3a_Zusammenfassung_KWKG'!$A1230)+SUMIFS('Anlage 1c_Korrekturen_NB'!$F$105:$F$295,'Anlage 1c_Korrekturen_NB'!$A$105:$A$295,'Anlage 3a_Zusammenfassung_KWKG'!$A1230)+SUMIFS('Anlage 1c_Korrekturen_NB'!$H$105:$H$295,'Anlage 1c_Korrekturen_NB'!$A$105:$A$295,'Anlage 3a_Zusammenfassung_KWKG'!$A1230)</f>
        <v>0</v>
      </c>
      <c r="D1230" s="134">
        <f t="shared" si="54"/>
        <v>0</v>
      </c>
      <c r="E1230" s="70"/>
      <c r="F1230" s="70"/>
      <c r="G1230" s="70"/>
      <c r="H1230" s="70"/>
      <c r="I1230" s="54"/>
      <c r="J1230" s="27" t="str">
        <f t="shared" si="56"/>
        <v>Stadtwerke Schwäbisch Hall GmbH</v>
      </c>
    </row>
    <row r="1231" spans="1:10" s="44" customFormat="1" hidden="1" outlineLevel="1">
      <c r="A1231" s="374" t="str">
        <f t="shared" si="55"/>
        <v>SNB983315496327</v>
      </c>
      <c r="B1231" s="492">
        <f>_xlfn.IFNA(VLOOKUP($A1231,'Anlage 1a_Zuschlagszahlungen_NB'!A366:E599,5,FALSE),0)</f>
        <v>23250141</v>
      </c>
      <c r="C1231" s="88">
        <f>SUMIFS('Anlage 1c_Korrekturen_NB'!$D$105:$D$295,'Anlage 1c_Korrekturen_NB'!$A$105:$A$295,'Anlage 3a_Zusammenfassung_KWKG'!$A1231)+SUMIFS('Anlage 1c_Korrekturen_NB'!$F$105:$F$295,'Anlage 1c_Korrekturen_NB'!$A$105:$A$295,'Anlage 3a_Zusammenfassung_KWKG'!$A1231)+SUMIFS('Anlage 1c_Korrekturen_NB'!$H$105:$H$295,'Anlage 1c_Korrekturen_NB'!$A$105:$A$295,'Anlage 3a_Zusammenfassung_KWKG'!$A1231)</f>
        <v>2124</v>
      </c>
      <c r="D1231" s="134">
        <f t="shared" si="54"/>
        <v>23252265</v>
      </c>
      <c r="E1231" s="70"/>
      <c r="F1231" s="70"/>
      <c r="G1231" s="70"/>
      <c r="H1231" s="70"/>
      <c r="I1231" s="54"/>
      <c r="J1231" s="27" t="str">
        <f t="shared" si="56"/>
        <v>Ahrtal-Werke GmbH</v>
      </c>
    </row>
    <row r="1232" spans="1:10" s="44" customFormat="1" hidden="1" outlineLevel="1">
      <c r="A1232" s="374" t="str">
        <f t="shared" si="55"/>
        <v>SNB983444187332</v>
      </c>
      <c r="B1232" s="492">
        <f>_xlfn.IFNA(VLOOKUP($A1232,'Anlage 1a_Zuschlagszahlungen_NB'!A367:E600,5,FALSE),0)</f>
        <v>4111183</v>
      </c>
      <c r="C1232" s="88">
        <f>SUMIFS('Anlage 1c_Korrekturen_NB'!$D$105:$D$295,'Anlage 1c_Korrekturen_NB'!$A$105:$A$295,'Anlage 3a_Zusammenfassung_KWKG'!$A1232)+SUMIFS('Anlage 1c_Korrekturen_NB'!$F$105:$F$295,'Anlage 1c_Korrekturen_NB'!$A$105:$A$295,'Anlage 3a_Zusammenfassung_KWKG'!$A1232)+SUMIFS('Anlage 1c_Korrekturen_NB'!$H$105:$H$295,'Anlage 1c_Korrekturen_NB'!$A$105:$A$295,'Anlage 3a_Zusammenfassung_KWKG'!$A1232)</f>
        <v>0</v>
      </c>
      <c r="D1232" s="134">
        <f t="shared" si="54"/>
        <v>4111183</v>
      </c>
      <c r="E1232" s="70"/>
      <c r="F1232" s="70"/>
      <c r="G1232" s="70"/>
      <c r="H1232" s="70"/>
      <c r="I1232" s="54"/>
      <c r="J1232" s="27" t="str">
        <f t="shared" si="56"/>
        <v>Stadtwerke Brühl GmbH</v>
      </c>
    </row>
    <row r="1233" spans="1:10" s="44" customFormat="1" hidden="1" outlineLevel="1">
      <c r="A1233" s="374" t="str">
        <f t="shared" si="55"/>
        <v>SNB983526428810</v>
      </c>
      <c r="B1233" s="492">
        <f>_xlfn.IFNA(VLOOKUP($A1233,'Anlage 1a_Zuschlagszahlungen_NB'!A368:E601,5,FALSE),0)</f>
        <v>1994950</v>
      </c>
      <c r="C1233" s="88">
        <f>SUMIFS('Anlage 1c_Korrekturen_NB'!$D$105:$D$295,'Anlage 1c_Korrekturen_NB'!$A$105:$A$295,'Anlage 3a_Zusammenfassung_KWKG'!$A1233)+SUMIFS('Anlage 1c_Korrekturen_NB'!$F$105:$F$295,'Anlage 1c_Korrekturen_NB'!$A$105:$A$295,'Anlage 3a_Zusammenfassung_KWKG'!$A1233)+SUMIFS('Anlage 1c_Korrekturen_NB'!$H$105:$H$295,'Anlage 1c_Korrekturen_NB'!$A$105:$A$295,'Anlage 3a_Zusammenfassung_KWKG'!$A1233)</f>
        <v>0</v>
      </c>
      <c r="D1233" s="134">
        <f t="shared" si="54"/>
        <v>1994950</v>
      </c>
      <c r="E1233" s="70"/>
      <c r="F1233" s="70"/>
      <c r="G1233" s="70"/>
      <c r="H1233" s="70"/>
      <c r="I1233" s="54"/>
      <c r="J1233" s="27" t="str">
        <f t="shared" si="56"/>
        <v>Mainnetz GmbH</v>
      </c>
    </row>
    <row r="1234" spans="1:10" s="44" customFormat="1" hidden="1" outlineLevel="1">
      <c r="A1234" s="374" t="str">
        <f t="shared" si="55"/>
        <v>SNB983792571722</v>
      </c>
      <c r="B1234" s="492">
        <f>_xlfn.IFNA(VLOOKUP($A1234,'Anlage 1a_Zuschlagszahlungen_NB'!A369:E602,5,FALSE),0)</f>
        <v>154695</v>
      </c>
      <c r="C1234" s="88">
        <f>SUMIFS('Anlage 1c_Korrekturen_NB'!$D$105:$D$295,'Anlage 1c_Korrekturen_NB'!$A$105:$A$295,'Anlage 3a_Zusammenfassung_KWKG'!$A1234)+SUMIFS('Anlage 1c_Korrekturen_NB'!$F$105:$F$295,'Anlage 1c_Korrekturen_NB'!$A$105:$A$295,'Anlage 3a_Zusammenfassung_KWKG'!$A1234)+SUMIFS('Anlage 1c_Korrekturen_NB'!$H$105:$H$295,'Anlage 1c_Korrekturen_NB'!$A$105:$A$295,'Anlage 3a_Zusammenfassung_KWKG'!$A1234)</f>
        <v>0</v>
      </c>
      <c r="D1234" s="134">
        <f t="shared" si="54"/>
        <v>154695</v>
      </c>
      <c r="E1234" s="70"/>
      <c r="F1234" s="70"/>
      <c r="G1234" s="70"/>
      <c r="H1234" s="70"/>
      <c r="I1234" s="54"/>
      <c r="J1234" s="27" t="str">
        <f t="shared" si="56"/>
        <v>Gemeindewerke Wadgassen GmbH</v>
      </c>
    </row>
    <row r="1235" spans="1:10" s="44" customFormat="1" hidden="1" outlineLevel="1">
      <c r="A1235" s="374" t="str">
        <f t="shared" si="55"/>
        <v>SNB984269982003</v>
      </c>
      <c r="B1235" s="492">
        <f>_xlfn.IFNA(VLOOKUP($A1235,'Anlage 1a_Zuschlagszahlungen_NB'!A370:E603,5,FALSE),0)</f>
        <v>39155</v>
      </c>
      <c r="C1235" s="88">
        <f>SUMIFS('Anlage 1c_Korrekturen_NB'!$D$105:$D$295,'Anlage 1c_Korrekturen_NB'!$A$105:$A$295,'Anlage 3a_Zusammenfassung_KWKG'!$A1235)+SUMIFS('Anlage 1c_Korrekturen_NB'!$F$105:$F$295,'Anlage 1c_Korrekturen_NB'!$A$105:$A$295,'Anlage 3a_Zusammenfassung_KWKG'!$A1235)+SUMIFS('Anlage 1c_Korrekturen_NB'!$H$105:$H$295,'Anlage 1c_Korrekturen_NB'!$A$105:$A$295,'Anlage 3a_Zusammenfassung_KWKG'!$A1235)</f>
        <v>0</v>
      </c>
      <c r="D1235" s="134">
        <f t="shared" si="54"/>
        <v>39155</v>
      </c>
      <c r="E1235" s="70"/>
      <c r="F1235" s="70"/>
      <c r="G1235" s="70"/>
      <c r="H1235" s="70"/>
      <c r="I1235" s="54"/>
      <c r="J1235" s="27" t="str">
        <f t="shared" si="56"/>
        <v>Stadtwerke Deidesheim GmbH</v>
      </c>
    </row>
    <row r="1236" spans="1:10" s="44" customFormat="1" hidden="1" outlineLevel="1">
      <c r="A1236" s="374" t="str">
        <f t="shared" si="55"/>
        <v>SNB984338214660</v>
      </c>
      <c r="B1236" s="492">
        <f>_xlfn.IFNA(VLOOKUP($A1236,'Anlage 1a_Zuschlagszahlungen_NB'!A371:E604,5,FALSE),0)</f>
        <v>0</v>
      </c>
      <c r="C1236" s="88">
        <f>SUMIFS('Anlage 1c_Korrekturen_NB'!$D$105:$D$295,'Anlage 1c_Korrekturen_NB'!$A$105:$A$295,'Anlage 3a_Zusammenfassung_KWKG'!$A1236)+SUMIFS('Anlage 1c_Korrekturen_NB'!$F$105:$F$295,'Anlage 1c_Korrekturen_NB'!$A$105:$A$295,'Anlage 3a_Zusammenfassung_KWKG'!$A1236)+SUMIFS('Anlage 1c_Korrekturen_NB'!$H$105:$H$295,'Anlage 1c_Korrekturen_NB'!$A$105:$A$295,'Anlage 3a_Zusammenfassung_KWKG'!$A1236)</f>
        <v>0</v>
      </c>
      <c r="D1236" s="134">
        <f t="shared" si="54"/>
        <v>0</v>
      </c>
      <c r="E1236" s="70"/>
      <c r="F1236" s="70"/>
      <c r="G1236" s="70"/>
      <c r="H1236" s="70"/>
      <c r="I1236" s="54"/>
      <c r="J1236" s="27" t="str">
        <f t="shared" si="56"/>
        <v>Gemeinde-Elektrizitäts- und Wasserwerk Burtenbach</v>
      </c>
    </row>
    <row r="1237" spans="1:10" s="44" customFormat="1" hidden="1" outlineLevel="1">
      <c r="A1237" s="374" t="str">
        <f t="shared" si="55"/>
        <v>SNB985069443664</v>
      </c>
      <c r="B1237" s="492">
        <f>_xlfn.IFNA(VLOOKUP($A1237,'Anlage 1a_Zuschlagszahlungen_NB'!A372:E605,5,FALSE),0)</f>
        <v>0</v>
      </c>
      <c r="C1237" s="88">
        <f>SUMIFS('Anlage 1c_Korrekturen_NB'!$D$105:$D$295,'Anlage 1c_Korrekturen_NB'!$A$105:$A$295,'Anlage 3a_Zusammenfassung_KWKG'!$A1237)+SUMIFS('Anlage 1c_Korrekturen_NB'!$F$105:$F$295,'Anlage 1c_Korrekturen_NB'!$A$105:$A$295,'Anlage 3a_Zusammenfassung_KWKG'!$A1237)+SUMIFS('Anlage 1c_Korrekturen_NB'!$H$105:$H$295,'Anlage 1c_Korrekturen_NB'!$A$105:$A$295,'Anlage 3a_Zusammenfassung_KWKG'!$A1237)</f>
        <v>0</v>
      </c>
      <c r="D1237" s="134">
        <f t="shared" si="54"/>
        <v>0</v>
      </c>
      <c r="E1237" s="70"/>
      <c r="F1237" s="70"/>
      <c r="G1237" s="70"/>
      <c r="H1237" s="70"/>
      <c r="I1237" s="54"/>
      <c r="J1237" s="27" t="str">
        <f t="shared" si="56"/>
        <v>OXEA Services GmbH</v>
      </c>
    </row>
    <row r="1238" spans="1:10" s="44" customFormat="1" hidden="1" outlineLevel="1">
      <c r="A1238" s="374" t="str">
        <f t="shared" si="55"/>
        <v>SNB985098042388</v>
      </c>
      <c r="B1238" s="492">
        <f>_xlfn.IFNA(VLOOKUP($A1238,'Anlage 1a_Zuschlagszahlungen_NB'!A373:E606,5,FALSE),0)</f>
        <v>1688932</v>
      </c>
      <c r="C1238" s="88">
        <f>SUMIFS('Anlage 1c_Korrekturen_NB'!$D$105:$D$295,'Anlage 1c_Korrekturen_NB'!$A$105:$A$295,'Anlage 3a_Zusammenfassung_KWKG'!$A1238)+SUMIFS('Anlage 1c_Korrekturen_NB'!$F$105:$F$295,'Anlage 1c_Korrekturen_NB'!$A$105:$A$295,'Anlage 3a_Zusammenfassung_KWKG'!$A1238)+SUMIFS('Anlage 1c_Korrekturen_NB'!$H$105:$H$295,'Anlage 1c_Korrekturen_NB'!$A$105:$A$295,'Anlage 3a_Zusammenfassung_KWKG'!$A1238)</f>
        <v>0</v>
      </c>
      <c r="D1238" s="134">
        <f t="shared" si="54"/>
        <v>1688932</v>
      </c>
      <c r="E1238" s="70"/>
      <c r="F1238" s="70"/>
      <c r="G1238" s="70"/>
      <c r="H1238" s="70"/>
      <c r="I1238" s="54"/>
      <c r="J1238" s="27" t="str">
        <f t="shared" si="56"/>
        <v>Stadtwerke Lippstadt GmbH</v>
      </c>
    </row>
    <row r="1239" spans="1:10" s="44" customFormat="1" hidden="1" outlineLevel="1">
      <c r="A1239" s="374" t="str">
        <f t="shared" si="55"/>
        <v>SNB985347645049</v>
      </c>
      <c r="B1239" s="492">
        <f>_xlfn.IFNA(VLOOKUP($A1239,'Anlage 1a_Zuschlagszahlungen_NB'!A374:E607,5,FALSE),0)</f>
        <v>1413208</v>
      </c>
      <c r="C1239" s="88">
        <f>SUMIFS('Anlage 1c_Korrekturen_NB'!$D$105:$D$295,'Anlage 1c_Korrekturen_NB'!$A$105:$A$295,'Anlage 3a_Zusammenfassung_KWKG'!$A1239)+SUMIFS('Anlage 1c_Korrekturen_NB'!$F$105:$F$295,'Anlage 1c_Korrekturen_NB'!$A$105:$A$295,'Anlage 3a_Zusammenfassung_KWKG'!$A1239)+SUMIFS('Anlage 1c_Korrekturen_NB'!$H$105:$H$295,'Anlage 1c_Korrekturen_NB'!$A$105:$A$295,'Anlage 3a_Zusammenfassung_KWKG'!$A1239)</f>
        <v>0</v>
      </c>
      <c r="D1239" s="134">
        <f t="shared" si="54"/>
        <v>1413208</v>
      </c>
      <c r="E1239" s="70"/>
      <c r="F1239" s="70"/>
      <c r="G1239" s="70"/>
      <c r="H1239" s="70"/>
      <c r="I1239" s="54"/>
      <c r="J1239" s="27" t="str">
        <f t="shared" si="56"/>
        <v>Stadtwerke Nettetal GmbH</v>
      </c>
    </row>
    <row r="1240" spans="1:10" s="44" customFormat="1" hidden="1" outlineLevel="1">
      <c r="A1240" s="374" t="str">
        <f t="shared" si="55"/>
        <v>SNB985382489820</v>
      </c>
      <c r="B1240" s="492">
        <f>_xlfn.IFNA(VLOOKUP($A1240,'Anlage 1a_Zuschlagszahlungen_NB'!A375:E608,5,FALSE),0)</f>
        <v>172403776</v>
      </c>
      <c r="C1240" s="88">
        <f>SUMIFS('Anlage 1c_Korrekturen_NB'!$D$105:$D$295,'Anlage 1c_Korrekturen_NB'!$A$105:$A$295,'Anlage 3a_Zusammenfassung_KWKG'!$A1240)+SUMIFS('Anlage 1c_Korrekturen_NB'!$F$105:$F$295,'Anlage 1c_Korrekturen_NB'!$A$105:$A$295,'Anlage 3a_Zusammenfassung_KWKG'!$A1240)+SUMIFS('Anlage 1c_Korrekturen_NB'!$H$105:$H$295,'Anlage 1c_Korrekturen_NB'!$A$105:$A$295,'Anlage 3a_Zusammenfassung_KWKG'!$A1240)</f>
        <v>0</v>
      </c>
      <c r="D1240" s="134">
        <f t="shared" si="54"/>
        <v>172403776</v>
      </c>
      <c r="E1240" s="70"/>
      <c r="F1240" s="70"/>
      <c r="G1240" s="70"/>
      <c r="H1240" s="70"/>
      <c r="I1240" s="54"/>
      <c r="J1240" s="27" t="str">
        <f t="shared" si="56"/>
        <v>Stadtwerke Saarbrücken Netz AG</v>
      </c>
    </row>
    <row r="1241" spans="1:10" s="44" customFormat="1" hidden="1" outlineLevel="1">
      <c r="A1241" s="374" t="str">
        <f t="shared" si="55"/>
        <v>SNB985431470335</v>
      </c>
      <c r="B1241" s="492">
        <f>_xlfn.IFNA(VLOOKUP($A1241,'Anlage 1a_Zuschlagszahlungen_NB'!A376:E609,5,FALSE),0)</f>
        <v>4256778</v>
      </c>
      <c r="C1241" s="88">
        <f>SUMIFS('Anlage 1c_Korrekturen_NB'!$D$105:$D$295,'Anlage 1c_Korrekturen_NB'!$A$105:$A$295,'Anlage 3a_Zusammenfassung_KWKG'!$A1241)+SUMIFS('Anlage 1c_Korrekturen_NB'!$F$105:$F$295,'Anlage 1c_Korrekturen_NB'!$A$105:$A$295,'Anlage 3a_Zusammenfassung_KWKG'!$A1241)+SUMIFS('Anlage 1c_Korrekturen_NB'!$H$105:$H$295,'Anlage 1c_Korrekturen_NB'!$A$105:$A$295,'Anlage 3a_Zusammenfassung_KWKG'!$A1241)</f>
        <v>103272</v>
      </c>
      <c r="D1241" s="134">
        <f t="shared" si="54"/>
        <v>4360050</v>
      </c>
      <c r="E1241" s="70"/>
      <c r="F1241" s="70"/>
      <c r="G1241" s="70"/>
      <c r="H1241" s="70"/>
      <c r="I1241" s="54"/>
      <c r="J1241" s="27" t="str">
        <f t="shared" si="56"/>
        <v>Stadtwerke GmbH Bad Kreuznach</v>
      </c>
    </row>
    <row r="1242" spans="1:10" s="44" customFormat="1" hidden="1" outlineLevel="1">
      <c r="A1242" s="374" t="str">
        <f t="shared" si="55"/>
        <v>SNB985871274975</v>
      </c>
      <c r="B1242" s="492">
        <f>_xlfn.IFNA(VLOOKUP($A1242,'Anlage 1a_Zuschlagszahlungen_NB'!A377:E610,5,FALSE),0)</f>
        <v>581838</v>
      </c>
      <c r="C1242" s="88">
        <f>SUMIFS('Anlage 1c_Korrekturen_NB'!$D$105:$D$295,'Anlage 1c_Korrekturen_NB'!$A$105:$A$295,'Anlage 3a_Zusammenfassung_KWKG'!$A1242)+SUMIFS('Anlage 1c_Korrekturen_NB'!$F$105:$F$295,'Anlage 1c_Korrekturen_NB'!$A$105:$A$295,'Anlage 3a_Zusammenfassung_KWKG'!$A1242)+SUMIFS('Anlage 1c_Korrekturen_NB'!$H$105:$H$295,'Anlage 1c_Korrekturen_NB'!$A$105:$A$295,'Anlage 3a_Zusammenfassung_KWKG'!$A1242)</f>
        <v>0</v>
      </c>
      <c r="D1242" s="134">
        <f t="shared" si="54"/>
        <v>581838</v>
      </c>
      <c r="E1242" s="70"/>
      <c r="F1242" s="70"/>
      <c r="G1242" s="70"/>
      <c r="H1242" s="70"/>
      <c r="I1242" s="54"/>
      <c r="J1242" s="27" t="str">
        <f t="shared" si="56"/>
        <v>Kommunalunternehmen Gemeindewerke Peißenberg</v>
      </c>
    </row>
    <row r="1243" spans="1:10" s="44" customFormat="1" hidden="1" outlineLevel="1">
      <c r="A1243" s="374" t="str">
        <f t="shared" si="55"/>
        <v>SNB986042567117</v>
      </c>
      <c r="B1243" s="492">
        <f>_xlfn.IFNA(VLOOKUP($A1243,'Anlage 1a_Zuschlagszahlungen_NB'!A378:E611,5,FALSE),0)</f>
        <v>1179561</v>
      </c>
      <c r="C1243" s="88">
        <f>SUMIFS('Anlage 1c_Korrekturen_NB'!$D$105:$D$295,'Anlage 1c_Korrekturen_NB'!$A$105:$A$295,'Anlage 3a_Zusammenfassung_KWKG'!$A1243)+SUMIFS('Anlage 1c_Korrekturen_NB'!$F$105:$F$295,'Anlage 1c_Korrekturen_NB'!$A$105:$A$295,'Anlage 3a_Zusammenfassung_KWKG'!$A1243)+SUMIFS('Anlage 1c_Korrekturen_NB'!$H$105:$H$295,'Anlage 1c_Korrekturen_NB'!$A$105:$A$295,'Anlage 3a_Zusammenfassung_KWKG'!$A1243)</f>
        <v>0</v>
      </c>
      <c r="D1243" s="134">
        <f t="shared" si="54"/>
        <v>1179561</v>
      </c>
      <c r="E1243" s="70"/>
      <c r="F1243" s="70"/>
      <c r="G1243" s="70"/>
      <c r="H1243" s="70"/>
      <c r="I1243" s="54"/>
      <c r="J1243" s="27" t="str">
        <f t="shared" si="56"/>
        <v>Stadtwerke Mühlheim am Main GmbH</v>
      </c>
    </row>
    <row r="1244" spans="1:10" s="44" customFormat="1" hidden="1" outlineLevel="1">
      <c r="A1244" s="374" t="str">
        <f t="shared" si="55"/>
        <v>SNB986190606218</v>
      </c>
      <c r="B1244" s="492">
        <f>_xlfn.IFNA(VLOOKUP($A1244,'Anlage 1a_Zuschlagszahlungen_NB'!A379:E612,5,FALSE),0)</f>
        <v>2205306</v>
      </c>
      <c r="C1244" s="88">
        <f>SUMIFS('Anlage 1c_Korrekturen_NB'!$D$105:$D$295,'Anlage 1c_Korrekturen_NB'!$A$105:$A$295,'Anlage 3a_Zusammenfassung_KWKG'!$A1244)+SUMIFS('Anlage 1c_Korrekturen_NB'!$F$105:$F$295,'Anlage 1c_Korrekturen_NB'!$A$105:$A$295,'Anlage 3a_Zusammenfassung_KWKG'!$A1244)+SUMIFS('Anlage 1c_Korrekturen_NB'!$H$105:$H$295,'Anlage 1c_Korrekturen_NB'!$A$105:$A$295,'Anlage 3a_Zusammenfassung_KWKG'!$A1244)</f>
        <v>44308</v>
      </c>
      <c r="D1244" s="134">
        <f t="shared" si="54"/>
        <v>2249614</v>
      </c>
      <c r="E1244" s="70"/>
      <c r="F1244" s="70"/>
      <c r="G1244" s="70"/>
      <c r="H1244" s="70"/>
      <c r="I1244" s="54"/>
      <c r="J1244" s="27" t="str">
        <f t="shared" si="56"/>
        <v>Stadtwerke Emmerich GmbH</v>
      </c>
    </row>
    <row r="1245" spans="1:10" s="44" customFormat="1" hidden="1" outlineLevel="1">
      <c r="A1245" s="374" t="str">
        <f t="shared" si="55"/>
        <v>SNB986403410816</v>
      </c>
      <c r="B1245" s="492">
        <f>_xlfn.IFNA(VLOOKUP($A1245,'Anlage 1a_Zuschlagszahlungen_NB'!A380:E613,5,FALSE),0)</f>
        <v>255462</v>
      </c>
      <c r="C1245" s="88">
        <f>SUMIFS('Anlage 1c_Korrekturen_NB'!$D$105:$D$295,'Anlage 1c_Korrekturen_NB'!$A$105:$A$295,'Anlage 3a_Zusammenfassung_KWKG'!$A1245)+SUMIFS('Anlage 1c_Korrekturen_NB'!$F$105:$F$295,'Anlage 1c_Korrekturen_NB'!$A$105:$A$295,'Anlage 3a_Zusammenfassung_KWKG'!$A1245)+SUMIFS('Anlage 1c_Korrekturen_NB'!$H$105:$H$295,'Anlage 1c_Korrekturen_NB'!$A$105:$A$295,'Anlage 3a_Zusammenfassung_KWKG'!$A1245)</f>
        <v>0</v>
      </c>
      <c r="D1245" s="134">
        <f t="shared" si="54"/>
        <v>255462</v>
      </c>
      <c r="E1245" s="70"/>
      <c r="F1245" s="70"/>
      <c r="G1245" s="70"/>
      <c r="H1245" s="70"/>
      <c r="I1245" s="54"/>
      <c r="J1245" s="27" t="str">
        <f t="shared" si="56"/>
        <v>Elektrizitätsgenossenschaft Rettenberg eG</v>
      </c>
    </row>
    <row r="1246" spans="1:10" s="44" customFormat="1" hidden="1" outlineLevel="1">
      <c r="A1246" s="374" t="str">
        <f t="shared" si="55"/>
        <v>SNB986916159257</v>
      </c>
      <c r="B1246" s="492">
        <f>_xlfn.IFNA(VLOOKUP($A1246,'Anlage 1a_Zuschlagszahlungen_NB'!A381:E614,5,FALSE),0)</f>
        <v>0</v>
      </c>
      <c r="C1246" s="88">
        <f>SUMIFS('Anlage 1c_Korrekturen_NB'!$D$105:$D$295,'Anlage 1c_Korrekturen_NB'!$A$105:$A$295,'Anlage 3a_Zusammenfassung_KWKG'!$A1246)+SUMIFS('Anlage 1c_Korrekturen_NB'!$F$105:$F$295,'Anlage 1c_Korrekturen_NB'!$A$105:$A$295,'Anlage 3a_Zusammenfassung_KWKG'!$A1246)+SUMIFS('Anlage 1c_Korrekturen_NB'!$H$105:$H$295,'Anlage 1c_Korrekturen_NB'!$A$105:$A$295,'Anlage 3a_Zusammenfassung_KWKG'!$A1246)</f>
        <v>0</v>
      </c>
      <c r="D1246" s="134">
        <f t="shared" si="54"/>
        <v>0</v>
      </c>
      <c r="E1246" s="70"/>
      <c r="F1246" s="70"/>
      <c r="G1246" s="70"/>
      <c r="H1246" s="70"/>
      <c r="I1246" s="54"/>
      <c r="J1246" s="27" t="str">
        <f t="shared" si="56"/>
        <v>ThyssenKrupp Steel Europe AG</v>
      </c>
    </row>
    <row r="1247" spans="1:10" s="44" customFormat="1" hidden="1" outlineLevel="1">
      <c r="A1247" s="374" t="str">
        <f t="shared" si="55"/>
        <v>SNB986916159257</v>
      </c>
      <c r="B1247" s="492">
        <f>_xlfn.IFNA(VLOOKUP($A1247,'Anlage 1a_Zuschlagszahlungen_NB'!A382:E615,5,FALSE),0)</f>
        <v>0</v>
      </c>
      <c r="C1247" s="88">
        <f>SUMIFS('Anlage 1c_Korrekturen_NB'!$D$105:$D$295,'Anlage 1c_Korrekturen_NB'!$A$105:$A$295,'Anlage 3a_Zusammenfassung_KWKG'!$A1247)+SUMIFS('Anlage 1c_Korrekturen_NB'!$F$105:$F$295,'Anlage 1c_Korrekturen_NB'!$A$105:$A$295,'Anlage 3a_Zusammenfassung_KWKG'!$A1247)+SUMIFS('Anlage 1c_Korrekturen_NB'!$H$105:$H$295,'Anlage 1c_Korrekturen_NB'!$A$105:$A$295,'Anlage 3a_Zusammenfassung_KWKG'!$A1247)</f>
        <v>0</v>
      </c>
      <c r="D1247" s="134">
        <f t="shared" si="54"/>
        <v>0</v>
      </c>
      <c r="E1247" s="70"/>
      <c r="F1247" s="70"/>
      <c r="G1247" s="70"/>
      <c r="H1247" s="70"/>
      <c r="I1247" s="54"/>
      <c r="J1247" s="27" t="str">
        <f t="shared" si="56"/>
        <v>ThyssenKrupp Steel Europe AG</v>
      </c>
    </row>
    <row r="1248" spans="1:10" s="44" customFormat="1" hidden="1" outlineLevel="1">
      <c r="A1248" s="374" t="str">
        <f t="shared" si="55"/>
        <v>SNB986916159257</v>
      </c>
      <c r="B1248" s="492">
        <f>_xlfn.IFNA(VLOOKUP($A1248,'Anlage 1a_Zuschlagszahlungen_NB'!A383:E616,5,FALSE),0)</f>
        <v>0</v>
      </c>
      <c r="C1248" s="88">
        <f>SUMIFS('Anlage 1c_Korrekturen_NB'!$D$105:$D$295,'Anlage 1c_Korrekturen_NB'!$A$105:$A$295,'Anlage 3a_Zusammenfassung_KWKG'!$A1248)+SUMIFS('Anlage 1c_Korrekturen_NB'!$F$105:$F$295,'Anlage 1c_Korrekturen_NB'!$A$105:$A$295,'Anlage 3a_Zusammenfassung_KWKG'!$A1248)+SUMIFS('Anlage 1c_Korrekturen_NB'!$H$105:$H$295,'Anlage 1c_Korrekturen_NB'!$A$105:$A$295,'Anlage 3a_Zusammenfassung_KWKG'!$A1248)</f>
        <v>0</v>
      </c>
      <c r="D1248" s="134">
        <f t="shared" si="54"/>
        <v>0</v>
      </c>
      <c r="E1248" s="70"/>
      <c r="F1248" s="70"/>
      <c r="G1248" s="70"/>
      <c r="H1248" s="70"/>
      <c r="I1248" s="54"/>
      <c r="J1248" s="27" t="str">
        <f t="shared" si="56"/>
        <v>ThyssenKrupp Steel Europe AG</v>
      </c>
    </row>
    <row r="1249" spans="1:10" s="44" customFormat="1" hidden="1" outlineLevel="1">
      <c r="A1249" s="374" t="str">
        <f t="shared" si="55"/>
        <v>SNB986931195988</v>
      </c>
      <c r="B1249" s="492">
        <f>_xlfn.IFNA(VLOOKUP($A1249,'Anlage 1a_Zuschlagszahlungen_NB'!A384:E617,5,FALSE),0)</f>
        <v>301910</v>
      </c>
      <c r="C1249" s="88">
        <f>SUMIFS('Anlage 1c_Korrekturen_NB'!$D$105:$D$295,'Anlage 1c_Korrekturen_NB'!$A$105:$A$295,'Anlage 3a_Zusammenfassung_KWKG'!$A1249)+SUMIFS('Anlage 1c_Korrekturen_NB'!$F$105:$F$295,'Anlage 1c_Korrekturen_NB'!$A$105:$A$295,'Anlage 3a_Zusammenfassung_KWKG'!$A1249)+SUMIFS('Anlage 1c_Korrekturen_NB'!$H$105:$H$295,'Anlage 1c_Korrekturen_NB'!$A$105:$A$295,'Anlage 3a_Zusammenfassung_KWKG'!$A1249)</f>
        <v>0</v>
      </c>
      <c r="D1249" s="134">
        <f t="shared" si="54"/>
        <v>301910</v>
      </c>
      <c r="E1249" s="70"/>
      <c r="F1249" s="70"/>
      <c r="G1249" s="70"/>
      <c r="H1249" s="70"/>
      <c r="I1249" s="54"/>
      <c r="J1249" s="27" t="str">
        <f t="shared" si="56"/>
        <v>Gemeindewerke Enkenbach-Alsenborn</v>
      </c>
    </row>
    <row r="1250" spans="1:10" s="44" customFormat="1" hidden="1" outlineLevel="1">
      <c r="A1250" s="374" t="str">
        <f t="shared" si="55"/>
        <v>SNB987153361809</v>
      </c>
      <c r="B1250" s="492">
        <f>_xlfn.IFNA(VLOOKUP($A1250,'Anlage 1a_Zuschlagszahlungen_NB'!A385:E618,5,FALSE),0)</f>
        <v>639516</v>
      </c>
      <c r="C1250" s="88">
        <f>SUMIFS('Anlage 1c_Korrekturen_NB'!$D$105:$D$295,'Anlage 1c_Korrekturen_NB'!$A$105:$A$295,'Anlage 3a_Zusammenfassung_KWKG'!$A1250)+SUMIFS('Anlage 1c_Korrekturen_NB'!$F$105:$F$295,'Anlage 1c_Korrekturen_NB'!$A$105:$A$295,'Anlage 3a_Zusammenfassung_KWKG'!$A1250)+SUMIFS('Anlage 1c_Korrekturen_NB'!$H$105:$H$295,'Anlage 1c_Korrekturen_NB'!$A$105:$A$295,'Anlage 3a_Zusammenfassung_KWKG'!$A1250)</f>
        <v>0</v>
      </c>
      <c r="D1250" s="134">
        <f t="shared" si="54"/>
        <v>639516</v>
      </c>
      <c r="E1250" s="70"/>
      <c r="F1250" s="70"/>
      <c r="G1250" s="70"/>
      <c r="H1250" s="70"/>
      <c r="I1250" s="54"/>
      <c r="J1250" s="27" t="str">
        <f t="shared" si="56"/>
        <v>Gemeindewerke Nümbrecht GmbH</v>
      </c>
    </row>
    <row r="1251" spans="1:10" s="44" customFormat="1" hidden="1" outlineLevel="1">
      <c r="A1251" s="374" t="str">
        <f t="shared" si="55"/>
        <v>SNB987451707521</v>
      </c>
      <c r="B1251" s="492">
        <f>_xlfn.IFNA(VLOOKUP($A1251,'Anlage 1a_Zuschlagszahlungen_NB'!A386:E619,5,FALSE),0)</f>
        <v>38500</v>
      </c>
      <c r="C1251" s="88">
        <f>SUMIFS('Anlage 1c_Korrekturen_NB'!$D$105:$D$295,'Anlage 1c_Korrekturen_NB'!$A$105:$A$295,'Anlage 3a_Zusammenfassung_KWKG'!$A1251)+SUMIFS('Anlage 1c_Korrekturen_NB'!$F$105:$F$295,'Anlage 1c_Korrekturen_NB'!$A$105:$A$295,'Anlage 3a_Zusammenfassung_KWKG'!$A1251)+SUMIFS('Anlage 1c_Korrekturen_NB'!$H$105:$H$295,'Anlage 1c_Korrekturen_NB'!$A$105:$A$295,'Anlage 3a_Zusammenfassung_KWKG'!$A1251)</f>
        <v>-128496</v>
      </c>
      <c r="D1251" s="134">
        <f t="shared" si="54"/>
        <v>-89996</v>
      </c>
      <c r="E1251" s="70"/>
      <c r="F1251" s="70"/>
      <c r="G1251" s="70"/>
      <c r="H1251" s="70"/>
      <c r="I1251" s="54"/>
      <c r="J1251" s="27" t="str">
        <f t="shared" si="56"/>
        <v>Elektrizitätswerk Bruchmühlbach-Miesau</v>
      </c>
    </row>
    <row r="1252" spans="1:10" s="44" customFormat="1" hidden="1" outlineLevel="1">
      <c r="A1252" s="374" t="str">
        <f t="shared" si="55"/>
        <v>SNB987569421388</v>
      </c>
      <c r="B1252" s="492">
        <f>_xlfn.IFNA(VLOOKUP($A1252,'Anlage 1a_Zuschlagszahlungen_NB'!A387:E620,5,FALSE),0)</f>
        <v>265853</v>
      </c>
      <c r="C1252" s="88">
        <f>SUMIFS('Anlage 1c_Korrekturen_NB'!$D$105:$D$295,'Anlage 1c_Korrekturen_NB'!$A$105:$A$295,'Anlage 3a_Zusammenfassung_KWKG'!$A1252)+SUMIFS('Anlage 1c_Korrekturen_NB'!$F$105:$F$295,'Anlage 1c_Korrekturen_NB'!$A$105:$A$295,'Anlage 3a_Zusammenfassung_KWKG'!$A1252)+SUMIFS('Anlage 1c_Korrekturen_NB'!$H$105:$H$295,'Anlage 1c_Korrekturen_NB'!$A$105:$A$295,'Anlage 3a_Zusammenfassung_KWKG'!$A1252)</f>
        <v>0</v>
      </c>
      <c r="D1252" s="134">
        <f t="shared" si="54"/>
        <v>265853</v>
      </c>
      <c r="E1252" s="70"/>
      <c r="F1252" s="70"/>
      <c r="G1252" s="70"/>
      <c r="H1252" s="70"/>
      <c r="I1252" s="54"/>
      <c r="J1252" s="27" t="str">
        <f t="shared" si="56"/>
        <v>Stadtwerke Ramstein-Miesenbach GmbH</v>
      </c>
    </row>
    <row r="1253" spans="1:10" s="44" customFormat="1" hidden="1" outlineLevel="1">
      <c r="A1253" s="374" t="str">
        <f t="shared" si="55"/>
        <v>SNB988556835096</v>
      </c>
      <c r="B1253" s="492">
        <f>_xlfn.IFNA(VLOOKUP($A1253,'Anlage 1a_Zuschlagszahlungen_NB'!A388:E621,5,FALSE),0)</f>
        <v>0</v>
      </c>
      <c r="C1253" s="88">
        <f>SUMIFS('Anlage 1c_Korrekturen_NB'!$D$105:$D$295,'Anlage 1c_Korrekturen_NB'!$A$105:$A$295,'Anlage 3a_Zusammenfassung_KWKG'!$A1253)+SUMIFS('Anlage 1c_Korrekturen_NB'!$F$105:$F$295,'Anlage 1c_Korrekturen_NB'!$A$105:$A$295,'Anlage 3a_Zusammenfassung_KWKG'!$A1253)+SUMIFS('Anlage 1c_Korrekturen_NB'!$H$105:$H$295,'Anlage 1c_Korrekturen_NB'!$A$105:$A$295,'Anlage 3a_Zusammenfassung_KWKG'!$A1253)</f>
        <v>0</v>
      </c>
      <c r="D1253" s="134">
        <f t="shared" si="54"/>
        <v>0</v>
      </c>
      <c r="E1253" s="70"/>
      <c r="F1253" s="70"/>
      <c r="G1253" s="70"/>
      <c r="H1253" s="70"/>
      <c r="I1253" s="54"/>
      <c r="J1253" s="27" t="str">
        <f t="shared" si="56"/>
        <v>e-shelter power grid GmbH</v>
      </c>
    </row>
    <row r="1254" spans="1:10" s="44" customFormat="1" hidden="1" outlineLevel="1">
      <c r="A1254" s="374" t="str">
        <f t="shared" si="55"/>
        <v>SNB989025785690</v>
      </c>
      <c r="B1254" s="492">
        <f>_xlfn.IFNA(VLOOKUP($A1254,'Anlage 1a_Zuschlagszahlungen_NB'!A389:E622,5,FALSE),0)</f>
        <v>665255</v>
      </c>
      <c r="C1254" s="88">
        <f>SUMIFS('Anlage 1c_Korrekturen_NB'!$D$105:$D$295,'Anlage 1c_Korrekturen_NB'!$A$105:$A$295,'Anlage 3a_Zusammenfassung_KWKG'!$A1254)+SUMIFS('Anlage 1c_Korrekturen_NB'!$F$105:$F$295,'Anlage 1c_Korrekturen_NB'!$A$105:$A$295,'Anlage 3a_Zusammenfassung_KWKG'!$A1254)+SUMIFS('Anlage 1c_Korrekturen_NB'!$H$105:$H$295,'Anlage 1c_Korrekturen_NB'!$A$105:$A$295,'Anlage 3a_Zusammenfassung_KWKG'!$A1254)</f>
        <v>0</v>
      </c>
      <c r="D1254" s="134">
        <f t="shared" si="54"/>
        <v>665255</v>
      </c>
      <c r="E1254" s="70"/>
      <c r="F1254" s="70"/>
      <c r="G1254" s="70"/>
      <c r="H1254" s="70"/>
      <c r="I1254" s="54"/>
      <c r="J1254" s="27" t="str">
        <f t="shared" si="56"/>
        <v>SSW Netz GmbH</v>
      </c>
    </row>
    <row r="1255" spans="1:10" s="44" customFormat="1" hidden="1" outlineLevel="1">
      <c r="A1255" s="374" t="str">
        <f t="shared" si="55"/>
        <v>SNB990174285078</v>
      </c>
      <c r="B1255" s="492">
        <f>_xlfn.IFNA(VLOOKUP($A1255,'Anlage 1a_Zuschlagszahlungen_NB'!A390:E623,5,FALSE),0)</f>
        <v>2943009</v>
      </c>
      <c r="C1255" s="88">
        <f>SUMIFS('Anlage 1c_Korrekturen_NB'!$D$105:$D$295,'Anlage 1c_Korrekturen_NB'!$A$105:$A$295,'Anlage 3a_Zusammenfassung_KWKG'!$A1255)+SUMIFS('Anlage 1c_Korrekturen_NB'!$F$105:$F$295,'Anlage 1c_Korrekturen_NB'!$A$105:$A$295,'Anlage 3a_Zusammenfassung_KWKG'!$A1255)+SUMIFS('Anlage 1c_Korrekturen_NB'!$H$105:$H$295,'Anlage 1c_Korrekturen_NB'!$A$105:$A$295,'Anlage 3a_Zusammenfassung_KWKG'!$A1255)</f>
        <v>125383</v>
      </c>
      <c r="D1255" s="134">
        <f t="shared" si="54"/>
        <v>3068392</v>
      </c>
      <c r="E1255" s="70"/>
      <c r="F1255" s="70"/>
      <c r="G1255" s="70"/>
      <c r="H1255" s="70"/>
      <c r="I1255" s="54"/>
      <c r="J1255" s="27" t="str">
        <f t="shared" si="56"/>
        <v>BIGGE ENERGIE GmbH &amp; Co. KG</v>
      </c>
    </row>
    <row r="1256" spans="1:10" s="44" customFormat="1" hidden="1" outlineLevel="1">
      <c r="A1256" s="374" t="str">
        <f t="shared" si="55"/>
        <v>SNB990887002092</v>
      </c>
      <c r="B1256" s="492">
        <f>_xlfn.IFNA(VLOOKUP($A1256,'Anlage 1a_Zuschlagszahlungen_NB'!A391:E624,5,FALSE),0)</f>
        <v>358883</v>
      </c>
      <c r="C1256" s="88">
        <f>SUMIFS('Anlage 1c_Korrekturen_NB'!$D$105:$D$295,'Anlage 1c_Korrekturen_NB'!$A$105:$A$295,'Anlage 3a_Zusammenfassung_KWKG'!$A1256)+SUMIFS('Anlage 1c_Korrekturen_NB'!$F$105:$F$295,'Anlage 1c_Korrekturen_NB'!$A$105:$A$295,'Anlage 3a_Zusammenfassung_KWKG'!$A1256)+SUMIFS('Anlage 1c_Korrekturen_NB'!$H$105:$H$295,'Anlage 1c_Korrekturen_NB'!$A$105:$A$295,'Anlage 3a_Zusammenfassung_KWKG'!$A1256)</f>
        <v>0</v>
      </c>
      <c r="D1256" s="134">
        <f t="shared" si="54"/>
        <v>358883</v>
      </c>
      <c r="E1256" s="70"/>
      <c r="F1256" s="70"/>
      <c r="G1256" s="70"/>
      <c r="H1256" s="70"/>
      <c r="I1256" s="54"/>
      <c r="J1256" s="27" t="str">
        <f t="shared" si="56"/>
        <v>Thüga Energienetze GmbH</v>
      </c>
    </row>
    <row r="1257" spans="1:10" s="44" customFormat="1" hidden="1" outlineLevel="1">
      <c r="A1257" s="374" t="str">
        <f t="shared" si="55"/>
        <v>SNB990887002092</v>
      </c>
      <c r="B1257" s="492">
        <f>_xlfn.IFNA(VLOOKUP($A1257,'Anlage 1a_Zuschlagszahlungen_NB'!A392:E625,5,FALSE),0)</f>
        <v>0</v>
      </c>
      <c r="C1257" s="88">
        <f>SUMIFS('Anlage 1c_Korrekturen_NB'!$D$105:$D$295,'Anlage 1c_Korrekturen_NB'!$A$105:$A$295,'Anlage 3a_Zusammenfassung_KWKG'!$A1257)+SUMIFS('Anlage 1c_Korrekturen_NB'!$F$105:$F$295,'Anlage 1c_Korrekturen_NB'!$A$105:$A$295,'Anlage 3a_Zusammenfassung_KWKG'!$A1257)+SUMIFS('Anlage 1c_Korrekturen_NB'!$H$105:$H$295,'Anlage 1c_Korrekturen_NB'!$A$105:$A$295,'Anlage 3a_Zusammenfassung_KWKG'!$A1257)</f>
        <v>0</v>
      </c>
      <c r="D1257" s="134">
        <f t="shared" si="54"/>
        <v>0</v>
      </c>
      <c r="E1257" s="70"/>
      <c r="F1257" s="70"/>
      <c r="G1257" s="70"/>
      <c r="H1257" s="70"/>
      <c r="I1257" s="54"/>
      <c r="J1257" s="27" t="str">
        <f t="shared" si="56"/>
        <v>Thüga Energienetze GmbH</v>
      </c>
    </row>
    <row r="1258" spans="1:10" s="44" customFormat="1" hidden="1" outlineLevel="1">
      <c r="A1258" s="374" t="str">
        <f t="shared" si="55"/>
        <v>SNB990887002092</v>
      </c>
      <c r="B1258" s="492">
        <f>_xlfn.IFNA(VLOOKUP($A1258,'Anlage 1a_Zuschlagszahlungen_NB'!A393:E626,5,FALSE),0)</f>
        <v>0</v>
      </c>
      <c r="C1258" s="88">
        <f>SUMIFS('Anlage 1c_Korrekturen_NB'!$D$105:$D$295,'Anlage 1c_Korrekturen_NB'!$A$105:$A$295,'Anlage 3a_Zusammenfassung_KWKG'!$A1258)+SUMIFS('Anlage 1c_Korrekturen_NB'!$F$105:$F$295,'Anlage 1c_Korrekturen_NB'!$A$105:$A$295,'Anlage 3a_Zusammenfassung_KWKG'!$A1258)+SUMIFS('Anlage 1c_Korrekturen_NB'!$H$105:$H$295,'Anlage 1c_Korrekturen_NB'!$A$105:$A$295,'Anlage 3a_Zusammenfassung_KWKG'!$A1258)</f>
        <v>0</v>
      </c>
      <c r="D1258" s="134">
        <f t="shared" si="54"/>
        <v>0</v>
      </c>
      <c r="E1258" s="70"/>
      <c r="F1258" s="70"/>
      <c r="G1258" s="70"/>
      <c r="H1258" s="70"/>
      <c r="I1258" s="54"/>
      <c r="J1258" s="27" t="str">
        <f t="shared" si="56"/>
        <v>Thüga Energienetze GmbH</v>
      </c>
    </row>
    <row r="1259" spans="1:10" s="44" customFormat="1" hidden="1" outlineLevel="1">
      <c r="A1259" s="374" t="str">
        <f t="shared" si="55"/>
        <v>SNB991381724831</v>
      </c>
      <c r="B1259" s="492">
        <f>_xlfn.IFNA(VLOOKUP($A1259,'Anlage 1a_Zuschlagszahlungen_NB'!A394:E627,5,FALSE),0)</f>
        <v>168000</v>
      </c>
      <c r="C1259" s="88">
        <f>SUMIFS('Anlage 1c_Korrekturen_NB'!$D$105:$D$295,'Anlage 1c_Korrekturen_NB'!$A$105:$A$295,'Anlage 3a_Zusammenfassung_KWKG'!$A1259)+SUMIFS('Anlage 1c_Korrekturen_NB'!$F$105:$F$295,'Anlage 1c_Korrekturen_NB'!$A$105:$A$295,'Anlage 3a_Zusammenfassung_KWKG'!$A1259)+SUMIFS('Anlage 1c_Korrekturen_NB'!$H$105:$H$295,'Anlage 1c_Korrekturen_NB'!$A$105:$A$295,'Anlage 3a_Zusammenfassung_KWKG'!$A1259)</f>
        <v>0</v>
      </c>
      <c r="D1259" s="134">
        <f t="shared" si="54"/>
        <v>168000</v>
      </c>
      <c r="E1259" s="70"/>
      <c r="F1259" s="70"/>
      <c r="G1259" s="70"/>
      <c r="H1259" s="70"/>
      <c r="I1259" s="54"/>
      <c r="J1259" s="27" t="str">
        <f t="shared" si="56"/>
        <v>Fürstlich Fugger von Glött`sche E-Werks GmbH &amp; Co. KG</v>
      </c>
    </row>
    <row r="1260" spans="1:10" s="44" customFormat="1" hidden="1" outlineLevel="1">
      <c r="A1260" s="374" t="str">
        <f t="shared" si="55"/>
        <v>SNB991400668603</v>
      </c>
      <c r="B1260" s="492">
        <f>_xlfn.IFNA(VLOOKUP($A1260,'Anlage 1a_Zuschlagszahlungen_NB'!A395:E628,5,FALSE),0)</f>
        <v>386110</v>
      </c>
      <c r="C1260" s="88">
        <f>SUMIFS('Anlage 1c_Korrekturen_NB'!$D$105:$D$295,'Anlage 1c_Korrekturen_NB'!$A$105:$A$295,'Anlage 3a_Zusammenfassung_KWKG'!$A1260)+SUMIFS('Anlage 1c_Korrekturen_NB'!$F$105:$F$295,'Anlage 1c_Korrekturen_NB'!$A$105:$A$295,'Anlage 3a_Zusammenfassung_KWKG'!$A1260)+SUMIFS('Anlage 1c_Korrekturen_NB'!$H$105:$H$295,'Anlage 1c_Korrekturen_NB'!$A$105:$A$295,'Anlage 3a_Zusammenfassung_KWKG'!$A1260)</f>
        <v>88480</v>
      </c>
      <c r="D1260" s="134">
        <f t="shared" si="54"/>
        <v>474590</v>
      </c>
      <c r="E1260" s="70"/>
      <c r="F1260" s="70"/>
      <c r="G1260" s="70"/>
      <c r="H1260" s="70"/>
      <c r="I1260" s="54"/>
      <c r="J1260" s="27" t="str">
        <f t="shared" si="56"/>
        <v>Gemeindewerke Haßloch GmbH</v>
      </c>
    </row>
    <row r="1261" spans="1:10" s="44" customFormat="1" hidden="1" outlineLevel="1">
      <c r="A1261" s="374" t="str">
        <f t="shared" si="55"/>
        <v>SNB991561247815</v>
      </c>
      <c r="B1261" s="492">
        <f>_xlfn.IFNA(VLOOKUP($A1261,'Anlage 1a_Zuschlagszahlungen_NB'!A396:E629,5,FALSE),0)</f>
        <v>156661</v>
      </c>
      <c r="C1261" s="88">
        <f>SUMIFS('Anlage 1c_Korrekturen_NB'!$D$105:$D$295,'Anlage 1c_Korrekturen_NB'!$A$105:$A$295,'Anlage 3a_Zusammenfassung_KWKG'!$A1261)+SUMIFS('Anlage 1c_Korrekturen_NB'!$F$105:$F$295,'Anlage 1c_Korrekturen_NB'!$A$105:$A$295,'Anlage 3a_Zusammenfassung_KWKG'!$A1261)+SUMIFS('Anlage 1c_Korrekturen_NB'!$H$105:$H$295,'Anlage 1c_Korrekturen_NB'!$A$105:$A$295,'Anlage 3a_Zusammenfassung_KWKG'!$A1261)</f>
        <v>0</v>
      </c>
      <c r="D1261" s="134">
        <f t="shared" si="54"/>
        <v>156661</v>
      </c>
      <c r="E1261" s="70"/>
      <c r="F1261" s="70"/>
      <c r="G1261" s="70"/>
      <c r="H1261" s="70"/>
      <c r="I1261" s="54"/>
      <c r="J1261" s="27" t="str">
        <f t="shared" si="56"/>
        <v>Stadtwerke Dillingen/Saar Netzgesellschaft mbH</v>
      </c>
    </row>
    <row r="1262" spans="1:10" s="44" customFormat="1" hidden="1" outlineLevel="1">
      <c r="A1262" s="374" t="str">
        <f t="shared" si="55"/>
        <v>SNB992672107807</v>
      </c>
      <c r="B1262" s="492">
        <f>_xlfn.IFNA(VLOOKUP($A1262,'Anlage 1a_Zuschlagszahlungen_NB'!A397:E630,5,FALSE),0)</f>
        <v>61038450</v>
      </c>
      <c r="C1262" s="88">
        <f>SUMIFS('Anlage 1c_Korrekturen_NB'!$D$105:$D$295,'Anlage 1c_Korrekturen_NB'!$A$105:$A$295,'Anlage 3a_Zusammenfassung_KWKG'!$A1262)+SUMIFS('Anlage 1c_Korrekturen_NB'!$F$105:$F$295,'Anlage 1c_Korrekturen_NB'!$A$105:$A$295,'Anlage 3a_Zusammenfassung_KWKG'!$A1262)+SUMIFS('Anlage 1c_Korrekturen_NB'!$H$105:$H$295,'Anlage 1c_Korrekturen_NB'!$A$105:$A$295,'Anlage 3a_Zusammenfassung_KWKG'!$A1262)</f>
        <v>0</v>
      </c>
      <c r="D1262" s="134">
        <f t="shared" si="54"/>
        <v>61038450</v>
      </c>
      <c r="E1262" s="70"/>
      <c r="F1262" s="70"/>
      <c r="G1262" s="70"/>
      <c r="H1262" s="70"/>
      <c r="I1262" s="54"/>
      <c r="J1262" s="27" t="str">
        <f t="shared" si="56"/>
        <v>Oberhausener Netzgesellschaft mbH</v>
      </c>
    </row>
    <row r="1263" spans="1:10" s="44" customFormat="1" hidden="1" outlineLevel="1">
      <c r="A1263" s="374" t="str">
        <f t="shared" si="55"/>
        <v>SNB993724515038</v>
      </c>
      <c r="B1263" s="492">
        <f>_xlfn.IFNA(VLOOKUP($A1263,'Anlage 1a_Zuschlagszahlungen_NB'!A398:E631,5,FALSE),0)</f>
        <v>1256693</v>
      </c>
      <c r="C1263" s="88">
        <f>SUMIFS('Anlage 1c_Korrekturen_NB'!$D$105:$D$295,'Anlage 1c_Korrekturen_NB'!$A$105:$A$295,'Anlage 3a_Zusammenfassung_KWKG'!$A1263)+SUMIFS('Anlage 1c_Korrekturen_NB'!$F$105:$F$295,'Anlage 1c_Korrekturen_NB'!$A$105:$A$295,'Anlage 3a_Zusammenfassung_KWKG'!$A1263)+SUMIFS('Anlage 1c_Korrekturen_NB'!$H$105:$H$295,'Anlage 1c_Korrekturen_NB'!$A$105:$A$295,'Anlage 3a_Zusammenfassung_KWKG'!$A1263)</f>
        <v>0</v>
      </c>
      <c r="D1263" s="134">
        <f t="shared" si="54"/>
        <v>1256693</v>
      </c>
      <c r="E1263" s="70"/>
      <c r="F1263" s="70"/>
      <c r="G1263" s="70"/>
      <c r="H1263" s="70"/>
      <c r="I1263" s="54"/>
      <c r="J1263" s="27" t="str">
        <f t="shared" si="56"/>
        <v>Gemeindewerke Grefrath GmbH</v>
      </c>
    </row>
    <row r="1264" spans="1:10" s="44" customFormat="1" hidden="1" outlineLevel="1">
      <c r="A1264" s="374" t="str">
        <f t="shared" si="55"/>
        <v>SNB994887596117</v>
      </c>
      <c r="B1264" s="492">
        <f>_xlfn.IFNA(VLOOKUP($A1264,'Anlage 1a_Zuschlagszahlungen_NB'!A399:E632,5,FALSE),0)</f>
        <v>130956690</v>
      </c>
      <c r="C1264" s="88">
        <f>SUMIFS('Anlage 1c_Korrekturen_NB'!$D$105:$D$295,'Anlage 1c_Korrekturen_NB'!$A$105:$A$295,'Anlage 3a_Zusammenfassung_KWKG'!$A1264)+SUMIFS('Anlage 1c_Korrekturen_NB'!$F$105:$F$295,'Anlage 1c_Korrekturen_NB'!$A$105:$A$295,'Anlage 3a_Zusammenfassung_KWKG'!$A1264)+SUMIFS('Anlage 1c_Korrekturen_NB'!$H$105:$H$295,'Anlage 1c_Korrekturen_NB'!$A$105:$A$295,'Anlage 3a_Zusammenfassung_KWKG'!$A1264)</f>
        <v>0</v>
      </c>
      <c r="D1264" s="134">
        <f t="shared" si="54"/>
        <v>130956690</v>
      </c>
      <c r="E1264" s="70"/>
      <c r="F1264" s="70"/>
      <c r="G1264" s="70"/>
      <c r="H1264" s="70"/>
      <c r="I1264" s="54"/>
      <c r="J1264" s="27" t="str">
        <f t="shared" si="56"/>
        <v>SOLVAY GmbH</v>
      </c>
    </row>
    <row r="1265" spans="1:10" s="44" customFormat="1" hidden="1" outlineLevel="1">
      <c r="A1265" s="374" t="str">
        <f t="shared" si="55"/>
        <v>SNB995332374861</v>
      </c>
      <c r="B1265" s="492">
        <f>_xlfn.IFNA(VLOOKUP($A1265,'Anlage 1a_Zuschlagszahlungen_NB'!A400:E633,5,FALSE),0)</f>
        <v>469000</v>
      </c>
      <c r="C1265" s="88">
        <f>SUMIFS('Anlage 1c_Korrekturen_NB'!$D$105:$D$295,'Anlage 1c_Korrekturen_NB'!$A$105:$A$295,'Anlage 3a_Zusammenfassung_KWKG'!$A1265)+SUMIFS('Anlage 1c_Korrekturen_NB'!$F$105:$F$295,'Anlage 1c_Korrekturen_NB'!$A$105:$A$295,'Anlage 3a_Zusammenfassung_KWKG'!$A1265)+SUMIFS('Anlage 1c_Korrekturen_NB'!$H$105:$H$295,'Anlage 1c_Korrekturen_NB'!$A$105:$A$295,'Anlage 3a_Zusammenfassung_KWKG'!$A1265)</f>
        <v>0</v>
      </c>
      <c r="D1265" s="134">
        <f t="shared" si="54"/>
        <v>469000</v>
      </c>
      <c r="E1265" s="70"/>
      <c r="F1265" s="70"/>
      <c r="G1265" s="70"/>
      <c r="H1265" s="70"/>
      <c r="I1265" s="54"/>
      <c r="J1265" s="27" t="str">
        <f t="shared" si="56"/>
        <v>GETEC Quartier GmbH</v>
      </c>
    </row>
    <row r="1266" spans="1:10" s="44" customFormat="1" hidden="1" outlineLevel="1">
      <c r="A1266" s="374" t="str">
        <f t="shared" si="55"/>
        <v>SNB997465895442</v>
      </c>
      <c r="B1266" s="492">
        <f>_xlfn.IFNA(VLOOKUP($A1266,'Anlage 1a_Zuschlagszahlungen_NB'!A401:E634,5,FALSE),0)</f>
        <v>182909</v>
      </c>
      <c r="C1266" s="88">
        <f>SUMIFS('Anlage 1c_Korrekturen_NB'!$D$105:$D$295,'Anlage 1c_Korrekturen_NB'!$A$105:$A$295,'Anlage 3a_Zusammenfassung_KWKG'!$A1266)+SUMIFS('Anlage 1c_Korrekturen_NB'!$F$105:$F$295,'Anlage 1c_Korrekturen_NB'!$A$105:$A$295,'Anlage 3a_Zusammenfassung_KWKG'!$A1266)+SUMIFS('Anlage 1c_Korrekturen_NB'!$H$105:$H$295,'Anlage 1c_Korrekturen_NB'!$A$105:$A$295,'Anlage 3a_Zusammenfassung_KWKG'!$A1266)</f>
        <v>478993</v>
      </c>
      <c r="D1266" s="134">
        <f t="shared" si="54"/>
        <v>661902</v>
      </c>
      <c r="E1266" s="70"/>
      <c r="F1266" s="70"/>
      <c r="G1266" s="70"/>
      <c r="H1266" s="70"/>
      <c r="I1266" s="54"/>
      <c r="J1266" s="27" t="str">
        <f t="shared" si="56"/>
        <v>Energie- und Bäderbetrieb Hauenstein</v>
      </c>
    </row>
    <row r="1267" spans="1:10" s="44" customFormat="1" hidden="1" outlineLevel="1">
      <c r="A1267" s="374" t="str">
        <f t="shared" si="55"/>
        <v>SNB998044089535</v>
      </c>
      <c r="B1267" s="492">
        <f>_xlfn.IFNA(VLOOKUP($A1267,'Anlage 1a_Zuschlagszahlungen_NB'!A402:E635,5,FALSE),0)</f>
        <v>868000</v>
      </c>
      <c r="C1267" s="88">
        <f>SUMIFS('Anlage 1c_Korrekturen_NB'!$D$105:$D$295,'Anlage 1c_Korrekturen_NB'!$A$105:$A$295,'Anlage 3a_Zusammenfassung_KWKG'!$A1267)+SUMIFS('Anlage 1c_Korrekturen_NB'!$F$105:$F$295,'Anlage 1c_Korrekturen_NB'!$A$105:$A$295,'Anlage 3a_Zusammenfassung_KWKG'!$A1267)+SUMIFS('Anlage 1c_Korrekturen_NB'!$H$105:$H$295,'Anlage 1c_Korrekturen_NB'!$A$105:$A$295,'Anlage 3a_Zusammenfassung_KWKG'!$A1267)</f>
        <v>1097480</v>
      </c>
      <c r="D1267" s="134">
        <f t="shared" ref="D1267" si="57">B1267+C1267</f>
        <v>1965480</v>
      </c>
      <c r="E1267" s="70"/>
      <c r="F1267" s="70"/>
      <c r="G1267" s="70"/>
      <c r="H1267" s="70"/>
      <c r="I1267" s="54"/>
      <c r="J1267" s="27" t="str">
        <f t="shared" si="56"/>
        <v>Stadtwerke Greven GmbH</v>
      </c>
    </row>
    <row r="1268" spans="1:10" s="44" customFormat="1" hidden="1" outlineLevel="1">
      <c r="A1268" s="374" t="s">
        <v>2074</v>
      </c>
      <c r="B1268" s="492">
        <f>_xlfn.IFNA(VLOOKUP($A1268,'Anlage 1a_Zuschlagszahlungen_NB'!A403:E636,5,FALSE),0)</f>
        <v>0</v>
      </c>
      <c r="C1268" s="88">
        <f>SUMIFS('Anlage 1c_Korrekturen_NB'!$D$105:$D$295,'Anlage 1c_Korrekturen_NB'!$A$105:$A$295,'Anlage 3a_Zusammenfassung_KWKG'!$A1268)+SUMIFS('Anlage 1c_Korrekturen_NB'!$F$105:$F$295,'Anlage 1c_Korrekturen_NB'!$A$105:$A$295,'Anlage 3a_Zusammenfassung_KWKG'!$A1268)+SUMIFS('Anlage 1c_Korrekturen_NB'!$H$105:$H$295,'Anlage 1c_Korrekturen_NB'!$A$105:$A$295,'Anlage 3a_Zusammenfassung_KWKG'!$A1268)</f>
        <v>-11</v>
      </c>
      <c r="D1268" s="134">
        <f t="shared" ref="D1268" si="58">B1268+C1268</f>
        <v>-11</v>
      </c>
      <c r="E1268" s="70"/>
      <c r="F1268" s="70"/>
      <c r="G1268" s="70"/>
      <c r="H1268" s="70"/>
      <c r="I1268" s="54"/>
      <c r="J1268" s="27" t="s">
        <v>2075</v>
      </c>
    </row>
    <row r="1269" spans="1:10" s="44" customFormat="1" collapsed="1">
      <c r="A1269" s="374" t="str">
        <f>A403</f>
        <v>Regelzone TenneT (gesamt)</v>
      </c>
      <c r="B1269" s="749">
        <f>SUM(B1270:B1590)</f>
        <v>7258751895.2729998</v>
      </c>
      <c r="C1269" s="750">
        <f>SUM(C1270:C1590)</f>
        <v>539773622.01099992</v>
      </c>
      <c r="D1269" s="134">
        <f t="shared" si="39"/>
        <v>7798525517.2839994</v>
      </c>
      <c r="E1269" s="70"/>
      <c r="F1269" s="70"/>
      <c r="G1269" s="70"/>
      <c r="H1269" s="70"/>
      <c r="J1269" s="27"/>
    </row>
    <row r="1270" spans="1:10" s="44" customFormat="1" hidden="1" outlineLevel="1">
      <c r="A1270" s="389" t="s">
        <v>779</v>
      </c>
      <c r="B1270" s="491">
        <v>288311</v>
      </c>
      <c r="C1270" s="87">
        <v>0</v>
      </c>
      <c r="D1270" s="134">
        <f>B1270+C1270</f>
        <v>288311</v>
      </c>
      <c r="E1270" t="s">
        <v>1231</v>
      </c>
      <c r="F1270" s="70"/>
      <c r="G1270" s="70"/>
      <c r="H1270" s="70"/>
    </row>
    <row r="1271" spans="1:10" s="44" customFormat="1" hidden="1" outlineLevel="1">
      <c r="A1271" s="389" t="s">
        <v>758</v>
      </c>
      <c r="B1271" s="491">
        <v>42828400</v>
      </c>
      <c r="C1271" s="87">
        <v>2892223</v>
      </c>
      <c r="D1271" s="134">
        <f t="shared" ref="D1271:D1335" si="59">B1271+C1271</f>
        <v>45720623</v>
      </c>
      <c r="E1271" t="s">
        <v>759</v>
      </c>
      <c r="F1271" s="70"/>
      <c r="G1271" s="70"/>
      <c r="H1271" s="70"/>
    </row>
    <row r="1272" spans="1:10" s="44" customFormat="1" hidden="1" outlineLevel="1">
      <c r="A1272" s="389" t="s">
        <v>1594</v>
      </c>
      <c r="B1272" s="491">
        <v>26849</v>
      </c>
      <c r="C1272" s="87">
        <v>0</v>
      </c>
      <c r="D1272" s="134">
        <f t="shared" si="59"/>
        <v>26849</v>
      </c>
      <c r="E1272" t="s">
        <v>1595</v>
      </c>
      <c r="F1272" s="70"/>
      <c r="G1272" s="70"/>
      <c r="H1272" s="70"/>
    </row>
    <row r="1273" spans="1:10" s="44" customFormat="1" hidden="1" outlineLevel="1">
      <c r="A1273" s="389" t="s">
        <v>1430</v>
      </c>
      <c r="B1273" s="491">
        <v>447292285</v>
      </c>
      <c r="C1273" s="87">
        <v>24583644.02</v>
      </c>
      <c r="D1273" s="134">
        <f t="shared" si="59"/>
        <v>471875929.01999998</v>
      </c>
      <c r="E1273" t="s">
        <v>1431</v>
      </c>
      <c r="F1273" s="70"/>
      <c r="G1273" s="70"/>
      <c r="H1273" s="70"/>
    </row>
    <row r="1274" spans="1:10" s="44" customFormat="1" hidden="1" outlineLevel="1">
      <c r="A1274" s="389" t="s">
        <v>1295</v>
      </c>
      <c r="B1274" s="491">
        <v>5831028</v>
      </c>
      <c r="C1274" s="87">
        <v>0</v>
      </c>
      <c r="D1274" s="134">
        <f t="shared" si="59"/>
        <v>5831028</v>
      </c>
      <c r="E1274" t="s">
        <v>1296</v>
      </c>
      <c r="F1274" s="70"/>
      <c r="G1274" s="70"/>
      <c r="H1274" s="70"/>
    </row>
    <row r="1275" spans="1:10" s="44" customFormat="1" hidden="1" outlineLevel="1">
      <c r="A1275" s="389" t="s">
        <v>1223</v>
      </c>
      <c r="B1275" s="491">
        <v>472750.89</v>
      </c>
      <c r="C1275" s="87">
        <v>-141183</v>
      </c>
      <c r="D1275" s="134">
        <f t="shared" si="59"/>
        <v>331567.89</v>
      </c>
      <c r="E1275" t="s">
        <v>1224</v>
      </c>
      <c r="F1275" s="70"/>
      <c r="G1275" s="70"/>
      <c r="H1275" s="70"/>
    </row>
    <row r="1276" spans="1:10" s="44" customFormat="1" hidden="1" outlineLevel="1">
      <c r="A1276" s="389" t="s">
        <v>1344</v>
      </c>
      <c r="B1276" s="491">
        <v>555345301.29400003</v>
      </c>
      <c r="C1276" s="87">
        <v>388729756</v>
      </c>
      <c r="D1276" s="134">
        <f t="shared" si="59"/>
        <v>944075057.29400003</v>
      </c>
      <c r="E1276" t="s">
        <v>1345</v>
      </c>
      <c r="F1276" s="70"/>
      <c r="G1276" s="70"/>
      <c r="H1276" s="70"/>
    </row>
    <row r="1277" spans="1:10" s="44" customFormat="1" hidden="1" outlineLevel="1">
      <c r="A1277" s="389" t="s">
        <v>1352</v>
      </c>
      <c r="B1277" s="491">
        <v>1529402</v>
      </c>
      <c r="C1277" s="87">
        <v>0</v>
      </c>
      <c r="D1277" s="134">
        <f t="shared" si="59"/>
        <v>1529402</v>
      </c>
      <c r="E1277" t="s">
        <v>1353</v>
      </c>
      <c r="F1277" s="70"/>
      <c r="G1277" s="70"/>
      <c r="H1277" s="70"/>
    </row>
    <row r="1278" spans="1:10" s="44" customFormat="1" hidden="1" outlineLevel="1">
      <c r="A1278" s="389" t="s">
        <v>1671</v>
      </c>
      <c r="B1278" s="491">
        <v>1408684</v>
      </c>
      <c r="C1278" s="87">
        <v>656658</v>
      </c>
      <c r="D1278" s="134">
        <f t="shared" si="59"/>
        <v>2065342</v>
      </c>
      <c r="E1278" t="s">
        <v>1672</v>
      </c>
      <c r="F1278" s="70"/>
      <c r="G1278" s="70"/>
      <c r="H1278" s="70"/>
    </row>
    <row r="1279" spans="1:10" s="44" customFormat="1" hidden="1" outlineLevel="1">
      <c r="A1279" s="389" t="s">
        <v>1538</v>
      </c>
      <c r="B1279" s="491">
        <v>4229394.9400000004</v>
      </c>
      <c r="C1279" s="87">
        <v>0</v>
      </c>
      <c r="D1279" s="134">
        <f t="shared" si="59"/>
        <v>4229394.9400000004</v>
      </c>
      <c r="E1279" t="s">
        <v>1539</v>
      </c>
      <c r="F1279" s="70"/>
      <c r="G1279" s="70"/>
      <c r="H1279" s="70"/>
    </row>
    <row r="1280" spans="1:10" s="44" customFormat="1" hidden="1" outlineLevel="1">
      <c r="A1280" s="389" t="s">
        <v>1279</v>
      </c>
      <c r="B1280" s="491">
        <v>124168.56</v>
      </c>
      <c r="C1280" s="87">
        <v>0</v>
      </c>
      <c r="D1280" s="134">
        <f t="shared" si="59"/>
        <v>124168.56</v>
      </c>
      <c r="E1280" t="s">
        <v>1280</v>
      </c>
      <c r="F1280" s="70"/>
      <c r="G1280" s="70"/>
      <c r="H1280" s="70"/>
    </row>
    <row r="1281" spans="1:8" s="44" customFormat="1" hidden="1" outlineLevel="1">
      <c r="A1281" s="389" t="s">
        <v>1090</v>
      </c>
      <c r="B1281" s="491">
        <v>15977992.020000001</v>
      </c>
      <c r="C1281" s="87">
        <v>2569802</v>
      </c>
      <c r="D1281" s="134">
        <f t="shared" si="59"/>
        <v>18547794.020000003</v>
      </c>
      <c r="E1281" t="s">
        <v>1091</v>
      </c>
      <c r="F1281" s="70"/>
      <c r="G1281" s="70"/>
      <c r="H1281" s="70"/>
    </row>
    <row r="1282" spans="1:8" s="44" customFormat="1" hidden="1" outlineLevel="1">
      <c r="A1282" s="389" t="s">
        <v>1470</v>
      </c>
      <c r="B1282" s="491">
        <v>959965</v>
      </c>
      <c r="C1282" s="87">
        <v>0</v>
      </c>
      <c r="D1282" s="134">
        <f t="shared" si="59"/>
        <v>959965</v>
      </c>
      <c r="E1282" t="s">
        <v>1471</v>
      </c>
      <c r="F1282" s="70"/>
      <c r="G1282" s="70"/>
      <c r="H1282" s="70"/>
    </row>
    <row r="1283" spans="1:8" s="44" customFormat="1" hidden="1" outlineLevel="1">
      <c r="A1283" s="389" t="s">
        <v>1696</v>
      </c>
      <c r="B1283" s="491">
        <v>43261</v>
      </c>
      <c r="C1283" s="87">
        <v>0</v>
      </c>
      <c r="D1283" s="134">
        <f t="shared" si="59"/>
        <v>43261</v>
      </c>
      <c r="E1283" t="s">
        <v>1697</v>
      </c>
      <c r="F1283" s="70"/>
      <c r="G1283" s="70"/>
      <c r="H1283" s="70"/>
    </row>
    <row r="1284" spans="1:8" s="44" customFormat="1" hidden="1" outlineLevel="1">
      <c r="A1284" s="389" t="s">
        <v>2218</v>
      </c>
      <c r="B1284" s="491">
        <v>0</v>
      </c>
      <c r="C1284" s="87">
        <v>0</v>
      </c>
      <c r="D1284" s="134">
        <f t="shared" si="59"/>
        <v>0</v>
      </c>
      <c r="E1284" t="s">
        <v>2219</v>
      </c>
      <c r="F1284" s="70"/>
      <c r="G1284" s="70"/>
      <c r="H1284" s="70"/>
    </row>
    <row r="1285" spans="1:8" s="44" customFormat="1" hidden="1" outlineLevel="1">
      <c r="A1285" s="389" t="s">
        <v>1400</v>
      </c>
      <c r="B1285" s="491">
        <v>202087</v>
      </c>
      <c r="C1285" s="87">
        <v>0</v>
      </c>
      <c r="D1285" s="134">
        <f t="shared" si="59"/>
        <v>202087</v>
      </c>
      <c r="E1285" t="s">
        <v>1401</v>
      </c>
      <c r="F1285" s="70"/>
      <c r="G1285" s="70"/>
      <c r="H1285" s="70"/>
    </row>
    <row r="1286" spans="1:8" s="44" customFormat="1" hidden="1" outlineLevel="1">
      <c r="A1286" s="389" t="s">
        <v>1790</v>
      </c>
      <c r="B1286" s="491">
        <v>180689</v>
      </c>
      <c r="C1286" s="87">
        <v>0</v>
      </c>
      <c r="D1286" s="134">
        <f t="shared" si="59"/>
        <v>180689</v>
      </c>
      <c r="E1286" t="s">
        <v>1791</v>
      </c>
      <c r="F1286" s="70"/>
      <c r="G1286" s="70"/>
      <c r="H1286" s="70"/>
    </row>
    <row r="1287" spans="1:8" s="44" customFormat="1" hidden="1" outlineLevel="1">
      <c r="A1287" s="389" t="s">
        <v>1372</v>
      </c>
      <c r="B1287" s="491">
        <v>217936</v>
      </c>
      <c r="C1287" s="87">
        <v>0</v>
      </c>
      <c r="D1287" s="134">
        <f t="shared" si="59"/>
        <v>217936</v>
      </c>
      <c r="E1287" t="s">
        <v>1373</v>
      </c>
      <c r="F1287" s="70"/>
      <c r="G1287" s="70"/>
      <c r="H1287" s="70"/>
    </row>
    <row r="1288" spans="1:8" s="44" customFormat="1" hidden="1" outlineLevel="1">
      <c r="A1288" s="389" t="s">
        <v>1378</v>
      </c>
      <c r="B1288" s="491">
        <v>75014</v>
      </c>
      <c r="C1288" s="87">
        <v>0</v>
      </c>
      <c r="D1288" s="134">
        <f t="shared" si="59"/>
        <v>75014</v>
      </c>
      <c r="E1288" t="s">
        <v>1379</v>
      </c>
      <c r="F1288" s="70"/>
      <c r="G1288" s="70"/>
      <c r="H1288" s="70"/>
    </row>
    <row r="1289" spans="1:8" s="44" customFormat="1" hidden="1" outlineLevel="1">
      <c r="A1289" s="389" t="s">
        <v>1275</v>
      </c>
      <c r="B1289" s="491">
        <v>18616</v>
      </c>
      <c r="C1289" s="87">
        <v>0</v>
      </c>
      <c r="D1289" s="134">
        <f t="shared" si="59"/>
        <v>18616</v>
      </c>
      <c r="E1289" t="s">
        <v>1276</v>
      </c>
      <c r="F1289" s="70"/>
      <c r="G1289" s="70"/>
      <c r="H1289" s="70"/>
    </row>
    <row r="1290" spans="1:8" s="44" customFormat="1" hidden="1" outlineLevel="1">
      <c r="A1290" s="389" t="s">
        <v>1622</v>
      </c>
      <c r="B1290" s="491">
        <v>701141</v>
      </c>
      <c r="C1290" s="87">
        <v>0</v>
      </c>
      <c r="D1290" s="134">
        <f t="shared" si="59"/>
        <v>701141</v>
      </c>
      <c r="E1290" t="s">
        <v>1623</v>
      </c>
      <c r="F1290" s="70"/>
      <c r="G1290" s="70"/>
      <c r="H1290" s="70"/>
    </row>
    <row r="1291" spans="1:8" s="44" customFormat="1" hidden="1" outlineLevel="1">
      <c r="A1291" s="389" t="s">
        <v>2210</v>
      </c>
      <c r="B1291" s="491">
        <v>0</v>
      </c>
      <c r="C1291" s="87">
        <v>0</v>
      </c>
      <c r="D1291" s="134">
        <f t="shared" si="59"/>
        <v>0</v>
      </c>
      <c r="E1291" t="s">
        <v>2211</v>
      </c>
      <c r="F1291" s="70"/>
      <c r="G1291" s="70"/>
      <c r="H1291" s="70"/>
    </row>
    <row r="1292" spans="1:8" s="44" customFormat="1" hidden="1" outlineLevel="1">
      <c r="A1292" s="389" t="s">
        <v>1269</v>
      </c>
      <c r="B1292" s="491">
        <v>394674.00099999999</v>
      </c>
      <c r="C1292" s="87">
        <v>0</v>
      </c>
      <c r="D1292" s="134">
        <f t="shared" si="59"/>
        <v>394674.00099999999</v>
      </c>
      <c r="E1292" t="s">
        <v>1270</v>
      </c>
      <c r="F1292" s="70"/>
      <c r="G1292" s="70"/>
      <c r="H1292" s="70"/>
    </row>
    <row r="1293" spans="1:8" s="44" customFormat="1" hidden="1" outlineLevel="1">
      <c r="A1293" s="389" t="s">
        <v>2193</v>
      </c>
      <c r="B1293" s="491">
        <v>0</v>
      </c>
      <c r="C1293" s="87">
        <v>0</v>
      </c>
      <c r="D1293" s="134">
        <f t="shared" si="59"/>
        <v>0</v>
      </c>
      <c r="E1293" t="s">
        <v>2194</v>
      </c>
      <c r="F1293" s="70"/>
      <c r="G1293" s="70"/>
      <c r="H1293" s="70"/>
    </row>
    <row r="1294" spans="1:8" s="44" customFormat="1" hidden="1" outlineLevel="1">
      <c r="A1294" s="389" t="s">
        <v>1366</v>
      </c>
      <c r="B1294" s="491">
        <v>113601</v>
      </c>
      <c r="C1294" s="87">
        <v>0</v>
      </c>
      <c r="D1294" s="134">
        <f t="shared" si="59"/>
        <v>113601</v>
      </c>
      <c r="E1294" t="s">
        <v>1367</v>
      </c>
      <c r="F1294" s="70"/>
      <c r="G1294" s="70"/>
      <c r="H1294" s="70"/>
    </row>
    <row r="1295" spans="1:8" s="44" customFormat="1" hidden="1" outlineLevel="1">
      <c r="A1295" s="389" t="s">
        <v>1225</v>
      </c>
      <c r="B1295" s="491">
        <v>66149.899999999994</v>
      </c>
      <c r="C1295" s="87">
        <v>0</v>
      </c>
      <c r="D1295" s="134">
        <f t="shared" si="59"/>
        <v>66149.899999999994</v>
      </c>
      <c r="E1295" t="s">
        <v>1226</v>
      </c>
      <c r="F1295" s="70"/>
      <c r="G1295" s="70"/>
      <c r="H1295" s="70"/>
    </row>
    <row r="1296" spans="1:8" s="44" customFormat="1" hidden="1" outlineLevel="1">
      <c r="A1296" s="389" t="s">
        <v>1354</v>
      </c>
      <c r="B1296" s="491">
        <v>2628222.003</v>
      </c>
      <c r="C1296" s="87">
        <v>92427</v>
      </c>
      <c r="D1296" s="134">
        <f t="shared" si="59"/>
        <v>2720649.003</v>
      </c>
      <c r="E1296" t="s">
        <v>1355</v>
      </c>
      <c r="F1296" s="70"/>
      <c r="G1296" s="70"/>
      <c r="H1296" s="70"/>
    </row>
    <row r="1297" spans="1:8" s="44" customFormat="1" hidden="1" outlineLevel="1">
      <c r="A1297" s="389" t="s">
        <v>1796</v>
      </c>
      <c r="B1297" s="491">
        <v>187772</v>
      </c>
      <c r="C1297" s="87">
        <v>-3135</v>
      </c>
      <c r="D1297" s="134">
        <f t="shared" si="59"/>
        <v>184637</v>
      </c>
      <c r="E1297" t="s">
        <v>1797</v>
      </c>
      <c r="F1297" s="70"/>
      <c r="G1297" s="70"/>
      <c r="H1297" s="70"/>
    </row>
    <row r="1298" spans="1:8" s="44" customFormat="1" hidden="1" outlineLevel="1">
      <c r="A1298" s="389" t="s">
        <v>1251</v>
      </c>
      <c r="B1298" s="491">
        <v>273255</v>
      </c>
      <c r="C1298" s="87">
        <v>31166</v>
      </c>
      <c r="D1298" s="134">
        <f t="shared" si="59"/>
        <v>304421</v>
      </c>
      <c r="E1298" t="s">
        <v>1252</v>
      </c>
      <c r="F1298" s="70"/>
      <c r="G1298" s="70"/>
      <c r="H1298" s="70"/>
    </row>
    <row r="1299" spans="1:8" s="44" customFormat="1" hidden="1" outlineLevel="1">
      <c r="A1299" s="389" t="s">
        <v>1666</v>
      </c>
      <c r="B1299" s="491">
        <v>97965667</v>
      </c>
      <c r="C1299" s="87">
        <v>4600992</v>
      </c>
      <c r="D1299" s="134">
        <f t="shared" si="59"/>
        <v>102566659</v>
      </c>
      <c r="E1299" t="s">
        <v>1667</v>
      </c>
      <c r="F1299" s="70"/>
      <c r="G1299" s="70"/>
      <c r="H1299" s="70"/>
    </row>
    <row r="1300" spans="1:8" s="44" customFormat="1" hidden="1" outlineLevel="1">
      <c r="A1300" s="389" t="s">
        <v>1309</v>
      </c>
      <c r="B1300" s="491">
        <v>2662908.35</v>
      </c>
      <c r="C1300" s="87">
        <v>-110435</v>
      </c>
      <c r="D1300" s="134">
        <f t="shared" si="59"/>
        <v>2552473.35</v>
      </c>
      <c r="E1300" t="s">
        <v>1310</v>
      </c>
      <c r="F1300" s="70"/>
      <c r="G1300" s="70"/>
      <c r="H1300" s="70"/>
    </row>
    <row r="1301" spans="1:8" s="44" customFormat="1" hidden="1" outlineLevel="1">
      <c r="A1301" s="389" t="s">
        <v>1408</v>
      </c>
      <c r="B1301" s="491">
        <v>58703510.692999989</v>
      </c>
      <c r="C1301" s="87">
        <v>1181942.1579999998</v>
      </c>
      <c r="D1301" s="134">
        <f t="shared" si="59"/>
        <v>59885452.850999989</v>
      </c>
      <c r="E1301" t="s">
        <v>1409</v>
      </c>
      <c r="F1301" s="70"/>
      <c r="G1301" s="70"/>
      <c r="H1301" s="70"/>
    </row>
    <row r="1302" spans="1:8" s="44" customFormat="1" hidden="1" outlineLevel="1">
      <c r="A1302" s="389" t="s">
        <v>1261</v>
      </c>
      <c r="B1302" s="491">
        <v>70000</v>
      </c>
      <c r="C1302" s="87">
        <v>0</v>
      </c>
      <c r="D1302" s="134">
        <f t="shared" si="59"/>
        <v>70000</v>
      </c>
      <c r="E1302" t="s">
        <v>1262</v>
      </c>
      <c r="F1302" s="70"/>
      <c r="G1302" s="70"/>
      <c r="H1302" s="70"/>
    </row>
    <row r="1303" spans="1:8" s="44" customFormat="1" hidden="1" outlineLevel="1">
      <c r="A1303" s="389" t="s">
        <v>1816</v>
      </c>
      <c r="B1303" s="491">
        <v>298499</v>
      </c>
      <c r="C1303" s="87">
        <v>0</v>
      </c>
      <c r="D1303" s="134">
        <f t="shared" si="59"/>
        <v>298499</v>
      </c>
      <c r="E1303" t="s">
        <v>1817</v>
      </c>
      <c r="F1303" s="70"/>
      <c r="G1303" s="70"/>
      <c r="H1303" s="70"/>
    </row>
    <row r="1304" spans="1:8" s="44" customFormat="1" hidden="1" outlineLevel="1">
      <c r="A1304" s="389" t="s">
        <v>1248</v>
      </c>
      <c r="B1304" s="491">
        <v>594981</v>
      </c>
      <c r="C1304" s="87">
        <v>0</v>
      </c>
      <c r="D1304" s="134">
        <f t="shared" si="59"/>
        <v>594981</v>
      </c>
      <c r="E1304" t="s">
        <v>1249</v>
      </c>
      <c r="F1304" s="70"/>
      <c r="G1304" s="70"/>
      <c r="H1304" s="70"/>
    </row>
    <row r="1305" spans="1:8" s="44" customFormat="1" hidden="1" outlineLevel="1">
      <c r="A1305" s="389" t="s">
        <v>1390</v>
      </c>
      <c r="B1305" s="491">
        <v>392774.24300000002</v>
      </c>
      <c r="C1305" s="87">
        <v>0</v>
      </c>
      <c r="D1305" s="134">
        <f t="shared" si="59"/>
        <v>392774.24300000002</v>
      </c>
      <c r="E1305" t="s">
        <v>1391</v>
      </c>
      <c r="F1305" s="70"/>
      <c r="G1305" s="70"/>
      <c r="H1305" s="70"/>
    </row>
    <row r="1306" spans="1:8" s="44" customFormat="1" hidden="1" outlineLevel="1">
      <c r="A1306" s="389" t="s">
        <v>1456</v>
      </c>
      <c r="B1306" s="491">
        <v>515791.40100000001</v>
      </c>
      <c r="C1306" s="87">
        <v>0</v>
      </c>
      <c r="D1306" s="134">
        <f t="shared" si="59"/>
        <v>515791.40100000001</v>
      </c>
      <c r="E1306" t="s">
        <v>1457</v>
      </c>
      <c r="F1306" s="70"/>
      <c r="G1306" s="70"/>
      <c r="H1306" s="70"/>
    </row>
    <row r="1307" spans="1:8" s="44" customFormat="1" hidden="1" outlineLevel="1">
      <c r="A1307" s="389" t="s">
        <v>1814</v>
      </c>
      <c r="B1307" s="491">
        <v>1911885.1780000001</v>
      </c>
      <c r="C1307" s="87">
        <v>24171</v>
      </c>
      <c r="D1307" s="134">
        <f t="shared" si="59"/>
        <v>1936056.1780000001</v>
      </c>
      <c r="E1307" t="s">
        <v>1815</v>
      </c>
      <c r="F1307" s="70"/>
      <c r="G1307" s="70"/>
      <c r="H1307" s="70"/>
    </row>
    <row r="1308" spans="1:8" s="44" customFormat="1" hidden="1" outlineLevel="1">
      <c r="A1308" s="389" t="s">
        <v>2263</v>
      </c>
      <c r="B1308" s="491">
        <v>0</v>
      </c>
      <c r="C1308" s="87">
        <v>0</v>
      </c>
      <c r="D1308" s="134">
        <f t="shared" si="59"/>
        <v>0</v>
      </c>
      <c r="E1308" t="s">
        <v>2264</v>
      </c>
      <c r="F1308" s="70"/>
      <c r="G1308" s="70"/>
      <c r="H1308" s="70"/>
    </row>
    <row r="1309" spans="1:8" s="44" customFormat="1" hidden="1" outlineLevel="1">
      <c r="A1309" s="389" t="s">
        <v>1236</v>
      </c>
      <c r="B1309" s="491">
        <v>782729.25699999998</v>
      </c>
      <c r="C1309" s="87">
        <v>0</v>
      </c>
      <c r="D1309" s="134">
        <f t="shared" si="59"/>
        <v>782729.25699999998</v>
      </c>
      <c r="E1309" t="s">
        <v>1237</v>
      </c>
      <c r="F1309" s="70"/>
      <c r="G1309" s="70"/>
      <c r="H1309" s="70"/>
    </row>
    <row r="1310" spans="1:8" s="44" customFormat="1" hidden="1" outlineLevel="1">
      <c r="A1310" s="389" t="s">
        <v>1818</v>
      </c>
      <c r="B1310" s="491">
        <v>10288500</v>
      </c>
      <c r="C1310" s="87">
        <v>348000</v>
      </c>
      <c r="D1310" s="134">
        <f t="shared" si="59"/>
        <v>10636500</v>
      </c>
      <c r="E1310" t="s">
        <v>1819</v>
      </c>
      <c r="F1310" s="70"/>
      <c r="G1310" s="70"/>
      <c r="H1310" s="70"/>
    </row>
    <row r="1311" spans="1:8" s="44" customFormat="1" hidden="1" outlineLevel="1">
      <c r="A1311" s="389" t="s">
        <v>1640</v>
      </c>
      <c r="B1311" s="491">
        <v>72687570.400999993</v>
      </c>
      <c r="C1311" s="87">
        <v>0</v>
      </c>
      <c r="D1311" s="134">
        <f t="shared" si="59"/>
        <v>72687570.400999993</v>
      </c>
      <c r="E1311" t="s">
        <v>1641</v>
      </c>
      <c r="F1311" s="70"/>
      <c r="G1311" s="70"/>
      <c r="H1311" s="70"/>
    </row>
    <row r="1312" spans="1:8" s="44" customFormat="1" hidden="1" outlineLevel="1">
      <c r="A1312" s="389" t="s">
        <v>1368</v>
      </c>
      <c r="B1312" s="491">
        <v>49947.720999999998</v>
      </c>
      <c r="C1312" s="87">
        <v>0</v>
      </c>
      <c r="D1312" s="134">
        <f t="shared" si="59"/>
        <v>49947.720999999998</v>
      </c>
      <c r="E1312" t="s">
        <v>1369</v>
      </c>
      <c r="F1312" s="70"/>
      <c r="G1312" s="70"/>
      <c r="H1312" s="70"/>
    </row>
    <row r="1313" spans="1:8" s="44" customFormat="1" hidden="1" outlineLevel="1">
      <c r="A1313" s="389" t="s">
        <v>1770</v>
      </c>
      <c r="B1313" s="491">
        <v>957504</v>
      </c>
      <c r="C1313" s="87">
        <v>0</v>
      </c>
      <c r="D1313" s="134">
        <f t="shared" si="59"/>
        <v>957504</v>
      </c>
      <c r="E1313" t="s">
        <v>1771</v>
      </c>
      <c r="F1313" s="70"/>
      <c r="G1313" s="70"/>
      <c r="H1313" s="70"/>
    </row>
    <row r="1314" spans="1:8" s="44" customFormat="1" hidden="1" outlineLevel="1">
      <c r="A1314" s="389" t="s">
        <v>1732</v>
      </c>
      <c r="B1314" s="491">
        <v>3598887</v>
      </c>
      <c r="C1314" s="87">
        <v>0</v>
      </c>
      <c r="D1314" s="134">
        <f t="shared" si="59"/>
        <v>3598887</v>
      </c>
      <c r="E1314" t="s">
        <v>1733</v>
      </c>
      <c r="F1314" s="70"/>
      <c r="G1314" s="70"/>
      <c r="H1314" s="70"/>
    </row>
    <row r="1315" spans="1:8" s="44" customFormat="1" hidden="1" outlineLevel="1">
      <c r="A1315" s="389" t="s">
        <v>1800</v>
      </c>
      <c r="B1315" s="491">
        <v>51713</v>
      </c>
      <c r="C1315" s="87">
        <v>0</v>
      </c>
      <c r="D1315" s="134">
        <f t="shared" si="59"/>
        <v>51713</v>
      </c>
      <c r="E1315" t="s">
        <v>1801</v>
      </c>
      <c r="F1315" s="70"/>
      <c r="G1315" s="70"/>
      <c r="H1315" s="70"/>
    </row>
    <row r="1316" spans="1:8" s="44" customFormat="1" hidden="1" outlineLevel="1">
      <c r="A1316" s="389" t="s">
        <v>1328</v>
      </c>
      <c r="B1316" s="491">
        <v>26250</v>
      </c>
      <c r="C1316" s="87">
        <v>0</v>
      </c>
      <c r="D1316" s="134">
        <f t="shared" si="59"/>
        <v>26250</v>
      </c>
      <c r="E1316" t="s">
        <v>1329</v>
      </c>
      <c r="F1316" s="70"/>
      <c r="G1316" s="70"/>
      <c r="H1316" s="70"/>
    </row>
    <row r="1317" spans="1:8" s="44" customFormat="1" hidden="1" outlineLevel="1">
      <c r="A1317" s="389" t="s">
        <v>1516</v>
      </c>
      <c r="B1317" s="491">
        <v>513468949</v>
      </c>
      <c r="C1317" s="87">
        <v>25930496</v>
      </c>
      <c r="D1317" s="134">
        <f t="shared" si="59"/>
        <v>539399445</v>
      </c>
      <c r="E1317" t="s">
        <v>1517</v>
      </c>
      <c r="F1317" s="70"/>
      <c r="G1317" s="70"/>
      <c r="H1317" s="70"/>
    </row>
    <row r="1318" spans="1:8" s="44" customFormat="1" hidden="1" outlineLevel="1">
      <c r="A1318" s="389" t="s">
        <v>1720</v>
      </c>
      <c r="B1318" s="491">
        <v>2967597.054</v>
      </c>
      <c r="C1318" s="87">
        <v>0</v>
      </c>
      <c r="D1318" s="134">
        <f t="shared" si="59"/>
        <v>2967597.054</v>
      </c>
      <c r="E1318" t="s">
        <v>1721</v>
      </c>
      <c r="F1318" s="70"/>
      <c r="G1318" s="70"/>
      <c r="H1318" s="70"/>
    </row>
    <row r="1319" spans="1:8" s="44" customFormat="1" hidden="1" outlineLevel="1">
      <c r="A1319" s="389" t="s">
        <v>1350</v>
      </c>
      <c r="B1319" s="491">
        <v>24268</v>
      </c>
      <c r="C1319" s="87">
        <v>0</v>
      </c>
      <c r="D1319" s="134">
        <f t="shared" si="59"/>
        <v>24268</v>
      </c>
      <c r="E1319" t="s">
        <v>1351</v>
      </c>
      <c r="F1319" s="70"/>
      <c r="G1319" s="70"/>
      <c r="H1319" s="70"/>
    </row>
    <row r="1320" spans="1:8" s="44" customFormat="1" hidden="1" outlineLevel="1">
      <c r="A1320" s="389" t="s">
        <v>1716</v>
      </c>
      <c r="B1320" s="491">
        <v>74262.399999999994</v>
      </c>
      <c r="C1320" s="87">
        <v>0</v>
      </c>
      <c r="D1320" s="134">
        <f t="shared" si="59"/>
        <v>74262.399999999994</v>
      </c>
      <c r="E1320" t="s">
        <v>1717</v>
      </c>
      <c r="F1320" s="70"/>
      <c r="G1320" s="70"/>
      <c r="H1320" s="70"/>
    </row>
    <row r="1321" spans="1:8" s="44" customFormat="1" hidden="1" outlineLevel="1">
      <c r="A1321" s="389" t="s">
        <v>1652</v>
      </c>
      <c r="B1321" s="491">
        <v>1731498</v>
      </c>
      <c r="C1321" s="87">
        <v>260000</v>
      </c>
      <c r="D1321" s="134">
        <f>B1321+C1321</f>
        <v>1991498</v>
      </c>
      <c r="E1321" t="s">
        <v>1653</v>
      </c>
      <c r="F1321" s="70"/>
      <c r="G1321" s="70"/>
      <c r="H1321" s="70"/>
    </row>
    <row r="1322" spans="1:8" s="44" customFormat="1" hidden="1" outlineLevel="1">
      <c r="A1322" s="389" t="s">
        <v>1238</v>
      </c>
      <c r="B1322" s="491">
        <v>574959</v>
      </c>
      <c r="C1322" s="87">
        <v>0</v>
      </c>
      <c r="D1322" s="134">
        <f t="shared" si="59"/>
        <v>574959</v>
      </c>
      <c r="E1322" t="s">
        <v>1239</v>
      </c>
      <c r="F1322" s="70"/>
      <c r="G1322" s="70"/>
      <c r="H1322" s="70"/>
    </row>
    <row r="1323" spans="1:8" s="44" customFormat="1" hidden="1" outlineLevel="1">
      <c r="A1323" s="389" t="s">
        <v>1428</v>
      </c>
      <c r="B1323" s="491">
        <v>195088</v>
      </c>
      <c r="C1323" s="87">
        <v>0</v>
      </c>
      <c r="D1323" s="134">
        <f t="shared" si="59"/>
        <v>195088</v>
      </c>
      <c r="E1323" t="s">
        <v>1429</v>
      </c>
      <c r="F1323" s="70"/>
      <c r="G1323" s="70"/>
      <c r="H1323" s="70"/>
    </row>
    <row r="1324" spans="1:8" s="44" customFormat="1" hidden="1" outlineLevel="1">
      <c r="A1324" s="389" t="s">
        <v>799</v>
      </c>
      <c r="B1324" s="491">
        <v>63024</v>
      </c>
      <c r="C1324" s="87">
        <v>0</v>
      </c>
      <c r="D1324" s="134">
        <f t="shared" si="59"/>
        <v>63024</v>
      </c>
      <c r="E1324" t="s">
        <v>1250</v>
      </c>
      <c r="F1324" s="70"/>
      <c r="G1324" s="70"/>
      <c r="H1324" s="70"/>
    </row>
    <row r="1325" spans="1:8" s="44" customFormat="1" hidden="1" outlineLevel="1">
      <c r="A1325" s="389" t="s">
        <v>1464</v>
      </c>
      <c r="B1325" s="491">
        <v>2432068.9</v>
      </c>
      <c r="C1325" s="87">
        <v>0</v>
      </c>
      <c r="D1325" s="134">
        <f t="shared" si="59"/>
        <v>2432068.9</v>
      </c>
      <c r="E1325" t="s">
        <v>1465</v>
      </c>
      <c r="F1325" s="70"/>
      <c r="G1325" s="70"/>
      <c r="H1325" s="70"/>
    </row>
    <row r="1326" spans="1:8" s="44" customFormat="1" hidden="1" outlineLevel="1">
      <c r="A1326" s="389" t="s">
        <v>1255</v>
      </c>
      <c r="B1326" s="491">
        <v>121474</v>
      </c>
      <c r="C1326" s="87">
        <v>0</v>
      </c>
      <c r="D1326" s="134">
        <f t="shared" si="59"/>
        <v>121474</v>
      </c>
      <c r="E1326" t="s">
        <v>1256</v>
      </c>
      <c r="F1326" s="70"/>
      <c r="G1326" s="70"/>
      <c r="H1326" s="70"/>
    </row>
    <row r="1327" spans="1:8" s="44" customFormat="1" hidden="1" outlineLevel="1">
      <c r="A1327" s="389" t="s">
        <v>1710</v>
      </c>
      <c r="B1327" s="491">
        <v>1264701</v>
      </c>
      <c r="C1327" s="87">
        <v>17000</v>
      </c>
      <c r="D1327" s="134">
        <f t="shared" si="59"/>
        <v>1281701</v>
      </c>
      <c r="E1327" t="s">
        <v>1711</v>
      </c>
      <c r="F1327" s="70"/>
      <c r="G1327" s="70"/>
      <c r="H1327" s="70"/>
    </row>
    <row r="1328" spans="1:8" s="44" customFormat="1" hidden="1" outlineLevel="1">
      <c r="A1328" s="389" t="s">
        <v>1030</v>
      </c>
      <c r="B1328" s="491">
        <v>86144</v>
      </c>
      <c r="C1328" s="87">
        <v>166474.76799999998</v>
      </c>
      <c r="D1328" s="134">
        <f t="shared" si="59"/>
        <v>252618.76799999998</v>
      </c>
      <c r="E1328" t="s">
        <v>1031</v>
      </c>
      <c r="F1328" s="70"/>
      <c r="G1328" s="70"/>
      <c r="H1328" s="70"/>
    </row>
    <row r="1329" spans="1:8" s="44" customFormat="1" hidden="1" outlineLevel="1">
      <c r="A1329" s="389" t="s">
        <v>1253</v>
      </c>
      <c r="B1329" s="491">
        <v>186636</v>
      </c>
      <c r="C1329" s="87">
        <v>0</v>
      </c>
      <c r="D1329" s="134">
        <f t="shared" si="59"/>
        <v>186636</v>
      </c>
      <c r="E1329" t="s">
        <v>1254</v>
      </c>
      <c r="F1329" s="70"/>
      <c r="G1329" s="70"/>
      <c r="H1329" s="70"/>
    </row>
    <row r="1330" spans="1:8" s="44" customFormat="1" hidden="1" outlineLevel="1">
      <c r="A1330" s="389" t="s">
        <v>1554</v>
      </c>
      <c r="B1330" s="491">
        <v>753018.4</v>
      </c>
      <c r="C1330" s="87">
        <v>7770</v>
      </c>
      <c r="D1330" s="134">
        <f t="shared" si="59"/>
        <v>760788.4</v>
      </c>
      <c r="E1330" t="s">
        <v>1555</v>
      </c>
      <c r="F1330" s="70"/>
      <c r="G1330" s="70"/>
      <c r="H1330" s="70"/>
    </row>
    <row r="1331" spans="1:8" s="44" customFormat="1" hidden="1" outlineLevel="1">
      <c r="A1331" s="389" t="s">
        <v>1812</v>
      </c>
      <c r="B1331" s="491">
        <v>17211.998</v>
      </c>
      <c r="C1331" s="87">
        <v>0</v>
      </c>
      <c r="D1331" s="134">
        <f t="shared" si="59"/>
        <v>17211.998</v>
      </c>
      <c r="E1331" t="s">
        <v>1813</v>
      </c>
      <c r="F1331" s="70"/>
      <c r="G1331" s="70"/>
      <c r="H1331" s="70"/>
    </row>
    <row r="1332" spans="1:8" s="44" customFormat="1" hidden="1" outlineLevel="1">
      <c r="A1332" s="389" t="s">
        <v>1492</v>
      </c>
      <c r="B1332" s="491">
        <v>21897</v>
      </c>
      <c r="C1332" s="87">
        <v>0</v>
      </c>
      <c r="D1332" s="134">
        <f t="shared" si="59"/>
        <v>21897</v>
      </c>
      <c r="E1332" t="s">
        <v>1493</v>
      </c>
      <c r="F1332" s="70"/>
      <c r="G1332" s="70"/>
      <c r="H1332" s="70"/>
    </row>
    <row r="1333" spans="1:8" s="44" customFormat="1" hidden="1" outlineLevel="1">
      <c r="A1333" s="389" t="s">
        <v>1346</v>
      </c>
      <c r="B1333" s="491">
        <v>4262661.0150000006</v>
      </c>
      <c r="C1333" s="87">
        <v>0</v>
      </c>
      <c r="D1333" s="134">
        <f t="shared" si="59"/>
        <v>4262661.0150000006</v>
      </c>
      <c r="E1333" t="s">
        <v>1347</v>
      </c>
      <c r="F1333" s="70"/>
      <c r="G1333" s="70"/>
      <c r="H1333" s="70"/>
    </row>
    <row r="1334" spans="1:8" s="44" customFormat="1" hidden="1" outlineLevel="1">
      <c r="A1334" s="389" t="s">
        <v>1624</v>
      </c>
      <c r="B1334" s="491">
        <v>233100</v>
      </c>
      <c r="C1334" s="87">
        <v>0</v>
      </c>
      <c r="D1334" s="134">
        <f t="shared" si="59"/>
        <v>233100</v>
      </c>
      <c r="E1334" t="s">
        <v>1625</v>
      </c>
      <c r="F1334" s="70"/>
      <c r="G1334" s="70"/>
      <c r="H1334" s="70"/>
    </row>
    <row r="1335" spans="1:8" s="44" customFormat="1" hidden="1" outlineLevel="1">
      <c r="A1335" s="389" t="s">
        <v>1590</v>
      </c>
      <c r="B1335" s="491">
        <v>3495</v>
      </c>
      <c r="C1335" s="87">
        <v>0</v>
      </c>
      <c r="D1335" s="134">
        <f t="shared" si="59"/>
        <v>3495</v>
      </c>
      <c r="E1335" t="s">
        <v>1591</v>
      </c>
      <c r="F1335" s="70"/>
      <c r="G1335" s="70"/>
      <c r="H1335" s="70"/>
    </row>
    <row r="1336" spans="1:8" s="44" customFormat="1" hidden="1" outlineLevel="1">
      <c r="A1336" s="389" t="s">
        <v>1356</v>
      </c>
      <c r="B1336" s="491">
        <v>35074</v>
      </c>
      <c r="C1336" s="87">
        <v>0</v>
      </c>
      <c r="D1336" s="134">
        <f t="shared" ref="D1336:D1399" si="60">B1336+C1336</f>
        <v>35074</v>
      </c>
      <c r="E1336" t="s">
        <v>1357</v>
      </c>
      <c r="F1336" s="70"/>
      <c r="G1336" s="70"/>
      <c r="H1336" s="70"/>
    </row>
    <row r="1337" spans="1:8" s="44" customFormat="1" hidden="1" outlineLevel="1">
      <c r="A1337" s="389" t="s">
        <v>1660</v>
      </c>
      <c r="B1337" s="491">
        <v>410156</v>
      </c>
      <c r="C1337" s="87">
        <v>0</v>
      </c>
      <c r="D1337" s="134">
        <f t="shared" si="60"/>
        <v>410156</v>
      </c>
      <c r="E1337" t="s">
        <v>1661</v>
      </c>
      <c r="F1337" s="70"/>
      <c r="G1337" s="70"/>
      <c r="H1337" s="70"/>
    </row>
    <row r="1338" spans="1:8" s="44" customFormat="1" hidden="1" outlineLevel="1">
      <c r="A1338" s="389" t="s">
        <v>1334</v>
      </c>
      <c r="B1338" s="491">
        <v>87470</v>
      </c>
      <c r="C1338" s="87">
        <v>0</v>
      </c>
      <c r="D1338" s="134">
        <f t="shared" si="60"/>
        <v>87470</v>
      </c>
      <c r="E1338" t="s">
        <v>1335</v>
      </c>
      <c r="F1338" s="70"/>
      <c r="G1338" s="70"/>
      <c r="H1338" s="70"/>
    </row>
    <row r="1339" spans="1:8" s="44" customFormat="1" hidden="1" outlineLevel="1">
      <c r="A1339" s="389" t="s">
        <v>1586</v>
      </c>
      <c r="B1339" s="491">
        <v>252684</v>
      </c>
      <c r="C1339" s="87">
        <v>0</v>
      </c>
      <c r="D1339" s="134">
        <f t="shared" si="60"/>
        <v>252684</v>
      </c>
      <c r="E1339" t="s">
        <v>1587</v>
      </c>
      <c r="F1339" s="70"/>
      <c r="G1339" s="70"/>
      <c r="H1339" s="70"/>
    </row>
    <row r="1340" spans="1:8" s="44" customFormat="1" hidden="1" outlineLevel="1">
      <c r="A1340" s="389" t="s">
        <v>1738</v>
      </c>
      <c r="B1340" s="491">
        <v>148256</v>
      </c>
      <c r="C1340" s="87">
        <v>0</v>
      </c>
      <c r="D1340" s="134">
        <f t="shared" si="60"/>
        <v>148256</v>
      </c>
      <c r="E1340" t="s">
        <v>1739</v>
      </c>
      <c r="F1340" s="70"/>
      <c r="G1340" s="70"/>
      <c r="H1340" s="70"/>
    </row>
    <row r="1341" spans="1:8" s="44" customFormat="1" hidden="1" outlineLevel="1">
      <c r="A1341" s="389" t="s">
        <v>1544</v>
      </c>
      <c r="B1341" s="491">
        <v>217778</v>
      </c>
      <c r="C1341" s="87">
        <v>0</v>
      </c>
      <c r="D1341" s="134">
        <f t="shared" si="60"/>
        <v>217778</v>
      </c>
      <c r="E1341" t="s">
        <v>1545</v>
      </c>
      <c r="F1341" s="70"/>
      <c r="G1341" s="70"/>
      <c r="H1341" s="70"/>
    </row>
    <row r="1342" spans="1:8" s="44" customFormat="1" hidden="1" outlineLevel="1">
      <c r="A1342" s="389" t="s">
        <v>1564</v>
      </c>
      <c r="B1342" s="491">
        <v>187886</v>
      </c>
      <c r="C1342" s="87">
        <v>0</v>
      </c>
      <c r="D1342" s="134">
        <f t="shared" si="60"/>
        <v>187886</v>
      </c>
      <c r="E1342" t="s">
        <v>1565</v>
      </c>
      <c r="F1342" s="70"/>
      <c r="G1342" s="70"/>
      <c r="H1342" s="70"/>
    </row>
    <row r="1343" spans="1:8" s="44" customFormat="1" hidden="1" outlineLevel="1">
      <c r="A1343" s="389" t="s">
        <v>1766</v>
      </c>
      <c r="B1343" s="491">
        <v>140325.147</v>
      </c>
      <c r="C1343" s="87">
        <v>0</v>
      </c>
      <c r="D1343" s="134">
        <f t="shared" si="60"/>
        <v>140325.147</v>
      </c>
      <c r="E1343" t="s">
        <v>1767</v>
      </c>
      <c r="F1343" s="70"/>
      <c r="G1343" s="70"/>
      <c r="H1343" s="70"/>
    </row>
    <row r="1344" spans="1:8" s="44" customFormat="1" hidden="1" outlineLevel="1">
      <c r="A1344" s="389" t="s">
        <v>1740</v>
      </c>
      <c r="B1344" s="491">
        <v>113982</v>
      </c>
      <c r="C1344" s="87">
        <v>247651</v>
      </c>
      <c r="D1344" s="134">
        <f t="shared" si="60"/>
        <v>361633</v>
      </c>
      <c r="E1344" t="s">
        <v>1741</v>
      </c>
      <c r="F1344" s="70"/>
      <c r="G1344" s="70"/>
      <c r="H1344" s="70"/>
    </row>
    <row r="1345" spans="1:8" s="44" customFormat="1" hidden="1" outlineLevel="1">
      <c r="A1345" s="389" t="s">
        <v>1512</v>
      </c>
      <c r="B1345" s="491">
        <v>395527</v>
      </c>
      <c r="C1345" s="87">
        <v>0</v>
      </c>
      <c r="D1345" s="134">
        <f t="shared" si="60"/>
        <v>395527</v>
      </c>
      <c r="E1345" t="s">
        <v>1513</v>
      </c>
      <c r="F1345" s="70"/>
      <c r="G1345" s="70"/>
      <c r="H1345" s="70"/>
    </row>
    <row r="1346" spans="1:8" s="44" customFormat="1" hidden="1" outlineLevel="1">
      <c r="A1346" s="389" t="s">
        <v>1267</v>
      </c>
      <c r="B1346" s="491">
        <v>35071</v>
      </c>
      <c r="C1346" s="87">
        <v>0</v>
      </c>
      <c r="D1346" s="134">
        <f t="shared" si="60"/>
        <v>35071</v>
      </c>
      <c r="E1346" t="s">
        <v>1268</v>
      </c>
      <c r="F1346" s="70"/>
      <c r="G1346" s="70"/>
      <c r="H1346" s="70"/>
    </row>
    <row r="1347" spans="1:8" s="44" customFormat="1" hidden="1" outlineLevel="1">
      <c r="A1347" s="389" t="s">
        <v>1742</v>
      </c>
      <c r="B1347" s="491">
        <v>300402</v>
      </c>
      <c r="C1347" s="87">
        <v>0</v>
      </c>
      <c r="D1347" s="134">
        <f t="shared" si="60"/>
        <v>300402</v>
      </c>
      <c r="E1347" t="s">
        <v>1743</v>
      </c>
      <c r="F1347" s="70"/>
      <c r="G1347" s="70"/>
      <c r="H1347" s="70"/>
    </row>
    <row r="1348" spans="1:8" s="44" customFormat="1" hidden="1" outlineLevel="1">
      <c r="A1348" s="389" t="s">
        <v>1460</v>
      </c>
      <c r="B1348" s="491">
        <v>195075</v>
      </c>
      <c r="C1348" s="87">
        <v>0</v>
      </c>
      <c r="D1348" s="134">
        <f t="shared" si="60"/>
        <v>195075</v>
      </c>
      <c r="E1348" t="s">
        <v>1461</v>
      </c>
      <c r="F1348" s="70"/>
      <c r="G1348" s="70"/>
      <c r="H1348" s="70"/>
    </row>
    <row r="1349" spans="1:8" s="44" customFormat="1" hidden="1" outlineLevel="1">
      <c r="A1349" s="389" t="s">
        <v>1277</v>
      </c>
      <c r="B1349" s="491">
        <v>1230169</v>
      </c>
      <c r="C1349" s="87">
        <v>0</v>
      </c>
      <c r="D1349" s="134">
        <f t="shared" si="60"/>
        <v>1230169</v>
      </c>
      <c r="E1349" t="s">
        <v>1278</v>
      </c>
      <c r="F1349" s="70"/>
      <c r="G1349" s="70"/>
      <c r="H1349" s="70"/>
    </row>
    <row r="1350" spans="1:8" s="44" customFormat="1" hidden="1" outlineLevel="1">
      <c r="A1350" s="389" t="s">
        <v>1700</v>
      </c>
      <c r="B1350" s="491">
        <v>290801</v>
      </c>
      <c r="C1350" s="87">
        <v>0</v>
      </c>
      <c r="D1350" s="134">
        <f t="shared" si="60"/>
        <v>290801</v>
      </c>
      <c r="E1350" t="s">
        <v>1701</v>
      </c>
      <c r="F1350" s="70"/>
      <c r="G1350" s="70"/>
      <c r="H1350" s="70"/>
    </row>
    <row r="1351" spans="1:8" s="44" customFormat="1" hidden="1" outlineLevel="1">
      <c r="A1351" s="389" t="s">
        <v>1602</v>
      </c>
      <c r="B1351" s="491">
        <v>1119093.2170000002</v>
      </c>
      <c r="C1351" s="87">
        <v>0</v>
      </c>
      <c r="D1351" s="134">
        <f t="shared" si="60"/>
        <v>1119093.2170000002</v>
      </c>
      <c r="E1351" t="s">
        <v>1603</v>
      </c>
      <c r="F1351" s="70"/>
      <c r="G1351" s="70"/>
      <c r="H1351" s="70"/>
    </row>
    <row r="1352" spans="1:8" s="44" customFormat="1" hidden="1" outlineLevel="1">
      <c r="A1352" s="389" t="s">
        <v>1340</v>
      </c>
      <c r="B1352" s="491">
        <v>776888</v>
      </c>
      <c r="C1352" s="87">
        <v>0</v>
      </c>
      <c r="D1352" s="134">
        <f t="shared" si="60"/>
        <v>776888</v>
      </c>
      <c r="E1352" t="s">
        <v>1341</v>
      </c>
      <c r="F1352" s="70"/>
      <c r="G1352" s="70"/>
      <c r="H1352" s="70"/>
    </row>
    <row r="1353" spans="1:8" s="44" customFormat="1" hidden="1" outlineLevel="1">
      <c r="A1353" s="389" t="s">
        <v>456</v>
      </c>
      <c r="B1353" s="491">
        <v>52849.992999999995</v>
      </c>
      <c r="C1353" s="87">
        <v>0</v>
      </c>
      <c r="D1353" s="134">
        <f t="shared" si="60"/>
        <v>52849.992999999995</v>
      </c>
      <c r="E1353" t="s">
        <v>457</v>
      </c>
      <c r="F1353" s="70"/>
      <c r="G1353" s="70"/>
      <c r="H1353" s="70"/>
    </row>
    <row r="1354" spans="1:8" s="44" customFormat="1" hidden="1" outlineLevel="1">
      <c r="A1354" s="389" t="s">
        <v>1303</v>
      </c>
      <c r="B1354" s="491">
        <v>7825292</v>
      </c>
      <c r="C1354" s="87">
        <v>0</v>
      </c>
      <c r="D1354" s="134">
        <f t="shared" si="60"/>
        <v>7825292</v>
      </c>
      <c r="E1354" t="s">
        <v>1304</v>
      </c>
      <c r="F1354" s="70"/>
      <c r="G1354" s="70"/>
      <c r="H1354" s="70"/>
    </row>
    <row r="1355" spans="1:8" s="44" customFormat="1" hidden="1" outlineLevel="1">
      <c r="A1355" s="389" t="s">
        <v>1626</v>
      </c>
      <c r="B1355" s="491">
        <v>151693</v>
      </c>
      <c r="C1355" s="87">
        <v>0</v>
      </c>
      <c r="D1355" s="134">
        <f t="shared" si="60"/>
        <v>151693</v>
      </c>
      <c r="E1355" t="s">
        <v>1627</v>
      </c>
      <c r="F1355" s="70"/>
      <c r="G1355" s="70"/>
      <c r="H1355" s="70"/>
    </row>
    <row r="1356" spans="1:8" s="44" customFormat="1" hidden="1" outlineLevel="1">
      <c r="A1356" s="389" t="s">
        <v>1778</v>
      </c>
      <c r="B1356" s="491">
        <v>7515044.8420000002</v>
      </c>
      <c r="C1356" s="87">
        <v>128465</v>
      </c>
      <c r="D1356" s="134">
        <f t="shared" si="60"/>
        <v>7643509.8420000002</v>
      </c>
      <c r="E1356" t="s">
        <v>1779</v>
      </c>
      <c r="F1356" s="70"/>
      <c r="G1356" s="70"/>
      <c r="H1356" s="70"/>
    </row>
    <row r="1357" spans="1:8" s="44" customFormat="1" hidden="1" outlineLevel="1">
      <c r="A1357" s="389" t="s">
        <v>1768</v>
      </c>
      <c r="B1357" s="491">
        <v>8164754.8729999997</v>
      </c>
      <c r="C1357" s="87">
        <v>3814497.5930000003</v>
      </c>
      <c r="D1357" s="134">
        <f t="shared" si="60"/>
        <v>11979252.466</v>
      </c>
      <c r="E1357" t="s">
        <v>1769</v>
      </c>
      <c r="F1357" s="70"/>
      <c r="G1357" s="70"/>
      <c r="H1357" s="70"/>
    </row>
    <row r="1358" spans="1:8" s="44" customFormat="1" hidden="1" outlineLevel="1">
      <c r="A1358" s="389" t="s">
        <v>1374</v>
      </c>
      <c r="B1358" s="491">
        <v>2692941</v>
      </c>
      <c r="C1358" s="87">
        <v>56878</v>
      </c>
      <c r="D1358" s="134">
        <f t="shared" si="60"/>
        <v>2749819</v>
      </c>
      <c r="E1358" t="s">
        <v>1375</v>
      </c>
      <c r="F1358" s="70"/>
      <c r="G1358" s="70"/>
      <c r="H1358" s="70"/>
    </row>
    <row r="1359" spans="1:8" s="44" customFormat="1" hidden="1" outlineLevel="1">
      <c r="A1359" s="389" t="s">
        <v>1746</v>
      </c>
      <c r="B1359" s="491">
        <v>1065083</v>
      </c>
      <c r="C1359" s="87">
        <v>0</v>
      </c>
      <c r="D1359" s="134">
        <f t="shared" si="60"/>
        <v>1065083</v>
      </c>
      <c r="E1359" t="s">
        <v>1747</v>
      </c>
      <c r="F1359" s="70"/>
      <c r="G1359" s="70"/>
      <c r="H1359" s="70"/>
    </row>
    <row r="1360" spans="1:8" s="44" customFormat="1" hidden="1" outlineLevel="1">
      <c r="A1360" s="389" t="s">
        <v>1240</v>
      </c>
      <c r="B1360" s="491">
        <v>5064476</v>
      </c>
      <c r="C1360" s="87">
        <v>0</v>
      </c>
      <c r="D1360" s="134">
        <f t="shared" si="60"/>
        <v>5064476</v>
      </c>
      <c r="E1360" t="s">
        <v>1241</v>
      </c>
      <c r="F1360" s="70"/>
      <c r="G1360" s="70"/>
      <c r="H1360" s="70"/>
    </row>
    <row r="1361" spans="1:8" s="44" customFormat="1" hidden="1" outlineLevel="1">
      <c r="A1361" s="389" t="s">
        <v>1450</v>
      </c>
      <c r="B1361" s="491">
        <v>188222837.48500001</v>
      </c>
      <c r="C1361" s="87">
        <v>0</v>
      </c>
      <c r="D1361" s="134">
        <f t="shared" si="60"/>
        <v>188222837.48500001</v>
      </c>
      <c r="E1361" t="s">
        <v>1451</v>
      </c>
      <c r="F1361" s="70"/>
      <c r="G1361" s="70"/>
      <c r="H1361" s="70"/>
    </row>
    <row r="1362" spans="1:8" s="44" customFormat="1" hidden="1" outlineLevel="1">
      <c r="A1362" s="389" t="s">
        <v>1244</v>
      </c>
      <c r="B1362" s="491">
        <v>248219</v>
      </c>
      <c r="C1362" s="87">
        <v>108507</v>
      </c>
      <c r="D1362" s="134">
        <f t="shared" si="60"/>
        <v>356726</v>
      </c>
      <c r="E1362" t="s">
        <v>1245</v>
      </c>
      <c r="F1362" s="70"/>
      <c r="G1362" s="70"/>
      <c r="H1362" s="70"/>
    </row>
    <row r="1363" spans="1:8" s="44" customFormat="1" hidden="1" outlineLevel="1">
      <c r="A1363" s="389" t="s">
        <v>1606</v>
      </c>
      <c r="B1363" s="491">
        <v>298785.24199999997</v>
      </c>
      <c r="C1363" s="87">
        <v>0</v>
      </c>
      <c r="D1363" s="134">
        <f t="shared" si="60"/>
        <v>298785.24199999997</v>
      </c>
      <c r="E1363" t="s">
        <v>1607</v>
      </c>
      <c r="F1363" s="70"/>
      <c r="G1363" s="70"/>
      <c r="H1363" s="70"/>
    </row>
    <row r="1364" spans="1:8" s="44" customFormat="1" hidden="1" outlineLevel="1">
      <c r="A1364" s="389" t="s">
        <v>1784</v>
      </c>
      <c r="B1364" s="491">
        <v>136444.70000000001</v>
      </c>
      <c r="C1364" s="87">
        <v>-2499</v>
      </c>
      <c r="D1364" s="134">
        <f t="shared" si="60"/>
        <v>133945.70000000001</v>
      </c>
      <c r="E1364" t="s">
        <v>1785</v>
      </c>
      <c r="F1364" s="70"/>
      <c r="G1364" s="70"/>
      <c r="H1364" s="70"/>
    </row>
    <row r="1365" spans="1:8" s="44" customFormat="1" hidden="1" outlineLevel="1">
      <c r="A1365" s="389" t="s">
        <v>1669</v>
      </c>
      <c r="B1365" s="491">
        <v>520652.58</v>
      </c>
      <c r="C1365" s="87">
        <v>0</v>
      </c>
      <c r="D1365" s="134">
        <f t="shared" si="60"/>
        <v>520652.58</v>
      </c>
      <c r="E1365" t="s">
        <v>1670</v>
      </c>
      <c r="F1365" s="70"/>
      <c r="G1365" s="70"/>
      <c r="H1365" s="70"/>
    </row>
    <row r="1366" spans="1:8" s="44" customFormat="1" hidden="1" outlineLevel="1">
      <c r="A1366" s="389" t="s">
        <v>1802</v>
      </c>
      <c r="B1366" s="491">
        <v>100042.32</v>
      </c>
      <c r="C1366" s="87">
        <v>0</v>
      </c>
      <c r="D1366" s="134">
        <f t="shared" si="60"/>
        <v>100042.32</v>
      </c>
      <c r="E1366" t="s">
        <v>1803</v>
      </c>
      <c r="F1366" s="70"/>
      <c r="G1366" s="70"/>
      <c r="H1366" s="70"/>
    </row>
    <row r="1367" spans="1:8" s="44" customFormat="1" hidden="1" outlineLevel="1">
      <c r="A1367" s="389" t="s">
        <v>1786</v>
      </c>
      <c r="B1367" s="491">
        <v>30129</v>
      </c>
      <c r="C1367" s="87">
        <v>0</v>
      </c>
      <c r="D1367" s="134">
        <f t="shared" si="60"/>
        <v>30129</v>
      </c>
      <c r="E1367" t="s">
        <v>1787</v>
      </c>
      <c r="F1367" s="70"/>
      <c r="G1367" s="70"/>
      <c r="H1367" s="70"/>
    </row>
    <row r="1368" spans="1:8" s="44" customFormat="1" hidden="1" outlineLevel="1">
      <c r="A1368" s="389" t="s">
        <v>1416</v>
      </c>
      <c r="B1368" s="491">
        <v>281248</v>
      </c>
      <c r="C1368" s="87">
        <v>612566</v>
      </c>
      <c r="D1368" s="134">
        <f t="shared" si="60"/>
        <v>893814</v>
      </c>
      <c r="E1368" t="s">
        <v>1417</v>
      </c>
      <c r="F1368" s="70"/>
      <c r="G1368" s="70"/>
      <c r="H1368" s="70"/>
    </row>
    <row r="1369" spans="1:8" s="44" customFormat="1" hidden="1" outlineLevel="1">
      <c r="A1369" s="389" t="s">
        <v>1522</v>
      </c>
      <c r="B1369" s="491">
        <v>1794472.04</v>
      </c>
      <c r="C1369" s="87">
        <v>25668.17</v>
      </c>
      <c r="D1369" s="134">
        <f t="shared" si="60"/>
        <v>1820140.21</v>
      </c>
      <c r="E1369" t="s">
        <v>1523</v>
      </c>
      <c r="F1369" s="70"/>
      <c r="G1369" s="70"/>
      <c r="H1369" s="70"/>
    </row>
    <row r="1370" spans="1:8" s="44" customFormat="1" hidden="1" outlineLevel="1">
      <c r="A1370" s="389" t="s">
        <v>1318</v>
      </c>
      <c r="B1370" s="491">
        <v>493160.38</v>
      </c>
      <c r="C1370" s="87">
        <v>0</v>
      </c>
      <c r="D1370" s="134">
        <f t="shared" si="60"/>
        <v>493160.38</v>
      </c>
      <c r="E1370" t="s">
        <v>1319</v>
      </c>
      <c r="F1370" s="70"/>
      <c r="G1370" s="70"/>
      <c r="H1370" s="70"/>
    </row>
    <row r="1371" spans="1:8" s="44" customFormat="1" hidden="1" outlineLevel="1">
      <c r="A1371" s="389" t="s">
        <v>1452</v>
      </c>
      <c r="B1371" s="491">
        <v>553257</v>
      </c>
      <c r="C1371" s="87">
        <v>0</v>
      </c>
      <c r="D1371" s="134">
        <f t="shared" si="60"/>
        <v>553257</v>
      </c>
      <c r="E1371" t="s">
        <v>1453</v>
      </c>
      <c r="F1371" s="70"/>
      <c r="G1371" s="70"/>
      <c r="H1371" s="70"/>
    </row>
    <row r="1372" spans="1:8" s="44" customFormat="1" hidden="1" outlineLevel="1">
      <c r="A1372" s="389" t="s">
        <v>1558</v>
      </c>
      <c r="B1372" s="491">
        <v>2836259</v>
      </c>
      <c r="C1372" s="87">
        <v>1065906</v>
      </c>
      <c r="D1372" s="134">
        <f t="shared" si="60"/>
        <v>3902165</v>
      </c>
      <c r="E1372" t="s">
        <v>1559</v>
      </c>
      <c r="F1372" s="70"/>
      <c r="G1372" s="70"/>
      <c r="H1372" s="70"/>
    </row>
    <row r="1373" spans="1:8" s="44" customFormat="1" hidden="1" outlineLevel="1">
      <c r="A1373" s="389" t="s">
        <v>1265</v>
      </c>
      <c r="B1373" s="491">
        <v>166447257.79999998</v>
      </c>
      <c r="C1373" s="87">
        <v>2764101.3</v>
      </c>
      <c r="D1373" s="134">
        <f t="shared" si="60"/>
        <v>169211359.09999999</v>
      </c>
      <c r="E1373" t="s">
        <v>1266</v>
      </c>
      <c r="F1373" s="70"/>
      <c r="G1373" s="70"/>
      <c r="H1373" s="70"/>
    </row>
    <row r="1374" spans="1:8" s="44" customFormat="1" hidden="1" outlineLevel="1">
      <c r="A1374" s="389" t="s">
        <v>1687</v>
      </c>
      <c r="B1374" s="491">
        <v>229274729.00099999</v>
      </c>
      <c r="C1374" s="87">
        <v>0</v>
      </c>
      <c r="D1374" s="134">
        <f t="shared" si="60"/>
        <v>229274729.00099999</v>
      </c>
      <c r="E1374" t="s">
        <v>1688</v>
      </c>
      <c r="F1374" s="70"/>
      <c r="G1374" s="70"/>
      <c r="H1374" s="70"/>
    </row>
    <row r="1375" spans="1:8" s="44" customFormat="1" hidden="1" outlineLevel="1">
      <c r="A1375" s="389" t="s">
        <v>1454</v>
      </c>
      <c r="B1375" s="491">
        <v>319522</v>
      </c>
      <c r="C1375" s="87">
        <v>0</v>
      </c>
      <c r="D1375" s="134">
        <f t="shared" si="60"/>
        <v>319522</v>
      </c>
      <c r="E1375" t="s">
        <v>1455</v>
      </c>
      <c r="F1375" s="70"/>
      <c r="G1375" s="70"/>
      <c r="H1375" s="70"/>
    </row>
    <row r="1376" spans="1:8" s="44" customFormat="1" hidden="1" outlineLevel="1">
      <c r="A1376" s="389" t="s">
        <v>1824</v>
      </c>
      <c r="B1376" s="491">
        <v>19250</v>
      </c>
      <c r="C1376" s="87">
        <v>0</v>
      </c>
      <c r="D1376" s="134">
        <f t="shared" si="60"/>
        <v>19250</v>
      </c>
      <c r="E1376" t="s">
        <v>1825</v>
      </c>
      <c r="F1376" s="70"/>
      <c r="G1376" s="70"/>
      <c r="H1376" s="70"/>
    </row>
    <row r="1377" spans="1:8" s="44" customFormat="1" hidden="1" outlineLevel="1">
      <c r="A1377" s="389" t="s">
        <v>2234</v>
      </c>
      <c r="B1377" s="491">
        <v>0</v>
      </c>
      <c r="C1377" s="87">
        <v>0</v>
      </c>
      <c r="D1377" s="134">
        <f t="shared" si="60"/>
        <v>0</v>
      </c>
      <c r="E1377" t="s">
        <v>2235</v>
      </c>
      <c r="F1377" s="70"/>
      <c r="G1377" s="70"/>
      <c r="H1377" s="70"/>
    </row>
    <row r="1378" spans="1:8" s="44" customFormat="1" hidden="1" outlineLevel="1">
      <c r="A1378" s="389" t="s">
        <v>1221</v>
      </c>
      <c r="B1378" s="491">
        <v>23334681.543000001</v>
      </c>
      <c r="C1378" s="87">
        <v>0</v>
      </c>
      <c r="D1378" s="134">
        <f t="shared" si="60"/>
        <v>23334681.543000001</v>
      </c>
      <c r="E1378" t="s">
        <v>1222</v>
      </c>
      <c r="F1378" s="70"/>
      <c r="G1378" s="70"/>
      <c r="H1378" s="70"/>
    </row>
    <row r="1379" spans="1:8" s="44" customFormat="1" hidden="1" outlineLevel="1">
      <c r="A1379" s="389" t="s">
        <v>1683</v>
      </c>
      <c r="B1379" s="491">
        <v>181271998.956</v>
      </c>
      <c r="C1379" s="87">
        <v>0</v>
      </c>
      <c r="D1379" s="134">
        <f t="shared" si="60"/>
        <v>181271998.956</v>
      </c>
      <c r="E1379" t="s">
        <v>1684</v>
      </c>
      <c r="F1379" s="70"/>
      <c r="G1379" s="70"/>
      <c r="H1379" s="70"/>
    </row>
    <row r="1380" spans="1:8" s="44" customFormat="1" hidden="1" outlineLevel="1">
      <c r="A1380" s="389" t="s">
        <v>891</v>
      </c>
      <c r="B1380" s="491">
        <v>173123.092</v>
      </c>
      <c r="C1380" s="87">
        <v>1033</v>
      </c>
      <c r="D1380" s="134">
        <f t="shared" si="60"/>
        <v>174156.092</v>
      </c>
      <c r="E1380" t="s">
        <v>892</v>
      </c>
      <c r="F1380" s="70"/>
      <c r="G1380" s="70"/>
      <c r="H1380" s="70"/>
    </row>
    <row r="1381" spans="1:8" s="44" customFormat="1" hidden="1" outlineLevel="1">
      <c r="A1381" s="389" t="s">
        <v>1305</v>
      </c>
      <c r="B1381" s="491">
        <v>1200743</v>
      </c>
      <c r="C1381" s="87">
        <v>0</v>
      </c>
      <c r="D1381" s="134">
        <f t="shared" si="60"/>
        <v>1200743</v>
      </c>
      <c r="E1381" t="s">
        <v>1306</v>
      </c>
      <c r="F1381" s="70"/>
      <c r="G1381" s="70"/>
      <c r="H1381" s="70"/>
    </row>
    <row r="1382" spans="1:8" s="44" customFormat="1" hidden="1" outlineLevel="1">
      <c r="A1382" s="389" t="s">
        <v>1384</v>
      </c>
      <c r="B1382" s="491">
        <v>504663</v>
      </c>
      <c r="C1382" s="87">
        <v>0</v>
      </c>
      <c r="D1382" s="134">
        <f t="shared" si="60"/>
        <v>504663</v>
      </c>
      <c r="E1382" t="s">
        <v>1385</v>
      </c>
      <c r="F1382" s="70"/>
      <c r="G1382" s="70"/>
      <c r="H1382" s="70"/>
    </row>
    <row r="1383" spans="1:8" s="44" customFormat="1" hidden="1" outlineLevel="1">
      <c r="A1383" s="389" t="s">
        <v>1312</v>
      </c>
      <c r="B1383" s="491">
        <v>177360872.48300001</v>
      </c>
      <c r="C1383" s="87">
        <v>8702488.8579999991</v>
      </c>
      <c r="D1383" s="134">
        <f t="shared" si="60"/>
        <v>186063361.34100002</v>
      </c>
      <c r="E1383" t="s">
        <v>1313</v>
      </c>
      <c r="F1383" s="70"/>
      <c r="G1383" s="70"/>
      <c r="H1383" s="70"/>
    </row>
    <row r="1384" spans="1:8" s="44" customFormat="1" hidden="1" outlineLevel="1">
      <c r="A1384" s="389" t="s">
        <v>1498</v>
      </c>
      <c r="B1384" s="491">
        <v>120570.5</v>
      </c>
      <c r="C1384" s="87">
        <v>0</v>
      </c>
      <c r="D1384" s="134">
        <f t="shared" si="60"/>
        <v>120570.5</v>
      </c>
      <c r="E1384" t="s">
        <v>1499</v>
      </c>
      <c r="F1384" s="70"/>
      <c r="G1384" s="70"/>
      <c r="H1384" s="70"/>
    </row>
    <row r="1385" spans="1:8" s="44" customFormat="1" hidden="1" outlineLevel="1">
      <c r="A1385" s="389" t="s">
        <v>1570</v>
      </c>
      <c r="B1385" s="491">
        <v>1689968.2409999999</v>
      </c>
      <c r="C1385" s="87">
        <v>0</v>
      </c>
      <c r="D1385" s="134">
        <f t="shared" si="60"/>
        <v>1689968.2409999999</v>
      </c>
      <c r="E1385" t="s">
        <v>1571</v>
      </c>
      <c r="F1385" s="70"/>
      <c r="G1385" s="70"/>
      <c r="H1385" s="70"/>
    </row>
    <row r="1386" spans="1:8" s="44" customFormat="1" hidden="1" outlineLevel="1">
      <c r="A1386" s="389" t="s">
        <v>564</v>
      </c>
      <c r="B1386" s="491">
        <v>8682131</v>
      </c>
      <c r="C1386" s="87">
        <v>335278</v>
      </c>
      <c r="D1386" s="134">
        <f t="shared" si="60"/>
        <v>9017409</v>
      </c>
      <c r="E1386" t="s">
        <v>565</v>
      </c>
      <c r="F1386" s="70"/>
      <c r="G1386" s="70"/>
      <c r="H1386" s="70"/>
    </row>
    <row r="1387" spans="1:8" s="44" customFormat="1" hidden="1" outlineLevel="1">
      <c r="A1387" s="389" t="s">
        <v>1654</v>
      </c>
      <c r="B1387" s="491">
        <v>8110134</v>
      </c>
      <c r="C1387" s="87">
        <v>6258641</v>
      </c>
      <c r="D1387" s="134">
        <f t="shared" si="60"/>
        <v>14368775</v>
      </c>
      <c r="E1387" t="s">
        <v>1655</v>
      </c>
      <c r="F1387" s="70"/>
      <c r="G1387" s="70"/>
      <c r="H1387" s="70"/>
    </row>
    <row r="1388" spans="1:8" s="44" customFormat="1" hidden="1" outlineLevel="1">
      <c r="A1388" s="389" t="s">
        <v>1444</v>
      </c>
      <c r="B1388" s="491">
        <v>10056481.559</v>
      </c>
      <c r="C1388" s="87">
        <v>3164501.034</v>
      </c>
      <c r="D1388" s="134">
        <f t="shared" si="60"/>
        <v>13220982.593</v>
      </c>
      <c r="E1388" t="s">
        <v>1445</v>
      </c>
      <c r="F1388" s="70"/>
      <c r="G1388" s="70"/>
      <c r="H1388" s="70"/>
    </row>
    <row r="1389" spans="1:8" s="44" customFormat="1" hidden="1" outlineLevel="1">
      <c r="A1389" s="389" t="s">
        <v>1285</v>
      </c>
      <c r="B1389" s="491">
        <v>28104</v>
      </c>
      <c r="C1389" s="87">
        <v>0</v>
      </c>
      <c r="D1389" s="134">
        <f t="shared" si="60"/>
        <v>28104</v>
      </c>
      <c r="E1389" t="s">
        <v>1286</v>
      </c>
      <c r="F1389" s="70"/>
      <c r="G1389" s="70"/>
      <c r="H1389" s="70"/>
    </row>
    <row r="1390" spans="1:8" s="44" customFormat="1" hidden="1" outlineLevel="1">
      <c r="A1390" s="389" t="s">
        <v>1702</v>
      </c>
      <c r="B1390" s="491">
        <v>90636</v>
      </c>
      <c r="C1390" s="87">
        <v>0</v>
      </c>
      <c r="D1390" s="134">
        <f t="shared" si="60"/>
        <v>90636</v>
      </c>
      <c r="E1390" t="s">
        <v>1703</v>
      </c>
      <c r="F1390" s="70"/>
      <c r="G1390" s="70"/>
      <c r="H1390" s="70"/>
    </row>
    <row r="1391" spans="1:8" s="44" customFormat="1" hidden="1" outlineLevel="1">
      <c r="A1391" s="389" t="s">
        <v>1562</v>
      </c>
      <c r="B1391" s="491">
        <v>19250</v>
      </c>
      <c r="C1391" s="87">
        <v>0</v>
      </c>
      <c r="D1391" s="134">
        <f t="shared" si="60"/>
        <v>19250</v>
      </c>
      <c r="E1391" t="s">
        <v>1563</v>
      </c>
      <c r="F1391" s="70"/>
      <c r="G1391" s="70"/>
      <c r="H1391" s="70"/>
    </row>
    <row r="1392" spans="1:8" s="44" customFormat="1" hidden="1" outlineLevel="1">
      <c r="A1392" s="389" t="s">
        <v>1528</v>
      </c>
      <c r="B1392" s="491">
        <v>15898829.819999998</v>
      </c>
      <c r="C1392" s="87">
        <v>0</v>
      </c>
      <c r="D1392" s="134">
        <f t="shared" si="60"/>
        <v>15898829.819999998</v>
      </c>
      <c r="E1392" t="s">
        <v>1529</v>
      </c>
      <c r="F1392" s="70"/>
      <c r="G1392" s="70"/>
      <c r="H1392" s="70"/>
    </row>
    <row r="1393" spans="1:8" s="44" customFormat="1" hidden="1" outlineLevel="1">
      <c r="A1393" s="389" t="s">
        <v>1808</v>
      </c>
      <c r="B1393" s="491">
        <v>69728484</v>
      </c>
      <c r="C1393" s="87">
        <v>2311779.0300000003</v>
      </c>
      <c r="D1393" s="134">
        <f t="shared" si="60"/>
        <v>72040263.030000001</v>
      </c>
      <c r="E1393" t="s">
        <v>1809</v>
      </c>
      <c r="F1393" s="70"/>
      <c r="G1393" s="70"/>
      <c r="H1393" s="70"/>
    </row>
    <row r="1394" spans="1:8" s="44" customFormat="1" hidden="1" outlineLevel="1">
      <c r="A1394" s="389" t="s">
        <v>1514</v>
      </c>
      <c r="B1394" s="491">
        <v>278424</v>
      </c>
      <c r="C1394" s="87">
        <v>0</v>
      </c>
      <c r="D1394" s="134">
        <f t="shared" si="60"/>
        <v>278424</v>
      </c>
      <c r="E1394" t="s">
        <v>1515</v>
      </c>
      <c r="F1394" s="70"/>
      <c r="G1394" s="70"/>
      <c r="H1394" s="70"/>
    </row>
    <row r="1395" spans="1:8" s="44" customFormat="1" hidden="1" outlineLevel="1">
      <c r="A1395" s="389" t="s">
        <v>1386</v>
      </c>
      <c r="B1395" s="491">
        <v>169046</v>
      </c>
      <c r="C1395" s="87">
        <v>0</v>
      </c>
      <c r="D1395" s="134">
        <f t="shared" si="60"/>
        <v>169046</v>
      </c>
      <c r="E1395" t="s">
        <v>1387</v>
      </c>
      <c r="F1395" s="70"/>
      <c r="G1395" s="70"/>
      <c r="H1395" s="70"/>
    </row>
    <row r="1396" spans="1:8" s="44" customFormat="1" hidden="1" outlineLevel="1">
      <c r="A1396" s="389" t="s">
        <v>1402</v>
      </c>
      <c r="B1396" s="491">
        <v>97488527.998999998</v>
      </c>
      <c r="C1396" s="87">
        <v>-97101</v>
      </c>
      <c r="D1396" s="134">
        <f t="shared" si="60"/>
        <v>97391426.998999998</v>
      </c>
      <c r="E1396" t="s">
        <v>1403</v>
      </c>
      <c r="F1396" s="70"/>
      <c r="G1396" s="70"/>
      <c r="H1396" s="70"/>
    </row>
    <row r="1397" spans="1:8" s="44" customFormat="1" hidden="1" outlineLevel="1">
      <c r="A1397" s="389" t="s">
        <v>1600</v>
      </c>
      <c r="B1397" s="491">
        <v>1804298.1800000002</v>
      </c>
      <c r="C1397" s="87">
        <v>0</v>
      </c>
      <c r="D1397" s="134">
        <f t="shared" si="60"/>
        <v>1804298.1800000002</v>
      </c>
      <c r="E1397" t="s">
        <v>1601</v>
      </c>
      <c r="F1397" s="70"/>
      <c r="G1397" s="70"/>
      <c r="H1397" s="70"/>
    </row>
    <row r="1398" spans="1:8" s="44" customFormat="1" hidden="1" outlineLevel="1">
      <c r="A1398" s="389" t="s">
        <v>1448</v>
      </c>
      <c r="B1398" s="491">
        <v>674148.4</v>
      </c>
      <c r="C1398" s="87">
        <v>0</v>
      </c>
      <c r="D1398" s="134">
        <f t="shared" si="60"/>
        <v>674148.4</v>
      </c>
      <c r="E1398" t="s">
        <v>1449</v>
      </c>
      <c r="F1398" s="70"/>
      <c r="G1398" s="70"/>
      <c r="H1398" s="70"/>
    </row>
    <row r="1399" spans="1:8" s="44" customFormat="1" hidden="1" outlineLevel="1">
      <c r="A1399" s="389" t="s">
        <v>1484</v>
      </c>
      <c r="B1399" s="491">
        <v>775630</v>
      </c>
      <c r="C1399" s="87">
        <v>0</v>
      </c>
      <c r="D1399" s="134">
        <f t="shared" si="60"/>
        <v>775630</v>
      </c>
      <c r="E1399" t="s">
        <v>1485</v>
      </c>
      <c r="F1399" s="70"/>
      <c r="G1399" s="70"/>
      <c r="H1399" s="70"/>
    </row>
    <row r="1400" spans="1:8" s="44" customFormat="1" hidden="1" outlineLevel="1">
      <c r="A1400" s="389" t="s">
        <v>1714</v>
      </c>
      <c r="B1400" s="491">
        <v>4516159.5610000007</v>
      </c>
      <c r="C1400" s="87">
        <v>0</v>
      </c>
      <c r="D1400" s="134">
        <f t="shared" ref="D1400:D1463" si="61">B1400+C1400</f>
        <v>4516159.5610000007</v>
      </c>
      <c r="E1400" t="s">
        <v>1715</v>
      </c>
      <c r="F1400" s="70"/>
      <c r="G1400" s="70"/>
      <c r="H1400" s="70"/>
    </row>
    <row r="1401" spans="1:8" s="44" customFormat="1" hidden="1" outlineLevel="1">
      <c r="A1401" s="389" t="s">
        <v>1412</v>
      </c>
      <c r="B1401" s="491">
        <v>1435786</v>
      </c>
      <c r="C1401" s="87">
        <v>0</v>
      </c>
      <c r="D1401" s="134">
        <f t="shared" si="61"/>
        <v>1435786</v>
      </c>
      <c r="E1401" t="s">
        <v>1413</v>
      </c>
      <c r="F1401" s="70"/>
      <c r="G1401" s="70"/>
      <c r="H1401" s="70"/>
    </row>
    <row r="1402" spans="1:8" s="44" customFormat="1" hidden="1" outlineLevel="1">
      <c r="A1402" s="389" t="s">
        <v>1426</v>
      </c>
      <c r="B1402" s="491">
        <v>1318632</v>
      </c>
      <c r="C1402" s="87">
        <v>0</v>
      </c>
      <c r="D1402" s="134">
        <f t="shared" si="61"/>
        <v>1318632</v>
      </c>
      <c r="E1402" t="s">
        <v>1427</v>
      </c>
      <c r="F1402" s="70"/>
      <c r="G1402" s="70"/>
      <c r="H1402" s="70"/>
    </row>
    <row r="1403" spans="1:8" s="44" customFormat="1" hidden="1" outlineLevel="1">
      <c r="A1403" s="389" t="s">
        <v>1582</v>
      </c>
      <c r="B1403" s="491">
        <v>684575.42600000009</v>
      </c>
      <c r="C1403" s="87">
        <v>134482</v>
      </c>
      <c r="D1403" s="134">
        <f t="shared" si="61"/>
        <v>819057.42600000009</v>
      </c>
      <c r="E1403" t="s">
        <v>1583</v>
      </c>
      <c r="F1403" s="70"/>
      <c r="G1403" s="70"/>
      <c r="H1403" s="70"/>
    </row>
    <row r="1404" spans="1:8" s="44" customFormat="1" hidden="1" outlineLevel="1">
      <c r="A1404" s="389" t="s">
        <v>1754</v>
      </c>
      <c r="B1404" s="491">
        <v>195013</v>
      </c>
      <c r="C1404" s="87">
        <v>0</v>
      </c>
      <c r="D1404" s="134">
        <f t="shared" si="61"/>
        <v>195013</v>
      </c>
      <c r="E1404" t="s">
        <v>1755</v>
      </c>
      <c r="F1404" s="70"/>
      <c r="G1404" s="70"/>
      <c r="H1404" s="70"/>
    </row>
    <row r="1405" spans="1:8" s="44" customFormat="1" hidden="1" outlineLevel="1">
      <c r="A1405" s="389" t="s">
        <v>1648</v>
      </c>
      <c r="B1405" s="491">
        <v>1160011</v>
      </c>
      <c r="C1405" s="87">
        <v>0</v>
      </c>
      <c r="D1405" s="134">
        <f t="shared" si="61"/>
        <v>1160011</v>
      </c>
      <c r="E1405" t="s">
        <v>1649</v>
      </c>
      <c r="F1405" s="70"/>
      <c r="G1405" s="70"/>
      <c r="H1405" s="70"/>
    </row>
    <row r="1406" spans="1:8" s="44" customFormat="1" hidden="1" outlineLevel="1">
      <c r="A1406" s="389" t="s">
        <v>1229</v>
      </c>
      <c r="B1406" s="491">
        <v>3769498</v>
      </c>
      <c r="C1406" s="87">
        <v>1825102.7</v>
      </c>
      <c r="D1406" s="134">
        <f t="shared" si="61"/>
        <v>5594600.7000000002</v>
      </c>
      <c r="E1406" t="s">
        <v>1230</v>
      </c>
      <c r="F1406" s="70"/>
      <c r="G1406" s="70"/>
      <c r="H1406" s="70"/>
    </row>
    <row r="1407" spans="1:8" s="44" customFormat="1" hidden="1" outlineLevel="1">
      <c r="A1407" s="389" t="s">
        <v>1440</v>
      </c>
      <c r="B1407" s="491">
        <v>1575841.5959999999</v>
      </c>
      <c r="C1407" s="87">
        <v>0</v>
      </c>
      <c r="D1407" s="134">
        <f t="shared" si="61"/>
        <v>1575841.5959999999</v>
      </c>
      <c r="E1407" t="s">
        <v>1441</v>
      </c>
      <c r="F1407" s="70"/>
      <c r="G1407" s="70"/>
      <c r="H1407" s="70"/>
    </row>
    <row r="1408" spans="1:8" s="44" customFormat="1" hidden="1" outlineLevel="1">
      <c r="A1408" s="389" t="s">
        <v>1708</v>
      </c>
      <c r="B1408" s="491">
        <v>85595</v>
      </c>
      <c r="C1408" s="87">
        <v>0</v>
      </c>
      <c r="D1408" s="134">
        <f t="shared" si="61"/>
        <v>85595</v>
      </c>
      <c r="E1408" t="s">
        <v>1709</v>
      </c>
      <c r="F1408" s="70"/>
      <c r="G1408" s="70"/>
      <c r="H1408" s="70"/>
    </row>
    <row r="1409" spans="1:8" s="44" customFormat="1" hidden="1" outlineLevel="1">
      <c r="A1409" s="389" t="s">
        <v>1762</v>
      </c>
      <c r="B1409" s="491">
        <v>703884</v>
      </c>
      <c r="C1409" s="87">
        <v>99236</v>
      </c>
      <c r="D1409" s="134">
        <f t="shared" si="61"/>
        <v>803120</v>
      </c>
      <c r="E1409" t="s">
        <v>1763</v>
      </c>
      <c r="F1409" s="70"/>
      <c r="G1409" s="70"/>
      <c r="H1409" s="70"/>
    </row>
    <row r="1410" spans="1:8" s="44" customFormat="1" hidden="1" outlineLevel="1">
      <c r="A1410" s="389" t="s">
        <v>1566</v>
      </c>
      <c r="B1410" s="491">
        <v>14549563</v>
      </c>
      <c r="C1410" s="87">
        <v>0</v>
      </c>
      <c r="D1410" s="134">
        <f t="shared" si="61"/>
        <v>14549563</v>
      </c>
      <c r="E1410" t="s">
        <v>1567</v>
      </c>
      <c r="F1410" s="70"/>
      <c r="G1410" s="70"/>
      <c r="H1410" s="70"/>
    </row>
    <row r="1411" spans="1:8" s="44" customFormat="1" hidden="1" outlineLevel="1">
      <c r="A1411" s="389" t="s">
        <v>1630</v>
      </c>
      <c r="B1411" s="491">
        <v>470254.83500000002</v>
      </c>
      <c r="C1411" s="87">
        <v>0</v>
      </c>
      <c r="D1411" s="134">
        <f t="shared" si="61"/>
        <v>470254.83500000002</v>
      </c>
      <c r="E1411" t="s">
        <v>1631</v>
      </c>
      <c r="F1411" s="70"/>
      <c r="G1411" s="70"/>
      <c r="H1411" s="70"/>
    </row>
    <row r="1412" spans="1:8" s="44" customFormat="1" hidden="1" outlineLevel="1">
      <c r="A1412" s="389" t="s">
        <v>1496</v>
      </c>
      <c r="B1412" s="491">
        <v>5646943.9879999999</v>
      </c>
      <c r="C1412" s="87">
        <v>0</v>
      </c>
      <c r="D1412" s="134">
        <f t="shared" si="61"/>
        <v>5646943.9879999999</v>
      </c>
      <c r="E1412" t="s">
        <v>1497</v>
      </c>
      <c r="F1412" s="70"/>
      <c r="G1412" s="70"/>
      <c r="H1412" s="70"/>
    </row>
    <row r="1413" spans="1:8" s="44" customFormat="1" hidden="1" outlineLevel="1">
      <c r="A1413" s="389" t="s">
        <v>1502</v>
      </c>
      <c r="B1413" s="491">
        <v>866052</v>
      </c>
      <c r="C1413" s="87">
        <v>217824</v>
      </c>
      <c r="D1413" s="134">
        <f t="shared" si="61"/>
        <v>1083876</v>
      </c>
      <c r="E1413" t="s">
        <v>1503</v>
      </c>
      <c r="F1413" s="70"/>
      <c r="G1413" s="70"/>
      <c r="H1413" s="70"/>
    </row>
    <row r="1414" spans="1:8" s="44" customFormat="1" hidden="1" outlineLevel="1">
      <c r="A1414" s="389" t="s">
        <v>1750</v>
      </c>
      <c r="B1414" s="491">
        <v>2107613.2570000002</v>
      </c>
      <c r="C1414" s="87">
        <v>-62983.288</v>
      </c>
      <c r="D1414" s="134">
        <f t="shared" si="61"/>
        <v>2044629.9690000003</v>
      </c>
      <c r="E1414" t="s">
        <v>1751</v>
      </c>
      <c r="F1414" s="70"/>
      <c r="G1414" s="70"/>
      <c r="H1414" s="70"/>
    </row>
    <row r="1415" spans="1:8" s="44" customFormat="1" hidden="1" outlineLevel="1">
      <c r="A1415" s="389" t="s">
        <v>1572</v>
      </c>
      <c r="B1415" s="491">
        <v>2695727.1</v>
      </c>
      <c r="C1415" s="87">
        <v>0</v>
      </c>
      <c r="D1415" s="134">
        <f t="shared" si="61"/>
        <v>2695727.1</v>
      </c>
      <c r="E1415" t="s">
        <v>1573</v>
      </c>
      <c r="F1415" s="70"/>
      <c r="G1415" s="70"/>
      <c r="H1415" s="70"/>
    </row>
    <row r="1416" spans="1:8" s="44" customFormat="1" hidden="1" outlineLevel="1">
      <c r="A1416" s="389" t="s">
        <v>1598</v>
      </c>
      <c r="B1416" s="491">
        <v>1774907</v>
      </c>
      <c r="C1416" s="87">
        <v>0</v>
      </c>
      <c r="D1416" s="134">
        <f t="shared" si="61"/>
        <v>1774907</v>
      </c>
      <c r="E1416" t="s">
        <v>1599</v>
      </c>
      <c r="F1416" s="70"/>
      <c r="G1416" s="70"/>
      <c r="H1416" s="70"/>
    </row>
    <row r="1417" spans="1:8" s="44" customFormat="1" hidden="1" outlineLevel="1">
      <c r="A1417" s="389" t="s">
        <v>1548</v>
      </c>
      <c r="B1417" s="491">
        <v>106410.89</v>
      </c>
      <c r="C1417" s="87">
        <v>59582.97</v>
      </c>
      <c r="D1417" s="134">
        <f t="shared" si="61"/>
        <v>165993.85999999999</v>
      </c>
      <c r="E1417" t="s">
        <v>1549</v>
      </c>
      <c r="F1417" s="70"/>
      <c r="G1417" s="70"/>
      <c r="H1417" s="70"/>
    </row>
    <row r="1418" spans="1:8" s="44" customFormat="1" hidden="1" outlineLevel="1">
      <c r="A1418" s="389" t="s">
        <v>1504</v>
      </c>
      <c r="B1418" s="491">
        <v>5451969.7309999997</v>
      </c>
      <c r="C1418" s="87">
        <v>1177643.8829999999</v>
      </c>
      <c r="D1418" s="134">
        <f t="shared" si="61"/>
        <v>6629613.6140000001</v>
      </c>
      <c r="E1418" t="s">
        <v>1505</v>
      </c>
      <c r="F1418" s="70"/>
      <c r="G1418" s="70"/>
      <c r="H1418" s="70"/>
    </row>
    <row r="1419" spans="1:8" s="44" customFormat="1" hidden="1" outlineLevel="1">
      <c r="A1419" s="389" t="s">
        <v>1246</v>
      </c>
      <c r="B1419" s="491">
        <v>19250</v>
      </c>
      <c r="C1419" s="87">
        <v>0</v>
      </c>
      <c r="D1419" s="134">
        <f t="shared" si="61"/>
        <v>19250</v>
      </c>
      <c r="E1419" t="s">
        <v>1247</v>
      </c>
      <c r="F1419" s="70"/>
      <c r="G1419" s="70"/>
      <c r="H1419" s="70"/>
    </row>
    <row r="1420" spans="1:8" s="44" customFormat="1" hidden="1" outlineLevel="1">
      <c r="A1420" s="389" t="s">
        <v>1634</v>
      </c>
      <c r="B1420" s="491">
        <v>10056190.459999999</v>
      </c>
      <c r="C1420" s="87">
        <v>12693</v>
      </c>
      <c r="D1420" s="134">
        <f t="shared" si="61"/>
        <v>10068883.459999999</v>
      </c>
      <c r="E1420" t="s">
        <v>1635</v>
      </c>
      <c r="F1420" s="70"/>
      <c r="G1420" s="70"/>
      <c r="H1420" s="70"/>
    </row>
    <row r="1421" spans="1:8" s="44" customFormat="1" hidden="1" outlineLevel="1">
      <c r="A1421" s="389" t="s">
        <v>1574</v>
      </c>
      <c r="B1421" s="491">
        <v>98182</v>
      </c>
      <c r="C1421" s="87">
        <v>0</v>
      </c>
      <c r="D1421" s="134">
        <f t="shared" si="61"/>
        <v>98182</v>
      </c>
      <c r="E1421" t="s">
        <v>1575</v>
      </c>
      <c r="F1421" s="70"/>
      <c r="G1421" s="70"/>
      <c r="H1421" s="70"/>
    </row>
    <row r="1422" spans="1:8" s="44" customFormat="1" hidden="1" outlineLevel="1">
      <c r="A1422" s="389" t="s">
        <v>1748</v>
      </c>
      <c r="B1422" s="491">
        <v>369620</v>
      </c>
      <c r="C1422" s="87">
        <v>0</v>
      </c>
      <c r="D1422" s="134">
        <f t="shared" si="61"/>
        <v>369620</v>
      </c>
      <c r="E1422" t="s">
        <v>1749</v>
      </c>
      <c r="F1422" s="70"/>
      <c r="G1422" s="70"/>
      <c r="H1422" s="70"/>
    </row>
    <row r="1423" spans="1:8" s="44" customFormat="1" hidden="1" outlineLevel="1">
      <c r="A1423" s="389" t="s">
        <v>1376</v>
      </c>
      <c r="B1423" s="491">
        <v>755256.33700000006</v>
      </c>
      <c r="C1423" s="87">
        <v>0</v>
      </c>
      <c r="D1423" s="134">
        <f t="shared" si="61"/>
        <v>755256.33700000006</v>
      </c>
      <c r="E1423" t="s">
        <v>1377</v>
      </c>
      <c r="F1423" s="70"/>
      <c r="G1423" s="70"/>
      <c r="H1423" s="70"/>
    </row>
    <row r="1424" spans="1:8" s="44" customFormat="1" hidden="1" outlineLevel="1">
      <c r="A1424" s="389" t="s">
        <v>1520</v>
      </c>
      <c r="B1424" s="491">
        <v>85780</v>
      </c>
      <c r="C1424" s="87">
        <v>82264</v>
      </c>
      <c r="D1424" s="134">
        <f t="shared" si="61"/>
        <v>168044</v>
      </c>
      <c r="E1424" t="s">
        <v>1521</v>
      </c>
      <c r="F1424" s="70"/>
      <c r="G1424" s="70"/>
      <c r="H1424" s="70"/>
    </row>
    <row r="1425" spans="1:8" s="44" customFormat="1" hidden="1" outlineLevel="1">
      <c r="A1425" s="389" t="s">
        <v>1642</v>
      </c>
      <c r="B1425" s="491">
        <v>394897.33400000003</v>
      </c>
      <c r="C1425" s="87">
        <v>-2485</v>
      </c>
      <c r="D1425" s="134">
        <f t="shared" si="61"/>
        <v>392412.33400000003</v>
      </c>
      <c r="E1425" t="s">
        <v>1643</v>
      </c>
      <c r="F1425" s="70"/>
      <c r="G1425" s="70"/>
      <c r="H1425" s="70"/>
    </row>
    <row r="1426" spans="1:8" s="44" customFormat="1" hidden="1" outlineLevel="1">
      <c r="A1426" s="389" t="s">
        <v>1500</v>
      </c>
      <c r="B1426" s="491">
        <v>668581</v>
      </c>
      <c r="C1426" s="87">
        <v>0</v>
      </c>
      <c r="D1426" s="134">
        <f t="shared" si="61"/>
        <v>668581</v>
      </c>
      <c r="E1426" t="s">
        <v>1501</v>
      </c>
      <c r="F1426" s="70"/>
      <c r="G1426" s="70"/>
      <c r="H1426" s="70"/>
    </row>
    <row r="1427" spans="1:8" s="44" customFormat="1" hidden="1" outlineLevel="1">
      <c r="A1427" s="389" t="s">
        <v>1685</v>
      </c>
      <c r="B1427" s="491">
        <v>1787700.483</v>
      </c>
      <c r="C1427" s="87">
        <v>14625</v>
      </c>
      <c r="D1427" s="134">
        <f t="shared" si="61"/>
        <v>1802325.483</v>
      </c>
      <c r="E1427" t="s">
        <v>1686</v>
      </c>
      <c r="F1427" s="70"/>
      <c r="G1427" s="70"/>
      <c r="H1427" s="70"/>
    </row>
    <row r="1428" spans="1:8" s="44" customFormat="1" hidden="1" outlineLevel="1">
      <c r="A1428" s="389" t="s">
        <v>1804</v>
      </c>
      <c r="B1428" s="491">
        <v>612779.2209999999</v>
      </c>
      <c r="C1428" s="87">
        <v>0</v>
      </c>
      <c r="D1428" s="134">
        <f t="shared" si="61"/>
        <v>612779.2209999999</v>
      </c>
      <c r="E1428" t="s">
        <v>1805</v>
      </c>
      <c r="F1428" s="70"/>
      <c r="G1428" s="70"/>
      <c r="H1428" s="70"/>
    </row>
    <row r="1429" spans="1:8" s="44" customFormat="1" hidden="1" outlineLevel="1">
      <c r="A1429" s="389" t="s">
        <v>1524</v>
      </c>
      <c r="B1429" s="491">
        <v>420110</v>
      </c>
      <c r="C1429" s="87">
        <v>0</v>
      </c>
      <c r="D1429" s="134">
        <f t="shared" si="61"/>
        <v>420110</v>
      </c>
      <c r="E1429" t="s">
        <v>1525</v>
      </c>
      <c r="F1429" s="70"/>
      <c r="G1429" s="70"/>
      <c r="H1429" s="70"/>
    </row>
    <row r="1430" spans="1:8" s="44" customFormat="1" hidden="1" outlineLevel="1">
      <c r="A1430" s="389" t="s">
        <v>1466</v>
      </c>
      <c r="B1430" s="491">
        <v>1413787.02</v>
      </c>
      <c r="C1430" s="87">
        <v>0</v>
      </c>
      <c r="D1430" s="134">
        <f t="shared" si="61"/>
        <v>1413787.02</v>
      </c>
      <c r="E1430" t="s">
        <v>1467</v>
      </c>
      <c r="F1430" s="70"/>
      <c r="G1430" s="70"/>
      <c r="H1430" s="70"/>
    </row>
    <row r="1431" spans="1:8" s="44" customFormat="1" hidden="1" outlineLevel="1">
      <c r="A1431" s="389" t="s">
        <v>1332</v>
      </c>
      <c r="B1431" s="491">
        <v>1306216.4309999999</v>
      </c>
      <c r="C1431" s="87">
        <v>0</v>
      </c>
      <c r="D1431" s="134">
        <f t="shared" si="61"/>
        <v>1306216.4309999999</v>
      </c>
      <c r="E1431" t="s">
        <v>1333</v>
      </c>
      <c r="F1431" s="70"/>
      <c r="G1431" s="70"/>
      <c r="H1431" s="70"/>
    </row>
    <row r="1432" spans="1:8" s="44" customFormat="1" hidden="1" outlineLevel="1">
      <c r="A1432" s="389" t="s">
        <v>1330</v>
      </c>
      <c r="B1432" s="491">
        <v>1039403</v>
      </c>
      <c r="C1432" s="87">
        <v>0</v>
      </c>
      <c r="D1432" s="134">
        <f t="shared" si="61"/>
        <v>1039403</v>
      </c>
      <c r="E1432" t="s">
        <v>1331</v>
      </c>
      <c r="F1432" s="70"/>
      <c r="G1432" s="70"/>
      <c r="H1432" s="70"/>
    </row>
    <row r="1433" spans="1:8" s="44" customFormat="1" hidden="1" outlineLevel="1">
      <c r="A1433" s="389" t="s">
        <v>1712</v>
      </c>
      <c r="B1433" s="491">
        <v>9922</v>
      </c>
      <c r="C1433" s="87">
        <v>0</v>
      </c>
      <c r="D1433" s="134">
        <f t="shared" si="61"/>
        <v>9922</v>
      </c>
      <c r="E1433" t="s">
        <v>1713</v>
      </c>
      <c r="F1433" s="70"/>
      <c r="G1433" s="70"/>
      <c r="H1433" s="70"/>
    </row>
    <row r="1434" spans="1:8" s="44" customFormat="1" hidden="1" outlineLevel="1">
      <c r="A1434" s="389" t="s">
        <v>1462</v>
      </c>
      <c r="B1434" s="491">
        <v>245963.79</v>
      </c>
      <c r="C1434" s="87">
        <v>0</v>
      </c>
      <c r="D1434" s="134">
        <f t="shared" si="61"/>
        <v>245963.79</v>
      </c>
      <c r="E1434" t="s">
        <v>1463</v>
      </c>
      <c r="F1434" s="70"/>
      <c r="G1434" s="70"/>
      <c r="H1434" s="70"/>
    </row>
    <row r="1435" spans="1:8" s="44" customFormat="1" hidden="1" outlineLevel="1">
      <c r="A1435" s="389" t="s">
        <v>1806</v>
      </c>
      <c r="B1435" s="491">
        <v>769776</v>
      </c>
      <c r="C1435" s="87">
        <v>0</v>
      </c>
      <c r="D1435" s="134">
        <f t="shared" si="61"/>
        <v>769776</v>
      </c>
      <c r="E1435" t="s">
        <v>1807</v>
      </c>
      <c r="F1435" s="70"/>
      <c r="G1435" s="70"/>
      <c r="H1435" s="70"/>
    </row>
    <row r="1436" spans="1:8" s="44" customFormat="1" hidden="1" outlineLevel="1">
      <c r="A1436" s="389" t="s">
        <v>1336</v>
      </c>
      <c r="B1436" s="491">
        <v>1593562.6400000001</v>
      </c>
      <c r="C1436" s="87">
        <v>0</v>
      </c>
      <c r="D1436" s="134">
        <f t="shared" si="61"/>
        <v>1593562.6400000001</v>
      </c>
      <c r="E1436" t="s">
        <v>1337</v>
      </c>
      <c r="F1436" s="70"/>
      <c r="G1436" s="70"/>
      <c r="H1436" s="70"/>
    </row>
    <row r="1437" spans="1:8" s="44" customFormat="1" hidden="1" outlineLevel="1">
      <c r="A1437" s="389" t="s">
        <v>1257</v>
      </c>
      <c r="B1437" s="491">
        <v>112380</v>
      </c>
      <c r="C1437" s="87">
        <v>0</v>
      </c>
      <c r="D1437" s="134">
        <f t="shared" si="61"/>
        <v>112380</v>
      </c>
      <c r="E1437" t="s">
        <v>1258</v>
      </c>
      <c r="F1437" s="70"/>
      <c r="G1437" s="70"/>
      <c r="H1437" s="70"/>
    </row>
    <row r="1438" spans="1:8" s="44" customFormat="1" hidden="1" outlineLevel="1">
      <c r="A1438" s="389" t="s">
        <v>1644</v>
      </c>
      <c r="B1438" s="491">
        <v>416873.82199999999</v>
      </c>
      <c r="C1438" s="87">
        <v>0</v>
      </c>
      <c r="D1438" s="134">
        <f t="shared" si="61"/>
        <v>416873.82199999999</v>
      </c>
      <c r="E1438" t="s">
        <v>1645</v>
      </c>
      <c r="F1438" s="70"/>
      <c r="G1438" s="70"/>
      <c r="H1438" s="70"/>
    </row>
    <row r="1439" spans="1:8" s="44" customFormat="1" hidden="1" outlineLevel="1">
      <c r="A1439" s="389" t="s">
        <v>1658</v>
      </c>
      <c r="B1439" s="491">
        <v>397033.6</v>
      </c>
      <c r="C1439" s="87">
        <v>0</v>
      </c>
      <c r="D1439" s="134">
        <f t="shared" si="61"/>
        <v>397033.6</v>
      </c>
      <c r="E1439" t="s">
        <v>1659</v>
      </c>
      <c r="F1439" s="70"/>
      <c r="G1439" s="70"/>
      <c r="H1439" s="70"/>
    </row>
    <row r="1440" spans="1:8" s="44" customFormat="1" hidden="1" outlineLevel="1">
      <c r="A1440" s="389" t="s">
        <v>1616</v>
      </c>
      <c r="B1440" s="491">
        <v>548365</v>
      </c>
      <c r="C1440" s="87">
        <v>49986</v>
      </c>
      <c r="D1440" s="134">
        <f t="shared" si="61"/>
        <v>598351</v>
      </c>
      <c r="E1440" t="s">
        <v>1617</v>
      </c>
      <c r="F1440" s="70"/>
      <c r="G1440" s="70"/>
      <c r="H1440" s="70"/>
    </row>
    <row r="1441" spans="1:8" s="44" customFormat="1" hidden="1" outlineLevel="1">
      <c r="A1441" s="389" t="s">
        <v>1822</v>
      </c>
      <c r="B1441" s="491">
        <v>196006.68900000001</v>
      </c>
      <c r="C1441" s="87">
        <v>0</v>
      </c>
      <c r="D1441" s="134">
        <f t="shared" si="61"/>
        <v>196006.68900000001</v>
      </c>
      <c r="E1441" t="s">
        <v>1823</v>
      </c>
      <c r="F1441" s="70"/>
      <c r="G1441" s="70"/>
      <c r="H1441" s="70"/>
    </row>
    <row r="1442" spans="1:8" s="44" customFormat="1" hidden="1" outlineLevel="1">
      <c r="A1442" s="389" t="s">
        <v>1283</v>
      </c>
      <c r="B1442" s="491">
        <v>4438319.233</v>
      </c>
      <c r="C1442" s="87">
        <v>109957</v>
      </c>
      <c r="D1442" s="134">
        <f t="shared" si="61"/>
        <v>4548276.233</v>
      </c>
      <c r="E1442" t="s">
        <v>1284</v>
      </c>
      <c r="F1442" s="70"/>
      <c r="G1442" s="70"/>
      <c r="H1442" s="70"/>
    </row>
    <row r="1443" spans="1:8" s="44" customFormat="1" hidden="1" outlineLevel="1">
      <c r="A1443" s="389" t="s">
        <v>1438</v>
      </c>
      <c r="B1443" s="491">
        <v>882034</v>
      </c>
      <c r="C1443" s="87">
        <v>0</v>
      </c>
      <c r="D1443" s="134">
        <f t="shared" si="61"/>
        <v>882034</v>
      </c>
      <c r="E1443" t="s">
        <v>1439</v>
      </c>
      <c r="F1443" s="70"/>
      <c r="G1443" s="70"/>
      <c r="H1443" s="70"/>
    </row>
    <row r="1444" spans="1:8" s="44" customFormat="1" hidden="1" outlineLevel="1">
      <c r="A1444" s="389" t="s">
        <v>1436</v>
      </c>
      <c r="B1444" s="491">
        <v>1188679.4469999999</v>
      </c>
      <c r="C1444" s="87">
        <v>0</v>
      </c>
      <c r="D1444" s="134">
        <f t="shared" si="61"/>
        <v>1188679.4469999999</v>
      </c>
      <c r="E1444" t="s">
        <v>1437</v>
      </c>
      <c r="F1444" s="70"/>
      <c r="G1444" s="70"/>
      <c r="H1444" s="70"/>
    </row>
    <row r="1445" spans="1:8" s="44" customFormat="1" hidden="1" outlineLevel="1">
      <c r="A1445" s="389" t="s">
        <v>1410</v>
      </c>
      <c r="B1445" s="491">
        <v>7204146.557</v>
      </c>
      <c r="C1445" s="87">
        <v>0</v>
      </c>
      <c r="D1445" s="134">
        <f t="shared" si="61"/>
        <v>7204146.557</v>
      </c>
      <c r="E1445" t="s">
        <v>1411</v>
      </c>
      <c r="F1445" s="70"/>
      <c r="G1445" s="70"/>
      <c r="H1445" s="70"/>
    </row>
    <row r="1446" spans="1:8" s="44" customFormat="1" hidden="1" outlineLevel="1">
      <c r="A1446" s="389" t="s">
        <v>1307</v>
      </c>
      <c r="B1446" s="491">
        <v>202059</v>
      </c>
      <c r="C1446" s="87">
        <v>0</v>
      </c>
      <c r="D1446" s="134">
        <f t="shared" si="61"/>
        <v>202059</v>
      </c>
      <c r="E1446" t="s">
        <v>1308</v>
      </c>
      <c r="F1446" s="70"/>
      <c r="G1446" s="70"/>
      <c r="H1446" s="70"/>
    </row>
    <row r="1447" spans="1:8" s="44" customFormat="1" hidden="1" outlineLevel="1">
      <c r="A1447" s="389" t="s">
        <v>1316</v>
      </c>
      <c r="B1447" s="491">
        <v>595330918.28499997</v>
      </c>
      <c r="C1447" s="87">
        <v>0</v>
      </c>
      <c r="D1447" s="134">
        <f t="shared" si="61"/>
        <v>595330918.28499997</v>
      </c>
      <c r="E1447" t="s">
        <v>1317</v>
      </c>
      <c r="F1447" s="70"/>
      <c r="G1447" s="70"/>
      <c r="H1447" s="70"/>
    </row>
    <row r="1448" spans="1:8" s="44" customFormat="1" hidden="1" outlineLevel="1">
      <c r="A1448" s="389" t="s">
        <v>1820</v>
      </c>
      <c r="B1448" s="491">
        <v>3110577</v>
      </c>
      <c r="C1448" s="87">
        <v>0</v>
      </c>
      <c r="D1448" s="134">
        <f t="shared" si="61"/>
        <v>3110577</v>
      </c>
      <c r="E1448" t="s">
        <v>1821</v>
      </c>
      <c r="F1448" s="70"/>
      <c r="G1448" s="70"/>
      <c r="H1448" s="70"/>
    </row>
    <row r="1449" spans="1:8" s="44" customFormat="1" hidden="1" outlineLevel="1">
      <c r="A1449" s="389" t="s">
        <v>1774</v>
      </c>
      <c r="B1449" s="491">
        <v>7171361.9010000005</v>
      </c>
      <c r="C1449" s="87">
        <v>0</v>
      </c>
      <c r="D1449" s="134">
        <f t="shared" si="61"/>
        <v>7171361.9010000005</v>
      </c>
      <c r="E1449" t="s">
        <v>1775</v>
      </c>
      <c r="F1449" s="70"/>
      <c r="G1449" s="70"/>
      <c r="H1449" s="70"/>
    </row>
    <row r="1450" spans="1:8" s="44" customFormat="1" hidden="1" outlineLevel="1">
      <c r="A1450" s="389" t="s">
        <v>1259</v>
      </c>
      <c r="B1450" s="491">
        <v>508778</v>
      </c>
      <c r="C1450" s="87">
        <v>0</v>
      </c>
      <c r="D1450" s="134">
        <f t="shared" si="61"/>
        <v>508778</v>
      </c>
      <c r="E1450" t="s">
        <v>1260</v>
      </c>
      <c r="F1450" s="70"/>
      <c r="G1450" s="70"/>
      <c r="H1450" s="70"/>
    </row>
    <row r="1451" spans="1:8" s="44" customFormat="1" hidden="1" outlineLevel="1">
      <c r="A1451" s="389" t="s">
        <v>1584</v>
      </c>
      <c r="B1451" s="491">
        <v>7797465</v>
      </c>
      <c r="C1451" s="87">
        <v>0</v>
      </c>
      <c r="D1451" s="134">
        <f t="shared" si="61"/>
        <v>7797465</v>
      </c>
      <c r="E1451" t="s">
        <v>1585</v>
      </c>
      <c r="F1451" s="70"/>
      <c r="G1451" s="70"/>
      <c r="H1451" s="70"/>
    </row>
    <row r="1452" spans="1:8" s="44" customFormat="1" hidden="1" outlineLevel="1">
      <c r="A1452" s="389" t="s">
        <v>1726</v>
      </c>
      <c r="B1452" s="491">
        <v>339503.86300000001</v>
      </c>
      <c r="C1452" s="87">
        <v>0</v>
      </c>
      <c r="D1452" s="134">
        <f t="shared" si="61"/>
        <v>339503.86300000001</v>
      </c>
      <c r="E1452" t="s">
        <v>1727</v>
      </c>
      <c r="F1452" s="70"/>
      <c r="G1452" s="70"/>
      <c r="H1452" s="70"/>
    </row>
    <row r="1453" spans="1:8" s="44" customFormat="1" hidden="1" outlineLevel="1">
      <c r="A1453" s="389" t="s">
        <v>1526</v>
      </c>
      <c r="B1453" s="491">
        <v>968898.00099999993</v>
      </c>
      <c r="C1453" s="87">
        <v>0</v>
      </c>
      <c r="D1453" s="134">
        <f t="shared" si="61"/>
        <v>968898.00099999993</v>
      </c>
      <c r="E1453" t="s">
        <v>1527</v>
      </c>
      <c r="F1453" s="70"/>
      <c r="G1453" s="70"/>
      <c r="H1453" s="70"/>
    </row>
    <row r="1454" spans="1:8" s="44" customFormat="1" hidden="1" outlineLevel="1">
      <c r="A1454" s="389" t="s">
        <v>1468</v>
      </c>
      <c r="B1454" s="491">
        <v>2287455</v>
      </c>
      <c r="C1454" s="87">
        <v>0</v>
      </c>
      <c r="D1454" s="134">
        <f t="shared" si="61"/>
        <v>2287455</v>
      </c>
      <c r="E1454" t="s">
        <v>1469</v>
      </c>
      <c r="F1454" s="70"/>
      <c r="G1454" s="70"/>
      <c r="H1454" s="70"/>
    </row>
    <row r="1455" spans="1:8" s="44" customFormat="1" hidden="1" outlineLevel="1">
      <c r="A1455" s="389" t="s">
        <v>1744</v>
      </c>
      <c r="B1455" s="491">
        <v>2850093.0990000004</v>
      </c>
      <c r="C1455" s="87">
        <v>41772.6</v>
      </c>
      <c r="D1455" s="134">
        <f t="shared" si="61"/>
        <v>2891865.6990000005</v>
      </c>
      <c r="E1455" t="s">
        <v>1745</v>
      </c>
      <c r="F1455" s="70"/>
      <c r="G1455" s="70"/>
      <c r="H1455" s="70"/>
    </row>
    <row r="1456" spans="1:8" s="44" customFormat="1" hidden="1" outlineLevel="1">
      <c r="A1456" s="389" t="s">
        <v>1281</v>
      </c>
      <c r="B1456" s="491">
        <v>1498393</v>
      </c>
      <c r="C1456" s="87">
        <v>57589</v>
      </c>
      <c r="D1456" s="134">
        <f t="shared" si="61"/>
        <v>1555982</v>
      </c>
      <c r="E1456" t="s">
        <v>1282</v>
      </c>
      <c r="F1456" s="70"/>
      <c r="G1456" s="70"/>
      <c r="H1456" s="70"/>
    </row>
    <row r="1457" spans="1:8" s="44" customFormat="1" hidden="1" outlineLevel="1">
      <c r="A1457" s="389" t="s">
        <v>1530</v>
      </c>
      <c r="B1457" s="491">
        <v>898598</v>
      </c>
      <c r="C1457" s="87">
        <v>0</v>
      </c>
      <c r="D1457" s="134">
        <f t="shared" si="61"/>
        <v>898598</v>
      </c>
      <c r="E1457" t="s">
        <v>1531</v>
      </c>
      <c r="F1457" s="70"/>
      <c r="G1457" s="70"/>
      <c r="H1457" s="70"/>
    </row>
    <row r="1458" spans="1:8" s="44" customFormat="1" hidden="1" outlineLevel="1">
      <c r="A1458" s="389" t="s">
        <v>1730</v>
      </c>
      <c r="B1458" s="491">
        <v>94227</v>
      </c>
      <c r="C1458" s="87">
        <v>0</v>
      </c>
      <c r="D1458" s="134">
        <f t="shared" si="61"/>
        <v>94227</v>
      </c>
      <c r="E1458" t="s">
        <v>1731</v>
      </c>
      <c r="F1458" s="70"/>
      <c r="G1458" s="70"/>
      <c r="H1458" s="70"/>
    </row>
    <row r="1459" spans="1:8" s="44" customFormat="1" hidden="1" outlineLevel="1">
      <c r="A1459" s="389" t="s">
        <v>1420</v>
      </c>
      <c r="B1459" s="491">
        <v>86325</v>
      </c>
      <c r="C1459" s="87">
        <v>0</v>
      </c>
      <c r="D1459" s="134">
        <f t="shared" si="61"/>
        <v>86325</v>
      </c>
      <c r="E1459" t="s">
        <v>1421</v>
      </c>
      <c r="F1459" s="70"/>
      <c r="G1459" s="70"/>
      <c r="H1459" s="70"/>
    </row>
    <row r="1460" spans="1:8" s="44" customFormat="1" hidden="1" outlineLevel="1">
      <c r="A1460" s="389" t="s">
        <v>1424</v>
      </c>
      <c r="B1460" s="491">
        <v>1326870.5379999999</v>
      </c>
      <c r="C1460" s="87">
        <v>0</v>
      </c>
      <c r="D1460" s="134">
        <f t="shared" si="61"/>
        <v>1326870.5379999999</v>
      </c>
      <c r="E1460" t="s">
        <v>1425</v>
      </c>
      <c r="F1460" s="70"/>
      <c r="G1460" s="70"/>
      <c r="H1460" s="70"/>
    </row>
    <row r="1461" spans="1:8" s="44" customFormat="1" hidden="1" outlineLevel="1">
      <c r="A1461" s="389" t="s">
        <v>1706</v>
      </c>
      <c r="B1461" s="491">
        <v>13326579.756999999</v>
      </c>
      <c r="C1461" s="87">
        <v>0</v>
      </c>
      <c r="D1461" s="134">
        <f t="shared" si="61"/>
        <v>13326579.756999999</v>
      </c>
      <c r="E1461" t="s">
        <v>1707</v>
      </c>
      <c r="F1461" s="70"/>
      <c r="G1461" s="70"/>
      <c r="H1461" s="70"/>
    </row>
    <row r="1462" spans="1:8" s="44" customFormat="1" hidden="1" outlineLevel="1">
      <c r="A1462" s="389" t="s">
        <v>1568</v>
      </c>
      <c r="B1462" s="491">
        <v>920</v>
      </c>
      <c r="C1462" s="87">
        <v>0</v>
      </c>
      <c r="D1462" s="134">
        <f t="shared" si="61"/>
        <v>920</v>
      </c>
      <c r="E1462" t="s">
        <v>1569</v>
      </c>
      <c r="F1462" s="70"/>
      <c r="G1462" s="70"/>
      <c r="H1462" s="70"/>
    </row>
    <row r="1463" spans="1:8" s="44" customFormat="1" hidden="1" outlineLevel="1">
      <c r="A1463" s="389" t="s">
        <v>1604</v>
      </c>
      <c r="B1463" s="491">
        <v>559003</v>
      </c>
      <c r="C1463" s="87">
        <v>-133630</v>
      </c>
      <c r="D1463" s="134">
        <f t="shared" si="61"/>
        <v>425373</v>
      </c>
      <c r="E1463" t="s">
        <v>1605</v>
      </c>
      <c r="F1463" s="70"/>
      <c r="G1463" s="70"/>
      <c r="H1463" s="70"/>
    </row>
    <row r="1464" spans="1:8" s="44" customFormat="1" hidden="1" outlineLevel="1">
      <c r="A1464" s="389" t="s">
        <v>1510</v>
      </c>
      <c r="B1464" s="491">
        <v>1501022</v>
      </c>
      <c r="C1464" s="87">
        <v>0</v>
      </c>
      <c r="D1464" s="134">
        <f t="shared" ref="D1464:D1527" si="62">B1464+C1464</f>
        <v>1501022</v>
      </c>
      <c r="E1464" t="s">
        <v>1511</v>
      </c>
      <c r="F1464" s="70"/>
      <c r="G1464" s="70"/>
      <c r="H1464" s="70"/>
    </row>
    <row r="1465" spans="1:8" s="44" customFormat="1" hidden="1" outlineLevel="1">
      <c r="A1465" s="389" t="s">
        <v>1232</v>
      </c>
      <c r="B1465" s="491">
        <v>2293484</v>
      </c>
      <c r="C1465" s="87">
        <v>272338</v>
      </c>
      <c r="D1465" s="134">
        <f t="shared" si="62"/>
        <v>2565822</v>
      </c>
      <c r="E1465" t="s">
        <v>1233</v>
      </c>
      <c r="F1465" s="70"/>
      <c r="G1465" s="70"/>
      <c r="H1465" s="70"/>
    </row>
    <row r="1466" spans="1:8" s="44" customFormat="1" hidden="1" outlineLevel="1">
      <c r="A1466" s="389" t="s">
        <v>1476</v>
      </c>
      <c r="B1466" s="491">
        <v>272923.65299999999</v>
      </c>
      <c r="C1466" s="87">
        <v>36000</v>
      </c>
      <c r="D1466" s="134">
        <f t="shared" si="62"/>
        <v>308923.65299999999</v>
      </c>
      <c r="E1466" t="s">
        <v>1477</v>
      </c>
      <c r="F1466" s="70"/>
      <c r="G1466" s="70"/>
      <c r="H1466" s="70"/>
    </row>
    <row r="1467" spans="1:8" s="44" customFormat="1" hidden="1" outlineLevel="1">
      <c r="A1467" s="389" t="s">
        <v>1394</v>
      </c>
      <c r="B1467" s="491">
        <v>2151850.4509999999</v>
      </c>
      <c r="C1467" s="87">
        <v>0</v>
      </c>
      <c r="D1467" s="134">
        <f t="shared" si="62"/>
        <v>2151850.4509999999</v>
      </c>
      <c r="E1467" t="s">
        <v>1395</v>
      </c>
      <c r="F1467" s="70"/>
      <c r="G1467" s="70"/>
      <c r="H1467" s="70"/>
    </row>
    <row r="1468" spans="1:8" s="44" customFormat="1" hidden="1" outlineLevel="1">
      <c r="A1468" s="389" t="s">
        <v>1612</v>
      </c>
      <c r="B1468" s="491">
        <v>180251</v>
      </c>
      <c r="C1468" s="87">
        <v>0</v>
      </c>
      <c r="D1468" s="134">
        <f t="shared" si="62"/>
        <v>180251</v>
      </c>
      <c r="E1468" t="s">
        <v>1613</v>
      </c>
      <c r="F1468" s="70"/>
      <c r="G1468" s="70"/>
      <c r="H1468" s="70"/>
    </row>
    <row r="1469" spans="1:8" s="44" customFormat="1" hidden="1" outlineLevel="1">
      <c r="A1469" s="389" t="s">
        <v>1596</v>
      </c>
      <c r="B1469" s="491">
        <v>516985</v>
      </c>
      <c r="C1469" s="87">
        <v>0</v>
      </c>
      <c r="D1469" s="134">
        <f t="shared" si="62"/>
        <v>516985</v>
      </c>
      <c r="E1469" t="s">
        <v>1597</v>
      </c>
      <c r="F1469" s="70"/>
      <c r="G1469" s="70"/>
      <c r="H1469" s="70"/>
    </row>
    <row r="1470" spans="1:8" s="44" customFormat="1" hidden="1" outlineLevel="1">
      <c r="A1470" s="389" t="s">
        <v>1358</v>
      </c>
      <c r="B1470" s="491">
        <v>13851022.25</v>
      </c>
      <c r="C1470" s="87">
        <v>4343455.307</v>
      </c>
      <c r="D1470" s="134">
        <f t="shared" si="62"/>
        <v>18194477.557</v>
      </c>
      <c r="E1470" t="s">
        <v>1359</v>
      </c>
      <c r="F1470" s="70"/>
      <c r="G1470" s="70"/>
      <c r="H1470" s="70"/>
    </row>
    <row r="1471" spans="1:8" s="44" customFormat="1" hidden="1" outlineLevel="1">
      <c r="A1471" s="389" t="s">
        <v>1406</v>
      </c>
      <c r="B1471" s="491">
        <v>307529.08</v>
      </c>
      <c r="C1471" s="87">
        <v>0</v>
      </c>
      <c r="D1471" s="134">
        <f t="shared" si="62"/>
        <v>307529.08</v>
      </c>
      <c r="E1471" t="s">
        <v>1407</v>
      </c>
      <c r="F1471" s="70"/>
      <c r="G1471" s="70"/>
      <c r="H1471" s="70"/>
    </row>
    <row r="1472" spans="1:8" s="44" customFormat="1" hidden="1" outlineLevel="1">
      <c r="A1472" s="389" t="s">
        <v>1728</v>
      </c>
      <c r="B1472" s="491">
        <v>41487</v>
      </c>
      <c r="C1472" s="87">
        <v>0</v>
      </c>
      <c r="D1472" s="134">
        <f t="shared" si="62"/>
        <v>41487</v>
      </c>
      <c r="E1472" t="s">
        <v>1729</v>
      </c>
      <c r="F1472" s="70"/>
      <c r="G1472" s="70"/>
      <c r="H1472" s="70"/>
    </row>
    <row r="1473" spans="1:8" s="44" customFormat="1" hidden="1" outlineLevel="1">
      <c r="A1473" s="389" t="s">
        <v>1508</v>
      </c>
      <c r="B1473" s="491">
        <v>933980</v>
      </c>
      <c r="C1473" s="87">
        <v>-3912.5</v>
      </c>
      <c r="D1473" s="134">
        <f t="shared" si="62"/>
        <v>930067.5</v>
      </c>
      <c r="E1473" t="s">
        <v>1509</v>
      </c>
      <c r="F1473" s="70"/>
      <c r="G1473" s="70"/>
      <c r="H1473" s="70"/>
    </row>
    <row r="1474" spans="1:8" s="44" customFormat="1" hidden="1" outlineLevel="1">
      <c r="A1474" s="389" t="s">
        <v>1472</v>
      </c>
      <c r="B1474" s="491">
        <v>69079</v>
      </c>
      <c r="C1474" s="87">
        <v>0</v>
      </c>
      <c r="D1474" s="134">
        <f t="shared" si="62"/>
        <v>69079</v>
      </c>
      <c r="E1474" t="s">
        <v>1473</v>
      </c>
      <c r="F1474" s="70"/>
      <c r="G1474" s="70"/>
      <c r="H1474" s="70"/>
    </row>
    <row r="1475" spans="1:8" s="44" customFormat="1" hidden="1" outlineLevel="1">
      <c r="A1475" s="389" t="s">
        <v>1628</v>
      </c>
      <c r="B1475" s="491">
        <v>26688528</v>
      </c>
      <c r="C1475" s="87">
        <v>0</v>
      </c>
      <c r="D1475" s="134">
        <f t="shared" si="62"/>
        <v>26688528</v>
      </c>
      <c r="E1475" t="s">
        <v>1629</v>
      </c>
      <c r="F1475" s="70"/>
      <c r="G1475" s="70"/>
      <c r="H1475" s="70"/>
    </row>
    <row r="1476" spans="1:8" s="44" customFormat="1" hidden="1" outlineLevel="1">
      <c r="A1476" s="389" t="s">
        <v>1273</v>
      </c>
      <c r="B1476" s="491">
        <v>1572200</v>
      </c>
      <c r="C1476" s="87">
        <v>0</v>
      </c>
      <c r="D1476" s="134">
        <f t="shared" si="62"/>
        <v>1572200</v>
      </c>
      <c r="E1476" t="s">
        <v>1274</v>
      </c>
      <c r="F1476" s="70"/>
      <c r="G1476" s="70"/>
      <c r="H1476" s="70"/>
    </row>
    <row r="1477" spans="1:8" s="44" customFormat="1" hidden="1" outlineLevel="1">
      <c r="A1477" s="389" t="s">
        <v>1675</v>
      </c>
      <c r="B1477" s="491">
        <v>13999535.817000002</v>
      </c>
      <c r="C1477" s="87">
        <v>3927032.4779999997</v>
      </c>
      <c r="D1477" s="134">
        <f t="shared" si="62"/>
        <v>17926568.295000002</v>
      </c>
      <c r="E1477" t="s">
        <v>1676</v>
      </c>
      <c r="F1477" s="70"/>
      <c r="G1477" s="70"/>
      <c r="H1477" s="70"/>
    </row>
    <row r="1478" spans="1:8" s="44" customFormat="1" hidden="1" outlineLevel="1">
      <c r="A1478" s="389" t="s">
        <v>1550</v>
      </c>
      <c r="B1478" s="491">
        <v>746779</v>
      </c>
      <c r="C1478" s="87">
        <v>0</v>
      </c>
      <c r="D1478" s="134">
        <f t="shared" si="62"/>
        <v>746779</v>
      </c>
      <c r="E1478" t="s">
        <v>1551</v>
      </c>
      <c r="F1478" s="70"/>
      <c r="G1478" s="70"/>
      <c r="H1478" s="70"/>
    </row>
    <row r="1479" spans="1:8" s="44" customFormat="1" hidden="1" outlineLevel="1">
      <c r="A1479" s="389" t="s">
        <v>1677</v>
      </c>
      <c r="B1479" s="491">
        <v>590668.54</v>
      </c>
      <c r="C1479" s="87">
        <v>92273.180999999997</v>
      </c>
      <c r="D1479" s="134">
        <f t="shared" si="62"/>
        <v>682941.72100000002</v>
      </c>
      <c r="E1479" t="s">
        <v>1678</v>
      </c>
      <c r="F1479" s="70"/>
      <c r="G1479" s="70"/>
      <c r="H1479" s="70"/>
    </row>
    <row r="1480" spans="1:8" s="44" customFormat="1" hidden="1" outlineLevel="1">
      <c r="A1480" s="389" t="s">
        <v>1724</v>
      </c>
      <c r="B1480" s="491">
        <v>8217399.5700000003</v>
      </c>
      <c r="C1480" s="87">
        <v>60503</v>
      </c>
      <c r="D1480" s="134">
        <f t="shared" si="62"/>
        <v>8277902.5700000003</v>
      </c>
      <c r="E1480" t="s">
        <v>1725</v>
      </c>
      <c r="F1480" s="70"/>
      <c r="G1480" s="70"/>
      <c r="H1480" s="70"/>
    </row>
    <row r="1481" spans="1:8" s="44" customFormat="1" hidden="1" outlineLevel="1">
      <c r="A1481" s="389" t="s">
        <v>1798</v>
      </c>
      <c r="B1481" s="491">
        <v>4566855</v>
      </c>
      <c r="C1481" s="87">
        <v>56575</v>
      </c>
      <c r="D1481" s="134">
        <f t="shared" si="62"/>
        <v>4623430</v>
      </c>
      <c r="E1481" t="s">
        <v>1799</v>
      </c>
      <c r="F1481" s="70"/>
      <c r="G1481" s="70"/>
      <c r="H1481" s="70"/>
    </row>
    <row r="1482" spans="1:8" s="44" customFormat="1" hidden="1" outlineLevel="1">
      <c r="A1482" s="389" t="s">
        <v>1546</v>
      </c>
      <c r="B1482" s="491">
        <v>1193001</v>
      </c>
      <c r="C1482" s="87">
        <v>0</v>
      </c>
      <c r="D1482" s="134">
        <f t="shared" si="62"/>
        <v>1193001</v>
      </c>
      <c r="E1482" t="s">
        <v>1547</v>
      </c>
      <c r="F1482" s="70"/>
      <c r="G1482" s="70"/>
      <c r="H1482" s="70"/>
    </row>
    <row r="1483" spans="1:8" s="44" customFormat="1" hidden="1" outlineLevel="1">
      <c r="A1483" s="389" t="s">
        <v>1610</v>
      </c>
      <c r="B1483" s="491">
        <v>959885</v>
      </c>
      <c r="C1483" s="87">
        <v>0</v>
      </c>
      <c r="D1483" s="134">
        <f t="shared" si="62"/>
        <v>959885</v>
      </c>
      <c r="E1483" t="s">
        <v>1611</v>
      </c>
      <c r="F1483" s="70"/>
      <c r="G1483" s="70"/>
      <c r="H1483" s="70"/>
    </row>
    <row r="1484" spans="1:8" s="44" customFormat="1" hidden="1" outlineLevel="1">
      <c r="A1484" s="389" t="s">
        <v>1792</v>
      </c>
      <c r="B1484" s="491">
        <v>213167</v>
      </c>
      <c r="C1484" s="87">
        <v>0</v>
      </c>
      <c r="D1484" s="134">
        <f t="shared" si="62"/>
        <v>213167</v>
      </c>
      <c r="E1484" t="s">
        <v>1793</v>
      </c>
      <c r="F1484" s="70"/>
      <c r="G1484" s="70"/>
      <c r="H1484" s="70"/>
    </row>
    <row r="1485" spans="1:8" s="44" customFormat="1" hidden="1" outlineLevel="1">
      <c r="A1485" s="389" t="s">
        <v>1396</v>
      </c>
      <c r="B1485" s="491">
        <v>832561.97</v>
      </c>
      <c r="C1485" s="87">
        <v>0</v>
      </c>
      <c r="D1485" s="134">
        <f t="shared" si="62"/>
        <v>832561.97</v>
      </c>
      <c r="E1485" t="s">
        <v>1397</v>
      </c>
      <c r="F1485" s="70"/>
      <c r="G1485" s="70"/>
      <c r="H1485" s="70"/>
    </row>
    <row r="1486" spans="1:8" s="44" customFormat="1" hidden="1" outlineLevel="1">
      <c r="A1486" s="389" t="s">
        <v>1388</v>
      </c>
      <c r="B1486" s="491">
        <v>1775834.0019999999</v>
      </c>
      <c r="C1486" s="87">
        <v>0</v>
      </c>
      <c r="D1486" s="134">
        <f t="shared" si="62"/>
        <v>1775834.0019999999</v>
      </c>
      <c r="E1486" t="s">
        <v>1389</v>
      </c>
      <c r="F1486" s="70"/>
      <c r="G1486" s="70"/>
      <c r="H1486" s="70"/>
    </row>
    <row r="1487" spans="1:8" s="44" customFormat="1" hidden="1" outlineLevel="1">
      <c r="A1487" s="389" t="s">
        <v>1780</v>
      </c>
      <c r="B1487" s="491">
        <v>29988836</v>
      </c>
      <c r="C1487" s="87">
        <v>819411.9</v>
      </c>
      <c r="D1487" s="134">
        <f t="shared" si="62"/>
        <v>30808247.899999999</v>
      </c>
      <c r="E1487" t="s">
        <v>1781</v>
      </c>
      <c r="F1487" s="70"/>
      <c r="G1487" s="70"/>
      <c r="H1487" s="70"/>
    </row>
    <row r="1488" spans="1:8" s="44" customFormat="1" hidden="1" outlineLevel="1">
      <c r="A1488" s="389" t="s">
        <v>1518</v>
      </c>
      <c r="B1488" s="491">
        <v>565093</v>
      </c>
      <c r="C1488" s="87">
        <v>0</v>
      </c>
      <c r="D1488" s="134">
        <f t="shared" si="62"/>
        <v>565093</v>
      </c>
      <c r="E1488" t="s">
        <v>1519</v>
      </c>
      <c r="F1488" s="70"/>
      <c r="G1488" s="70"/>
      <c r="H1488" s="70"/>
    </row>
    <row r="1489" spans="1:8" s="44" customFormat="1" hidden="1" outlineLevel="1">
      <c r="A1489" s="389" t="s">
        <v>1576</v>
      </c>
      <c r="B1489" s="491">
        <v>1232000</v>
      </c>
      <c r="C1489" s="87">
        <v>0</v>
      </c>
      <c r="D1489" s="134">
        <f t="shared" si="62"/>
        <v>1232000</v>
      </c>
      <c r="E1489" t="s">
        <v>1577</v>
      </c>
      <c r="F1489" s="70"/>
      <c r="G1489" s="70"/>
      <c r="H1489" s="70"/>
    </row>
    <row r="1490" spans="1:8" s="44" customFormat="1" hidden="1" outlineLevel="1">
      <c r="A1490" s="389" t="s">
        <v>1618</v>
      </c>
      <c r="B1490" s="491">
        <v>298227.51</v>
      </c>
      <c r="C1490" s="87">
        <v>0</v>
      </c>
      <c r="D1490" s="134">
        <f t="shared" si="62"/>
        <v>298227.51</v>
      </c>
      <c r="E1490" t="s">
        <v>1619</v>
      </c>
      <c r="F1490" s="70"/>
      <c r="G1490" s="70"/>
      <c r="H1490" s="70"/>
    </row>
    <row r="1491" spans="1:8" s="44" customFormat="1" hidden="1" outlineLevel="1">
      <c r="A1491" s="389" t="s">
        <v>1632</v>
      </c>
      <c r="B1491" s="491">
        <v>20268956.504000001</v>
      </c>
      <c r="C1491" s="87">
        <v>0</v>
      </c>
      <c r="D1491" s="134">
        <f t="shared" si="62"/>
        <v>20268956.504000001</v>
      </c>
      <c r="E1491" t="s">
        <v>1633</v>
      </c>
      <c r="F1491" s="70"/>
      <c r="G1491" s="70"/>
      <c r="H1491" s="70"/>
    </row>
    <row r="1492" spans="1:8" s="44" customFormat="1" hidden="1" outlineLevel="1">
      <c r="A1492" s="389" t="s">
        <v>1432</v>
      </c>
      <c r="B1492" s="491">
        <v>507592.74800000002</v>
      </c>
      <c r="C1492" s="87">
        <v>0</v>
      </c>
      <c r="D1492" s="134">
        <f t="shared" si="62"/>
        <v>507592.74800000002</v>
      </c>
      <c r="E1492" t="s">
        <v>1433</v>
      </c>
      <c r="F1492" s="70"/>
      <c r="G1492" s="70"/>
      <c r="H1492" s="70"/>
    </row>
    <row r="1493" spans="1:8" s="44" customFormat="1" hidden="1" outlineLevel="1">
      <c r="A1493" s="389" t="s">
        <v>1692</v>
      </c>
      <c r="B1493" s="491">
        <v>211895</v>
      </c>
      <c r="C1493" s="87">
        <v>0</v>
      </c>
      <c r="D1493" s="134">
        <f t="shared" si="62"/>
        <v>211895</v>
      </c>
      <c r="E1493" t="s">
        <v>1693</v>
      </c>
      <c r="F1493" s="70"/>
      <c r="G1493" s="70"/>
      <c r="H1493" s="70"/>
    </row>
    <row r="1494" spans="1:8" s="44" customFormat="1" hidden="1" outlineLevel="1">
      <c r="A1494" s="389" t="s">
        <v>1536</v>
      </c>
      <c r="B1494" s="491">
        <v>467304</v>
      </c>
      <c r="C1494" s="87">
        <v>0</v>
      </c>
      <c r="D1494" s="134">
        <f t="shared" si="62"/>
        <v>467304</v>
      </c>
      <c r="E1494" t="s">
        <v>1537</v>
      </c>
      <c r="F1494" s="70"/>
      <c r="G1494" s="70"/>
      <c r="H1494" s="70"/>
    </row>
    <row r="1495" spans="1:8" s="44" customFormat="1" hidden="1" outlineLevel="1">
      <c r="A1495" s="389" t="s">
        <v>1293</v>
      </c>
      <c r="B1495" s="491">
        <v>1644519</v>
      </c>
      <c r="C1495" s="87">
        <v>102280</v>
      </c>
      <c r="D1495" s="134">
        <f t="shared" si="62"/>
        <v>1746799</v>
      </c>
      <c r="E1495" t="s">
        <v>1294</v>
      </c>
      <c r="F1495" s="70"/>
      <c r="G1495" s="70"/>
      <c r="H1495" s="70"/>
    </row>
    <row r="1496" spans="1:8" s="44" customFormat="1" hidden="1" outlineLevel="1">
      <c r="A1496" s="389" t="s">
        <v>1532</v>
      </c>
      <c r="B1496" s="491">
        <v>4319787.6409999998</v>
      </c>
      <c r="C1496" s="87">
        <v>60754</v>
      </c>
      <c r="D1496" s="134">
        <f t="shared" si="62"/>
        <v>4380541.6409999998</v>
      </c>
      <c r="E1496" t="s">
        <v>1533</v>
      </c>
      <c r="F1496" s="70"/>
      <c r="G1496" s="70"/>
      <c r="H1496" s="70"/>
    </row>
    <row r="1497" spans="1:8" s="44" customFormat="1" hidden="1" outlineLevel="1">
      <c r="A1497" s="389" t="s">
        <v>1542</v>
      </c>
      <c r="B1497" s="491">
        <v>636008</v>
      </c>
      <c r="C1497" s="87">
        <v>0</v>
      </c>
      <c r="D1497" s="134">
        <f t="shared" si="62"/>
        <v>636008</v>
      </c>
      <c r="E1497" t="s">
        <v>1543</v>
      </c>
      <c r="F1497" s="70"/>
      <c r="G1497" s="70"/>
      <c r="H1497" s="70"/>
    </row>
    <row r="1498" spans="1:8" s="44" customFormat="1" hidden="1" outlineLevel="1">
      <c r="A1498" s="389" t="s">
        <v>1291</v>
      </c>
      <c r="B1498" s="491">
        <v>616194.42799999996</v>
      </c>
      <c r="C1498" s="87">
        <v>0</v>
      </c>
      <c r="D1498" s="134">
        <f t="shared" si="62"/>
        <v>616194.42799999996</v>
      </c>
      <c r="E1498" t="s">
        <v>1292</v>
      </c>
      <c r="F1498" s="70"/>
      <c r="G1498" s="70"/>
      <c r="H1498" s="70"/>
    </row>
    <row r="1499" spans="1:8" s="44" customFormat="1" hidden="1" outlineLevel="1">
      <c r="A1499" s="389" t="s">
        <v>1494</v>
      </c>
      <c r="B1499" s="491">
        <v>1243159.8319999999</v>
      </c>
      <c r="C1499" s="87">
        <v>62356</v>
      </c>
      <c r="D1499" s="134">
        <f t="shared" si="62"/>
        <v>1305515.8319999999</v>
      </c>
      <c r="E1499" t="s">
        <v>1495</v>
      </c>
      <c r="F1499" s="70"/>
      <c r="G1499" s="70"/>
      <c r="H1499" s="70"/>
    </row>
    <row r="1500" spans="1:8" s="44" customFormat="1" hidden="1" outlineLevel="1">
      <c r="A1500" s="389" t="s">
        <v>1342</v>
      </c>
      <c r="B1500" s="491">
        <v>1143532.325</v>
      </c>
      <c r="C1500" s="87">
        <v>0</v>
      </c>
      <c r="D1500" s="134">
        <f t="shared" si="62"/>
        <v>1143532.325</v>
      </c>
      <c r="E1500" t="s">
        <v>1343</v>
      </c>
      <c r="F1500" s="70"/>
      <c r="G1500" s="70"/>
      <c r="H1500" s="70"/>
    </row>
    <row r="1501" spans="1:8" s="44" customFormat="1" hidden="1" outlineLevel="1">
      <c r="A1501" s="389" t="s">
        <v>1326</v>
      </c>
      <c r="B1501" s="491">
        <v>436075</v>
      </c>
      <c r="C1501" s="87">
        <v>0</v>
      </c>
      <c r="D1501" s="134">
        <f t="shared" si="62"/>
        <v>436075</v>
      </c>
      <c r="E1501" t="s">
        <v>1327</v>
      </c>
      <c r="F1501" s="70"/>
      <c r="G1501" s="70"/>
      <c r="H1501" s="70"/>
    </row>
    <row r="1502" spans="1:8" s="44" customFormat="1" hidden="1" outlineLevel="1">
      <c r="A1502" s="389" t="s">
        <v>1794</v>
      </c>
      <c r="B1502" s="491">
        <v>49037274.868000001</v>
      </c>
      <c r="C1502" s="87">
        <v>63816</v>
      </c>
      <c r="D1502" s="134">
        <f t="shared" si="62"/>
        <v>49101090.868000001</v>
      </c>
      <c r="E1502" t="s">
        <v>1795</v>
      </c>
      <c r="F1502" s="70"/>
      <c r="G1502" s="70"/>
      <c r="H1502" s="70"/>
    </row>
    <row r="1503" spans="1:8" s="44" customFormat="1" hidden="1" outlineLevel="1">
      <c r="A1503" s="389" t="s">
        <v>1698</v>
      </c>
      <c r="B1503" s="491">
        <v>2694519.6970000002</v>
      </c>
      <c r="C1503" s="87">
        <v>0</v>
      </c>
      <c r="D1503" s="134">
        <f t="shared" si="62"/>
        <v>2694519.6970000002</v>
      </c>
      <c r="E1503" t="s">
        <v>1699</v>
      </c>
      <c r="F1503" s="70"/>
      <c r="G1503" s="70"/>
      <c r="H1503" s="70"/>
    </row>
    <row r="1504" spans="1:8" s="44" customFormat="1" hidden="1" outlineLevel="1">
      <c r="A1504" s="389" t="s">
        <v>1348</v>
      </c>
      <c r="B1504" s="491">
        <v>395711</v>
      </c>
      <c r="C1504" s="87">
        <v>0</v>
      </c>
      <c r="D1504" s="134">
        <f t="shared" si="62"/>
        <v>395711</v>
      </c>
      <c r="E1504" t="s">
        <v>1349</v>
      </c>
      <c r="F1504" s="70"/>
      <c r="G1504" s="70"/>
      <c r="H1504" s="70"/>
    </row>
    <row r="1505" spans="1:8" s="44" customFormat="1" hidden="1" outlineLevel="1">
      <c r="A1505" s="389" t="s">
        <v>1608</v>
      </c>
      <c r="B1505" s="491">
        <v>1341212.0009999999</v>
      </c>
      <c r="C1505" s="87">
        <v>0</v>
      </c>
      <c r="D1505" s="134">
        <f t="shared" si="62"/>
        <v>1341212.0009999999</v>
      </c>
      <c r="E1505" t="s">
        <v>1609</v>
      </c>
      <c r="F1505" s="70"/>
      <c r="G1505" s="70"/>
      <c r="H1505" s="70"/>
    </row>
    <row r="1506" spans="1:8" s="44" customFormat="1" hidden="1" outlineLevel="1">
      <c r="A1506" s="389" t="s">
        <v>1722</v>
      </c>
      <c r="B1506" s="491">
        <v>287387</v>
      </c>
      <c r="C1506" s="87">
        <v>0</v>
      </c>
      <c r="D1506" s="134">
        <f t="shared" si="62"/>
        <v>287387</v>
      </c>
      <c r="E1506" t="s">
        <v>1723</v>
      </c>
      <c r="F1506" s="70"/>
      <c r="G1506" s="70"/>
      <c r="H1506" s="70"/>
    </row>
    <row r="1507" spans="1:8" s="44" customFormat="1" hidden="1" outlineLevel="1">
      <c r="A1507" s="389" t="s">
        <v>1322</v>
      </c>
      <c r="B1507" s="491">
        <v>32446</v>
      </c>
      <c r="C1507" s="87">
        <v>0</v>
      </c>
      <c r="D1507" s="134">
        <f t="shared" si="62"/>
        <v>32446</v>
      </c>
      <c r="E1507" t="s">
        <v>1323</v>
      </c>
      <c r="F1507" s="70"/>
      <c r="G1507" s="70"/>
      <c r="H1507" s="70"/>
    </row>
    <row r="1508" spans="1:8" s="44" customFormat="1" hidden="1" outlineLevel="1">
      <c r="A1508" s="389" t="s">
        <v>1788</v>
      </c>
      <c r="B1508" s="491">
        <v>392484</v>
      </c>
      <c r="C1508" s="87">
        <v>0</v>
      </c>
      <c r="D1508" s="134">
        <f t="shared" si="62"/>
        <v>392484</v>
      </c>
      <c r="E1508" t="s">
        <v>1789</v>
      </c>
      <c r="F1508" s="70"/>
      <c r="G1508" s="70"/>
      <c r="H1508" s="70"/>
    </row>
    <row r="1509" spans="1:8" s="44" customFormat="1" hidden="1" outlineLevel="1">
      <c r="A1509" s="389" t="s">
        <v>1506</v>
      </c>
      <c r="B1509" s="491">
        <v>301174</v>
      </c>
      <c r="C1509" s="87">
        <v>0</v>
      </c>
      <c r="D1509" s="134">
        <f t="shared" si="62"/>
        <v>301174</v>
      </c>
      <c r="E1509" t="s">
        <v>1507</v>
      </c>
      <c r="F1509" s="70"/>
      <c r="G1509" s="70"/>
      <c r="H1509" s="70"/>
    </row>
    <row r="1510" spans="1:8" s="44" customFormat="1" hidden="1" outlineLevel="1">
      <c r="A1510" s="389" t="s">
        <v>1588</v>
      </c>
      <c r="B1510" s="491">
        <v>2590730.0609999998</v>
      </c>
      <c r="C1510" s="87">
        <v>-89226.244999999995</v>
      </c>
      <c r="D1510" s="134">
        <f t="shared" si="62"/>
        <v>2501503.8159999996</v>
      </c>
      <c r="E1510" t="s">
        <v>1589</v>
      </c>
      <c r="F1510" s="70"/>
      <c r="G1510" s="70"/>
      <c r="H1510" s="70"/>
    </row>
    <row r="1511" spans="1:8" s="44" customFormat="1" hidden="1" outlineLevel="1">
      <c r="A1511" s="389" t="s">
        <v>1480</v>
      </c>
      <c r="B1511" s="491">
        <v>19250</v>
      </c>
      <c r="C1511" s="87">
        <v>0</v>
      </c>
      <c r="D1511" s="134">
        <f t="shared" si="62"/>
        <v>19250</v>
      </c>
      <c r="E1511" t="s">
        <v>1481</v>
      </c>
      <c r="F1511" s="70"/>
      <c r="G1511" s="70"/>
      <c r="H1511" s="70"/>
    </row>
    <row r="1512" spans="1:8" s="44" customFormat="1" hidden="1" outlineLevel="1">
      <c r="A1512" s="389" t="s">
        <v>1320</v>
      </c>
      <c r="B1512" s="491">
        <v>2177950</v>
      </c>
      <c r="C1512" s="87">
        <v>-46</v>
      </c>
      <c r="D1512" s="134">
        <f t="shared" si="62"/>
        <v>2177904</v>
      </c>
      <c r="E1512" t="s">
        <v>1321</v>
      </c>
      <c r="F1512" s="70"/>
      <c r="G1512" s="70"/>
      <c r="H1512" s="70"/>
    </row>
    <row r="1513" spans="1:8" s="44" customFormat="1" hidden="1" outlineLevel="1">
      <c r="A1513" s="389" t="s">
        <v>1578</v>
      </c>
      <c r="B1513" s="491">
        <v>1895278.828</v>
      </c>
      <c r="C1513" s="87">
        <v>0</v>
      </c>
      <c r="D1513" s="134">
        <f t="shared" si="62"/>
        <v>1895278.828</v>
      </c>
      <c r="E1513" t="s">
        <v>1579</v>
      </c>
      <c r="F1513" s="70"/>
      <c r="G1513" s="70"/>
      <c r="H1513" s="70"/>
    </row>
    <row r="1514" spans="1:8" s="44" customFormat="1" hidden="1" outlineLevel="1">
      <c r="A1514" s="389" t="s">
        <v>1482</v>
      </c>
      <c r="B1514" s="491">
        <v>1082511.7889999999</v>
      </c>
      <c r="C1514" s="87">
        <v>0</v>
      </c>
      <c r="D1514" s="134">
        <f t="shared" si="62"/>
        <v>1082511.7889999999</v>
      </c>
      <c r="E1514" t="s">
        <v>1483</v>
      </c>
      <c r="F1514" s="70"/>
      <c r="G1514" s="70"/>
      <c r="H1514" s="70"/>
    </row>
    <row r="1515" spans="1:8" s="44" customFormat="1" hidden="1" outlineLevel="1">
      <c r="A1515" s="389" t="s">
        <v>1534</v>
      </c>
      <c r="B1515" s="491">
        <v>1212438</v>
      </c>
      <c r="C1515" s="87">
        <v>0</v>
      </c>
      <c r="D1515" s="134">
        <f t="shared" si="62"/>
        <v>1212438</v>
      </c>
      <c r="E1515" t="s">
        <v>1535</v>
      </c>
      <c r="F1515" s="70"/>
      <c r="G1515" s="70"/>
      <c r="H1515" s="70"/>
    </row>
    <row r="1516" spans="1:8" s="44" customFormat="1" hidden="1" outlineLevel="1">
      <c r="A1516" s="389" t="s">
        <v>1694</v>
      </c>
      <c r="B1516" s="491">
        <v>1168549.8</v>
      </c>
      <c r="C1516" s="87">
        <v>0</v>
      </c>
      <c r="D1516" s="134">
        <f t="shared" si="62"/>
        <v>1168549.8</v>
      </c>
      <c r="E1516" t="s">
        <v>1695</v>
      </c>
      <c r="F1516" s="70"/>
      <c r="G1516" s="70"/>
      <c r="H1516" s="70"/>
    </row>
    <row r="1517" spans="1:8" s="44" customFormat="1" hidden="1" outlineLevel="1">
      <c r="A1517" s="389" t="s">
        <v>1458</v>
      </c>
      <c r="B1517" s="491">
        <v>6545364</v>
      </c>
      <c r="C1517" s="87">
        <v>0</v>
      </c>
      <c r="D1517" s="134">
        <f t="shared" si="62"/>
        <v>6545364</v>
      </c>
      <c r="E1517" t="s">
        <v>1459</v>
      </c>
      <c r="F1517" s="70"/>
      <c r="G1517" s="70"/>
      <c r="H1517" s="70"/>
    </row>
    <row r="1518" spans="1:8" s="44" customFormat="1" hidden="1" outlineLevel="1">
      <c r="A1518" s="389" t="s">
        <v>1664</v>
      </c>
      <c r="B1518" s="491">
        <v>3065610</v>
      </c>
      <c r="C1518" s="87">
        <v>0</v>
      </c>
      <c r="D1518" s="134">
        <f t="shared" si="62"/>
        <v>3065610</v>
      </c>
      <c r="E1518" t="s">
        <v>1665</v>
      </c>
      <c r="F1518" s="70"/>
      <c r="G1518" s="70"/>
      <c r="H1518" s="70"/>
    </row>
    <row r="1519" spans="1:8" s="44" customFormat="1" hidden="1" outlineLevel="1">
      <c r="A1519" s="389" t="s">
        <v>1826</v>
      </c>
      <c r="B1519" s="491">
        <v>4500728.41</v>
      </c>
      <c r="C1519" s="87">
        <v>458206</v>
      </c>
      <c r="D1519" s="134">
        <f t="shared" si="62"/>
        <v>4958934.41</v>
      </c>
      <c r="E1519" t="s">
        <v>1827</v>
      </c>
      <c r="F1519" s="70"/>
      <c r="G1519" s="70"/>
      <c r="H1519" s="70"/>
    </row>
    <row r="1520" spans="1:8" s="44" customFormat="1" hidden="1" outlineLevel="1">
      <c r="A1520" s="389" t="s">
        <v>1418</v>
      </c>
      <c r="B1520" s="491">
        <v>259662</v>
      </c>
      <c r="C1520" s="87">
        <v>0</v>
      </c>
      <c r="D1520" s="134">
        <f t="shared" si="62"/>
        <v>259662</v>
      </c>
      <c r="E1520" t="s">
        <v>1419</v>
      </c>
      <c r="F1520" s="70"/>
      <c r="G1520" s="70"/>
      <c r="H1520" s="70"/>
    </row>
    <row r="1521" spans="1:8" s="44" customFormat="1" hidden="1" outlineLevel="1">
      <c r="A1521" s="389" t="s">
        <v>1434</v>
      </c>
      <c r="B1521" s="491">
        <v>707842</v>
      </c>
      <c r="C1521" s="87">
        <v>0</v>
      </c>
      <c r="D1521" s="134">
        <f t="shared" si="62"/>
        <v>707842</v>
      </c>
      <c r="E1521" t="s">
        <v>1435</v>
      </c>
      <c r="F1521" s="70"/>
      <c r="G1521" s="70"/>
      <c r="H1521" s="70"/>
    </row>
    <row r="1522" spans="1:8" s="44" customFormat="1" hidden="1" outlineLevel="1">
      <c r="A1522" s="389" t="s">
        <v>1704</v>
      </c>
      <c r="B1522" s="491">
        <v>1934316</v>
      </c>
      <c r="C1522" s="87">
        <v>0</v>
      </c>
      <c r="D1522" s="134">
        <f t="shared" si="62"/>
        <v>1934316</v>
      </c>
      <c r="E1522" t="s">
        <v>1705</v>
      </c>
      <c r="F1522" s="70"/>
      <c r="G1522" s="70"/>
      <c r="H1522" s="70"/>
    </row>
    <row r="1523" spans="1:8" s="44" customFormat="1" hidden="1" outlineLevel="1">
      <c r="A1523" s="389" t="s">
        <v>1263</v>
      </c>
      <c r="B1523" s="491">
        <v>529555</v>
      </c>
      <c r="C1523" s="87">
        <v>77542</v>
      </c>
      <c r="D1523" s="134">
        <f t="shared" si="62"/>
        <v>607097</v>
      </c>
      <c r="E1523" t="s">
        <v>1264</v>
      </c>
      <c r="F1523" s="70"/>
      <c r="G1523" s="70"/>
      <c r="H1523" s="70"/>
    </row>
    <row r="1524" spans="1:8" s="44" customFormat="1" hidden="1" outlineLevel="1">
      <c r="A1524" s="389" t="s">
        <v>1614</v>
      </c>
      <c r="B1524" s="491">
        <v>1235927.76</v>
      </c>
      <c r="C1524" s="87">
        <v>0</v>
      </c>
      <c r="D1524" s="134">
        <f t="shared" si="62"/>
        <v>1235927.76</v>
      </c>
      <c r="E1524" t="s">
        <v>1615</v>
      </c>
      <c r="F1524" s="70"/>
      <c r="G1524" s="70"/>
      <c r="H1524" s="70"/>
    </row>
    <row r="1525" spans="1:8" s="44" customFormat="1" hidden="1" outlineLevel="1">
      <c r="A1525" s="389" t="s">
        <v>1490</v>
      </c>
      <c r="B1525" s="491">
        <v>53860</v>
      </c>
      <c r="C1525" s="87">
        <v>0</v>
      </c>
      <c r="D1525" s="134">
        <f t="shared" si="62"/>
        <v>53860</v>
      </c>
      <c r="E1525" t="s">
        <v>1491</v>
      </c>
      <c r="F1525" s="70"/>
      <c r="G1525" s="70"/>
      <c r="H1525" s="70"/>
    </row>
    <row r="1526" spans="1:8" s="44" customFormat="1" hidden="1" outlineLevel="1">
      <c r="A1526" s="389" t="s">
        <v>1338</v>
      </c>
      <c r="B1526" s="491">
        <v>307299</v>
      </c>
      <c r="C1526" s="87">
        <v>0</v>
      </c>
      <c r="D1526" s="134">
        <f t="shared" si="62"/>
        <v>307299</v>
      </c>
      <c r="E1526" t="s">
        <v>1339</v>
      </c>
      <c r="F1526" s="70"/>
      <c r="G1526" s="70"/>
      <c r="H1526" s="70"/>
    </row>
    <row r="1527" spans="1:8" s="44" customFormat="1" hidden="1" outlineLevel="1">
      <c r="A1527" s="389" t="s">
        <v>1592</v>
      </c>
      <c r="B1527" s="491">
        <v>2586848</v>
      </c>
      <c r="C1527" s="87">
        <v>0</v>
      </c>
      <c r="D1527" s="134">
        <f t="shared" si="62"/>
        <v>2586848</v>
      </c>
      <c r="E1527" t="s">
        <v>1593</v>
      </c>
      <c r="F1527" s="70"/>
      <c r="G1527" s="70"/>
      <c r="H1527" s="70"/>
    </row>
    <row r="1528" spans="1:8" s="44" customFormat="1" hidden="1" outlineLevel="1">
      <c r="A1528" s="389" t="s">
        <v>1392</v>
      </c>
      <c r="B1528" s="491">
        <v>735973</v>
      </c>
      <c r="C1528" s="87">
        <v>0</v>
      </c>
      <c r="D1528" s="134">
        <f t="shared" ref="D1528:D1590" si="63">B1528+C1528</f>
        <v>735973</v>
      </c>
      <c r="E1528" t="s">
        <v>1393</v>
      </c>
      <c r="F1528" s="70"/>
      <c r="G1528" s="70"/>
      <c r="H1528" s="70"/>
    </row>
    <row r="1529" spans="1:8" s="44" customFormat="1" hidden="1" outlineLevel="1">
      <c r="A1529" s="389" t="s">
        <v>1638</v>
      </c>
      <c r="B1529" s="491">
        <v>483981</v>
      </c>
      <c r="C1529" s="87">
        <v>0</v>
      </c>
      <c r="D1529" s="134">
        <f t="shared" si="63"/>
        <v>483981</v>
      </c>
      <c r="E1529" t="s">
        <v>1639</v>
      </c>
      <c r="F1529" s="70"/>
      <c r="G1529" s="70"/>
      <c r="H1529" s="70"/>
    </row>
    <row r="1530" spans="1:8" s="44" customFormat="1" hidden="1" outlineLevel="1">
      <c r="A1530" s="389" t="s">
        <v>1810</v>
      </c>
      <c r="B1530" s="491">
        <v>542407</v>
      </c>
      <c r="C1530" s="87">
        <v>0</v>
      </c>
      <c r="D1530" s="134">
        <f t="shared" si="63"/>
        <v>542407</v>
      </c>
      <c r="E1530" t="s">
        <v>1811</v>
      </c>
      <c r="F1530" s="70"/>
      <c r="G1530" s="70"/>
      <c r="H1530" s="70"/>
    </row>
    <row r="1531" spans="1:8" s="44" customFormat="1" hidden="1" outlineLevel="1">
      <c r="A1531" s="389" t="s">
        <v>1772</v>
      </c>
      <c r="B1531" s="491">
        <v>110883</v>
      </c>
      <c r="C1531" s="87">
        <v>0</v>
      </c>
      <c r="D1531" s="134">
        <f t="shared" si="63"/>
        <v>110883</v>
      </c>
      <c r="E1531" t="s">
        <v>1773</v>
      </c>
      <c r="F1531" s="70"/>
      <c r="G1531" s="70"/>
      <c r="H1531" s="70"/>
    </row>
    <row r="1532" spans="1:8" s="44" customFormat="1" hidden="1" outlineLevel="1">
      <c r="A1532" s="389" t="s">
        <v>1580</v>
      </c>
      <c r="B1532" s="491">
        <v>35616</v>
      </c>
      <c r="C1532" s="87">
        <v>0</v>
      </c>
      <c r="D1532" s="134">
        <f t="shared" si="63"/>
        <v>35616</v>
      </c>
      <c r="E1532" t="s">
        <v>1581</v>
      </c>
      <c r="F1532" s="70"/>
      <c r="G1532" s="70"/>
      <c r="H1532" s="70"/>
    </row>
    <row r="1533" spans="1:8" s="44" customFormat="1" hidden="1" outlineLevel="1">
      <c r="A1533" s="389" t="s">
        <v>1662</v>
      </c>
      <c r="B1533" s="491">
        <v>140009</v>
      </c>
      <c r="C1533" s="87">
        <v>0</v>
      </c>
      <c r="D1533" s="134">
        <f t="shared" si="63"/>
        <v>140009</v>
      </c>
      <c r="E1533" t="s">
        <v>1663</v>
      </c>
      <c r="F1533" s="70"/>
      <c r="G1533" s="70"/>
      <c r="H1533" s="70"/>
    </row>
    <row r="1534" spans="1:8" s="44" customFormat="1" hidden="1" outlineLevel="1">
      <c r="A1534" s="389" t="s">
        <v>1234</v>
      </c>
      <c r="B1534" s="491">
        <v>708281</v>
      </c>
      <c r="C1534" s="87">
        <v>0</v>
      </c>
      <c r="D1534" s="134">
        <f t="shared" si="63"/>
        <v>708281</v>
      </c>
      <c r="E1534" t="s">
        <v>1235</v>
      </c>
      <c r="F1534" s="70"/>
      <c r="G1534" s="70"/>
      <c r="H1534" s="70"/>
    </row>
    <row r="1535" spans="1:8" s="44" customFormat="1" hidden="1" outlineLevel="1">
      <c r="A1535" s="389" t="s">
        <v>1360</v>
      </c>
      <c r="B1535" s="491">
        <v>993618</v>
      </c>
      <c r="C1535" s="87">
        <v>0</v>
      </c>
      <c r="D1535" s="134">
        <f t="shared" si="63"/>
        <v>993618</v>
      </c>
      <c r="E1535" t="s">
        <v>1361</v>
      </c>
      <c r="F1535" s="70"/>
      <c r="G1535" s="70"/>
      <c r="H1535" s="70"/>
    </row>
    <row r="1536" spans="1:8" s="44" customFormat="1" hidden="1" outlineLevel="1">
      <c r="A1536" s="389" t="s">
        <v>1690</v>
      </c>
      <c r="B1536" s="491">
        <v>9668009</v>
      </c>
      <c r="C1536" s="87">
        <v>0</v>
      </c>
      <c r="D1536" s="134">
        <f t="shared" si="63"/>
        <v>9668009</v>
      </c>
      <c r="E1536" t="s">
        <v>1691</v>
      </c>
      <c r="F1536" s="70"/>
      <c r="G1536" s="70"/>
      <c r="H1536" s="70"/>
    </row>
    <row r="1537" spans="1:8" s="44" customFormat="1" hidden="1" outlineLevel="1">
      <c r="A1537" s="389" t="s">
        <v>869</v>
      </c>
      <c r="B1537" s="491">
        <v>393114</v>
      </c>
      <c r="C1537" s="87">
        <v>0</v>
      </c>
      <c r="D1537" s="134">
        <f t="shared" si="63"/>
        <v>393114</v>
      </c>
      <c r="E1537" t="s">
        <v>870</v>
      </c>
      <c r="F1537" s="70"/>
      <c r="G1537" s="70"/>
      <c r="H1537" s="70"/>
    </row>
    <row r="1538" spans="1:8" s="44" customFormat="1" hidden="1" outlineLevel="1">
      <c r="A1538" s="389" t="s">
        <v>1620</v>
      </c>
      <c r="B1538" s="491">
        <v>1021815</v>
      </c>
      <c r="C1538" s="87">
        <v>0</v>
      </c>
      <c r="D1538" s="134">
        <f t="shared" si="63"/>
        <v>1021815</v>
      </c>
      <c r="E1538" t="s">
        <v>1621</v>
      </c>
      <c r="F1538" s="70"/>
      <c r="G1538" s="70"/>
      <c r="H1538" s="70"/>
    </row>
    <row r="1539" spans="1:8" s="44" customFormat="1" hidden="1" outlineLevel="1">
      <c r="A1539" s="389" t="s">
        <v>1314</v>
      </c>
      <c r="B1539" s="491">
        <v>4633</v>
      </c>
      <c r="C1539" s="87">
        <v>0</v>
      </c>
      <c r="D1539" s="134">
        <f t="shared" si="63"/>
        <v>4633</v>
      </c>
      <c r="E1539" t="s">
        <v>1315</v>
      </c>
      <c r="F1539" s="70"/>
      <c r="G1539" s="70"/>
      <c r="H1539" s="70"/>
    </row>
    <row r="1540" spans="1:8" s="44" customFormat="1" hidden="1" outlineLevel="1">
      <c r="A1540" s="389" t="s">
        <v>1299</v>
      </c>
      <c r="B1540" s="491">
        <v>407606</v>
      </c>
      <c r="C1540" s="87">
        <v>115480</v>
      </c>
      <c r="D1540" s="134">
        <f t="shared" si="63"/>
        <v>523086</v>
      </c>
      <c r="E1540" t="s">
        <v>1300</v>
      </c>
      <c r="F1540" s="70"/>
      <c r="G1540" s="70"/>
      <c r="H1540" s="70"/>
    </row>
    <row r="1541" spans="1:8" s="44" customFormat="1" hidden="1" outlineLevel="1">
      <c r="A1541" s="389" t="s">
        <v>1560</v>
      </c>
      <c r="B1541" s="491">
        <v>128545</v>
      </c>
      <c r="C1541" s="87">
        <v>0</v>
      </c>
      <c r="D1541" s="134">
        <f t="shared" si="63"/>
        <v>128545</v>
      </c>
      <c r="E1541" t="s">
        <v>1561</v>
      </c>
      <c r="F1541" s="70"/>
      <c r="G1541" s="70"/>
      <c r="H1541" s="70"/>
    </row>
    <row r="1542" spans="1:8" s="44" customFormat="1" hidden="1" outlineLevel="1">
      <c r="A1542" s="389" t="s">
        <v>1673</v>
      </c>
      <c r="B1542" s="491">
        <v>589106.30599999998</v>
      </c>
      <c r="C1542" s="87">
        <v>0</v>
      </c>
      <c r="D1542" s="134">
        <f t="shared" si="63"/>
        <v>589106.30599999998</v>
      </c>
      <c r="E1542" t="s">
        <v>1674</v>
      </c>
      <c r="F1542" s="70"/>
      <c r="G1542" s="70"/>
      <c r="H1542" s="70"/>
    </row>
    <row r="1543" spans="1:8" s="44" customFormat="1" hidden="1" outlineLevel="1">
      <c r="A1543" s="389" t="s">
        <v>1414</v>
      </c>
      <c r="B1543" s="491">
        <v>274194</v>
      </c>
      <c r="C1543" s="87">
        <v>0</v>
      </c>
      <c r="D1543" s="134">
        <f t="shared" si="63"/>
        <v>274194</v>
      </c>
      <c r="E1543" t="s">
        <v>1415</v>
      </c>
      <c r="F1543" s="70"/>
      <c r="G1543" s="70"/>
      <c r="H1543" s="70"/>
    </row>
    <row r="1544" spans="1:8" s="44" customFormat="1" hidden="1" outlineLevel="1">
      <c r="A1544" s="389" t="s">
        <v>1758</v>
      </c>
      <c r="B1544" s="491">
        <v>486559.81</v>
      </c>
      <c r="C1544" s="87">
        <v>0</v>
      </c>
      <c r="D1544" s="134">
        <f t="shared" si="63"/>
        <v>486559.81</v>
      </c>
      <c r="E1544" t="s">
        <v>1759</v>
      </c>
      <c r="F1544" s="70"/>
      <c r="G1544" s="70"/>
      <c r="H1544" s="70"/>
    </row>
    <row r="1545" spans="1:8" s="44" customFormat="1" hidden="1" outlineLevel="1">
      <c r="A1545" s="389" t="s">
        <v>1404</v>
      </c>
      <c r="B1545" s="491">
        <v>101278.52499999999</v>
      </c>
      <c r="C1545" s="87">
        <v>0</v>
      </c>
      <c r="D1545" s="134">
        <f t="shared" si="63"/>
        <v>101278.52499999999</v>
      </c>
      <c r="E1545" t="s">
        <v>1405</v>
      </c>
      <c r="F1545" s="70"/>
      <c r="G1545" s="70"/>
      <c r="H1545" s="70"/>
    </row>
    <row r="1546" spans="1:8" s="44" customFormat="1" hidden="1" outlineLevel="1">
      <c r="A1546" s="389" t="s">
        <v>1734</v>
      </c>
      <c r="B1546" s="491">
        <v>788950</v>
      </c>
      <c r="C1546" s="87">
        <v>0</v>
      </c>
      <c r="D1546" s="134">
        <f t="shared" si="63"/>
        <v>788950</v>
      </c>
      <c r="E1546" t="s">
        <v>1735</v>
      </c>
      <c r="F1546" s="70"/>
      <c r="G1546" s="70"/>
      <c r="H1546" s="70"/>
    </row>
    <row r="1547" spans="1:8" s="44" customFormat="1" hidden="1" outlineLevel="1">
      <c r="A1547" s="389" t="s">
        <v>1382</v>
      </c>
      <c r="B1547" s="491">
        <v>380979</v>
      </c>
      <c r="C1547" s="87">
        <v>0</v>
      </c>
      <c r="D1547" s="134">
        <f t="shared" si="63"/>
        <v>380979</v>
      </c>
      <c r="E1547" t="s">
        <v>1383</v>
      </c>
      <c r="F1547" s="70"/>
      <c r="G1547" s="70"/>
      <c r="H1547" s="70"/>
    </row>
    <row r="1548" spans="1:8" s="44" customFormat="1" hidden="1" outlineLevel="1">
      <c r="A1548" s="389" t="s">
        <v>1324</v>
      </c>
      <c r="B1548" s="491">
        <v>718839.57700000005</v>
      </c>
      <c r="C1548" s="87">
        <v>0</v>
      </c>
      <c r="D1548" s="134">
        <f t="shared" si="63"/>
        <v>718839.57700000005</v>
      </c>
      <c r="E1548" t="s">
        <v>1325</v>
      </c>
      <c r="F1548" s="70"/>
      <c r="G1548" s="70"/>
      <c r="H1548" s="70"/>
    </row>
    <row r="1549" spans="1:8" s="44" customFormat="1" hidden="1" outlineLevel="1">
      <c r="A1549" s="389" t="s">
        <v>1488</v>
      </c>
      <c r="B1549" s="491">
        <v>4953371.5550000006</v>
      </c>
      <c r="C1549" s="87">
        <v>0</v>
      </c>
      <c r="D1549" s="134">
        <f t="shared" si="63"/>
        <v>4953371.5550000006</v>
      </c>
      <c r="E1549" t="s">
        <v>1489</v>
      </c>
      <c r="F1549" s="70"/>
      <c r="G1549" s="70"/>
      <c r="H1549" s="70"/>
    </row>
    <row r="1550" spans="1:8" s="44" customFormat="1" hidden="1" outlineLevel="1">
      <c r="A1550" s="389" t="s">
        <v>1782</v>
      </c>
      <c r="B1550" s="491">
        <v>1788702.8370000001</v>
      </c>
      <c r="C1550" s="87">
        <v>657557</v>
      </c>
      <c r="D1550" s="134">
        <f t="shared" si="63"/>
        <v>2446259.8370000003</v>
      </c>
      <c r="E1550" t="s">
        <v>1783</v>
      </c>
      <c r="F1550" s="70"/>
      <c r="G1550" s="70"/>
      <c r="H1550" s="70"/>
    </row>
    <row r="1551" spans="1:8" s="44" customFormat="1" hidden="1" outlineLevel="1">
      <c r="A1551" s="389" t="s">
        <v>1364</v>
      </c>
      <c r="B1551" s="491">
        <v>841010.62699999998</v>
      </c>
      <c r="C1551" s="87">
        <v>417154.53</v>
      </c>
      <c r="D1551" s="134">
        <f t="shared" si="63"/>
        <v>1258165.1570000001</v>
      </c>
      <c r="E1551" t="s">
        <v>1365</v>
      </c>
      <c r="F1551" s="70"/>
      <c r="G1551" s="70"/>
      <c r="H1551" s="70"/>
    </row>
    <row r="1552" spans="1:8" s="44" customFormat="1" hidden="1" outlineLevel="1">
      <c r="A1552" s="389" t="s">
        <v>1422</v>
      </c>
      <c r="B1552" s="491">
        <v>536159</v>
      </c>
      <c r="C1552" s="87">
        <v>0</v>
      </c>
      <c r="D1552" s="134">
        <f t="shared" si="63"/>
        <v>536159</v>
      </c>
      <c r="E1552" t="s">
        <v>1423</v>
      </c>
      <c r="F1552" s="70"/>
      <c r="G1552" s="70"/>
      <c r="H1552" s="70"/>
    </row>
    <row r="1553" spans="1:8" s="44" customFormat="1" hidden="1" outlineLevel="1">
      <c r="A1553" s="389" t="s">
        <v>1242</v>
      </c>
      <c r="B1553" s="491">
        <v>332798</v>
      </c>
      <c r="C1553" s="87">
        <v>0</v>
      </c>
      <c r="D1553" s="134">
        <f t="shared" si="63"/>
        <v>332798</v>
      </c>
      <c r="E1553" t="s">
        <v>1243</v>
      </c>
      <c r="F1553" s="70"/>
      <c r="G1553" s="70"/>
      <c r="H1553" s="70"/>
    </row>
    <row r="1554" spans="1:8" s="44" customFormat="1" hidden="1" outlineLevel="1">
      <c r="A1554" s="389" t="s">
        <v>1271</v>
      </c>
      <c r="B1554" s="491">
        <v>1886908</v>
      </c>
      <c r="C1554" s="87">
        <v>0</v>
      </c>
      <c r="D1554" s="134">
        <f t="shared" si="63"/>
        <v>1886908</v>
      </c>
      <c r="E1554" t="s">
        <v>1272</v>
      </c>
      <c r="F1554" s="70"/>
      <c r="G1554" s="70"/>
      <c r="H1554" s="70"/>
    </row>
    <row r="1555" spans="1:8" s="44" customFormat="1" hidden="1" outlineLevel="1">
      <c r="A1555" s="389" t="s">
        <v>1540</v>
      </c>
      <c r="B1555" s="491">
        <v>42697</v>
      </c>
      <c r="C1555" s="87">
        <v>0</v>
      </c>
      <c r="D1555" s="134">
        <f t="shared" si="63"/>
        <v>42697</v>
      </c>
      <c r="E1555" t="s">
        <v>1541</v>
      </c>
      <c r="F1555" s="70"/>
      <c r="G1555" s="70"/>
      <c r="H1555" s="70"/>
    </row>
    <row r="1556" spans="1:8" s="44" customFormat="1" hidden="1" outlineLevel="1">
      <c r="A1556" s="389" t="s">
        <v>1442</v>
      </c>
      <c r="B1556" s="491">
        <v>145160</v>
      </c>
      <c r="C1556" s="87">
        <v>0</v>
      </c>
      <c r="D1556" s="134">
        <f t="shared" si="63"/>
        <v>145160</v>
      </c>
      <c r="E1556" t="s">
        <v>1443</v>
      </c>
      <c r="F1556" s="70"/>
      <c r="G1556" s="70"/>
      <c r="H1556" s="70"/>
    </row>
    <row r="1557" spans="1:8" s="44" customFormat="1" hidden="1" outlineLevel="1">
      <c r="A1557" s="389" t="s">
        <v>1764</v>
      </c>
      <c r="B1557" s="491">
        <v>101500</v>
      </c>
      <c r="C1557" s="87">
        <v>0</v>
      </c>
      <c r="D1557" s="134">
        <f t="shared" si="63"/>
        <v>101500</v>
      </c>
      <c r="E1557" t="s">
        <v>1765</v>
      </c>
      <c r="F1557" s="70"/>
      <c r="G1557" s="70"/>
      <c r="H1557" s="70"/>
    </row>
    <row r="1558" spans="1:8" s="44" customFormat="1" hidden="1" outlineLevel="1">
      <c r="A1558" s="389" t="s">
        <v>1552</v>
      </c>
      <c r="B1558" s="491">
        <v>563144</v>
      </c>
      <c r="C1558" s="87">
        <v>0</v>
      </c>
      <c r="D1558" s="134">
        <f t="shared" si="63"/>
        <v>563144</v>
      </c>
      <c r="E1558" t="s">
        <v>1553</v>
      </c>
      <c r="F1558" s="70"/>
      <c r="G1558" s="70"/>
      <c r="H1558" s="70"/>
    </row>
    <row r="1559" spans="1:8" s="44" customFormat="1" hidden="1" outlineLevel="1">
      <c r="A1559" s="389" t="s">
        <v>1646</v>
      </c>
      <c r="B1559" s="491">
        <v>4386782</v>
      </c>
      <c r="C1559" s="87">
        <v>0</v>
      </c>
      <c r="D1559" s="134">
        <f t="shared" si="63"/>
        <v>4386782</v>
      </c>
      <c r="E1559" t="s">
        <v>1647</v>
      </c>
      <c r="F1559" s="70"/>
      <c r="G1559" s="70"/>
      <c r="H1559" s="70"/>
    </row>
    <row r="1560" spans="1:8" s="44" customFormat="1" hidden="1" outlineLevel="1">
      <c r="A1560" s="389" t="s">
        <v>1760</v>
      </c>
      <c r="B1560" s="491">
        <v>175518</v>
      </c>
      <c r="C1560" s="87">
        <v>-163446</v>
      </c>
      <c r="D1560" s="134">
        <f t="shared" si="63"/>
        <v>12072</v>
      </c>
      <c r="E1560" t="s">
        <v>1761</v>
      </c>
      <c r="F1560" s="70"/>
      <c r="G1560" s="70"/>
      <c r="H1560" s="70"/>
    </row>
    <row r="1561" spans="1:8" s="44" customFormat="1" hidden="1" outlineLevel="1">
      <c r="A1561" s="389" t="s">
        <v>1297</v>
      </c>
      <c r="B1561" s="491">
        <v>329113.36</v>
      </c>
      <c r="C1561" s="87">
        <v>0</v>
      </c>
      <c r="D1561" s="134">
        <f t="shared" si="63"/>
        <v>329113.36</v>
      </c>
      <c r="E1561" t="s">
        <v>1298</v>
      </c>
      <c r="F1561" s="70"/>
      <c r="G1561" s="70"/>
      <c r="H1561" s="70"/>
    </row>
    <row r="1562" spans="1:8" s="44" customFormat="1" hidden="1" outlineLevel="1">
      <c r="A1562" s="389" t="s">
        <v>1681</v>
      </c>
      <c r="B1562" s="491">
        <v>697634711.26999998</v>
      </c>
      <c r="C1562" s="87">
        <v>1428164.04</v>
      </c>
      <c r="D1562" s="134">
        <f t="shared" si="63"/>
        <v>699062875.30999994</v>
      </c>
      <c r="E1562" t="s">
        <v>1682</v>
      </c>
      <c r="F1562" s="70"/>
      <c r="G1562" s="70"/>
      <c r="H1562" s="70"/>
    </row>
    <row r="1563" spans="1:8" s="44" customFormat="1" hidden="1" outlineLevel="1">
      <c r="A1563" s="389" t="s">
        <v>2230</v>
      </c>
      <c r="B1563" s="491">
        <v>0</v>
      </c>
      <c r="C1563" s="87">
        <v>0</v>
      </c>
      <c r="D1563" s="134">
        <f t="shared" si="63"/>
        <v>0</v>
      </c>
      <c r="E1563" t="s">
        <v>2231</v>
      </c>
      <c r="F1563" s="70"/>
      <c r="G1563" s="70"/>
      <c r="H1563" s="70"/>
    </row>
    <row r="1564" spans="1:8" s="44" customFormat="1" hidden="1" outlineLevel="1">
      <c r="A1564" s="389" t="s">
        <v>1650</v>
      </c>
      <c r="B1564" s="491">
        <v>1571015415.0929999</v>
      </c>
      <c r="C1564" s="87">
        <v>8636056.0590000004</v>
      </c>
      <c r="D1564" s="134">
        <f t="shared" si="63"/>
        <v>1579651471.152</v>
      </c>
      <c r="E1564" t="s">
        <v>1651</v>
      </c>
      <c r="F1564" s="70"/>
      <c r="G1564" s="70"/>
      <c r="H1564" s="70"/>
    </row>
    <row r="1565" spans="1:8" s="44" customFormat="1" hidden="1" outlineLevel="1">
      <c r="A1565" s="389" t="s">
        <v>1486</v>
      </c>
      <c r="B1565" s="491">
        <v>1047751.679</v>
      </c>
      <c r="C1565" s="87">
        <v>0</v>
      </c>
      <c r="D1565" s="134">
        <f t="shared" si="63"/>
        <v>1047751.679</v>
      </c>
      <c r="E1565" t="s">
        <v>1487</v>
      </c>
      <c r="F1565" s="70"/>
      <c r="G1565" s="70"/>
      <c r="H1565" s="70"/>
    </row>
    <row r="1566" spans="1:8" s="44" customFormat="1" hidden="1" outlineLevel="1">
      <c r="A1566" s="389" t="s">
        <v>1736</v>
      </c>
      <c r="B1566" s="491">
        <v>624481.24</v>
      </c>
      <c r="C1566" s="87">
        <v>0</v>
      </c>
      <c r="D1566" s="134">
        <f t="shared" si="63"/>
        <v>624481.24</v>
      </c>
      <c r="E1566" t="s">
        <v>1737</v>
      </c>
      <c r="F1566" s="70"/>
      <c r="G1566" s="70"/>
      <c r="H1566" s="70"/>
    </row>
    <row r="1567" spans="1:8" s="44" customFormat="1" hidden="1" outlineLevel="1">
      <c r="A1567" s="389" t="s">
        <v>1636</v>
      </c>
      <c r="B1567" s="491">
        <v>48142505</v>
      </c>
      <c r="C1567" s="87">
        <v>0</v>
      </c>
      <c r="D1567" s="134">
        <f t="shared" si="63"/>
        <v>48142505</v>
      </c>
      <c r="E1567" t="s">
        <v>1637</v>
      </c>
      <c r="F1567" s="70"/>
      <c r="G1567" s="70"/>
      <c r="H1567" s="70"/>
    </row>
    <row r="1568" spans="1:8" s="44" customFormat="1" hidden="1" outlineLevel="1">
      <c r="A1568" s="389" t="s">
        <v>1114</v>
      </c>
      <c r="B1568" s="491">
        <v>1507027</v>
      </c>
      <c r="C1568" s="87">
        <v>0</v>
      </c>
      <c r="D1568" s="134">
        <f t="shared" si="63"/>
        <v>1507027</v>
      </c>
      <c r="E1568" t="s">
        <v>1689</v>
      </c>
      <c r="F1568" s="70"/>
      <c r="G1568" s="70"/>
      <c r="H1568" s="70"/>
    </row>
    <row r="1569" spans="1:8" s="44" customFormat="1" hidden="1" outlineLevel="1">
      <c r="A1569" s="389" t="s">
        <v>1656</v>
      </c>
      <c r="B1569" s="491">
        <v>53895891</v>
      </c>
      <c r="C1569" s="87">
        <v>0</v>
      </c>
      <c r="D1569" s="134">
        <f t="shared" si="63"/>
        <v>53895891</v>
      </c>
      <c r="E1569" t="s">
        <v>1657</v>
      </c>
      <c r="F1569" s="70"/>
      <c r="G1569" s="70"/>
      <c r="H1569" s="70"/>
    </row>
    <row r="1570" spans="1:8" s="44" customFormat="1" hidden="1" outlineLevel="1">
      <c r="A1570" s="389" t="s">
        <v>1756</v>
      </c>
      <c r="B1570" s="491">
        <v>25384405</v>
      </c>
      <c r="C1570" s="87">
        <v>2498965</v>
      </c>
      <c r="D1570" s="134">
        <f t="shared" si="63"/>
        <v>27883370</v>
      </c>
      <c r="E1570" t="s">
        <v>1757</v>
      </c>
      <c r="F1570" s="70"/>
      <c r="G1570" s="70"/>
      <c r="H1570" s="70"/>
    </row>
    <row r="1571" spans="1:8" s="44" customFormat="1" hidden="1" outlineLevel="1">
      <c r="A1571" s="389" t="s">
        <v>1556</v>
      </c>
      <c r="B1571" s="491">
        <v>1999980</v>
      </c>
      <c r="C1571" s="87">
        <v>0</v>
      </c>
      <c r="D1571" s="134">
        <f t="shared" si="63"/>
        <v>1999980</v>
      </c>
      <c r="E1571" t="s">
        <v>1557</v>
      </c>
      <c r="F1571" s="70"/>
      <c r="G1571" s="70"/>
      <c r="H1571" s="70"/>
    </row>
    <row r="1572" spans="1:8" s="44" customFormat="1" hidden="1" outlineLevel="1">
      <c r="A1572" s="389" t="s">
        <v>1227</v>
      </c>
      <c r="B1572" s="491">
        <v>1747549.314</v>
      </c>
      <c r="C1572" s="87">
        <v>0</v>
      </c>
      <c r="D1572" s="134">
        <f t="shared" si="63"/>
        <v>1747549.314</v>
      </c>
      <c r="E1572" t="s">
        <v>1228</v>
      </c>
      <c r="F1572" s="70"/>
      <c r="G1572" s="70"/>
      <c r="H1572" s="70"/>
    </row>
    <row r="1573" spans="1:8" s="44" customFormat="1" hidden="1" outlineLevel="1">
      <c r="A1573" s="389" t="s">
        <v>580</v>
      </c>
      <c r="B1573" s="491">
        <v>2557164.926</v>
      </c>
      <c r="C1573" s="87">
        <v>40074</v>
      </c>
      <c r="D1573" s="134">
        <f t="shared" si="63"/>
        <v>2597238.926</v>
      </c>
      <c r="E1573" t="s">
        <v>581</v>
      </c>
      <c r="F1573" s="70"/>
      <c r="G1573" s="70"/>
      <c r="H1573" s="70"/>
    </row>
    <row r="1574" spans="1:8" s="44" customFormat="1" hidden="1" outlineLevel="1">
      <c r="A1574" s="389" t="s">
        <v>1287</v>
      </c>
      <c r="B1574" s="491">
        <v>533511.00100000005</v>
      </c>
      <c r="C1574" s="87">
        <v>0</v>
      </c>
      <c r="D1574" s="134">
        <f t="shared" si="63"/>
        <v>533511.00100000005</v>
      </c>
      <c r="E1574" t="s">
        <v>1288</v>
      </c>
      <c r="F1574" s="70"/>
      <c r="G1574" s="70"/>
      <c r="H1574" s="70"/>
    </row>
    <row r="1575" spans="1:8" s="44" customFormat="1" hidden="1" outlineLevel="1">
      <c r="A1575" s="389" t="s">
        <v>1362</v>
      </c>
      <c r="B1575" s="491">
        <v>1900485.52</v>
      </c>
      <c r="C1575" s="87">
        <v>14266.8</v>
      </c>
      <c r="D1575" s="134">
        <f t="shared" si="63"/>
        <v>1914752.32</v>
      </c>
      <c r="E1575" t="s">
        <v>1363</v>
      </c>
      <c r="F1575" s="70"/>
      <c r="G1575" s="70"/>
      <c r="H1575" s="70"/>
    </row>
    <row r="1576" spans="1:8" s="44" customFormat="1" hidden="1" outlineLevel="1">
      <c r="A1576" s="389" t="s">
        <v>1380</v>
      </c>
      <c r="B1576" s="491">
        <v>6791148</v>
      </c>
      <c r="C1576" s="87">
        <v>0</v>
      </c>
      <c r="D1576" s="134">
        <f t="shared" si="63"/>
        <v>6791148</v>
      </c>
      <c r="E1576" t="s">
        <v>1381</v>
      </c>
      <c r="F1576" s="70"/>
      <c r="G1576" s="70"/>
      <c r="H1576" s="70"/>
    </row>
    <row r="1577" spans="1:8" s="44" customFormat="1" hidden="1" outlineLevel="1">
      <c r="A1577" s="389" t="s">
        <v>1752</v>
      </c>
      <c r="B1577" s="491">
        <v>84000</v>
      </c>
      <c r="C1577" s="87">
        <v>0</v>
      </c>
      <c r="D1577" s="134">
        <f t="shared" si="63"/>
        <v>84000</v>
      </c>
      <c r="E1577" t="s">
        <v>1753</v>
      </c>
      <c r="F1577" s="70"/>
      <c r="G1577" s="70"/>
      <c r="H1577" s="70"/>
    </row>
    <row r="1578" spans="1:8" s="44" customFormat="1" hidden="1" outlineLevel="1">
      <c r="A1578" s="389" t="s">
        <v>1679</v>
      </c>
      <c r="B1578" s="491">
        <v>139227.6</v>
      </c>
      <c r="C1578" s="87">
        <v>-16615.900000000001</v>
      </c>
      <c r="D1578" s="134">
        <f t="shared" si="63"/>
        <v>122611.70000000001</v>
      </c>
      <c r="E1578" t="s">
        <v>1680</v>
      </c>
      <c r="F1578" s="70"/>
      <c r="G1578" s="70"/>
      <c r="H1578" s="70"/>
    </row>
    <row r="1579" spans="1:8" s="44" customFormat="1" hidden="1" outlineLevel="1">
      <c r="A1579" s="389" t="s">
        <v>692</v>
      </c>
      <c r="B1579" s="491">
        <v>778339.66</v>
      </c>
      <c r="C1579" s="87">
        <v>-19277</v>
      </c>
      <c r="D1579" s="134">
        <f t="shared" si="63"/>
        <v>759062.66</v>
      </c>
      <c r="E1579" t="s">
        <v>1668</v>
      </c>
      <c r="F1579" s="70"/>
      <c r="G1579" s="70"/>
      <c r="H1579" s="70"/>
    </row>
    <row r="1580" spans="1:8" s="44" customFormat="1" hidden="1" outlineLevel="1">
      <c r="A1580" s="389" t="s">
        <v>1289</v>
      </c>
      <c r="B1580" s="491">
        <v>951879.48</v>
      </c>
      <c r="C1580" s="87">
        <v>0</v>
      </c>
      <c r="D1580" s="134">
        <f t="shared" si="63"/>
        <v>951879.48</v>
      </c>
      <c r="E1580" t="s">
        <v>1290</v>
      </c>
      <c r="F1580" s="70"/>
      <c r="G1580" s="70"/>
      <c r="H1580" s="70"/>
    </row>
    <row r="1581" spans="1:8" s="44" customFormat="1" hidden="1" outlineLevel="1">
      <c r="A1581" s="389" t="s">
        <v>1398</v>
      </c>
      <c r="B1581" s="491">
        <v>763896.326</v>
      </c>
      <c r="C1581" s="87">
        <v>0</v>
      </c>
      <c r="D1581" s="134">
        <f t="shared" si="63"/>
        <v>763896.326</v>
      </c>
      <c r="E1581" t="s">
        <v>1399</v>
      </c>
      <c r="F1581" s="70"/>
      <c r="G1581" s="70"/>
      <c r="H1581" s="70"/>
    </row>
    <row r="1582" spans="1:8" s="44" customFormat="1" hidden="1" outlineLevel="1">
      <c r="A1582" s="389" t="s">
        <v>1474</v>
      </c>
      <c r="B1582" s="491">
        <v>81187.985000000001</v>
      </c>
      <c r="C1582" s="87">
        <v>0</v>
      </c>
      <c r="D1582" s="134">
        <f t="shared" si="63"/>
        <v>81187.985000000001</v>
      </c>
      <c r="E1582" t="s">
        <v>1475</v>
      </c>
      <c r="F1582" s="70"/>
      <c r="G1582" s="70"/>
      <c r="H1582" s="70"/>
    </row>
    <row r="1583" spans="1:8" s="44" customFormat="1" hidden="1" outlineLevel="1">
      <c r="A1583" s="389" t="s">
        <v>1718</v>
      </c>
      <c r="B1583" s="491">
        <v>443553122.523</v>
      </c>
      <c r="C1583" s="87">
        <v>0</v>
      </c>
      <c r="D1583" s="134">
        <f t="shared" si="63"/>
        <v>443553122.523</v>
      </c>
      <c r="E1583" t="s">
        <v>1719</v>
      </c>
      <c r="F1583" s="70"/>
      <c r="G1583" s="70"/>
      <c r="H1583" s="70"/>
    </row>
    <row r="1584" spans="1:8" s="44" customFormat="1" hidden="1" outlineLevel="1">
      <c r="A1584" s="389" t="s">
        <v>1478</v>
      </c>
      <c r="B1584" s="491">
        <v>2514741.7000000002</v>
      </c>
      <c r="C1584" s="87">
        <v>0</v>
      </c>
      <c r="D1584" s="134">
        <f t="shared" si="63"/>
        <v>2514741.7000000002</v>
      </c>
      <c r="E1584" t="s">
        <v>1479</v>
      </c>
      <c r="F1584" s="70"/>
      <c r="G1584" s="70"/>
      <c r="H1584" s="70"/>
    </row>
    <row r="1585" spans="1:9" s="44" customFormat="1" hidden="1" outlineLevel="1">
      <c r="A1585" s="389" t="s">
        <v>1370</v>
      </c>
      <c r="B1585" s="491">
        <v>2677870.9190000002</v>
      </c>
      <c r="C1585" s="87">
        <v>0</v>
      </c>
      <c r="D1585" s="134">
        <f t="shared" si="63"/>
        <v>2677870.9190000002</v>
      </c>
      <c r="E1585" t="s">
        <v>1371</v>
      </c>
      <c r="F1585" s="70"/>
      <c r="G1585" s="70"/>
      <c r="H1585" s="70"/>
    </row>
    <row r="1586" spans="1:9" s="44" customFormat="1" hidden="1" outlineLevel="1">
      <c r="A1586" s="389" t="s">
        <v>1446</v>
      </c>
      <c r="B1586" s="491">
        <v>262981295.00099999</v>
      </c>
      <c r="C1586" s="87">
        <v>21804823.564999998</v>
      </c>
      <c r="D1586" s="134">
        <f t="shared" si="63"/>
        <v>284786118.56599998</v>
      </c>
      <c r="E1586" t="s">
        <v>1447</v>
      </c>
      <c r="F1586" s="70"/>
      <c r="G1586" s="70"/>
      <c r="H1586" s="70"/>
    </row>
    <row r="1587" spans="1:9" s="44" customFormat="1" hidden="1" outlineLevel="1">
      <c r="A1587" s="389" t="s">
        <v>1776</v>
      </c>
      <c r="B1587" s="491">
        <v>3078398</v>
      </c>
      <c r="C1587" s="87">
        <v>1727675</v>
      </c>
      <c r="D1587" s="134">
        <f t="shared" si="63"/>
        <v>4806073</v>
      </c>
      <c r="E1587" t="s">
        <v>1777</v>
      </c>
      <c r="F1587" s="70"/>
      <c r="G1587" s="70"/>
      <c r="H1587" s="70"/>
    </row>
    <row r="1588" spans="1:9" s="44" customFormat="1" hidden="1" outlineLevel="1">
      <c r="A1588" s="389" t="s">
        <v>879</v>
      </c>
      <c r="B1588" s="491">
        <v>31722667</v>
      </c>
      <c r="C1588" s="87">
        <v>6255546</v>
      </c>
      <c r="D1588" s="134">
        <f t="shared" si="63"/>
        <v>37978213</v>
      </c>
      <c r="E1588" t="s">
        <v>880</v>
      </c>
      <c r="F1588" s="70"/>
      <c r="G1588" s="70"/>
      <c r="H1588" s="70"/>
    </row>
    <row r="1589" spans="1:9" s="44" customFormat="1" hidden="1" outlineLevel="1">
      <c r="A1589" s="389" t="s">
        <v>839</v>
      </c>
      <c r="B1589" s="491">
        <v>10599525</v>
      </c>
      <c r="C1589" s="87">
        <v>1018051</v>
      </c>
      <c r="D1589" s="134">
        <f t="shared" si="63"/>
        <v>11617576</v>
      </c>
      <c r="E1589" t="s">
        <v>1311</v>
      </c>
      <c r="F1589" s="70"/>
      <c r="G1589" s="70"/>
      <c r="H1589" s="70"/>
    </row>
    <row r="1590" spans="1:9" s="44" customFormat="1" hidden="1" outlineLevel="1">
      <c r="A1590" s="389" t="s">
        <v>1301</v>
      </c>
      <c r="B1590" s="491">
        <v>368135</v>
      </c>
      <c r="C1590" s="87">
        <v>0</v>
      </c>
      <c r="D1590" s="134">
        <f t="shared" si="63"/>
        <v>368135</v>
      </c>
      <c r="E1590" t="s">
        <v>1302</v>
      </c>
      <c r="F1590" s="70"/>
      <c r="G1590" s="70"/>
      <c r="H1590" s="70"/>
    </row>
    <row r="1591" spans="1:9" s="44" customFormat="1" ht="13.5" collapsed="1" thickBot="1">
      <c r="A1591" s="409" t="str">
        <f>A741</f>
        <v>Regelzone TransnetBW (gesamt)</v>
      </c>
      <c r="B1591" s="900">
        <f>SUM(B1592:B1715)</f>
        <v>2097364294</v>
      </c>
      <c r="C1591" s="138">
        <f>SUM(C1592:C1715)</f>
        <v>94499622</v>
      </c>
      <c r="D1591" s="139">
        <f>B1591+C1591</f>
        <v>2191863916</v>
      </c>
      <c r="E1591" s="70"/>
      <c r="F1591" s="25"/>
      <c r="G1591" s="25"/>
      <c r="H1591" s="70"/>
      <c r="I1591" s="54"/>
    </row>
    <row r="1592" spans="1:9" s="44" customFormat="1" hidden="1" outlineLevel="1">
      <c r="A1592" s="389" t="s">
        <v>1829</v>
      </c>
      <c r="B1592" s="491">
        <v>5030430</v>
      </c>
      <c r="C1592" s="87">
        <v>0</v>
      </c>
      <c r="D1592" s="134">
        <v>5030430</v>
      </c>
      <c r="E1592" s="8" t="s">
        <v>1830</v>
      </c>
      <c r="F1592" s="70"/>
      <c r="G1592" s="70"/>
      <c r="H1592" s="70"/>
      <c r="I1592" s="54"/>
    </row>
    <row r="1593" spans="1:9" s="44" customFormat="1" hidden="1" outlineLevel="1">
      <c r="A1593" s="389" t="s">
        <v>1831</v>
      </c>
      <c r="B1593" s="491">
        <v>4539753</v>
      </c>
      <c r="C1593" s="87">
        <v>-846567</v>
      </c>
      <c r="D1593" s="134">
        <v>3693186</v>
      </c>
      <c r="E1593" s="8" t="s">
        <v>1832</v>
      </c>
      <c r="F1593" s="70"/>
      <c r="G1593" s="70"/>
      <c r="H1593" s="70"/>
      <c r="I1593" s="54"/>
    </row>
    <row r="1594" spans="1:9" s="44" customFormat="1" hidden="1" outlineLevel="1">
      <c r="A1594" s="389" t="s">
        <v>1833</v>
      </c>
      <c r="B1594" s="491">
        <v>44351736</v>
      </c>
      <c r="C1594" s="87">
        <v>6411713</v>
      </c>
      <c r="D1594" s="134">
        <v>50763449</v>
      </c>
      <c r="E1594" s="8" t="s">
        <v>1834</v>
      </c>
      <c r="F1594" s="70"/>
      <c r="G1594" s="92"/>
      <c r="H1594" s="70"/>
      <c r="I1594" s="54"/>
    </row>
    <row r="1595" spans="1:9" s="44" customFormat="1" hidden="1" outlineLevel="1">
      <c r="A1595" s="389" t="s">
        <v>1835</v>
      </c>
      <c r="B1595" s="491">
        <v>4825580</v>
      </c>
      <c r="C1595" s="87">
        <v>768927</v>
      </c>
      <c r="D1595" s="134">
        <v>5594507</v>
      </c>
      <c r="E1595" s="8" t="s">
        <v>1836</v>
      </c>
      <c r="F1595" s="70"/>
      <c r="G1595" s="70"/>
      <c r="H1595" s="70"/>
      <c r="I1595" s="54"/>
    </row>
    <row r="1596" spans="1:9" s="44" customFormat="1" hidden="1" outlineLevel="1">
      <c r="A1596" s="389" t="s">
        <v>1837</v>
      </c>
      <c r="B1596" s="491">
        <v>4381919</v>
      </c>
      <c r="C1596" s="87">
        <v>0</v>
      </c>
      <c r="D1596" s="134">
        <v>4381919</v>
      </c>
      <c r="E1596" s="8" t="s">
        <v>1838</v>
      </c>
      <c r="F1596" s="70"/>
      <c r="G1596" s="70"/>
      <c r="H1596" s="70"/>
      <c r="I1596" s="54"/>
    </row>
    <row r="1597" spans="1:9" s="44" customFormat="1" hidden="1" outlineLevel="1">
      <c r="A1597" s="389" t="s">
        <v>1839</v>
      </c>
      <c r="B1597" s="491">
        <v>852212</v>
      </c>
      <c r="C1597" s="87">
        <v>0</v>
      </c>
      <c r="D1597" s="134">
        <v>852212</v>
      </c>
      <c r="E1597" s="8" t="s">
        <v>1840</v>
      </c>
      <c r="F1597" s="70"/>
      <c r="G1597" s="70"/>
      <c r="H1597" s="70"/>
      <c r="I1597" s="54"/>
    </row>
    <row r="1598" spans="1:9" s="44" customFormat="1" hidden="1" outlineLevel="1">
      <c r="A1598" s="389" t="s">
        <v>1841</v>
      </c>
      <c r="B1598" s="491">
        <v>71174</v>
      </c>
      <c r="C1598" s="87">
        <v>0</v>
      </c>
      <c r="D1598" s="134">
        <v>71174</v>
      </c>
      <c r="E1598" s="8" t="s">
        <v>1842</v>
      </c>
      <c r="F1598" s="70"/>
      <c r="G1598" s="70"/>
      <c r="H1598" s="70"/>
      <c r="I1598" s="54"/>
    </row>
    <row r="1599" spans="1:9" s="44" customFormat="1" hidden="1" outlineLevel="1">
      <c r="A1599" s="389" t="s">
        <v>1843</v>
      </c>
      <c r="B1599" s="491">
        <v>11</v>
      </c>
      <c r="C1599" s="87">
        <v>0</v>
      </c>
      <c r="D1599" s="134">
        <v>11</v>
      </c>
      <c r="E1599" s="8" t="s">
        <v>1844</v>
      </c>
      <c r="F1599" s="70"/>
      <c r="G1599" s="70"/>
      <c r="H1599" s="70"/>
      <c r="I1599" s="54"/>
    </row>
    <row r="1600" spans="1:9" s="44" customFormat="1" hidden="1" outlineLevel="1">
      <c r="A1600" s="389" t="s">
        <v>1845</v>
      </c>
      <c r="B1600" s="491">
        <v>776608</v>
      </c>
      <c r="C1600" s="87">
        <v>0</v>
      </c>
      <c r="D1600" s="134">
        <v>776608</v>
      </c>
      <c r="E1600" s="8" t="s">
        <v>1846</v>
      </c>
      <c r="F1600" s="70"/>
      <c r="G1600" s="70"/>
      <c r="H1600" s="70"/>
      <c r="I1600" s="54"/>
    </row>
    <row r="1601" spans="1:9" s="44" customFormat="1" hidden="1" outlineLevel="1">
      <c r="A1601" s="389" t="s">
        <v>1847</v>
      </c>
      <c r="B1601" s="491">
        <v>1070807</v>
      </c>
      <c r="C1601" s="87">
        <v>-35839</v>
      </c>
      <c r="D1601" s="134">
        <v>1034968</v>
      </c>
      <c r="E1601" s="8" t="s">
        <v>1848</v>
      </c>
      <c r="F1601" s="70"/>
      <c r="G1601" s="70"/>
      <c r="H1601" s="70"/>
      <c r="I1601" s="54"/>
    </row>
    <row r="1602" spans="1:9" s="44" customFormat="1" hidden="1" outlineLevel="1">
      <c r="A1602" s="389" t="s">
        <v>1849</v>
      </c>
      <c r="B1602" s="491">
        <v>248174</v>
      </c>
      <c r="C1602" s="87">
        <v>0</v>
      </c>
      <c r="D1602" s="134">
        <v>248174</v>
      </c>
      <c r="E1602" s="8" t="s">
        <v>1850</v>
      </c>
      <c r="F1602" s="70"/>
      <c r="G1602" s="70"/>
      <c r="H1602" s="70"/>
      <c r="I1602" s="54"/>
    </row>
    <row r="1603" spans="1:9" s="44" customFormat="1" hidden="1" outlineLevel="1">
      <c r="A1603" s="389" t="s">
        <v>1851</v>
      </c>
      <c r="B1603" s="491">
        <v>481876</v>
      </c>
      <c r="C1603" s="87">
        <v>0</v>
      </c>
      <c r="D1603" s="134">
        <v>481876</v>
      </c>
      <c r="E1603" s="8" t="s">
        <v>1852</v>
      </c>
      <c r="F1603" s="70"/>
      <c r="G1603" s="70"/>
      <c r="H1603" s="70"/>
      <c r="I1603" s="54"/>
    </row>
    <row r="1604" spans="1:9" s="44" customFormat="1" hidden="1" outlineLevel="1">
      <c r="A1604" s="389" t="s">
        <v>1853</v>
      </c>
      <c r="B1604" s="491">
        <v>71977</v>
      </c>
      <c r="C1604" s="87">
        <v>0</v>
      </c>
      <c r="D1604" s="134">
        <v>71977</v>
      </c>
      <c r="E1604" s="8" t="s">
        <v>1854</v>
      </c>
      <c r="F1604" s="70"/>
      <c r="G1604" s="70"/>
      <c r="H1604" s="70"/>
      <c r="I1604" s="54"/>
    </row>
    <row r="1605" spans="1:9" s="44" customFormat="1" hidden="1" outlineLevel="1">
      <c r="A1605" s="389" t="s">
        <v>1855</v>
      </c>
      <c r="B1605" s="491">
        <v>2822898</v>
      </c>
      <c r="C1605" s="87">
        <v>-247</v>
      </c>
      <c r="D1605" s="134">
        <v>2822651</v>
      </c>
      <c r="E1605" s="8" t="s">
        <v>1856</v>
      </c>
      <c r="F1605" s="70"/>
      <c r="G1605" s="70"/>
      <c r="H1605" s="70"/>
      <c r="I1605" s="54"/>
    </row>
    <row r="1606" spans="1:9" s="44" customFormat="1" hidden="1" outlineLevel="1">
      <c r="A1606" s="389" t="s">
        <v>1857</v>
      </c>
      <c r="B1606" s="491">
        <v>1330028</v>
      </c>
      <c r="C1606" s="87">
        <v>0</v>
      </c>
      <c r="D1606" s="134">
        <v>1330028</v>
      </c>
      <c r="E1606" s="8" t="s">
        <v>1858</v>
      </c>
      <c r="F1606" s="70"/>
      <c r="G1606" s="70"/>
      <c r="H1606" s="70"/>
      <c r="I1606" s="54"/>
    </row>
    <row r="1607" spans="1:9" s="44" customFormat="1" hidden="1" outlineLevel="1">
      <c r="A1607" s="389" t="s">
        <v>1859</v>
      </c>
      <c r="B1607" s="491">
        <v>4073223</v>
      </c>
      <c r="C1607" s="87">
        <v>412432</v>
      </c>
      <c r="D1607" s="134">
        <v>4485655</v>
      </c>
      <c r="E1607" s="8" t="s">
        <v>1860</v>
      </c>
      <c r="F1607" s="70"/>
      <c r="G1607" s="70"/>
      <c r="H1607" s="70"/>
      <c r="I1607" s="54"/>
    </row>
    <row r="1608" spans="1:9" s="44" customFormat="1" hidden="1" outlineLevel="1">
      <c r="A1608" s="389" t="s">
        <v>1861</v>
      </c>
      <c r="B1608" s="491">
        <v>27998</v>
      </c>
      <c r="C1608" s="87">
        <v>0</v>
      </c>
      <c r="D1608" s="134">
        <v>27998</v>
      </c>
      <c r="E1608" s="8" t="s">
        <v>1862</v>
      </c>
      <c r="F1608" s="70"/>
      <c r="G1608" s="70"/>
      <c r="H1608" s="70"/>
      <c r="I1608" s="54"/>
    </row>
    <row r="1609" spans="1:9" s="44" customFormat="1" hidden="1" outlineLevel="1">
      <c r="A1609" s="389" t="s">
        <v>1863</v>
      </c>
      <c r="B1609" s="491">
        <v>2989510</v>
      </c>
      <c r="C1609" s="87">
        <v>262427</v>
      </c>
      <c r="D1609" s="134">
        <v>3251937</v>
      </c>
      <c r="E1609" s="8" t="s">
        <v>1864</v>
      </c>
      <c r="F1609" s="70"/>
      <c r="G1609" s="70"/>
      <c r="H1609" s="70"/>
      <c r="I1609" s="54"/>
    </row>
    <row r="1610" spans="1:9" s="44" customFormat="1" hidden="1" outlineLevel="1">
      <c r="A1610" s="389" t="s">
        <v>1865</v>
      </c>
      <c r="B1610" s="491">
        <v>713676</v>
      </c>
      <c r="C1610" s="87">
        <v>13618</v>
      </c>
      <c r="D1610" s="134">
        <v>727294</v>
      </c>
      <c r="E1610" s="8" t="s">
        <v>1866</v>
      </c>
      <c r="F1610" s="70"/>
      <c r="G1610" s="70"/>
      <c r="H1610" s="70"/>
      <c r="I1610" s="54"/>
    </row>
    <row r="1611" spans="1:9" s="44" customFormat="1" hidden="1" outlineLevel="1">
      <c r="A1611" s="389" t="s">
        <v>1867</v>
      </c>
      <c r="B1611" s="491">
        <v>245833</v>
      </c>
      <c r="C1611" s="87">
        <v>0</v>
      </c>
      <c r="D1611" s="134">
        <v>245833</v>
      </c>
      <c r="E1611" s="8" t="s">
        <v>1868</v>
      </c>
      <c r="F1611" s="70"/>
      <c r="G1611" s="70"/>
      <c r="H1611" s="70"/>
      <c r="I1611" s="54"/>
    </row>
    <row r="1612" spans="1:9" s="44" customFormat="1" hidden="1" outlineLevel="1">
      <c r="A1612" s="389" t="s">
        <v>1869</v>
      </c>
      <c r="B1612" s="491">
        <v>3266742</v>
      </c>
      <c r="C1612" s="87">
        <v>140106</v>
      </c>
      <c r="D1612" s="134">
        <v>3406848</v>
      </c>
      <c r="E1612" s="8" t="s">
        <v>1870</v>
      </c>
      <c r="F1612" s="70"/>
      <c r="G1612" s="70"/>
      <c r="H1612" s="70"/>
      <c r="I1612" s="54"/>
    </row>
    <row r="1613" spans="1:9" s="44" customFormat="1" hidden="1" outlineLevel="1">
      <c r="A1613" s="389" t="s">
        <v>1871</v>
      </c>
      <c r="B1613" s="491">
        <v>246394</v>
      </c>
      <c r="C1613" s="87">
        <v>0</v>
      </c>
      <c r="D1613" s="134">
        <v>246394</v>
      </c>
      <c r="E1613" s="8" t="s">
        <v>1872</v>
      </c>
      <c r="F1613" s="70"/>
      <c r="G1613" s="70"/>
      <c r="H1613" s="70"/>
      <c r="I1613" s="54"/>
    </row>
    <row r="1614" spans="1:9" s="44" customFormat="1" hidden="1" outlineLevel="1">
      <c r="A1614" s="389" t="s">
        <v>1873</v>
      </c>
      <c r="B1614" s="491">
        <v>14650560</v>
      </c>
      <c r="C1614" s="87">
        <v>692135</v>
      </c>
      <c r="D1614" s="134">
        <v>15342695</v>
      </c>
      <c r="E1614" s="8" t="s">
        <v>1874</v>
      </c>
      <c r="F1614" s="70"/>
      <c r="G1614" s="70"/>
      <c r="H1614" s="70"/>
      <c r="I1614" s="54"/>
    </row>
    <row r="1615" spans="1:9" s="44" customFormat="1" hidden="1" outlineLevel="1">
      <c r="A1615" s="389" t="s">
        <v>799</v>
      </c>
      <c r="B1615" s="491">
        <v>350000</v>
      </c>
      <c r="C1615" s="87">
        <v>0</v>
      </c>
      <c r="D1615" s="134">
        <v>350000</v>
      </c>
      <c r="E1615" s="8" t="s">
        <v>800</v>
      </c>
      <c r="F1615" s="70"/>
      <c r="G1615" s="70"/>
      <c r="H1615" s="70"/>
      <c r="I1615" s="54"/>
    </row>
    <row r="1616" spans="1:9" s="44" customFormat="1" hidden="1" outlineLevel="1">
      <c r="A1616" s="389" t="s">
        <v>1875</v>
      </c>
      <c r="B1616" s="491">
        <v>273076</v>
      </c>
      <c r="C1616" s="87">
        <v>0</v>
      </c>
      <c r="D1616" s="134">
        <v>273076</v>
      </c>
      <c r="E1616" s="8" t="s">
        <v>1876</v>
      </c>
      <c r="F1616" s="70"/>
      <c r="G1616" s="70"/>
      <c r="H1616" s="70"/>
      <c r="I1616" s="54"/>
    </row>
    <row r="1617" spans="1:9" s="44" customFormat="1" hidden="1" outlineLevel="1">
      <c r="A1617" s="389" t="s">
        <v>1877</v>
      </c>
      <c r="B1617" s="491">
        <v>255876</v>
      </c>
      <c r="C1617" s="87">
        <v>0</v>
      </c>
      <c r="D1617" s="134">
        <v>255876</v>
      </c>
      <c r="E1617" s="8" t="s">
        <v>1878</v>
      </c>
      <c r="F1617" s="70"/>
      <c r="G1617" s="70"/>
      <c r="H1617" s="70"/>
      <c r="I1617" s="54"/>
    </row>
    <row r="1618" spans="1:9" s="44" customFormat="1" hidden="1" outlineLevel="1">
      <c r="A1618" s="389" t="s">
        <v>1879</v>
      </c>
      <c r="B1618" s="491">
        <v>3204967</v>
      </c>
      <c r="C1618" s="87">
        <v>0</v>
      </c>
      <c r="D1618" s="134">
        <v>3204967</v>
      </c>
      <c r="E1618" s="8" t="s">
        <v>1880</v>
      </c>
      <c r="F1618" s="70"/>
      <c r="G1618" s="70"/>
      <c r="H1618" s="70"/>
      <c r="I1618" s="54"/>
    </row>
    <row r="1619" spans="1:9" s="44" customFormat="1" hidden="1" outlineLevel="1">
      <c r="A1619" s="389" t="s">
        <v>1881</v>
      </c>
      <c r="B1619" s="491">
        <v>510448</v>
      </c>
      <c r="C1619" s="87">
        <v>0</v>
      </c>
      <c r="D1619" s="134">
        <v>510448</v>
      </c>
      <c r="E1619" s="8" t="s">
        <v>1882</v>
      </c>
      <c r="F1619" s="70"/>
      <c r="G1619" s="70"/>
      <c r="H1619" s="70"/>
      <c r="I1619" s="54"/>
    </row>
    <row r="1620" spans="1:9" s="44" customFormat="1" hidden="1" outlineLevel="1">
      <c r="A1620" s="389" t="s">
        <v>1883</v>
      </c>
      <c r="B1620" s="491">
        <v>1365072</v>
      </c>
      <c r="C1620" s="87">
        <v>0</v>
      </c>
      <c r="D1620" s="134">
        <v>1365072</v>
      </c>
      <c r="E1620" s="8" t="s">
        <v>1884</v>
      </c>
      <c r="F1620" s="70"/>
      <c r="G1620" s="70"/>
      <c r="H1620" s="70"/>
      <c r="I1620" s="54"/>
    </row>
    <row r="1621" spans="1:9" s="44" customFormat="1" hidden="1" outlineLevel="1">
      <c r="A1621" s="389" t="s">
        <v>1885</v>
      </c>
      <c r="B1621" s="491">
        <v>171212</v>
      </c>
      <c r="C1621" s="87">
        <v>9681</v>
      </c>
      <c r="D1621" s="134">
        <v>180893</v>
      </c>
      <c r="E1621" s="8" t="s">
        <v>1886</v>
      </c>
      <c r="F1621" s="70"/>
      <c r="G1621" s="70"/>
      <c r="H1621" s="70"/>
      <c r="I1621" s="54"/>
    </row>
    <row r="1622" spans="1:9" s="44" customFormat="1" hidden="1" outlineLevel="1">
      <c r="A1622" s="389" t="s">
        <v>456</v>
      </c>
      <c r="B1622" s="491">
        <v>264261</v>
      </c>
      <c r="C1622" s="87">
        <v>0</v>
      </c>
      <c r="D1622" s="134">
        <v>264261</v>
      </c>
      <c r="E1622" s="8" t="s">
        <v>457</v>
      </c>
      <c r="F1622" s="70"/>
      <c r="G1622" s="70"/>
      <c r="H1622" s="70"/>
      <c r="I1622" s="54"/>
    </row>
    <row r="1623" spans="1:9" s="44" customFormat="1" hidden="1" outlineLevel="1">
      <c r="A1623" s="389" t="s">
        <v>2077</v>
      </c>
      <c r="B1623" s="491">
        <v>0</v>
      </c>
      <c r="C1623" s="87">
        <v>-778</v>
      </c>
      <c r="D1623" s="134">
        <v>-778</v>
      </c>
      <c r="E1623" s="8" t="s">
        <v>2078</v>
      </c>
      <c r="F1623" s="70"/>
      <c r="G1623" s="70"/>
      <c r="H1623" s="70"/>
      <c r="I1623" s="54"/>
    </row>
    <row r="1624" spans="1:9" s="44" customFormat="1" hidden="1" outlineLevel="1">
      <c r="A1624" s="389" t="s">
        <v>1887</v>
      </c>
      <c r="B1624" s="491">
        <v>43307350</v>
      </c>
      <c r="C1624" s="87">
        <v>12828</v>
      </c>
      <c r="D1624" s="134">
        <v>43320178</v>
      </c>
      <c r="E1624" s="8" t="s">
        <v>1888</v>
      </c>
      <c r="F1624" s="70"/>
      <c r="G1624" s="70"/>
      <c r="H1624" s="70"/>
      <c r="I1624" s="54"/>
    </row>
    <row r="1625" spans="1:9" s="44" customFormat="1" hidden="1" outlineLevel="1">
      <c r="A1625" s="389" t="s">
        <v>1889</v>
      </c>
      <c r="B1625" s="491">
        <v>9656200</v>
      </c>
      <c r="C1625" s="87">
        <v>0</v>
      </c>
      <c r="D1625" s="134">
        <v>9656200</v>
      </c>
      <c r="E1625" s="8" t="s">
        <v>1890</v>
      </c>
      <c r="F1625" s="70"/>
      <c r="G1625" s="70"/>
      <c r="H1625" s="70"/>
      <c r="I1625" s="54"/>
    </row>
    <row r="1626" spans="1:9" s="44" customFormat="1" hidden="1" outlineLevel="1">
      <c r="A1626" s="389" t="s">
        <v>1891</v>
      </c>
      <c r="B1626" s="491">
        <v>19250</v>
      </c>
      <c r="C1626" s="87">
        <v>0</v>
      </c>
      <c r="D1626" s="134">
        <v>19250</v>
      </c>
      <c r="E1626" s="8" t="s">
        <v>1892</v>
      </c>
      <c r="F1626" s="70"/>
      <c r="G1626" s="70"/>
      <c r="H1626" s="70"/>
      <c r="I1626" s="54"/>
    </row>
    <row r="1627" spans="1:9" s="44" customFormat="1" hidden="1" outlineLevel="1">
      <c r="A1627" s="389" t="s">
        <v>1893</v>
      </c>
      <c r="B1627" s="491">
        <v>30497871</v>
      </c>
      <c r="C1627" s="87">
        <v>0</v>
      </c>
      <c r="D1627" s="134">
        <v>30497871</v>
      </c>
      <c r="E1627" s="8" t="s">
        <v>1894</v>
      </c>
      <c r="F1627" s="70"/>
      <c r="G1627" s="70"/>
      <c r="H1627" s="70"/>
      <c r="I1627" s="54"/>
    </row>
    <row r="1628" spans="1:9" s="44" customFormat="1" hidden="1" outlineLevel="1">
      <c r="A1628" s="389" t="s">
        <v>1895</v>
      </c>
      <c r="B1628" s="491">
        <v>32961025</v>
      </c>
      <c r="C1628" s="87">
        <v>2800315</v>
      </c>
      <c r="D1628" s="134">
        <v>35761340</v>
      </c>
      <c r="E1628" s="8" t="s">
        <v>1896</v>
      </c>
      <c r="F1628" s="70"/>
      <c r="G1628" s="70"/>
      <c r="H1628" s="70"/>
      <c r="I1628" s="54"/>
    </row>
    <row r="1629" spans="1:9" s="44" customFormat="1" hidden="1" outlineLevel="1">
      <c r="A1629" s="389" t="s">
        <v>1683</v>
      </c>
      <c r="B1629" s="491">
        <v>711769</v>
      </c>
      <c r="C1629" s="87">
        <v>0</v>
      </c>
      <c r="D1629" s="134">
        <v>711769</v>
      </c>
      <c r="E1629" s="8" t="s">
        <v>1684</v>
      </c>
      <c r="F1629" s="70"/>
      <c r="G1629" s="70"/>
      <c r="H1629" s="70"/>
      <c r="I1629" s="54"/>
    </row>
    <row r="1630" spans="1:9" s="44" customFormat="1" hidden="1" outlineLevel="1">
      <c r="A1630" s="389" t="s">
        <v>1897</v>
      </c>
      <c r="B1630" s="491">
        <v>101245</v>
      </c>
      <c r="C1630" s="87">
        <v>0</v>
      </c>
      <c r="D1630" s="134">
        <v>101245</v>
      </c>
      <c r="E1630" s="8" t="s">
        <v>1898</v>
      </c>
      <c r="F1630" s="70"/>
      <c r="G1630" s="70"/>
      <c r="H1630" s="70"/>
      <c r="I1630" s="54"/>
    </row>
    <row r="1631" spans="1:9" s="44" customFormat="1" hidden="1" outlineLevel="1">
      <c r="A1631" s="389" t="s">
        <v>977</v>
      </c>
      <c r="B1631" s="491">
        <v>396062670</v>
      </c>
      <c r="C1631" s="87">
        <v>39420172</v>
      </c>
      <c r="D1631" s="134">
        <v>435482842</v>
      </c>
      <c r="E1631" s="8" t="s">
        <v>978</v>
      </c>
      <c r="F1631" s="70"/>
      <c r="G1631" s="70"/>
      <c r="H1631" s="70"/>
      <c r="I1631" s="54"/>
    </row>
    <row r="1632" spans="1:9" s="44" customFormat="1" hidden="1" outlineLevel="1">
      <c r="A1632" s="389" t="s">
        <v>1899</v>
      </c>
      <c r="B1632" s="491">
        <v>2074507</v>
      </c>
      <c r="C1632" s="87">
        <v>0</v>
      </c>
      <c r="D1632" s="134">
        <v>2074507</v>
      </c>
      <c r="E1632" s="8" t="s">
        <v>1900</v>
      </c>
      <c r="F1632" s="70"/>
      <c r="G1632" s="70"/>
      <c r="H1632" s="70"/>
      <c r="I1632" s="54"/>
    </row>
    <row r="1633" spans="1:9" s="44" customFormat="1" hidden="1" outlineLevel="1">
      <c r="A1633" s="389" t="s">
        <v>1901</v>
      </c>
      <c r="B1633" s="491">
        <v>720918</v>
      </c>
      <c r="C1633" s="87">
        <v>0</v>
      </c>
      <c r="D1633" s="134">
        <v>720918</v>
      </c>
      <c r="E1633" s="8" t="s">
        <v>1902</v>
      </c>
      <c r="F1633" s="70"/>
      <c r="G1633" s="70"/>
      <c r="H1633" s="70"/>
      <c r="I1633" s="54"/>
    </row>
    <row r="1634" spans="1:9" s="44" customFormat="1" hidden="1" outlineLevel="1">
      <c r="A1634" s="389" t="s">
        <v>1903</v>
      </c>
      <c r="B1634" s="491">
        <v>14027947</v>
      </c>
      <c r="C1634" s="87">
        <v>119708</v>
      </c>
      <c r="D1634" s="134">
        <v>14147655</v>
      </c>
      <c r="E1634" s="8" t="s">
        <v>1904</v>
      </c>
      <c r="F1634" s="70"/>
      <c r="G1634" s="70"/>
      <c r="H1634" s="70"/>
      <c r="I1634" s="54"/>
    </row>
    <row r="1635" spans="1:9" s="44" customFormat="1" hidden="1" outlineLevel="1">
      <c r="A1635" s="389" t="s">
        <v>1905</v>
      </c>
      <c r="B1635" s="491">
        <v>2718668</v>
      </c>
      <c r="C1635" s="87">
        <v>882765</v>
      </c>
      <c r="D1635" s="134">
        <v>3601433</v>
      </c>
      <c r="E1635" s="8" t="s">
        <v>1906</v>
      </c>
      <c r="F1635" s="70"/>
      <c r="G1635" s="70"/>
      <c r="H1635" s="70"/>
      <c r="I1635" s="54"/>
    </row>
    <row r="1636" spans="1:9" s="44" customFormat="1" hidden="1" outlineLevel="1">
      <c r="A1636" s="389" t="s">
        <v>1907</v>
      </c>
      <c r="B1636" s="491">
        <v>122413</v>
      </c>
      <c r="C1636" s="87">
        <v>0</v>
      </c>
      <c r="D1636" s="134">
        <v>122413</v>
      </c>
      <c r="E1636" s="8" t="s">
        <v>1908</v>
      </c>
      <c r="F1636" s="70"/>
      <c r="G1636" s="70"/>
      <c r="H1636" s="70"/>
      <c r="I1636" s="54"/>
    </row>
    <row r="1637" spans="1:9" s="44" customFormat="1" hidden="1" outlineLevel="1">
      <c r="A1637" s="389" t="s">
        <v>1909</v>
      </c>
      <c r="B1637" s="491">
        <v>1015000</v>
      </c>
      <c r="C1637" s="87">
        <v>0</v>
      </c>
      <c r="D1637" s="134">
        <v>1015000</v>
      </c>
      <c r="E1637" s="8" t="s">
        <v>1910</v>
      </c>
      <c r="F1637" s="70"/>
      <c r="G1637" s="70"/>
      <c r="H1637" s="70"/>
      <c r="I1637" s="54"/>
    </row>
    <row r="1638" spans="1:9" s="44" customFormat="1" hidden="1" outlineLevel="1">
      <c r="A1638" s="389" t="s">
        <v>1911</v>
      </c>
      <c r="B1638" s="491">
        <v>1466844</v>
      </c>
      <c r="C1638" s="87">
        <v>169958</v>
      </c>
      <c r="D1638" s="134">
        <v>1636802</v>
      </c>
      <c r="E1638" s="8" t="s">
        <v>1912</v>
      </c>
      <c r="F1638" s="70"/>
      <c r="G1638" s="70"/>
      <c r="H1638" s="70"/>
      <c r="I1638" s="54"/>
    </row>
    <row r="1639" spans="1:9" s="44" customFormat="1" hidden="1" outlineLevel="1">
      <c r="A1639" s="389" t="s">
        <v>1913</v>
      </c>
      <c r="B1639" s="491">
        <v>2978969</v>
      </c>
      <c r="C1639" s="87">
        <v>-20388</v>
      </c>
      <c r="D1639" s="134">
        <v>2958581</v>
      </c>
      <c r="E1639" s="8" t="s">
        <v>1914</v>
      </c>
      <c r="F1639" s="70"/>
      <c r="G1639" s="70"/>
      <c r="H1639" s="70"/>
      <c r="I1639" s="54"/>
    </row>
    <row r="1640" spans="1:9" s="44" customFormat="1" hidden="1" outlineLevel="1">
      <c r="A1640" s="389" t="s">
        <v>1915</v>
      </c>
      <c r="B1640" s="491">
        <v>7404559</v>
      </c>
      <c r="C1640" s="87">
        <v>536850</v>
      </c>
      <c r="D1640" s="134">
        <v>7941409</v>
      </c>
      <c r="E1640" s="8" t="s">
        <v>1916</v>
      </c>
      <c r="F1640" s="70"/>
      <c r="G1640" s="70"/>
      <c r="H1640" s="70"/>
      <c r="I1640" s="54"/>
    </row>
    <row r="1641" spans="1:9" s="44" customFormat="1" hidden="1" outlineLevel="1">
      <c r="A1641" s="389" t="s">
        <v>1917</v>
      </c>
      <c r="B1641" s="491">
        <v>2066389</v>
      </c>
      <c r="C1641" s="87">
        <v>496481</v>
      </c>
      <c r="D1641" s="134">
        <v>2562870</v>
      </c>
      <c r="E1641" s="8" t="s">
        <v>1918</v>
      </c>
      <c r="F1641" s="70"/>
      <c r="G1641" s="70"/>
      <c r="H1641" s="70"/>
      <c r="I1641" s="54"/>
    </row>
    <row r="1642" spans="1:9" s="44" customFormat="1" hidden="1" outlineLevel="1">
      <c r="A1642" s="389" t="s">
        <v>1919</v>
      </c>
      <c r="B1642" s="491">
        <v>2365762</v>
      </c>
      <c r="C1642" s="87">
        <v>0</v>
      </c>
      <c r="D1642" s="134">
        <v>2365762</v>
      </c>
      <c r="E1642" s="8" t="s">
        <v>1920</v>
      </c>
      <c r="F1642" s="70"/>
      <c r="G1642" s="70"/>
      <c r="H1642" s="70"/>
      <c r="I1642" s="54"/>
    </row>
    <row r="1643" spans="1:9" s="44" customFormat="1" hidden="1" outlineLevel="1">
      <c r="A1643" s="389" t="s">
        <v>1921</v>
      </c>
      <c r="B1643" s="491">
        <v>5713615</v>
      </c>
      <c r="C1643" s="87">
        <v>0</v>
      </c>
      <c r="D1643" s="134">
        <v>5713615</v>
      </c>
      <c r="E1643" s="8" t="s">
        <v>1922</v>
      </c>
      <c r="F1643" s="70"/>
      <c r="G1643" s="70"/>
      <c r="H1643" s="70"/>
      <c r="I1643" s="54"/>
    </row>
    <row r="1644" spans="1:9" s="44" customFormat="1" hidden="1" outlineLevel="1">
      <c r="A1644" s="389" t="s">
        <v>1923</v>
      </c>
      <c r="B1644" s="491">
        <v>699606</v>
      </c>
      <c r="C1644" s="87">
        <v>1647</v>
      </c>
      <c r="D1644" s="134">
        <v>701253</v>
      </c>
      <c r="E1644" s="8" t="s">
        <v>1924</v>
      </c>
      <c r="F1644" s="70"/>
      <c r="G1644" s="70"/>
      <c r="H1644" s="70"/>
      <c r="I1644" s="54"/>
    </row>
    <row r="1645" spans="1:9" s="44" customFormat="1" hidden="1" outlineLevel="1">
      <c r="A1645" s="389" t="s">
        <v>1925</v>
      </c>
      <c r="B1645" s="491">
        <v>64601</v>
      </c>
      <c r="C1645" s="87">
        <v>-2239</v>
      </c>
      <c r="D1645" s="134">
        <v>62362</v>
      </c>
      <c r="E1645" s="8" t="s">
        <v>1926</v>
      </c>
      <c r="F1645" s="70"/>
      <c r="G1645" s="70"/>
      <c r="H1645" s="70"/>
      <c r="I1645" s="54"/>
    </row>
    <row r="1646" spans="1:9" s="44" customFormat="1" hidden="1" outlineLevel="1">
      <c r="A1646" s="389" t="s">
        <v>1927</v>
      </c>
      <c r="B1646" s="491">
        <v>1185380</v>
      </c>
      <c r="C1646" s="87">
        <v>0</v>
      </c>
      <c r="D1646" s="134">
        <v>1185380</v>
      </c>
      <c r="E1646" s="8" t="s">
        <v>1928</v>
      </c>
      <c r="F1646" s="70"/>
      <c r="G1646" s="70"/>
      <c r="H1646" s="70"/>
      <c r="I1646" s="54"/>
    </row>
    <row r="1647" spans="1:9" s="44" customFormat="1" hidden="1" outlineLevel="1">
      <c r="A1647" s="389" t="s">
        <v>1929</v>
      </c>
      <c r="B1647" s="491">
        <v>407764</v>
      </c>
      <c r="C1647" s="87">
        <v>-4817</v>
      </c>
      <c r="D1647" s="134">
        <v>402947</v>
      </c>
      <c r="E1647" s="8" t="s">
        <v>1930</v>
      </c>
      <c r="F1647" s="70"/>
      <c r="G1647" s="70"/>
      <c r="H1647" s="70"/>
      <c r="I1647" s="54"/>
    </row>
    <row r="1648" spans="1:9" s="44" customFormat="1" hidden="1" outlineLevel="1">
      <c r="A1648" s="389" t="s">
        <v>1931</v>
      </c>
      <c r="B1648" s="491">
        <v>1729949</v>
      </c>
      <c r="C1648" s="87">
        <v>0</v>
      </c>
      <c r="D1648" s="134">
        <v>1729949</v>
      </c>
      <c r="E1648" s="8" t="s">
        <v>1932</v>
      </c>
      <c r="F1648" s="70"/>
      <c r="G1648" s="70"/>
      <c r="H1648" s="70"/>
      <c r="I1648" s="54"/>
    </row>
    <row r="1649" spans="1:9" s="44" customFormat="1" hidden="1" outlineLevel="1">
      <c r="A1649" s="389" t="s">
        <v>1933</v>
      </c>
      <c r="B1649" s="491">
        <v>3685742</v>
      </c>
      <c r="C1649" s="87">
        <v>0</v>
      </c>
      <c r="D1649" s="134">
        <v>3685742</v>
      </c>
      <c r="E1649" s="8" t="s">
        <v>1934</v>
      </c>
      <c r="F1649" s="70"/>
      <c r="G1649" s="70"/>
      <c r="H1649" s="70"/>
      <c r="I1649" s="54"/>
    </row>
    <row r="1650" spans="1:9" s="44" customFormat="1" hidden="1" outlineLevel="1">
      <c r="A1650" s="389" t="s">
        <v>1935</v>
      </c>
      <c r="B1650" s="491">
        <v>12165372</v>
      </c>
      <c r="C1650" s="87">
        <v>15236</v>
      </c>
      <c r="D1650" s="134">
        <v>12180608</v>
      </c>
      <c r="E1650" s="8" t="s">
        <v>1936</v>
      </c>
      <c r="F1650" s="70"/>
      <c r="G1650" s="70"/>
      <c r="H1650" s="70"/>
      <c r="I1650" s="54"/>
    </row>
    <row r="1651" spans="1:9" s="44" customFormat="1" hidden="1" outlineLevel="1">
      <c r="A1651" s="389" t="s">
        <v>1937</v>
      </c>
      <c r="B1651" s="491">
        <v>1289286</v>
      </c>
      <c r="C1651" s="87">
        <v>0</v>
      </c>
      <c r="D1651" s="134">
        <v>1289286</v>
      </c>
      <c r="E1651" s="8" t="s">
        <v>1938</v>
      </c>
      <c r="F1651" s="70"/>
      <c r="G1651" s="112"/>
      <c r="H1651" s="70"/>
      <c r="I1651" s="54"/>
    </row>
    <row r="1652" spans="1:9" s="44" customFormat="1" hidden="1" outlineLevel="1">
      <c r="A1652" s="389" t="s">
        <v>1939</v>
      </c>
      <c r="B1652" s="491">
        <v>414345</v>
      </c>
      <c r="C1652" s="87">
        <v>-26948</v>
      </c>
      <c r="D1652" s="134">
        <v>387397</v>
      </c>
      <c r="E1652" s="8" t="s">
        <v>1940</v>
      </c>
      <c r="F1652" s="70"/>
      <c r="G1652" s="70"/>
      <c r="H1652" s="70"/>
      <c r="I1652" s="54"/>
    </row>
    <row r="1653" spans="1:9" s="44" customFormat="1" hidden="1" outlineLevel="1">
      <c r="A1653" s="389" t="s">
        <v>1941</v>
      </c>
      <c r="B1653" s="491">
        <v>480194</v>
      </c>
      <c r="C1653" s="87">
        <v>0</v>
      </c>
      <c r="D1653" s="134">
        <v>480194</v>
      </c>
      <c r="E1653" s="8" t="s">
        <v>1942</v>
      </c>
      <c r="F1653" s="70"/>
      <c r="G1653" s="70"/>
      <c r="H1653" s="70"/>
      <c r="I1653" s="54"/>
    </row>
    <row r="1654" spans="1:9" s="44" customFormat="1" hidden="1" outlineLevel="1">
      <c r="A1654" s="389" t="s">
        <v>1943</v>
      </c>
      <c r="B1654" s="491">
        <v>7613298</v>
      </c>
      <c r="C1654" s="87">
        <v>0</v>
      </c>
      <c r="D1654" s="134">
        <v>7613298</v>
      </c>
      <c r="E1654" s="8" t="s">
        <v>1944</v>
      </c>
      <c r="F1654" s="70"/>
      <c r="G1654" s="70"/>
      <c r="H1654" s="70"/>
      <c r="I1654" s="54"/>
    </row>
    <row r="1655" spans="1:9" s="44" customFormat="1" hidden="1" outlineLevel="1">
      <c r="A1655" s="389" t="s">
        <v>1945</v>
      </c>
      <c r="B1655" s="491">
        <v>1453582</v>
      </c>
      <c r="C1655" s="87">
        <v>75418</v>
      </c>
      <c r="D1655" s="134">
        <v>1529000</v>
      </c>
      <c r="E1655" s="8" t="s">
        <v>1946</v>
      </c>
      <c r="F1655" s="70"/>
      <c r="G1655" s="70"/>
      <c r="H1655" s="70"/>
      <c r="I1655" s="54"/>
    </row>
    <row r="1656" spans="1:9" s="44" customFormat="1" hidden="1" outlineLevel="1">
      <c r="A1656" s="389" t="s">
        <v>1947</v>
      </c>
      <c r="B1656" s="491">
        <v>330132</v>
      </c>
      <c r="C1656" s="87">
        <v>0</v>
      </c>
      <c r="D1656" s="134">
        <v>330132</v>
      </c>
      <c r="E1656" s="8" t="s">
        <v>1948</v>
      </c>
      <c r="F1656" s="70"/>
      <c r="G1656" s="70"/>
      <c r="H1656" s="70"/>
      <c r="I1656" s="54"/>
    </row>
    <row r="1657" spans="1:9" s="44" customFormat="1" hidden="1" outlineLevel="1">
      <c r="A1657" s="389" t="s">
        <v>1949</v>
      </c>
      <c r="B1657" s="491">
        <v>3578654</v>
      </c>
      <c r="C1657" s="87">
        <v>60942</v>
      </c>
      <c r="D1657" s="134">
        <v>3639596</v>
      </c>
      <c r="E1657" s="8" t="s">
        <v>1950</v>
      </c>
      <c r="F1657" s="70"/>
      <c r="G1657" s="70"/>
      <c r="H1657" s="70"/>
      <c r="I1657" s="54"/>
    </row>
    <row r="1658" spans="1:9" s="44" customFormat="1" hidden="1" outlineLevel="1">
      <c r="A1658" s="389" t="s">
        <v>1951</v>
      </c>
      <c r="B1658" s="491">
        <v>475580</v>
      </c>
      <c r="C1658" s="87">
        <v>0</v>
      </c>
      <c r="D1658" s="134">
        <v>475580</v>
      </c>
      <c r="E1658" s="8" t="s">
        <v>1952</v>
      </c>
      <c r="F1658" s="70"/>
      <c r="G1658" s="70"/>
      <c r="H1658" s="70"/>
      <c r="I1658" s="54"/>
    </row>
    <row r="1659" spans="1:9" s="44" customFormat="1" hidden="1" outlineLevel="1">
      <c r="A1659" s="389" t="s">
        <v>1953</v>
      </c>
      <c r="B1659" s="491">
        <v>6645739</v>
      </c>
      <c r="C1659" s="87">
        <v>0</v>
      </c>
      <c r="D1659" s="134">
        <v>6645739</v>
      </c>
      <c r="E1659" s="8" t="s">
        <v>1954</v>
      </c>
      <c r="F1659" s="70"/>
      <c r="G1659" s="70"/>
      <c r="H1659" s="70"/>
      <c r="I1659" s="54"/>
    </row>
    <row r="1660" spans="1:9" s="44" customFormat="1" hidden="1" outlineLevel="1">
      <c r="A1660" s="389" t="s">
        <v>1955</v>
      </c>
      <c r="B1660" s="491">
        <v>3249616</v>
      </c>
      <c r="C1660" s="87">
        <v>-69711</v>
      </c>
      <c r="D1660" s="134">
        <v>3179905</v>
      </c>
      <c r="E1660" s="8" t="s">
        <v>1956</v>
      </c>
      <c r="F1660" s="70"/>
      <c r="G1660" s="70"/>
      <c r="H1660" s="70"/>
      <c r="I1660" s="54"/>
    </row>
    <row r="1661" spans="1:9" s="44" customFormat="1" hidden="1" outlineLevel="1">
      <c r="A1661" s="389" t="s">
        <v>1957</v>
      </c>
      <c r="B1661" s="491">
        <v>1412579</v>
      </c>
      <c r="C1661" s="87">
        <v>-2423</v>
      </c>
      <c r="D1661" s="134">
        <v>1410156</v>
      </c>
      <c r="E1661" s="8" t="s">
        <v>1958</v>
      </c>
      <c r="F1661" s="70"/>
      <c r="G1661" s="70"/>
      <c r="H1661" s="70"/>
      <c r="I1661" s="54"/>
    </row>
    <row r="1662" spans="1:9" s="44" customFormat="1" hidden="1" outlineLevel="1">
      <c r="A1662" s="389" t="s">
        <v>1959</v>
      </c>
      <c r="B1662" s="491">
        <v>506099</v>
      </c>
      <c r="C1662" s="87">
        <v>-1</v>
      </c>
      <c r="D1662" s="134">
        <v>506098</v>
      </c>
      <c r="E1662" s="8" t="s">
        <v>1960</v>
      </c>
      <c r="F1662" s="70"/>
      <c r="G1662" s="70"/>
      <c r="H1662" s="70"/>
      <c r="I1662" s="54"/>
    </row>
    <row r="1663" spans="1:9" s="44" customFormat="1" hidden="1" outlineLevel="1">
      <c r="A1663" s="389" t="s">
        <v>1961</v>
      </c>
      <c r="B1663" s="491">
        <v>787146</v>
      </c>
      <c r="C1663" s="87">
        <v>-141380</v>
      </c>
      <c r="D1663" s="134">
        <v>645766</v>
      </c>
      <c r="E1663" s="8" t="s">
        <v>1962</v>
      </c>
      <c r="F1663" s="70"/>
      <c r="G1663" s="70"/>
      <c r="H1663" s="70"/>
      <c r="I1663" s="54"/>
    </row>
    <row r="1664" spans="1:9" s="44" customFormat="1" hidden="1" outlineLevel="1">
      <c r="A1664" s="389" t="s">
        <v>1963</v>
      </c>
      <c r="B1664" s="491">
        <v>23358900</v>
      </c>
      <c r="C1664" s="87">
        <v>20118942</v>
      </c>
      <c r="D1664" s="134">
        <v>43477842</v>
      </c>
      <c r="E1664" s="8" t="s">
        <v>1964</v>
      </c>
      <c r="F1664" s="70"/>
      <c r="G1664" s="70"/>
      <c r="H1664" s="70"/>
      <c r="I1664" s="54"/>
    </row>
    <row r="1665" spans="1:9" s="44" customFormat="1" hidden="1" outlineLevel="1">
      <c r="A1665" s="389" t="s">
        <v>1965</v>
      </c>
      <c r="B1665" s="491">
        <v>1333428</v>
      </c>
      <c r="C1665" s="87">
        <v>0</v>
      </c>
      <c r="D1665" s="134">
        <v>1333428</v>
      </c>
      <c r="E1665" s="8" t="s">
        <v>1966</v>
      </c>
      <c r="F1665" s="70"/>
      <c r="G1665" s="70"/>
      <c r="H1665" s="70"/>
      <c r="I1665" s="54"/>
    </row>
    <row r="1666" spans="1:9" s="44" customFormat="1" hidden="1" outlineLevel="1">
      <c r="A1666" s="389" t="s">
        <v>1967</v>
      </c>
      <c r="B1666" s="491">
        <v>58976231</v>
      </c>
      <c r="C1666" s="87">
        <v>1303918</v>
      </c>
      <c r="D1666" s="134">
        <v>60280149</v>
      </c>
      <c r="E1666" s="8" t="s">
        <v>1968</v>
      </c>
      <c r="F1666" s="70"/>
      <c r="G1666" s="70"/>
      <c r="H1666" s="70"/>
      <c r="I1666" s="54"/>
    </row>
    <row r="1667" spans="1:9" s="44" customFormat="1" hidden="1" outlineLevel="1">
      <c r="A1667" s="389" t="s">
        <v>1969</v>
      </c>
      <c r="B1667" s="491">
        <v>12714193</v>
      </c>
      <c r="C1667" s="87">
        <v>167835</v>
      </c>
      <c r="D1667" s="134">
        <v>12882028</v>
      </c>
      <c r="E1667" s="8" t="s">
        <v>1970</v>
      </c>
      <c r="F1667" s="70"/>
      <c r="G1667" s="70"/>
      <c r="H1667" s="70"/>
      <c r="I1667" s="54"/>
    </row>
    <row r="1668" spans="1:9" s="44" customFormat="1" hidden="1" outlineLevel="1">
      <c r="A1668" s="389" t="s">
        <v>1971</v>
      </c>
      <c r="B1668" s="491">
        <v>236184</v>
      </c>
      <c r="C1668" s="87">
        <v>0</v>
      </c>
      <c r="D1668" s="134">
        <v>236184</v>
      </c>
      <c r="E1668" s="8" t="s">
        <v>1972</v>
      </c>
      <c r="F1668" s="70"/>
      <c r="G1668" s="70"/>
      <c r="H1668" s="70"/>
      <c r="I1668" s="54"/>
    </row>
    <row r="1669" spans="1:9" s="44" customFormat="1" hidden="1" outlineLevel="1">
      <c r="A1669" s="389" t="s">
        <v>1132</v>
      </c>
      <c r="B1669" s="491">
        <v>6585647</v>
      </c>
      <c r="C1669" s="87">
        <v>196817</v>
      </c>
      <c r="D1669" s="134">
        <v>6782464</v>
      </c>
      <c r="E1669" s="8" t="s">
        <v>1133</v>
      </c>
      <c r="F1669" s="70"/>
      <c r="G1669" s="70"/>
      <c r="H1669" s="70"/>
      <c r="I1669" s="54"/>
    </row>
    <row r="1670" spans="1:9" s="44" customFormat="1" hidden="1" outlineLevel="1">
      <c r="A1670" s="389" t="s">
        <v>1973</v>
      </c>
      <c r="B1670" s="491">
        <v>643999</v>
      </c>
      <c r="C1670" s="87">
        <v>0</v>
      </c>
      <c r="D1670" s="134">
        <v>643999</v>
      </c>
      <c r="E1670" s="8" t="s">
        <v>1974</v>
      </c>
      <c r="F1670" s="70"/>
      <c r="G1670" s="70"/>
      <c r="H1670" s="70"/>
      <c r="I1670" s="54"/>
    </row>
    <row r="1671" spans="1:9" s="44" customFormat="1" hidden="1" outlineLevel="1">
      <c r="A1671" s="389" t="s">
        <v>1975</v>
      </c>
      <c r="B1671" s="491">
        <v>1828316</v>
      </c>
      <c r="C1671" s="87">
        <v>55200</v>
      </c>
      <c r="D1671" s="134">
        <v>1883516</v>
      </c>
      <c r="E1671" s="8" t="s">
        <v>1976</v>
      </c>
      <c r="F1671" s="70"/>
      <c r="G1671" s="70"/>
      <c r="H1671" s="70"/>
      <c r="I1671" s="54"/>
    </row>
    <row r="1672" spans="1:9" s="44" customFormat="1" hidden="1" outlineLevel="1">
      <c r="A1672" s="389" t="s">
        <v>1977</v>
      </c>
      <c r="B1672" s="491">
        <v>1439524</v>
      </c>
      <c r="C1672" s="87">
        <v>-8002</v>
      </c>
      <c r="D1672" s="134">
        <v>1431522</v>
      </c>
      <c r="E1672" s="8" t="s">
        <v>1978</v>
      </c>
      <c r="F1672" s="70"/>
      <c r="G1672" s="70"/>
      <c r="H1672" s="70"/>
      <c r="I1672" s="54"/>
    </row>
    <row r="1673" spans="1:9" s="44" customFormat="1" hidden="1" outlineLevel="1">
      <c r="A1673" s="389" t="s">
        <v>1979</v>
      </c>
      <c r="B1673" s="491">
        <v>1504312</v>
      </c>
      <c r="C1673" s="87">
        <v>0</v>
      </c>
      <c r="D1673" s="134">
        <v>1504312</v>
      </c>
      <c r="E1673" s="8" t="s">
        <v>1980</v>
      </c>
      <c r="F1673" s="70"/>
      <c r="G1673" s="70"/>
      <c r="H1673" s="70"/>
      <c r="I1673" s="54"/>
    </row>
    <row r="1674" spans="1:9" s="44" customFormat="1" hidden="1" outlineLevel="1">
      <c r="A1674" s="389" t="s">
        <v>1981</v>
      </c>
      <c r="B1674" s="491">
        <v>742386</v>
      </c>
      <c r="C1674" s="87">
        <v>0</v>
      </c>
      <c r="D1674" s="134">
        <v>742386</v>
      </c>
      <c r="E1674" s="8" t="s">
        <v>1982</v>
      </c>
      <c r="F1674" s="70"/>
      <c r="G1674" s="70"/>
      <c r="H1674" s="70"/>
      <c r="I1674" s="54"/>
    </row>
    <row r="1675" spans="1:9" s="44" customFormat="1" hidden="1" outlineLevel="1">
      <c r="A1675" s="389" t="s">
        <v>1983</v>
      </c>
      <c r="B1675" s="491">
        <v>300279</v>
      </c>
      <c r="C1675" s="87">
        <v>20919</v>
      </c>
      <c r="D1675" s="134">
        <v>321198</v>
      </c>
      <c r="E1675" s="8" t="s">
        <v>1984</v>
      </c>
      <c r="F1675" s="70"/>
      <c r="G1675" s="70"/>
      <c r="H1675" s="70"/>
      <c r="I1675" s="54"/>
    </row>
    <row r="1676" spans="1:9" s="44" customFormat="1" hidden="1" outlineLevel="1">
      <c r="A1676" s="389" t="s">
        <v>1985</v>
      </c>
      <c r="B1676" s="491">
        <v>2516135</v>
      </c>
      <c r="C1676" s="87">
        <v>0</v>
      </c>
      <c r="D1676" s="134">
        <v>2516135</v>
      </c>
      <c r="E1676" s="8" t="s">
        <v>1986</v>
      </c>
      <c r="F1676" s="70"/>
      <c r="G1676" s="70"/>
      <c r="H1676" s="70"/>
      <c r="I1676" s="54"/>
    </row>
    <row r="1677" spans="1:9" s="44" customFormat="1" hidden="1" outlineLevel="1">
      <c r="A1677" s="389" t="s">
        <v>1987</v>
      </c>
      <c r="B1677" s="491">
        <v>1626576</v>
      </c>
      <c r="C1677" s="87">
        <v>28841</v>
      </c>
      <c r="D1677" s="134">
        <v>1655417</v>
      </c>
      <c r="E1677" s="8" t="s">
        <v>1988</v>
      </c>
      <c r="F1677" s="70"/>
      <c r="G1677" s="70"/>
      <c r="H1677" s="70"/>
      <c r="I1677" s="54"/>
    </row>
    <row r="1678" spans="1:9" s="44" customFormat="1" hidden="1" outlineLevel="1">
      <c r="A1678" s="389" t="s">
        <v>1989</v>
      </c>
      <c r="B1678" s="491">
        <v>1209402</v>
      </c>
      <c r="C1678" s="87">
        <v>0</v>
      </c>
      <c r="D1678" s="134">
        <v>1209402</v>
      </c>
      <c r="E1678" s="8" t="s">
        <v>1990</v>
      </c>
      <c r="F1678" s="70"/>
      <c r="G1678" s="70"/>
      <c r="H1678" s="70"/>
      <c r="I1678" s="54"/>
    </row>
    <row r="1679" spans="1:9" s="44" customFormat="1" hidden="1" outlineLevel="1">
      <c r="A1679" s="389" t="s">
        <v>1991</v>
      </c>
      <c r="B1679" s="491">
        <v>10105187</v>
      </c>
      <c r="C1679" s="87">
        <v>205604</v>
      </c>
      <c r="D1679" s="134">
        <v>10310791</v>
      </c>
      <c r="E1679" s="8" t="s">
        <v>1992</v>
      </c>
      <c r="F1679" s="70"/>
      <c r="G1679" s="70"/>
      <c r="H1679" s="70"/>
      <c r="I1679" s="54"/>
    </row>
    <row r="1680" spans="1:9" s="44" customFormat="1" hidden="1" outlineLevel="1">
      <c r="A1680" s="389" t="s">
        <v>1993</v>
      </c>
      <c r="B1680" s="491">
        <v>256840</v>
      </c>
      <c r="C1680" s="87">
        <v>0</v>
      </c>
      <c r="D1680" s="134">
        <v>256840</v>
      </c>
      <c r="E1680" s="8" t="s">
        <v>1994</v>
      </c>
      <c r="F1680" s="70"/>
      <c r="G1680" s="70"/>
      <c r="H1680" s="70"/>
      <c r="I1680" s="54"/>
    </row>
    <row r="1681" spans="1:9" s="44" customFormat="1" hidden="1" outlineLevel="1">
      <c r="A1681" s="389" t="s">
        <v>1995</v>
      </c>
      <c r="B1681" s="491">
        <v>1053079</v>
      </c>
      <c r="C1681" s="87">
        <v>0</v>
      </c>
      <c r="D1681" s="134">
        <v>1053079</v>
      </c>
      <c r="E1681" s="8" t="s">
        <v>1996</v>
      </c>
      <c r="F1681" s="70"/>
      <c r="G1681" s="70"/>
      <c r="H1681" s="70"/>
      <c r="I1681" s="54"/>
    </row>
    <row r="1682" spans="1:9" s="44" customFormat="1" hidden="1" outlineLevel="1">
      <c r="A1682" s="389" t="s">
        <v>1154</v>
      </c>
      <c r="B1682" s="491">
        <v>29426468</v>
      </c>
      <c r="C1682" s="87">
        <v>0</v>
      </c>
      <c r="D1682" s="134">
        <v>29426468</v>
      </c>
      <c r="E1682" s="8" t="s">
        <v>1155</v>
      </c>
      <c r="F1682" s="70"/>
      <c r="G1682" s="70"/>
      <c r="H1682" s="70"/>
      <c r="I1682" s="54"/>
    </row>
    <row r="1683" spans="1:9" s="44" customFormat="1" hidden="1" outlineLevel="1">
      <c r="A1683" s="389" t="s">
        <v>1997</v>
      </c>
      <c r="B1683" s="491">
        <v>3433484</v>
      </c>
      <c r="C1683" s="87">
        <v>-24150</v>
      </c>
      <c r="D1683" s="134">
        <v>3409334</v>
      </c>
      <c r="E1683" s="8" t="s">
        <v>1998</v>
      </c>
      <c r="F1683" s="70"/>
      <c r="G1683" s="70"/>
      <c r="H1683" s="70"/>
      <c r="I1683" s="54"/>
    </row>
    <row r="1684" spans="1:9" s="44" customFormat="1" hidden="1" outlineLevel="1">
      <c r="A1684" s="389" t="s">
        <v>1999</v>
      </c>
      <c r="B1684" s="491">
        <v>10364993</v>
      </c>
      <c r="C1684" s="87">
        <v>0</v>
      </c>
      <c r="D1684" s="134">
        <v>10364993</v>
      </c>
      <c r="E1684" s="8" t="s">
        <v>2000</v>
      </c>
      <c r="F1684" s="70"/>
      <c r="G1684" s="70"/>
      <c r="H1684" s="70"/>
      <c r="I1684" s="54"/>
    </row>
    <row r="1685" spans="1:9" s="44" customFormat="1" hidden="1" outlineLevel="1">
      <c r="A1685" s="389" t="s">
        <v>2001</v>
      </c>
      <c r="B1685" s="491">
        <v>111121</v>
      </c>
      <c r="C1685" s="87">
        <v>0</v>
      </c>
      <c r="D1685" s="134">
        <v>111121</v>
      </c>
      <c r="E1685" s="8" t="s">
        <v>2002</v>
      </c>
      <c r="F1685" s="70"/>
      <c r="G1685" s="70"/>
      <c r="H1685" s="70"/>
      <c r="I1685" s="54"/>
    </row>
    <row r="1686" spans="1:9" s="44" customFormat="1" hidden="1" outlineLevel="1">
      <c r="A1686" s="389" t="s">
        <v>2003</v>
      </c>
      <c r="B1686" s="491">
        <v>21123557</v>
      </c>
      <c r="C1686" s="87">
        <v>0</v>
      </c>
      <c r="D1686" s="134">
        <v>21123557</v>
      </c>
      <c r="E1686" s="8" t="s">
        <v>2004</v>
      </c>
      <c r="F1686" s="70"/>
      <c r="G1686" s="70"/>
      <c r="H1686" s="70"/>
      <c r="I1686" s="54"/>
    </row>
    <row r="1687" spans="1:9" s="44" customFormat="1" hidden="1" outlineLevel="1">
      <c r="A1687" s="389" t="s">
        <v>2005</v>
      </c>
      <c r="B1687" s="491">
        <v>1787266</v>
      </c>
      <c r="C1687" s="87">
        <v>103312</v>
      </c>
      <c r="D1687" s="134">
        <v>1890578</v>
      </c>
      <c r="E1687" s="8" t="s">
        <v>2006</v>
      </c>
      <c r="F1687" s="70"/>
      <c r="G1687" s="70"/>
      <c r="H1687" s="70"/>
      <c r="I1687" s="54"/>
    </row>
    <row r="1688" spans="1:9" s="44" customFormat="1" hidden="1" outlineLevel="1">
      <c r="A1688" s="389" t="s">
        <v>911</v>
      </c>
      <c r="B1688" s="491">
        <v>59182931</v>
      </c>
      <c r="C1688" s="87">
        <v>0</v>
      </c>
      <c r="D1688" s="134">
        <v>59182931</v>
      </c>
      <c r="E1688" s="8" t="s">
        <v>912</v>
      </c>
      <c r="F1688" s="70"/>
      <c r="G1688" s="70"/>
      <c r="H1688" s="70"/>
      <c r="I1688" s="54"/>
    </row>
    <row r="1689" spans="1:9" s="44" customFormat="1" hidden="1" outlineLevel="1">
      <c r="A1689" s="389" t="s">
        <v>2007</v>
      </c>
      <c r="B1689" s="491">
        <v>1401701</v>
      </c>
      <c r="C1689" s="87">
        <v>0</v>
      </c>
      <c r="D1689" s="134">
        <v>1401701</v>
      </c>
      <c r="E1689" s="8" t="s">
        <v>2008</v>
      </c>
      <c r="F1689" s="70"/>
      <c r="G1689" s="70"/>
      <c r="H1689" s="70"/>
      <c r="I1689" s="54"/>
    </row>
    <row r="1690" spans="1:9" s="44" customFormat="1" hidden="1" outlineLevel="1">
      <c r="A1690" s="389" t="s">
        <v>2009</v>
      </c>
      <c r="B1690" s="491">
        <v>11083676</v>
      </c>
      <c r="C1690" s="87">
        <v>2518961</v>
      </c>
      <c r="D1690" s="134">
        <v>13602637</v>
      </c>
      <c r="E1690" s="8" t="s">
        <v>2010</v>
      </c>
      <c r="F1690" s="70"/>
      <c r="G1690" s="70"/>
      <c r="H1690" s="70"/>
      <c r="I1690" s="54"/>
    </row>
    <row r="1691" spans="1:9" s="44" customFormat="1" hidden="1" outlineLevel="1">
      <c r="A1691" s="389" t="s">
        <v>2011</v>
      </c>
      <c r="B1691" s="491">
        <v>1728762</v>
      </c>
      <c r="C1691" s="87">
        <v>200708</v>
      </c>
      <c r="D1691" s="134">
        <v>1929470</v>
      </c>
      <c r="E1691" s="8" t="s">
        <v>2012</v>
      </c>
      <c r="F1691" s="70"/>
      <c r="G1691" s="70"/>
      <c r="H1691" s="70"/>
      <c r="I1691" s="54"/>
    </row>
    <row r="1692" spans="1:9" s="44" customFormat="1" hidden="1" outlineLevel="1">
      <c r="A1692" s="389" t="s">
        <v>2013</v>
      </c>
      <c r="B1692" s="491">
        <v>2172282</v>
      </c>
      <c r="C1692" s="87">
        <v>0</v>
      </c>
      <c r="D1692" s="134">
        <v>2172282</v>
      </c>
      <c r="E1692" s="8" t="s">
        <v>2014</v>
      </c>
      <c r="F1692" s="70"/>
      <c r="G1692" s="70"/>
      <c r="H1692" s="70"/>
      <c r="I1692" s="54"/>
    </row>
    <row r="1693" spans="1:9" s="44" customFormat="1" hidden="1" outlineLevel="1">
      <c r="A1693" s="389" t="s">
        <v>2015</v>
      </c>
      <c r="B1693" s="491">
        <v>1141463</v>
      </c>
      <c r="C1693" s="87">
        <v>0</v>
      </c>
      <c r="D1693" s="134">
        <v>1141463</v>
      </c>
      <c r="E1693" s="8" t="s">
        <v>2016</v>
      </c>
      <c r="F1693" s="70"/>
      <c r="G1693" s="70"/>
      <c r="H1693" s="70"/>
      <c r="I1693" s="54"/>
    </row>
    <row r="1694" spans="1:9" s="44" customFormat="1" hidden="1" outlineLevel="1">
      <c r="A1694" s="389" t="s">
        <v>2017</v>
      </c>
      <c r="B1694" s="491">
        <v>182205</v>
      </c>
      <c r="C1694" s="87">
        <v>0</v>
      </c>
      <c r="D1694" s="134">
        <v>182205</v>
      </c>
      <c r="E1694" s="8" t="s">
        <v>2018</v>
      </c>
      <c r="F1694" s="70"/>
      <c r="G1694" s="70"/>
      <c r="H1694" s="70"/>
      <c r="I1694" s="54"/>
    </row>
    <row r="1695" spans="1:9" s="44" customFormat="1" hidden="1" outlineLevel="1">
      <c r="A1695" s="389" t="s">
        <v>2019</v>
      </c>
      <c r="B1695" s="491">
        <v>811539</v>
      </c>
      <c r="C1695" s="87">
        <v>0</v>
      </c>
      <c r="D1695" s="134">
        <v>811539</v>
      </c>
      <c r="E1695" s="8" t="s">
        <v>2020</v>
      </c>
      <c r="F1695" s="70"/>
      <c r="G1695" s="70"/>
      <c r="H1695" s="70"/>
      <c r="I1695" s="54"/>
    </row>
    <row r="1696" spans="1:9" s="44" customFormat="1" hidden="1" outlineLevel="1">
      <c r="A1696" s="389" t="s">
        <v>1314</v>
      </c>
      <c r="B1696" s="491">
        <v>5391418</v>
      </c>
      <c r="C1696" s="87">
        <v>5329733</v>
      </c>
      <c r="D1696" s="134">
        <v>10721151</v>
      </c>
      <c r="E1696" s="8" t="s">
        <v>1315</v>
      </c>
      <c r="F1696" s="70"/>
      <c r="G1696" s="70"/>
      <c r="H1696" s="70"/>
      <c r="I1696" s="54"/>
    </row>
    <row r="1697" spans="1:9" s="44" customFormat="1" hidden="1" outlineLevel="1">
      <c r="A1697" s="389" t="s">
        <v>2021</v>
      </c>
      <c r="B1697" s="491">
        <v>1325559</v>
      </c>
      <c r="C1697" s="87">
        <v>0</v>
      </c>
      <c r="D1697" s="134">
        <v>1325559</v>
      </c>
      <c r="E1697" s="8" t="s">
        <v>2022</v>
      </c>
      <c r="F1697" s="70"/>
      <c r="G1697" s="70"/>
      <c r="H1697" s="70"/>
      <c r="I1697" s="54"/>
    </row>
    <row r="1698" spans="1:9" s="44" customFormat="1" hidden="1" outlineLevel="1">
      <c r="A1698" s="389" t="s">
        <v>2023</v>
      </c>
      <c r="B1698" s="491">
        <v>1184486</v>
      </c>
      <c r="C1698" s="87">
        <v>1515541</v>
      </c>
      <c r="D1698" s="134">
        <v>2700027</v>
      </c>
      <c r="E1698" s="8" t="s">
        <v>2024</v>
      </c>
      <c r="F1698" s="70"/>
      <c r="G1698" s="70"/>
      <c r="H1698" s="70"/>
      <c r="I1698" s="54"/>
    </row>
    <row r="1699" spans="1:9" s="44" customFormat="1" hidden="1" outlineLevel="1">
      <c r="A1699" s="389" t="s">
        <v>2025</v>
      </c>
      <c r="B1699" s="491">
        <v>1535563</v>
      </c>
      <c r="C1699" s="87">
        <v>0</v>
      </c>
      <c r="D1699" s="134">
        <v>1535563</v>
      </c>
      <c r="E1699" s="8" t="s">
        <v>2026</v>
      </c>
      <c r="F1699" s="70"/>
      <c r="G1699" s="70"/>
      <c r="H1699" s="70"/>
      <c r="I1699" s="54"/>
    </row>
    <row r="1700" spans="1:9" s="44" customFormat="1" hidden="1" outlineLevel="1">
      <c r="A1700" s="389" t="s">
        <v>2027</v>
      </c>
      <c r="B1700" s="491">
        <v>93105300</v>
      </c>
      <c r="C1700" s="87">
        <v>4341840</v>
      </c>
      <c r="D1700" s="134">
        <v>97447140</v>
      </c>
      <c r="E1700" s="8" t="s">
        <v>2028</v>
      </c>
      <c r="F1700" s="70"/>
      <c r="G1700" s="70"/>
      <c r="H1700" s="70"/>
      <c r="I1700" s="54"/>
    </row>
    <row r="1701" spans="1:9" s="44" customFormat="1" hidden="1" outlineLevel="1">
      <c r="A1701" s="389" t="s">
        <v>2029</v>
      </c>
      <c r="B1701" s="491">
        <v>3808339</v>
      </c>
      <c r="C1701" s="87">
        <v>0</v>
      </c>
      <c r="D1701" s="134">
        <v>3808339</v>
      </c>
      <c r="E1701" s="8" t="s">
        <v>2030</v>
      </c>
      <c r="F1701" s="70"/>
      <c r="G1701" s="70"/>
      <c r="H1701" s="70"/>
      <c r="I1701" s="54"/>
    </row>
    <row r="1702" spans="1:9" s="44" customFormat="1" hidden="1" outlineLevel="1">
      <c r="A1702" s="389" t="s">
        <v>2031</v>
      </c>
      <c r="B1702" s="491">
        <v>147768660</v>
      </c>
      <c r="C1702" s="87">
        <v>509247</v>
      </c>
      <c r="D1702" s="134">
        <v>148277907</v>
      </c>
      <c r="E1702" s="8" t="s">
        <v>2032</v>
      </c>
      <c r="F1702" s="70"/>
      <c r="G1702" s="70"/>
      <c r="H1702" s="70"/>
      <c r="I1702" s="54"/>
    </row>
    <row r="1703" spans="1:9" s="44" customFormat="1" hidden="1" outlineLevel="1">
      <c r="A1703" s="389" t="s">
        <v>819</v>
      </c>
      <c r="B1703" s="491">
        <v>659097</v>
      </c>
      <c r="C1703" s="87">
        <v>1828661</v>
      </c>
      <c r="D1703" s="134">
        <v>2487758</v>
      </c>
      <c r="E1703" s="8" t="s">
        <v>820</v>
      </c>
      <c r="F1703" s="70"/>
      <c r="G1703" s="70"/>
      <c r="H1703" s="70"/>
      <c r="I1703" s="54"/>
    </row>
    <row r="1704" spans="1:9" s="44" customFormat="1" hidden="1" outlineLevel="1">
      <c r="A1704" s="389" t="s">
        <v>2033</v>
      </c>
      <c r="B1704" s="491">
        <v>121079</v>
      </c>
      <c r="C1704" s="87">
        <v>0</v>
      </c>
      <c r="D1704" s="134">
        <v>121079</v>
      </c>
      <c r="E1704" s="8" t="s">
        <v>2034</v>
      </c>
      <c r="F1704" s="70"/>
      <c r="G1704" s="70"/>
      <c r="H1704" s="70"/>
      <c r="I1704" s="54"/>
    </row>
    <row r="1705" spans="1:9" s="44" customFormat="1" hidden="1" outlineLevel="1">
      <c r="A1705" s="389" t="s">
        <v>1202</v>
      </c>
      <c r="B1705" s="491">
        <v>976425</v>
      </c>
      <c r="C1705" s="87">
        <v>0</v>
      </c>
      <c r="D1705" s="134">
        <v>976425</v>
      </c>
      <c r="E1705" s="8" t="s">
        <v>1203</v>
      </c>
      <c r="F1705" s="70"/>
      <c r="G1705" s="70"/>
      <c r="H1705" s="70"/>
      <c r="I1705" s="54"/>
    </row>
    <row r="1706" spans="1:9" s="44" customFormat="1" hidden="1" outlineLevel="1">
      <c r="A1706" s="389" t="s">
        <v>2035</v>
      </c>
      <c r="B1706" s="491">
        <v>829407032</v>
      </c>
      <c r="C1706" s="87">
        <v>0</v>
      </c>
      <c r="D1706" s="134">
        <v>829407032</v>
      </c>
      <c r="E1706" s="8" t="s">
        <v>2036</v>
      </c>
      <c r="F1706" s="70"/>
      <c r="G1706" s="70"/>
      <c r="H1706" s="70"/>
      <c r="I1706" s="54"/>
    </row>
    <row r="1707" spans="1:9" s="44" customFormat="1" hidden="1" outlineLevel="1">
      <c r="A1707" s="389" t="s">
        <v>2037</v>
      </c>
      <c r="B1707" s="491">
        <v>3657686</v>
      </c>
      <c r="C1707" s="87">
        <v>451712</v>
      </c>
      <c r="D1707" s="134">
        <v>4109398</v>
      </c>
      <c r="E1707" s="8" t="s">
        <v>2038</v>
      </c>
      <c r="F1707" s="70"/>
      <c r="G1707" s="70"/>
      <c r="H1707" s="70"/>
      <c r="I1707" s="54"/>
    </row>
    <row r="1708" spans="1:9" s="44" customFormat="1" hidden="1" outlineLevel="1">
      <c r="A1708" s="389" t="s">
        <v>2039</v>
      </c>
      <c r="B1708" s="491">
        <v>80010</v>
      </c>
      <c r="C1708" s="87">
        <v>0</v>
      </c>
      <c r="D1708" s="134">
        <v>80010</v>
      </c>
      <c r="E1708" s="8" t="s">
        <v>2040</v>
      </c>
      <c r="F1708" s="70"/>
      <c r="G1708" s="70"/>
      <c r="H1708" s="70"/>
      <c r="I1708" s="54"/>
    </row>
    <row r="1709" spans="1:9" s="44" customFormat="1" hidden="1" outlineLevel="1">
      <c r="A1709" s="389" t="s">
        <v>2041</v>
      </c>
      <c r="B1709" s="491">
        <v>29289224</v>
      </c>
      <c r="C1709" s="87">
        <v>3481962</v>
      </c>
      <c r="D1709" s="134">
        <v>32771186</v>
      </c>
      <c r="E1709" s="8" t="s">
        <v>2042</v>
      </c>
      <c r="F1709" s="70"/>
      <c r="G1709" s="70"/>
      <c r="H1709" s="70"/>
      <c r="I1709" s="54"/>
    </row>
    <row r="1710" spans="1:9" s="44" customFormat="1" hidden="1" outlineLevel="1">
      <c r="A1710" s="389" t="s">
        <v>2043</v>
      </c>
      <c r="B1710" s="491">
        <v>202036</v>
      </c>
      <c r="C1710" s="87">
        <v>0</v>
      </c>
      <c r="D1710" s="134">
        <v>202036</v>
      </c>
      <c r="E1710" s="8" t="s">
        <v>2044</v>
      </c>
      <c r="F1710" s="70"/>
      <c r="G1710" s="70"/>
      <c r="H1710" s="70"/>
      <c r="I1710" s="54"/>
    </row>
    <row r="1711" spans="1:9" s="44" customFormat="1" hidden="1" outlineLevel="1">
      <c r="A1711" s="389" t="s">
        <v>2045</v>
      </c>
      <c r="B1711" s="491">
        <v>838648</v>
      </c>
      <c r="C1711" s="87">
        <v>0</v>
      </c>
      <c r="D1711" s="134">
        <v>838648</v>
      </c>
      <c r="E1711" s="8" t="s">
        <v>2046</v>
      </c>
      <c r="F1711" s="70"/>
      <c r="G1711" s="70"/>
      <c r="H1711" s="70"/>
      <c r="I1711" s="54"/>
    </row>
    <row r="1712" spans="1:9" s="44" customFormat="1" hidden="1" outlineLevel="1">
      <c r="A1712" s="389"/>
      <c r="B1712" s="491"/>
      <c r="C1712" s="87"/>
      <c r="D1712" s="134"/>
      <c r="E1712" s="8"/>
      <c r="F1712" s="70"/>
      <c r="G1712" s="70"/>
      <c r="H1712" s="70"/>
      <c r="I1712" s="54"/>
    </row>
    <row r="1713" spans="1:9" s="44" customFormat="1" hidden="1" outlineLevel="1">
      <c r="A1713" s="389"/>
      <c r="B1713" s="491"/>
      <c r="C1713" s="87"/>
      <c r="D1713" s="134"/>
      <c r="E1713" s="8"/>
      <c r="F1713" s="70"/>
      <c r="G1713" s="70"/>
      <c r="H1713" s="70"/>
      <c r="I1713" s="54"/>
    </row>
    <row r="1714" spans="1:9" s="44" customFormat="1" hidden="1" outlineLevel="1">
      <c r="A1714" s="389"/>
      <c r="B1714" s="491"/>
      <c r="C1714" s="87"/>
      <c r="D1714" s="134"/>
      <c r="E1714" s="8"/>
      <c r="F1714" s="70"/>
      <c r="G1714" s="70"/>
      <c r="H1714" s="70"/>
      <c r="I1714" s="54"/>
    </row>
    <row r="1715" spans="1:9" s="44" customFormat="1" hidden="1" outlineLevel="1">
      <c r="A1715" s="389"/>
      <c r="B1715" s="491"/>
      <c r="C1715" s="87"/>
      <c r="D1715" s="134"/>
      <c r="E1715" s="8"/>
      <c r="F1715" s="70"/>
      <c r="G1715" s="70"/>
      <c r="H1715" s="70"/>
      <c r="I1715" s="54"/>
    </row>
    <row r="1716" spans="1:9" s="44" customFormat="1" ht="13.5" collapsed="1" thickBot="1">
      <c r="A1716" s="410" t="s">
        <v>2047</v>
      </c>
      <c r="B1716" s="493">
        <f>B873+B1033+B1269+B1591</f>
        <v>24326118609.272999</v>
      </c>
      <c r="C1716" s="136">
        <f>C873+C1033+C1269+C1591</f>
        <v>1725934932.0109999</v>
      </c>
      <c r="D1716" s="137">
        <f>D873+D1033+D1269+D1591</f>
        <v>26052053541.284</v>
      </c>
      <c r="E1716" s="10"/>
      <c r="F1716" s="10"/>
      <c r="G1716" s="10"/>
      <c r="H1716" s="10"/>
    </row>
    <row r="1717" spans="1:9" s="44" customFormat="1">
      <c r="A1717" s="13"/>
      <c r="B1717" s="10"/>
      <c r="C1717" s="10"/>
      <c r="D1717" s="10"/>
      <c r="E1717" s="10"/>
      <c r="F1717" s="10"/>
      <c r="G1717" s="10"/>
      <c r="H1717" s="10"/>
    </row>
    <row r="1718" spans="1:9">
      <c r="A1718" s="8"/>
      <c r="B1718" s="18"/>
      <c r="C1718" s="18"/>
      <c r="D1718" s="18"/>
      <c r="E1718" s="18"/>
      <c r="F1718" s="18"/>
      <c r="G1718" s="18"/>
      <c r="H1718" s="18"/>
    </row>
    <row r="1719" spans="1:9">
      <c r="A1719" s="1733" t="s">
        <v>2445</v>
      </c>
      <c r="B1719" s="18"/>
      <c r="C1719" s="18"/>
      <c r="D1719" s="18"/>
      <c r="E1719" s="18"/>
      <c r="F1719" s="18"/>
      <c r="G1719" s="18"/>
      <c r="H1719" s="18"/>
    </row>
    <row r="1720" spans="1:9" ht="13.5" thickBot="1">
      <c r="A1720" s="13"/>
      <c r="B1720" s="18"/>
      <c r="C1720" s="18"/>
      <c r="D1720" s="18"/>
      <c r="E1720" s="18"/>
      <c r="F1720" s="18"/>
      <c r="G1720" s="18"/>
      <c r="H1720" s="18"/>
    </row>
    <row r="1721" spans="1:9" ht="23.25" customHeight="1">
      <c r="A1721" s="490"/>
      <c r="B1721" s="86" t="s">
        <v>2090</v>
      </c>
      <c r="C1721" s="18"/>
      <c r="D1721" s="18"/>
      <c r="E1721" s="18"/>
      <c r="F1721" s="18"/>
      <c r="G1721" s="18"/>
      <c r="H1721" s="18"/>
    </row>
    <row r="1722" spans="1:9" s="8" customFormat="1" ht="13.5" thickBot="1">
      <c r="A1722" s="489"/>
      <c r="B1722" s="531" t="s">
        <v>2054</v>
      </c>
      <c r="C1722" s="18"/>
      <c r="D1722" s="18"/>
      <c r="E1722" s="18"/>
      <c r="F1722" s="18"/>
      <c r="G1722" s="18"/>
      <c r="H1722" s="18"/>
    </row>
    <row r="1723" spans="1:9">
      <c r="A1723" s="413" t="s">
        <v>455</v>
      </c>
      <c r="B1723" s="651">
        <f>'Anlage 1d_Pönalen'!B8</f>
        <v>-643781</v>
      </c>
      <c r="C1723" s="18"/>
      <c r="D1723" s="18"/>
      <c r="E1723" s="18"/>
      <c r="F1723" s="18"/>
      <c r="G1723" s="18"/>
      <c r="H1723" s="18"/>
    </row>
    <row r="1724" spans="1:9">
      <c r="A1724" s="249" t="s">
        <v>774</v>
      </c>
      <c r="B1724" s="652">
        <f>'Anlage 1d_Pönalen'!B9</f>
        <v>0</v>
      </c>
      <c r="C1724" s="18"/>
      <c r="D1724" s="18"/>
      <c r="E1724" s="18"/>
      <c r="F1724" s="18"/>
      <c r="G1724" s="18"/>
      <c r="H1724" s="18"/>
    </row>
    <row r="1725" spans="1:9">
      <c r="A1725" s="374" t="s">
        <v>1220</v>
      </c>
      <c r="B1725" s="652">
        <f>'Anlage 1d_Pönalen'!B10</f>
        <v>0</v>
      </c>
      <c r="C1725" s="18"/>
      <c r="D1725" s="18"/>
      <c r="E1725" s="18"/>
      <c r="F1725" s="18"/>
      <c r="G1725" s="18"/>
      <c r="H1725" s="18"/>
    </row>
    <row r="1726" spans="1:9" ht="13.5" thickBot="1">
      <c r="A1726" s="249" t="s">
        <v>1828</v>
      </c>
      <c r="B1726" s="653">
        <f>'Anlage 1d_Pönalen'!B11</f>
        <v>-137336</v>
      </c>
      <c r="C1726" s="18"/>
      <c r="D1726" s="18"/>
      <c r="E1726" s="18"/>
      <c r="F1726" s="18"/>
      <c r="G1726" s="18"/>
      <c r="H1726" s="18"/>
    </row>
    <row r="1727" spans="1:9" ht="13.5" thickBot="1">
      <c r="A1727" s="414" t="s">
        <v>2047</v>
      </c>
      <c r="B1727" s="654">
        <f>B1723+B1724+B1725+B1726</f>
        <v>-781117</v>
      </c>
      <c r="C1727" s="18"/>
      <c r="D1727" s="18"/>
      <c r="E1727" s="18"/>
      <c r="F1727" s="18"/>
      <c r="G1727" s="18"/>
      <c r="H1727" s="18"/>
    </row>
    <row r="1728" spans="1:9">
      <c r="A1728" s="8"/>
      <c r="B1728" s="18"/>
      <c r="C1728" s="18"/>
      <c r="D1728" s="18"/>
      <c r="E1728" s="18"/>
      <c r="F1728" s="18"/>
      <c r="G1728" s="18"/>
      <c r="H1728" s="18"/>
    </row>
    <row r="1729" spans="1:8">
      <c r="A1729" s="8"/>
      <c r="B1729" s="18"/>
      <c r="C1729" s="18"/>
      <c r="D1729" s="18"/>
      <c r="E1729" s="18"/>
      <c r="F1729" s="18"/>
      <c r="G1729" s="18"/>
      <c r="H1729" s="18"/>
    </row>
    <row r="1730" spans="1:8">
      <c r="A1730" s="1733" t="s">
        <v>2446</v>
      </c>
      <c r="B1730" s="18"/>
      <c r="C1730" s="18"/>
      <c r="D1730" s="18"/>
      <c r="E1730" s="18"/>
      <c r="F1730" s="18"/>
      <c r="G1730" s="18"/>
      <c r="H1730" s="18"/>
    </row>
    <row r="1731" spans="1:8" ht="13.5" thickBot="1">
      <c r="A1731" s="8"/>
      <c r="B1731" s="18"/>
      <c r="C1731" s="18"/>
      <c r="D1731" s="18"/>
      <c r="E1731" s="18"/>
      <c r="F1731" s="18"/>
      <c r="G1731" s="18"/>
      <c r="H1731" s="18"/>
    </row>
    <row r="1732" spans="1:8" ht="70.5" customHeight="1" thickBot="1">
      <c r="A1732" s="490"/>
      <c r="B1732" s="411" t="s">
        <v>2557</v>
      </c>
      <c r="C1732" s="102" t="s">
        <v>2556</v>
      </c>
      <c r="D1732" s="140" t="s">
        <v>2555</v>
      </c>
      <c r="E1732" s="18"/>
      <c r="F1732" s="18"/>
      <c r="G1732" s="18"/>
      <c r="H1732" s="18"/>
    </row>
    <row r="1733" spans="1:8" s="8" customFormat="1" ht="13.5" thickBot="1">
      <c r="A1733" s="489"/>
      <c r="B1733" s="526" t="s">
        <v>2054</v>
      </c>
      <c r="C1733" s="528" t="s">
        <v>2054</v>
      </c>
      <c r="D1733" s="530" t="s">
        <v>2054</v>
      </c>
      <c r="E1733" s="18"/>
      <c r="F1733" s="18"/>
      <c r="G1733" s="18"/>
      <c r="H1733" s="18"/>
    </row>
    <row r="1734" spans="1:8">
      <c r="A1734" s="415" t="s">
        <v>455</v>
      </c>
      <c r="B1734" s="655">
        <f>'Anlage 1e_WKNS'!D8</f>
        <v>39240358</v>
      </c>
      <c r="C1734" s="656">
        <f>'Anlage 1e_WKNS'!D20+'Anlage 1e_WKNS'!D32+'Anlage 1e_WKNS'!D44+'Anlage 1e_WKNS'!D56</f>
        <v>-241228</v>
      </c>
      <c r="D1734" s="657">
        <f>SUM(B1734:C1734)</f>
        <v>38999130</v>
      </c>
      <c r="E1734" s="18"/>
      <c r="F1734" s="18"/>
      <c r="G1734" s="18"/>
      <c r="H1734" s="18"/>
    </row>
    <row r="1735" spans="1:8">
      <c r="A1735" s="374" t="s">
        <v>774</v>
      </c>
      <c r="B1735" s="658">
        <f>'Anlage 1e_WKNS'!D9</f>
        <v>85705059</v>
      </c>
      <c r="C1735" s="659">
        <f>'Anlage 1e_WKNS'!D21+'Anlage 1e_WKNS'!D33+'Anlage 1e_WKNS'!D45+'Anlage 1e_WKNS'!D57</f>
        <v>-250871</v>
      </c>
      <c r="D1735" s="660">
        <f t="shared" ref="D1735:D1737" si="64">SUM(B1735:C1735)</f>
        <v>85454188</v>
      </c>
      <c r="E1735" s="18"/>
      <c r="F1735" s="18"/>
      <c r="G1735" s="18"/>
      <c r="H1735" s="18"/>
    </row>
    <row r="1736" spans="1:8">
      <c r="A1736" s="374" t="s">
        <v>1220</v>
      </c>
      <c r="B1736" s="658">
        <f>'Anlage 1e_WKNS'!D10</f>
        <v>85691444</v>
      </c>
      <c r="C1736" s="659">
        <f>'Anlage 1e_WKNS'!D22+'Anlage 1e_WKNS'!D34+'Anlage 1e_WKNS'!D46+'Anlage 1e_WKNS'!D58</f>
        <v>11421510</v>
      </c>
      <c r="D1736" s="660">
        <f t="shared" si="64"/>
        <v>97112954</v>
      </c>
      <c r="E1736" s="18"/>
      <c r="F1736" s="18"/>
      <c r="G1736" s="18"/>
      <c r="H1736" s="18"/>
    </row>
    <row r="1737" spans="1:8" ht="13.5" thickBot="1">
      <c r="A1737" s="403" t="s">
        <v>1828</v>
      </c>
      <c r="B1737" s="661">
        <f>'Anlage 1e_WKNS'!D11</f>
        <v>64829554</v>
      </c>
      <c r="C1737" s="662">
        <f>'Anlage 1e_WKNS'!D23+'Anlage 1e_WKNS'!D35+'Anlage 1e_WKNS'!D47+'Anlage 1e_WKNS'!D59</f>
        <v>49182</v>
      </c>
      <c r="D1737" s="663">
        <f t="shared" si="64"/>
        <v>64878736</v>
      </c>
      <c r="E1737" s="18"/>
      <c r="F1737" s="18"/>
      <c r="G1737" s="18"/>
      <c r="H1737" s="18"/>
    </row>
    <row r="1738" spans="1:8" ht="13.5" thickBot="1">
      <c r="A1738" s="416" t="s">
        <v>2047</v>
      </c>
      <c r="B1738" s="664">
        <f>SUM(B1734:B1737)</f>
        <v>275466415</v>
      </c>
      <c r="C1738" s="665">
        <f>SUM(C1734:C1737)</f>
        <v>10978593</v>
      </c>
      <c r="D1738" s="666">
        <f>SUM(D1734:D1737)</f>
        <v>286445008</v>
      </c>
      <c r="E1738" s="18"/>
      <c r="F1738" s="18"/>
      <c r="G1738" s="18"/>
      <c r="H1738" s="18"/>
    </row>
    <row r="1739" spans="1:8">
      <c r="A1739" s="8"/>
      <c r="B1739" s="18"/>
      <c r="C1739" s="18"/>
      <c r="D1739" s="18"/>
      <c r="E1739" s="18"/>
      <c r="F1739" s="18"/>
      <c r="G1739" s="18"/>
      <c r="H1739" s="18"/>
    </row>
    <row r="1740" spans="1:8">
      <c r="A1740" s="1741" t="s">
        <v>2447</v>
      </c>
      <c r="B1740" s="18"/>
      <c r="C1740" s="18"/>
      <c r="D1740" s="18"/>
      <c r="E1740" s="18"/>
      <c r="F1740" s="18"/>
      <c r="G1740" s="18"/>
      <c r="H1740" s="18"/>
    </row>
    <row r="1741" spans="1:8" ht="13.5" thickBot="1"/>
    <row r="1742" spans="1:8" ht="74.25" customHeight="1">
      <c r="A1742" s="490"/>
      <c r="B1742" s="494" t="s">
        <v>2448</v>
      </c>
      <c r="C1742" s="100" t="s">
        <v>2449</v>
      </c>
      <c r="D1742" s="100" t="s">
        <v>2450</v>
      </c>
      <c r="E1742" s="100" t="s">
        <v>2451</v>
      </c>
      <c r="F1742" s="100" t="s">
        <v>2452</v>
      </c>
      <c r="G1742" s="101" t="s">
        <v>2453</v>
      </c>
      <c r="H1742" s="90"/>
    </row>
    <row r="1743" spans="1:8" s="8" customFormat="1" ht="13.5" thickBot="1">
      <c r="A1743" s="489"/>
      <c r="B1743" s="526" t="s">
        <v>2054</v>
      </c>
      <c r="C1743" s="525" t="s">
        <v>2054</v>
      </c>
      <c r="D1743" s="525" t="s">
        <v>2054</v>
      </c>
      <c r="E1743" s="525" t="s">
        <v>2054</v>
      </c>
      <c r="F1743" s="525" t="s">
        <v>2054</v>
      </c>
      <c r="G1743" s="531" t="s">
        <v>2054</v>
      </c>
      <c r="H1743" s="10"/>
    </row>
    <row r="1744" spans="1:8">
      <c r="A1744" s="417" t="str">
        <f>A7</f>
        <v>Regelzone 50Hertz (gesamt)</v>
      </c>
      <c r="B1744" s="1714">
        <f>+SUM(B1745:B1915)</f>
        <v>179493038.36087418</v>
      </c>
      <c r="C1744" s="1715">
        <f>+SUM(C1745:C1915)</f>
        <v>-13747687.526529999</v>
      </c>
      <c r="D1744" s="1715">
        <f>+SUM(D1745:D1915)</f>
        <v>2262.06</v>
      </c>
      <c r="E1744" s="1715">
        <f>B1744+C1744+D1744</f>
        <v>165747612.89434418</v>
      </c>
      <c r="F1744" s="1716">
        <f>+SUM(F1745:F1915)</f>
        <v>722694.05</v>
      </c>
      <c r="G1744" s="1717">
        <f>E1744+F1744</f>
        <v>166470306.94434419</v>
      </c>
      <c r="H1744" s="133"/>
    </row>
    <row r="1745" spans="1:10" hidden="1" outlineLevel="1">
      <c r="A1745" s="418" t="s">
        <v>772</v>
      </c>
      <c r="B1745" s="1698">
        <f>+VLOOKUP(A1745,'Anlage 2a_Letztverbrauch'!$A$932:$I$1705,9,FALSE)</f>
        <v>13344446.316650001</v>
      </c>
      <c r="C1745" s="711">
        <f>+IF(ISNA(VLOOKUP(A1745,'Anlage 2a_Letztverbrauch'!$A$2774:$C$2786,3,0)),0,VLOOKUP(A1745,'Anlage 2a_Letztverbrauch'!$A$2774:$C$2786,3,0))</f>
        <v>-13086713.381279999</v>
      </c>
      <c r="D1745" s="711">
        <v>0</v>
      </c>
      <c r="E1745" s="711">
        <f>B1745+C1745+D1745</f>
        <v>257732.93537000194</v>
      </c>
      <c r="F1745" s="88">
        <f>+SUMIF('Anlage 2b_Korrekturen'!$B$8:$B$226,'Anlage 3a_Zusammenfassung_KWKG'!A1745,'Anlage 2b_Korrekturen'!$E$8:$E$226)</f>
        <v>-363388.80999999994</v>
      </c>
      <c r="G1745" s="668">
        <f>E1745+F1745</f>
        <v>-105655.874629998</v>
      </c>
      <c r="H1745" s="133"/>
      <c r="I1745" s="92"/>
      <c r="J1745" t="s">
        <v>773</v>
      </c>
    </row>
    <row r="1746" spans="1:10" hidden="1" outlineLevel="1">
      <c r="A1746" s="418" t="s">
        <v>758</v>
      </c>
      <c r="B1746" s="1698">
        <f>+VLOOKUP(A1746,'Anlage 2a_Letztverbrauch'!$A$932:$I$1705,9,FALSE)</f>
        <v>5064835.7290400006</v>
      </c>
      <c r="C1746" s="711">
        <f>+IF(ISNA(VLOOKUP(A1746,'Anlage 2a_Letztverbrauch'!$A$2774:$C$2786,3,0)),0,VLOOKUP(A1746,'Anlage 2a_Letztverbrauch'!$A$2774:$C$2786,3,0))</f>
        <v>-316217.56028000003</v>
      </c>
      <c r="D1746" s="711">
        <v>0</v>
      </c>
      <c r="E1746" s="711">
        <f t="shared" ref="E1746:E1808" si="65">B1746+C1746+D1746</f>
        <v>4748618.1687600007</v>
      </c>
      <c r="F1746" s="711">
        <f>+SUMIF('Anlage 2b_Korrekturen'!$B$8:$B$226,'Anlage 3a_Zusammenfassung_KWKG'!A1746,'Anlage 2b_Korrekturen'!$E$8:$E$226)</f>
        <v>-17031.55</v>
      </c>
      <c r="G1746" s="668">
        <f t="shared" ref="G1746:G1808" si="66">E1746+F1746</f>
        <v>4731586.6187600009</v>
      </c>
      <c r="H1746" s="133"/>
      <c r="I1746" s="92"/>
      <c r="J1746" t="s">
        <v>759</v>
      </c>
    </row>
    <row r="1747" spans="1:10" hidden="1" outlineLevel="1">
      <c r="A1747" s="418" t="s">
        <v>460</v>
      </c>
      <c r="B1747" s="1698">
        <f>+VLOOKUP(A1747,'Anlage 2a_Letztverbrauch'!$A$932:$I$1705,9,FALSE)</f>
        <v>102264.87379000001</v>
      </c>
      <c r="C1747" s="711">
        <f>+IF(ISNA(VLOOKUP(A1747,'Anlage 2a_Letztverbrauch'!$A$2774:$C$2786,3,0)),0,VLOOKUP(A1747,'Anlage 2a_Letztverbrauch'!$A$2774:$C$2786,3,0))</f>
        <v>0</v>
      </c>
      <c r="D1747" s="711">
        <v>0</v>
      </c>
      <c r="E1747" s="711">
        <f t="shared" si="65"/>
        <v>102264.87379000001</v>
      </c>
      <c r="F1747" s="711">
        <f>+SUMIF('Anlage 2b_Korrekturen'!$B$8:$B$226,'Anlage 3a_Zusammenfassung_KWKG'!A1747,'Anlage 2b_Korrekturen'!$E$8:$E$226)</f>
        <v>0</v>
      </c>
      <c r="G1747" s="668">
        <f t="shared" si="66"/>
        <v>102264.87379000001</v>
      </c>
      <c r="H1747" s="133"/>
      <c r="I1747" s="92"/>
      <c r="J1747" t="s">
        <v>2162</v>
      </c>
    </row>
    <row r="1748" spans="1:10" hidden="1" outlineLevel="1">
      <c r="A1748" s="418" t="s">
        <v>488</v>
      </c>
      <c r="B1748" s="1698">
        <f>+VLOOKUP(A1748,'Anlage 2a_Letztverbrauch'!$A$932:$I$1705,9,FALSE)</f>
        <v>247480.12108000004</v>
      </c>
      <c r="C1748" s="711">
        <f>+IF(ISNA(VLOOKUP(A1748,'Anlage 2a_Letztverbrauch'!$A$2774:$C$2786,3,0)),0,VLOOKUP(A1748,'Anlage 2a_Letztverbrauch'!$A$2774:$C$2786,3,0))</f>
        <v>0</v>
      </c>
      <c r="D1748" s="711">
        <v>0</v>
      </c>
      <c r="E1748" s="711">
        <f t="shared" si="65"/>
        <v>247480.12108000004</v>
      </c>
      <c r="F1748" s="711">
        <f>+SUMIF('Anlage 2b_Korrekturen'!$B$8:$B$226,'Anlage 3a_Zusammenfassung_KWKG'!A1748,'Anlage 2b_Korrekturen'!$E$8:$E$226)</f>
        <v>0</v>
      </c>
      <c r="G1748" s="668">
        <f t="shared" si="66"/>
        <v>247480.12108000004</v>
      </c>
      <c r="H1748" s="133"/>
      <c r="I1748" s="92"/>
      <c r="J1748" t="s">
        <v>489</v>
      </c>
    </row>
    <row r="1749" spans="1:10" hidden="1" outlineLevel="1">
      <c r="A1749" s="418" t="s">
        <v>943</v>
      </c>
      <c r="B1749" s="1698">
        <f>+VLOOKUP(A1749,'Anlage 2a_Letztverbrauch'!$A$932:$I$1705,9,FALSE)</f>
        <v>931185.94114600006</v>
      </c>
      <c r="C1749" s="711">
        <f>+IF(ISNA(VLOOKUP(A1749,'Anlage 2a_Letztverbrauch'!$A$2774:$C$2786,3,0)),0,VLOOKUP(A1749,'Anlage 2a_Letztverbrauch'!$A$2774:$C$2786,3,0))</f>
        <v>0</v>
      </c>
      <c r="D1749" s="711">
        <v>0</v>
      </c>
      <c r="E1749" s="711">
        <f t="shared" si="65"/>
        <v>931185.94114600006</v>
      </c>
      <c r="F1749" s="711">
        <f>+SUMIF('Anlage 2b_Korrekturen'!$B$8:$B$226,'Anlage 3a_Zusammenfassung_KWKG'!A1749,'Anlage 2b_Korrekturen'!$E$8:$E$226)</f>
        <v>-3497.85</v>
      </c>
      <c r="G1749" s="668">
        <f t="shared" si="66"/>
        <v>927688.09114600008</v>
      </c>
      <c r="H1749" s="133"/>
      <c r="I1749" s="92"/>
      <c r="J1749" t="s">
        <v>2163</v>
      </c>
    </row>
    <row r="1750" spans="1:10" hidden="1" outlineLevel="1">
      <c r="A1750" s="418" t="s">
        <v>943</v>
      </c>
      <c r="B1750" s="1698">
        <v>545879.93502199999</v>
      </c>
      <c r="C1750" s="711">
        <f>+IF(ISNA(VLOOKUP(A1750,'Anlage 2a_Letztverbrauch'!$A$2774:$C$2786,3,0)),0,VLOOKUP(A1750,'Anlage 2a_Letztverbrauch'!$A$2774:$C$2786,3,0))</f>
        <v>0</v>
      </c>
      <c r="D1750" s="711">
        <v>0</v>
      </c>
      <c r="E1750" s="711">
        <f t="shared" si="65"/>
        <v>545879.93502199999</v>
      </c>
      <c r="F1750" s="1673">
        <v>0</v>
      </c>
      <c r="G1750" s="668">
        <f t="shared" si="66"/>
        <v>545879.93502199999</v>
      </c>
      <c r="H1750" s="133"/>
      <c r="I1750" s="92"/>
      <c r="J1750" t="s">
        <v>2164</v>
      </c>
    </row>
    <row r="1751" spans="1:10" hidden="1" outlineLevel="1">
      <c r="A1751" s="418" t="s">
        <v>728</v>
      </c>
      <c r="B1751" s="1698">
        <f>+VLOOKUP(A1751,'Anlage 2a_Letztverbrauch'!$A$932:$I$1705,9,FALSE)</f>
        <v>5374944.0629070001</v>
      </c>
      <c r="C1751" s="711">
        <f>+IF(ISNA(VLOOKUP(A1751,'Anlage 2a_Letztverbrauch'!$A$2774:$C$2786,3,0)),0,VLOOKUP(A1751,'Anlage 2a_Letztverbrauch'!$A$2774:$C$2786,3,0))</f>
        <v>-1929.0224600000001</v>
      </c>
      <c r="D1751" s="711">
        <v>0</v>
      </c>
      <c r="E1751" s="711">
        <f t="shared" si="65"/>
        <v>5373015.0404470004</v>
      </c>
      <c r="F1751" s="711">
        <f>+SUMIF('Anlage 2b_Korrekturen'!$B$8:$B$226,'Anlage 3a_Zusammenfassung_KWKG'!A1751,'Anlage 2b_Korrekturen'!$E$8:$E$226)</f>
        <v>8862.4599999999991</v>
      </c>
      <c r="G1751" s="668">
        <f t="shared" si="66"/>
        <v>5381877.5004470004</v>
      </c>
      <c r="H1751" s="133"/>
      <c r="I1751" s="92"/>
      <c r="J1751" t="s">
        <v>729</v>
      </c>
    </row>
    <row r="1752" spans="1:10" hidden="1" outlineLevel="1">
      <c r="A1752" s="418" t="s">
        <v>598</v>
      </c>
      <c r="B1752" s="1698">
        <f>+VLOOKUP(A1752,'Anlage 2a_Letztverbrauch'!$A$932:$I$1705,9,FALSE)</f>
        <v>19345165.307962</v>
      </c>
      <c r="C1752" s="711">
        <f>+IF(ISNA(VLOOKUP(A1752,'Anlage 2a_Letztverbrauch'!$A$2774:$C$2786,3,0)),0,VLOOKUP(A1752,'Anlage 2a_Letztverbrauch'!$A$2774:$C$2786,3,0))</f>
        <v>-4498.8151700000008</v>
      </c>
      <c r="D1752" s="711">
        <v>0</v>
      </c>
      <c r="E1752" s="711">
        <f t="shared" si="65"/>
        <v>19340666.492791999</v>
      </c>
      <c r="F1752" s="711">
        <f>+SUMIF('Anlage 2b_Korrekturen'!$B$8:$B$226,'Anlage 3a_Zusammenfassung_KWKG'!A1752,'Anlage 2b_Korrekturen'!$E$8:$E$226)</f>
        <v>-18335.459999999992</v>
      </c>
      <c r="G1752" s="668">
        <f t="shared" si="66"/>
        <v>19322331.032791998</v>
      </c>
      <c r="H1752" s="133"/>
      <c r="I1752" s="92"/>
      <c r="J1752" t="s">
        <v>599</v>
      </c>
    </row>
    <row r="1753" spans="1:10" hidden="1" outlineLevel="1">
      <c r="A1753" s="418" t="s">
        <v>799</v>
      </c>
      <c r="B1753" s="1698">
        <f>+VLOOKUP(A1753,'Anlage 2a_Letztverbrauch'!$A$932:$I$1705,9,FALSE)</f>
        <v>17790.987030000004</v>
      </c>
      <c r="C1753" s="711">
        <f>+IF(ISNA(VLOOKUP(A1753,'Anlage 2a_Letztverbrauch'!$A$2774:$C$2786,3,0)),0,VLOOKUP(A1753,'Anlage 2a_Letztverbrauch'!$A$2774:$C$2786,3,0))</f>
        <v>0</v>
      </c>
      <c r="D1753" s="711">
        <v>0</v>
      </c>
      <c r="E1753" s="711">
        <f t="shared" si="65"/>
        <v>17790.987030000004</v>
      </c>
      <c r="F1753" s="711">
        <f>+SUMIF('Anlage 2b_Korrekturen'!$B$8:$B$226,'Anlage 3a_Zusammenfassung_KWKG'!A1753,'Anlage 2b_Korrekturen'!$E$8:$E$226)</f>
        <v>0</v>
      </c>
      <c r="G1753" s="668">
        <f t="shared" si="66"/>
        <v>17790.987030000004</v>
      </c>
      <c r="H1753" s="133"/>
      <c r="I1753" s="92"/>
      <c r="J1753" t="s">
        <v>2165</v>
      </c>
    </row>
    <row r="1754" spans="1:10" hidden="1" outlineLevel="1">
      <c r="A1754" s="418" t="s">
        <v>542</v>
      </c>
      <c r="B1754" s="1698">
        <f>+VLOOKUP(A1754,'Anlage 2a_Letztverbrauch'!$A$932:$I$1705,9,FALSE)</f>
        <v>6117.8801700000013</v>
      </c>
      <c r="C1754" s="711">
        <f>+IF(ISNA(VLOOKUP(A1754,'Anlage 2a_Letztverbrauch'!$A$2774:$C$2786,3,0)),0,VLOOKUP(A1754,'Anlage 2a_Letztverbrauch'!$A$2774:$C$2786,3,0))</f>
        <v>0</v>
      </c>
      <c r="D1754" s="711">
        <v>0</v>
      </c>
      <c r="E1754" s="711">
        <f t="shared" si="65"/>
        <v>6117.8801700000013</v>
      </c>
      <c r="F1754" s="711">
        <f>+SUMIF('Anlage 2b_Korrekturen'!$B$8:$B$226,'Anlage 3a_Zusammenfassung_KWKG'!A1754,'Anlage 2b_Korrekturen'!$E$8:$E$226)</f>
        <v>215.88</v>
      </c>
      <c r="G1754" s="668">
        <f t="shared" si="66"/>
        <v>6333.7601700000014</v>
      </c>
      <c r="H1754" s="133"/>
      <c r="I1754" s="92"/>
      <c r="J1754" t="s">
        <v>543</v>
      </c>
    </row>
    <row r="1755" spans="1:10" hidden="1" outlineLevel="1">
      <c r="A1755" s="418" t="s">
        <v>2166</v>
      </c>
      <c r="B1755" s="1698">
        <f>+VLOOKUP(A1755,'Anlage 2a_Letztverbrauch'!$A$932:$I$1705,9,FALSE)</f>
        <v>88873.03456</v>
      </c>
      <c r="C1755" s="711">
        <f>+IF(ISNA(VLOOKUP(A1755,'Anlage 2a_Letztverbrauch'!$A$2774:$C$2786,3,0)),0,VLOOKUP(A1755,'Anlage 2a_Letztverbrauch'!$A$2774:$C$2786,3,0))</f>
        <v>0</v>
      </c>
      <c r="D1755" s="711">
        <v>0</v>
      </c>
      <c r="E1755" s="711">
        <f t="shared" si="65"/>
        <v>88873.03456</v>
      </c>
      <c r="F1755" s="711">
        <f>+SUMIF('Anlage 2b_Korrekturen'!$B$8:$B$226,'Anlage 3a_Zusammenfassung_KWKG'!A1755,'Anlage 2b_Korrekturen'!$E$8:$E$226)</f>
        <v>0</v>
      </c>
      <c r="G1755" s="668">
        <f t="shared" si="66"/>
        <v>88873.03456</v>
      </c>
      <c r="H1755" s="133"/>
      <c r="I1755" s="92"/>
      <c r="J1755" t="s">
        <v>2167</v>
      </c>
    </row>
    <row r="1756" spans="1:10" hidden="1" outlineLevel="1">
      <c r="A1756" s="418" t="s">
        <v>508</v>
      </c>
      <c r="B1756" s="1698">
        <f>+VLOOKUP(A1756,'Anlage 2a_Letztverbrauch'!$A$932:$I$1705,9,FALSE)</f>
        <v>16173.617270000002</v>
      </c>
      <c r="C1756" s="711">
        <f>+IF(ISNA(VLOOKUP(A1756,'Anlage 2a_Letztverbrauch'!$A$2774:$C$2786,3,0)),0,VLOOKUP(A1756,'Anlage 2a_Letztverbrauch'!$A$2774:$C$2786,3,0))</f>
        <v>0</v>
      </c>
      <c r="D1756" s="711">
        <v>0</v>
      </c>
      <c r="E1756" s="711">
        <f t="shared" si="65"/>
        <v>16173.617270000002</v>
      </c>
      <c r="F1756" s="711">
        <f>+SUMIF('Anlage 2b_Korrekturen'!$B$8:$B$226,'Anlage 3a_Zusammenfassung_KWKG'!A1756,'Anlage 2b_Korrekturen'!$E$8:$E$226)</f>
        <v>0</v>
      </c>
      <c r="G1756" s="668">
        <f t="shared" si="66"/>
        <v>16173.617270000002</v>
      </c>
      <c r="H1756" s="133"/>
      <c r="I1756" s="92"/>
      <c r="J1756" t="s">
        <v>509</v>
      </c>
    </row>
    <row r="1757" spans="1:10" hidden="1" outlineLevel="1">
      <c r="A1757" s="418" t="s">
        <v>676</v>
      </c>
      <c r="B1757" s="1698">
        <f>+VLOOKUP(A1757,'Anlage 2a_Letztverbrauch'!$A$932:$I$1705,9,FALSE)</f>
        <v>113273.11694000001</v>
      </c>
      <c r="C1757" s="711">
        <f>+IF(ISNA(VLOOKUP(A1757,'Anlage 2a_Letztverbrauch'!$A$2774:$C$2786,3,0)),0,VLOOKUP(A1757,'Anlage 2a_Letztverbrauch'!$A$2774:$C$2786,3,0))</f>
        <v>0</v>
      </c>
      <c r="D1757" s="711">
        <v>0</v>
      </c>
      <c r="E1757" s="711">
        <f t="shared" si="65"/>
        <v>113273.11694000001</v>
      </c>
      <c r="F1757" s="711">
        <f>+SUMIF('Anlage 2b_Korrekturen'!$B$8:$B$226,'Anlage 3a_Zusammenfassung_KWKG'!A1757,'Anlage 2b_Korrekturen'!$E$8:$E$226)</f>
        <v>0</v>
      </c>
      <c r="G1757" s="668">
        <f t="shared" si="66"/>
        <v>113273.11694000001</v>
      </c>
      <c r="H1757" s="133"/>
      <c r="I1757" s="92"/>
      <c r="J1757" t="s">
        <v>677</v>
      </c>
    </row>
    <row r="1758" spans="1:10" hidden="1" outlineLevel="1">
      <c r="A1758" s="418" t="s">
        <v>2168</v>
      </c>
      <c r="B1758" s="1698">
        <f>+VLOOKUP(A1758,'Anlage 2a_Letztverbrauch'!$A$932:$I$1705,9,FALSE)</f>
        <v>509424.11294000008</v>
      </c>
      <c r="C1758" s="711">
        <f>+IF(ISNA(VLOOKUP(A1758,'Anlage 2a_Letztverbrauch'!$A$2774:$C$2786,3,0)),0,VLOOKUP(A1758,'Anlage 2a_Letztverbrauch'!$A$2774:$C$2786,3,0))</f>
        <v>0</v>
      </c>
      <c r="D1758" s="711">
        <v>0</v>
      </c>
      <c r="E1758" s="711">
        <f t="shared" si="65"/>
        <v>509424.11294000008</v>
      </c>
      <c r="F1758" s="711">
        <f>+SUMIF('Anlage 2b_Korrekturen'!$B$8:$B$226,'Anlage 3a_Zusammenfassung_KWKG'!A1758,'Anlage 2b_Korrekturen'!$E$8:$E$226)</f>
        <v>0</v>
      </c>
      <c r="G1758" s="668">
        <f t="shared" si="66"/>
        <v>509424.11294000008</v>
      </c>
      <c r="H1758" s="133"/>
      <c r="I1758" s="92"/>
      <c r="J1758" t="s">
        <v>2169</v>
      </c>
    </row>
    <row r="1759" spans="1:10" hidden="1" outlineLevel="1">
      <c r="A1759" s="418" t="s">
        <v>2170</v>
      </c>
      <c r="B1759" s="1698">
        <f>+VLOOKUP(A1759,'Anlage 2a_Letztverbrauch'!$A$932:$I$1705,9,FALSE)</f>
        <v>274857.81496000005</v>
      </c>
      <c r="C1759" s="711">
        <f>+IF(ISNA(VLOOKUP(A1759,'Anlage 2a_Letztverbrauch'!$A$2774:$C$2786,3,0)),0,VLOOKUP(A1759,'Anlage 2a_Letztverbrauch'!$A$2774:$C$2786,3,0))</f>
        <v>0</v>
      </c>
      <c r="D1759" s="711">
        <v>0</v>
      </c>
      <c r="E1759" s="711">
        <f t="shared" si="65"/>
        <v>274857.81496000005</v>
      </c>
      <c r="F1759" s="711">
        <f>+SUMIF('Anlage 2b_Korrekturen'!$B$8:$B$226,'Anlage 3a_Zusammenfassung_KWKG'!A1759,'Anlage 2b_Korrekturen'!$E$8:$E$226)</f>
        <v>0</v>
      </c>
      <c r="G1759" s="668">
        <f t="shared" si="66"/>
        <v>274857.81496000005</v>
      </c>
      <c r="H1759" s="133"/>
      <c r="I1759" s="92"/>
      <c r="J1759" t="s">
        <v>2171</v>
      </c>
    </row>
    <row r="1760" spans="1:10" hidden="1" outlineLevel="1">
      <c r="A1760" s="418" t="s">
        <v>2172</v>
      </c>
      <c r="B1760" s="1698">
        <f>+VLOOKUP(A1760,'Anlage 2a_Letztverbrauch'!$A$932:$I$1705,9,FALSE)</f>
        <v>170140.06462000002</v>
      </c>
      <c r="C1760" s="711">
        <f>+IF(ISNA(VLOOKUP(A1760,'Anlage 2a_Letztverbrauch'!$A$2774:$C$2786,3,0)),0,VLOOKUP(A1760,'Anlage 2a_Letztverbrauch'!$A$2774:$C$2786,3,0))</f>
        <v>0</v>
      </c>
      <c r="D1760" s="711">
        <v>0</v>
      </c>
      <c r="E1760" s="711">
        <f t="shared" si="65"/>
        <v>170140.06462000002</v>
      </c>
      <c r="F1760" s="711">
        <f>+SUMIF('Anlage 2b_Korrekturen'!$B$8:$B$226,'Anlage 3a_Zusammenfassung_KWKG'!A1760,'Anlage 2b_Korrekturen'!$E$8:$E$226)</f>
        <v>0</v>
      </c>
      <c r="G1760" s="668">
        <f t="shared" si="66"/>
        <v>170140.06462000002</v>
      </c>
      <c r="H1760" s="133"/>
      <c r="I1760" s="92"/>
      <c r="J1760" t="s">
        <v>2173</v>
      </c>
    </row>
    <row r="1761" spans="1:10" hidden="1" outlineLevel="1">
      <c r="A1761" s="418" t="s">
        <v>456</v>
      </c>
      <c r="B1761" s="1698">
        <f>+VLOOKUP(A1761,'Anlage 2a_Letztverbrauch'!$A$932:$I$1705,9,FALSE)</f>
        <v>193199.88804000002</v>
      </c>
      <c r="C1761" s="711">
        <f>+IF(ISNA(VLOOKUP(A1761,'Anlage 2a_Letztverbrauch'!$A$2774:$C$2786,3,0)),0,VLOOKUP(A1761,'Anlage 2a_Letztverbrauch'!$A$2774:$C$2786,3,0))</f>
        <v>0</v>
      </c>
      <c r="D1761" s="711">
        <v>0</v>
      </c>
      <c r="E1761" s="711">
        <f t="shared" si="65"/>
        <v>193199.88804000002</v>
      </c>
      <c r="F1761" s="711">
        <f>+SUMIF('Anlage 2b_Korrekturen'!$B$8:$B$226,'Anlage 3a_Zusammenfassung_KWKG'!A1761,'Anlage 2b_Korrekturen'!$E$8:$E$226)</f>
        <v>3064.44</v>
      </c>
      <c r="G1761" s="668">
        <f t="shared" si="66"/>
        <v>196264.32804000002</v>
      </c>
      <c r="H1761" s="133"/>
      <c r="I1761" s="92"/>
      <c r="J1761" t="s">
        <v>457</v>
      </c>
    </row>
    <row r="1762" spans="1:10" hidden="1" outlineLevel="1">
      <c r="A1762" s="418" t="s">
        <v>768</v>
      </c>
      <c r="B1762" s="1698">
        <f>+VLOOKUP(A1762,'Anlage 2a_Letztverbrauch'!$A$932:$I$1705,9,FALSE)</f>
        <v>200493.11245000002</v>
      </c>
      <c r="C1762" s="711">
        <f>+IF(ISNA(VLOOKUP(A1762,'Anlage 2a_Letztverbrauch'!$A$2774:$C$2786,3,0)),0,VLOOKUP(A1762,'Anlage 2a_Letztverbrauch'!$A$2774:$C$2786,3,0))</f>
        <v>0</v>
      </c>
      <c r="D1762" s="711">
        <v>0</v>
      </c>
      <c r="E1762" s="711">
        <f t="shared" si="65"/>
        <v>200493.11245000002</v>
      </c>
      <c r="F1762" s="711">
        <f>+SUMIF('Anlage 2b_Korrekturen'!$B$8:$B$226,'Anlage 3a_Zusammenfassung_KWKG'!A1762,'Anlage 2b_Korrekturen'!$E$8:$E$226)</f>
        <v>3889.2</v>
      </c>
      <c r="G1762" s="668">
        <f t="shared" si="66"/>
        <v>204382.31245000003</v>
      </c>
      <c r="H1762" s="133"/>
      <c r="I1762" s="92"/>
      <c r="J1762" t="s">
        <v>769</v>
      </c>
    </row>
    <row r="1763" spans="1:10" hidden="1" outlineLevel="1">
      <c r="A1763" s="418" t="s">
        <v>2174</v>
      </c>
      <c r="B1763" s="1698">
        <f>+VLOOKUP(A1763,'Anlage 2a_Letztverbrauch'!$A$932:$I$1705,9,FALSE)</f>
        <v>46824.262820000004</v>
      </c>
      <c r="C1763" s="711">
        <f>+IF(ISNA(VLOOKUP(A1763,'Anlage 2a_Letztverbrauch'!$A$2774:$C$2786,3,0)),0,VLOOKUP(A1763,'Anlage 2a_Letztverbrauch'!$A$2774:$C$2786,3,0))</f>
        <v>0</v>
      </c>
      <c r="D1763" s="711">
        <v>0</v>
      </c>
      <c r="E1763" s="711">
        <f t="shared" si="65"/>
        <v>46824.262820000004</v>
      </c>
      <c r="F1763" s="711">
        <f>+SUMIF('Anlage 2b_Korrekturen'!$B$8:$B$226,'Anlage 3a_Zusammenfassung_KWKG'!A1763,'Anlage 2b_Korrekturen'!$E$8:$E$226)</f>
        <v>0</v>
      </c>
      <c r="G1763" s="668">
        <f t="shared" si="66"/>
        <v>46824.262820000004</v>
      </c>
      <c r="H1763" s="133"/>
      <c r="I1763" s="92"/>
      <c r="J1763" t="s">
        <v>2175</v>
      </c>
    </row>
    <row r="1764" spans="1:10" hidden="1" outlineLevel="1">
      <c r="A1764" s="418" t="s">
        <v>738</v>
      </c>
      <c r="B1764" s="1698">
        <f>+VLOOKUP(A1764,'Anlage 2a_Letztverbrauch'!$A$932:$I$1705,9,FALSE)</f>
        <v>785965.04361000005</v>
      </c>
      <c r="C1764" s="711">
        <f>+IF(ISNA(VLOOKUP(A1764,'Anlage 2a_Letztverbrauch'!$A$2774:$C$2786,3,0)),0,VLOOKUP(A1764,'Anlage 2a_Letztverbrauch'!$A$2774:$C$2786,3,0))</f>
        <v>0</v>
      </c>
      <c r="D1764" s="711">
        <v>0</v>
      </c>
      <c r="E1764" s="711">
        <f t="shared" si="65"/>
        <v>785965.04361000005</v>
      </c>
      <c r="F1764" s="711">
        <f>+SUMIF('Anlage 2b_Korrekturen'!$B$8:$B$226,'Anlage 3a_Zusammenfassung_KWKG'!A1764,'Anlage 2b_Korrekturen'!$E$8:$E$226)</f>
        <v>0</v>
      </c>
      <c r="G1764" s="668">
        <f t="shared" si="66"/>
        <v>785965.04361000005</v>
      </c>
      <c r="H1764" s="133"/>
      <c r="I1764" s="92"/>
      <c r="J1764" t="s">
        <v>739</v>
      </c>
    </row>
    <row r="1765" spans="1:10" hidden="1" outlineLevel="1">
      <c r="A1765" s="418" t="s">
        <v>484</v>
      </c>
      <c r="B1765" s="1698">
        <f>+VLOOKUP(A1765,'Anlage 2a_Letztverbrauch'!$A$932:$I$1705,9,FALSE)</f>
        <v>21509896.007860001</v>
      </c>
      <c r="C1765" s="711">
        <f>+IF(ISNA(VLOOKUP(A1765,'Anlage 2a_Letztverbrauch'!$A$2774:$C$2786,3,0)),0,VLOOKUP(A1765,'Anlage 2a_Letztverbrauch'!$A$2774:$C$2786,3,0))</f>
        <v>-79807.118180000005</v>
      </c>
      <c r="D1765" s="711">
        <v>0</v>
      </c>
      <c r="E1765" s="711">
        <f t="shared" si="65"/>
        <v>21430088.889680002</v>
      </c>
      <c r="F1765" s="88">
        <f>+SUMIF('Anlage 2b_Korrekturen'!$B$8:$B$226,'Anlage 3a_Zusammenfassung_KWKG'!A1765,'Anlage 2b_Korrekturen'!$E$8:$E$226)</f>
        <v>236181.75999999998</v>
      </c>
      <c r="G1765" s="668">
        <f t="shared" si="66"/>
        <v>21666270.649680004</v>
      </c>
      <c r="H1765" s="133"/>
      <c r="I1765" s="92"/>
      <c r="J1765" t="s">
        <v>485</v>
      </c>
    </row>
    <row r="1766" spans="1:10" hidden="1" outlineLevel="1">
      <c r="A1766" s="418" t="s">
        <v>564</v>
      </c>
      <c r="B1766" s="1698">
        <f>+VLOOKUP(A1766,'Anlage 2a_Letztverbrauch'!$A$932:$I$1705,9,FALSE)</f>
        <v>49002.57420000001</v>
      </c>
      <c r="C1766" s="711">
        <f>+IF(ISNA(VLOOKUP(A1766,'Anlage 2a_Letztverbrauch'!$A$2774:$C$2786,3,0)),0,VLOOKUP(A1766,'Anlage 2a_Letztverbrauch'!$A$2774:$C$2786,3,0))</f>
        <v>0</v>
      </c>
      <c r="D1766" s="711">
        <v>0</v>
      </c>
      <c r="E1766" s="711">
        <f t="shared" si="65"/>
        <v>49002.57420000001</v>
      </c>
      <c r="F1766" s="711">
        <f>+SUMIF('Anlage 2b_Korrekturen'!$B$8:$B$226,'Anlage 3a_Zusammenfassung_KWKG'!A1766,'Anlage 2b_Korrekturen'!$E$8:$E$226)</f>
        <v>0</v>
      </c>
      <c r="G1766" s="668">
        <f t="shared" si="66"/>
        <v>49002.57420000001</v>
      </c>
      <c r="H1766" s="133"/>
      <c r="I1766" s="92"/>
      <c r="J1766" t="s">
        <v>565</v>
      </c>
    </row>
    <row r="1767" spans="1:10" hidden="1" outlineLevel="1">
      <c r="A1767" s="418" t="s">
        <v>682</v>
      </c>
      <c r="B1767" s="1698">
        <f>+VLOOKUP(A1767,'Anlage 2a_Letztverbrauch'!$A$932:$I$1705,9,FALSE)</f>
        <v>5663521.9950600006</v>
      </c>
      <c r="C1767" s="711">
        <f>+IF(ISNA(VLOOKUP(A1767,'Anlage 2a_Letztverbrauch'!$A$2774:$C$2786,3,0)),0,VLOOKUP(A1767,'Anlage 2a_Letztverbrauch'!$A$2774:$C$2786,3,0))</f>
        <v>-16914.946830000001</v>
      </c>
      <c r="D1767" s="711">
        <v>0</v>
      </c>
      <c r="E1767" s="711">
        <f t="shared" si="65"/>
        <v>5646607.0482300008</v>
      </c>
      <c r="F1767" s="88">
        <f>+SUMIF('Anlage 2b_Korrekturen'!$B$8:$B$226,'Anlage 3a_Zusammenfassung_KWKG'!A1767,'Anlage 2b_Korrekturen'!$E$8:$E$226)</f>
        <v>102730.52</v>
      </c>
      <c r="G1767" s="668">
        <f t="shared" si="66"/>
        <v>5749337.5682300003</v>
      </c>
      <c r="H1767" s="133"/>
      <c r="I1767" s="92"/>
      <c r="J1767" t="s">
        <v>683</v>
      </c>
    </row>
    <row r="1768" spans="1:10" hidden="1" outlineLevel="1">
      <c r="A1768" s="418" t="s">
        <v>722</v>
      </c>
      <c r="B1768" s="1698">
        <f>+VLOOKUP(A1768,'Anlage 2a_Letztverbrauch'!$A$932:$I$1705,9,FALSE)</f>
        <v>29392138.424629007</v>
      </c>
      <c r="C1768" s="711">
        <f>+IF(ISNA(VLOOKUP(A1768,'Anlage 2a_Letztverbrauch'!$A$2774:$C$2786,3,0)),0,VLOOKUP(A1768,'Anlage 2a_Letztverbrauch'!$A$2774:$C$2786,3,0))</f>
        <v>0</v>
      </c>
      <c r="D1768" s="711">
        <v>2262.06</v>
      </c>
      <c r="E1768" s="711">
        <f t="shared" si="65"/>
        <v>29394400.484629005</v>
      </c>
      <c r="F1768" s="711">
        <f>+SUMIF('Anlage 2b_Korrekturen'!$B$8:$B$226,'Anlage 3a_Zusammenfassung_KWKG'!A1768,'Anlage 2b_Korrekturen'!$E$8:$E$226)</f>
        <v>134356.29999999999</v>
      </c>
      <c r="G1768" s="668">
        <f t="shared" si="66"/>
        <v>29528756.784629006</v>
      </c>
      <c r="H1768" s="133"/>
      <c r="I1768" s="92"/>
      <c r="J1768" t="s">
        <v>723</v>
      </c>
    </row>
    <row r="1769" spans="1:10" hidden="1" outlineLevel="1">
      <c r="A1769" s="418" t="s">
        <v>680</v>
      </c>
      <c r="B1769" s="1698">
        <f>+VLOOKUP(A1769,'Anlage 2a_Letztverbrauch'!$A$932:$I$1705,9,FALSE)</f>
        <v>18664006.343067002</v>
      </c>
      <c r="C1769" s="711">
        <f>+IF(ISNA(VLOOKUP(A1769,'Anlage 2a_Letztverbrauch'!$A$2774:$C$2786,3,0)),0,VLOOKUP(A1769,'Anlage 2a_Letztverbrauch'!$A$2774:$C$2786,3,0))</f>
        <v>-56258.425770000002</v>
      </c>
      <c r="D1769" s="711">
        <v>0</v>
      </c>
      <c r="E1769" s="711">
        <f t="shared" si="65"/>
        <v>18607747.917297002</v>
      </c>
      <c r="F1769" s="711">
        <f>+SUMIF('Anlage 2b_Korrekturen'!$B$8:$B$226,'Anlage 3a_Zusammenfassung_KWKG'!A1769,'Anlage 2b_Korrekturen'!$E$8:$E$226)</f>
        <v>53287.73</v>
      </c>
      <c r="G1769" s="668">
        <f t="shared" si="66"/>
        <v>18661035.647297002</v>
      </c>
      <c r="H1769" s="133"/>
      <c r="I1769" s="92"/>
      <c r="J1769" t="s">
        <v>2176</v>
      </c>
    </row>
    <row r="1770" spans="1:10" hidden="1" outlineLevel="1">
      <c r="A1770" s="418" t="s">
        <v>726</v>
      </c>
      <c r="B1770" s="1698">
        <f>+VLOOKUP(A1770,'Anlage 2a_Letztverbrauch'!$A$932:$I$1705,9,FALSE)</f>
        <v>24874.142950000005</v>
      </c>
      <c r="C1770" s="711">
        <f>+IF(ISNA(VLOOKUP(A1770,'Anlage 2a_Letztverbrauch'!$A$2774:$C$2786,3,0)),0,VLOOKUP(A1770,'Anlage 2a_Letztverbrauch'!$A$2774:$C$2786,3,0))</f>
        <v>0</v>
      </c>
      <c r="D1770" s="711">
        <v>0</v>
      </c>
      <c r="E1770" s="711">
        <f t="shared" si="65"/>
        <v>24874.142950000005</v>
      </c>
      <c r="F1770" s="711">
        <f>+SUMIF('Anlage 2b_Korrekturen'!$B$8:$B$226,'Anlage 3a_Zusammenfassung_KWKG'!A1770,'Anlage 2b_Korrekturen'!$E$8:$E$226)</f>
        <v>-1434.32</v>
      </c>
      <c r="G1770" s="668">
        <f t="shared" si="66"/>
        <v>23439.822950000005</v>
      </c>
      <c r="H1770" s="133"/>
      <c r="I1770" s="92"/>
      <c r="J1770" t="s">
        <v>727</v>
      </c>
    </row>
    <row r="1771" spans="1:10" hidden="1" outlineLevel="1">
      <c r="A1771" s="418" t="s">
        <v>568</v>
      </c>
      <c r="B1771" s="1698">
        <f>+VLOOKUP(A1771,'Anlage 2a_Letztverbrauch'!$A$932:$I$1705,9,FALSE)</f>
        <v>230592.14574000001</v>
      </c>
      <c r="C1771" s="711">
        <f>+IF(ISNA(VLOOKUP(A1771,'Anlage 2a_Letztverbrauch'!$A$2774:$C$2786,3,0)),0,VLOOKUP(A1771,'Anlage 2a_Letztverbrauch'!$A$2774:$C$2786,3,0))</f>
        <v>0</v>
      </c>
      <c r="D1771" s="711">
        <v>0</v>
      </c>
      <c r="E1771" s="711">
        <f t="shared" si="65"/>
        <v>230592.14574000001</v>
      </c>
      <c r="F1771" s="711">
        <f>+SUMIF('Anlage 2b_Korrekturen'!$B$8:$B$226,'Anlage 3a_Zusammenfassung_KWKG'!A1771,'Anlage 2b_Korrekturen'!$E$8:$E$226)</f>
        <v>0</v>
      </c>
      <c r="G1771" s="668">
        <f t="shared" si="66"/>
        <v>230592.14574000001</v>
      </c>
      <c r="H1771" s="133"/>
      <c r="I1771" s="92"/>
      <c r="J1771" t="s">
        <v>569</v>
      </c>
    </row>
    <row r="1772" spans="1:10" hidden="1" outlineLevel="1">
      <c r="A1772" s="418" t="s">
        <v>732</v>
      </c>
      <c r="B1772" s="1698">
        <f>+VLOOKUP(A1772,'Anlage 2a_Letztverbrauch'!$A$932:$I$1705,9,FALSE)</f>
        <v>65029.07677</v>
      </c>
      <c r="C1772" s="711">
        <f>+IF(ISNA(VLOOKUP(A1772,'Anlage 2a_Letztverbrauch'!$A$2774:$C$2786,3,0)),0,VLOOKUP(A1772,'Anlage 2a_Letztverbrauch'!$A$2774:$C$2786,3,0))</f>
        <v>0</v>
      </c>
      <c r="D1772" s="711">
        <v>0</v>
      </c>
      <c r="E1772" s="711">
        <f t="shared" si="65"/>
        <v>65029.07677</v>
      </c>
      <c r="F1772" s="711">
        <f>+SUMIF('Anlage 2b_Korrekturen'!$B$8:$B$226,'Anlage 3a_Zusammenfassung_KWKG'!A1772,'Anlage 2b_Korrekturen'!$E$8:$E$226)</f>
        <v>-329.15</v>
      </c>
      <c r="G1772" s="668">
        <f t="shared" si="66"/>
        <v>64699.926769999998</v>
      </c>
      <c r="H1772" s="133"/>
      <c r="I1772" s="92"/>
      <c r="J1772" t="s">
        <v>733</v>
      </c>
    </row>
    <row r="1773" spans="1:10" hidden="1" outlineLevel="1">
      <c r="A1773" s="418" t="s">
        <v>578</v>
      </c>
      <c r="B1773" s="1698">
        <f>+VLOOKUP(A1773,'Anlage 2a_Letztverbrauch'!$A$932:$I$1705,9,FALSE)</f>
        <v>250161.82456000004</v>
      </c>
      <c r="C1773" s="711">
        <f>+IF(ISNA(VLOOKUP(A1773,'Anlage 2a_Letztverbrauch'!$A$2774:$C$2786,3,0)),0,VLOOKUP(A1773,'Anlage 2a_Letztverbrauch'!$A$2774:$C$2786,3,0))</f>
        <v>0</v>
      </c>
      <c r="D1773" s="711">
        <v>0</v>
      </c>
      <c r="E1773" s="711">
        <f t="shared" si="65"/>
        <v>250161.82456000004</v>
      </c>
      <c r="F1773" s="711">
        <f>+SUMIF('Anlage 2b_Korrekturen'!$B$8:$B$226,'Anlage 3a_Zusammenfassung_KWKG'!A1773,'Anlage 2b_Korrekturen'!$E$8:$E$226)</f>
        <v>0</v>
      </c>
      <c r="G1773" s="668">
        <f t="shared" si="66"/>
        <v>250161.82456000004</v>
      </c>
      <c r="H1773" s="133"/>
      <c r="I1773" s="92"/>
      <c r="J1773" t="s">
        <v>579</v>
      </c>
    </row>
    <row r="1774" spans="1:10" hidden="1" outlineLevel="1">
      <c r="A1774" s="418" t="s">
        <v>470</v>
      </c>
      <c r="B1774" s="1698">
        <f>+VLOOKUP(A1774,'Anlage 2a_Letztverbrauch'!$A$932:$I$1705,9,FALSE)</f>
        <v>265158.10042000003</v>
      </c>
      <c r="C1774" s="711">
        <f>+IF(ISNA(VLOOKUP(A1774,'Anlage 2a_Letztverbrauch'!$A$2774:$C$2786,3,0)),0,VLOOKUP(A1774,'Anlage 2a_Letztverbrauch'!$A$2774:$C$2786,3,0))</f>
        <v>0</v>
      </c>
      <c r="D1774" s="711">
        <v>0</v>
      </c>
      <c r="E1774" s="711">
        <f t="shared" si="65"/>
        <v>265158.10042000003</v>
      </c>
      <c r="F1774" s="711">
        <f>+SUMIF('Anlage 2b_Korrekturen'!$B$8:$B$226,'Anlage 3a_Zusammenfassung_KWKG'!A1774,'Anlage 2b_Korrekturen'!$E$8:$E$226)</f>
        <v>230.76</v>
      </c>
      <c r="G1774" s="668">
        <f t="shared" si="66"/>
        <v>265388.86042000004</v>
      </c>
      <c r="H1774" s="133"/>
      <c r="I1774" s="92"/>
      <c r="J1774" t="s">
        <v>471</v>
      </c>
    </row>
    <row r="1775" spans="1:10" hidden="1" outlineLevel="1">
      <c r="A1775" s="418" t="s">
        <v>694</v>
      </c>
      <c r="B1775" s="1698">
        <f>+VLOOKUP(A1775,'Anlage 2a_Letztverbrauch'!$A$932:$I$1705,9,FALSE)</f>
        <v>204136.17490000001</v>
      </c>
      <c r="C1775" s="711">
        <f>+IF(ISNA(VLOOKUP(A1775,'Anlage 2a_Letztverbrauch'!$A$2774:$C$2786,3,0)),0,VLOOKUP(A1775,'Anlage 2a_Letztverbrauch'!$A$2774:$C$2786,3,0))</f>
        <v>0</v>
      </c>
      <c r="D1775" s="711">
        <v>0</v>
      </c>
      <c r="E1775" s="711">
        <f t="shared" si="65"/>
        <v>204136.17490000001</v>
      </c>
      <c r="F1775" s="711">
        <f>+SUMIF('Anlage 2b_Korrekturen'!$B$8:$B$226,'Anlage 3a_Zusammenfassung_KWKG'!A1775,'Anlage 2b_Korrekturen'!$E$8:$E$226)</f>
        <v>0</v>
      </c>
      <c r="G1775" s="668">
        <f t="shared" si="66"/>
        <v>204136.17490000001</v>
      </c>
      <c r="H1775" s="133"/>
      <c r="I1775" s="92"/>
      <c r="J1775" t="s">
        <v>2177</v>
      </c>
    </row>
    <row r="1776" spans="1:10" hidden="1" outlineLevel="1">
      <c r="A1776" s="418" t="s">
        <v>748</v>
      </c>
      <c r="B1776" s="1698">
        <f>+VLOOKUP(A1776,'Anlage 2a_Letztverbrauch'!$A$932:$I$1705,9,FALSE)</f>
        <v>304465.53058000002</v>
      </c>
      <c r="C1776" s="711">
        <f>+IF(ISNA(VLOOKUP(A1776,'Anlage 2a_Letztverbrauch'!$A$2774:$C$2786,3,0)),0,VLOOKUP(A1776,'Anlage 2a_Letztverbrauch'!$A$2774:$C$2786,3,0))</f>
        <v>0</v>
      </c>
      <c r="D1776" s="711">
        <v>0</v>
      </c>
      <c r="E1776" s="711">
        <f t="shared" si="65"/>
        <v>304465.53058000002</v>
      </c>
      <c r="F1776" s="711">
        <f>+SUMIF('Anlage 2b_Korrekturen'!$B$8:$B$226,'Anlage 3a_Zusammenfassung_KWKG'!A1776,'Anlage 2b_Korrekturen'!$E$8:$E$226)</f>
        <v>1.78</v>
      </c>
      <c r="G1776" s="668">
        <f t="shared" si="66"/>
        <v>304467.31058000005</v>
      </c>
      <c r="H1776" s="133"/>
      <c r="I1776" s="92"/>
      <c r="J1776" t="s">
        <v>749</v>
      </c>
    </row>
    <row r="1777" spans="1:10" hidden="1" outlineLevel="1">
      <c r="A1777" s="418" t="s">
        <v>498</v>
      </c>
      <c r="B1777" s="1698">
        <f>+VLOOKUP(A1777,'Anlage 2a_Letztverbrauch'!$A$932:$I$1705,9,FALSE)</f>
        <v>168513.03587000002</v>
      </c>
      <c r="C1777" s="711">
        <f>+IF(ISNA(VLOOKUP(A1777,'Anlage 2a_Letztverbrauch'!$A$2774:$C$2786,3,0)),0,VLOOKUP(A1777,'Anlage 2a_Letztverbrauch'!$A$2774:$C$2786,3,0))</f>
        <v>0</v>
      </c>
      <c r="D1777" s="711">
        <v>0</v>
      </c>
      <c r="E1777" s="711">
        <f t="shared" si="65"/>
        <v>168513.03587000002</v>
      </c>
      <c r="F1777" s="711">
        <f>+SUMIF('Anlage 2b_Korrekturen'!$B$8:$B$226,'Anlage 3a_Zusammenfassung_KWKG'!A1777,'Anlage 2b_Korrekturen'!$E$8:$E$226)</f>
        <v>-431.45</v>
      </c>
      <c r="G1777" s="668">
        <f t="shared" si="66"/>
        <v>168081.58587000001</v>
      </c>
      <c r="H1777" s="133"/>
      <c r="I1777" s="92"/>
      <c r="J1777" t="s">
        <v>499</v>
      </c>
    </row>
    <row r="1778" spans="1:10" hidden="1" outlineLevel="1">
      <c r="A1778" s="418" t="s">
        <v>644</v>
      </c>
      <c r="B1778" s="1698">
        <f>+VLOOKUP(A1778,'Anlage 2a_Letztverbrauch'!$A$932:$I$1705,9,FALSE)</f>
        <v>136880.05691000001</v>
      </c>
      <c r="C1778" s="711">
        <f>+IF(ISNA(VLOOKUP(A1778,'Anlage 2a_Letztverbrauch'!$A$2774:$C$2786,3,0)),0,VLOOKUP(A1778,'Anlage 2a_Letztverbrauch'!$A$2774:$C$2786,3,0))</f>
        <v>0</v>
      </c>
      <c r="D1778" s="711">
        <v>0</v>
      </c>
      <c r="E1778" s="711">
        <f t="shared" si="65"/>
        <v>136880.05691000001</v>
      </c>
      <c r="F1778" s="711">
        <f>+SUMIF('Anlage 2b_Korrekturen'!$B$8:$B$226,'Anlage 3a_Zusammenfassung_KWKG'!A1778,'Anlage 2b_Korrekturen'!$E$8:$E$226)</f>
        <v>0</v>
      </c>
      <c r="G1778" s="668">
        <f t="shared" si="66"/>
        <v>136880.05691000001</v>
      </c>
      <c r="H1778" s="133"/>
      <c r="I1778" s="92"/>
      <c r="J1778" t="s">
        <v>645</v>
      </c>
    </row>
    <row r="1779" spans="1:10" hidden="1" outlineLevel="1">
      <c r="A1779" s="418" t="s">
        <v>586</v>
      </c>
      <c r="B1779" s="1698">
        <f>+VLOOKUP(A1779,'Anlage 2a_Letztverbrauch'!$A$932:$I$1705,9,FALSE)</f>
        <v>143331.43954000002</v>
      </c>
      <c r="C1779" s="711">
        <f>+IF(ISNA(VLOOKUP(A1779,'Anlage 2a_Letztverbrauch'!$A$2774:$C$2786,3,0)),0,VLOOKUP(A1779,'Anlage 2a_Letztverbrauch'!$A$2774:$C$2786,3,0))</f>
        <v>0</v>
      </c>
      <c r="D1779" s="711">
        <v>0</v>
      </c>
      <c r="E1779" s="711">
        <f t="shared" si="65"/>
        <v>143331.43954000002</v>
      </c>
      <c r="F1779" s="711">
        <f>+SUMIF('Anlage 2b_Korrekturen'!$B$8:$B$226,'Anlage 3a_Zusammenfassung_KWKG'!A1779,'Anlage 2b_Korrekturen'!$E$8:$E$226)</f>
        <v>-101.85</v>
      </c>
      <c r="G1779" s="668">
        <f t="shared" si="66"/>
        <v>143229.58954000002</v>
      </c>
      <c r="H1779" s="133"/>
      <c r="I1779" s="92"/>
      <c r="J1779" t="s">
        <v>587</v>
      </c>
    </row>
    <row r="1780" spans="1:10" hidden="1" outlineLevel="1">
      <c r="A1780" s="418" t="s">
        <v>604</v>
      </c>
      <c r="B1780" s="1698">
        <f>+VLOOKUP(A1780,'Anlage 2a_Letztverbrauch'!$A$932:$I$1705,9,FALSE)</f>
        <v>331433.75752000004</v>
      </c>
      <c r="C1780" s="711">
        <f>+IF(ISNA(VLOOKUP(A1780,'Anlage 2a_Letztverbrauch'!$A$2774:$C$2786,3,0)),0,VLOOKUP(A1780,'Anlage 2a_Letztverbrauch'!$A$2774:$C$2786,3,0))</f>
        <v>0</v>
      </c>
      <c r="D1780" s="711">
        <v>0</v>
      </c>
      <c r="E1780" s="711">
        <f t="shared" si="65"/>
        <v>331433.75752000004</v>
      </c>
      <c r="F1780" s="711">
        <f>+SUMIF('Anlage 2b_Korrekturen'!$B$8:$B$226,'Anlage 3a_Zusammenfassung_KWKG'!A1780,'Anlage 2b_Korrekturen'!$E$8:$E$226)</f>
        <v>3493.5699999999997</v>
      </c>
      <c r="G1780" s="668">
        <f t="shared" si="66"/>
        <v>334927.32752000005</v>
      </c>
      <c r="H1780" s="133"/>
      <c r="I1780" s="92"/>
      <c r="J1780" t="s">
        <v>2178</v>
      </c>
    </row>
    <row r="1781" spans="1:10" hidden="1" outlineLevel="1">
      <c r="A1781" s="418" t="s">
        <v>666</v>
      </c>
      <c r="B1781" s="1698">
        <f>+VLOOKUP(A1781,'Anlage 2a_Letztverbrauch'!$A$932:$I$1705,9,FALSE)</f>
        <v>262406.46552000003</v>
      </c>
      <c r="C1781" s="711">
        <f>+IF(ISNA(VLOOKUP(A1781,'Anlage 2a_Letztverbrauch'!$A$2774:$C$2786,3,0)),0,VLOOKUP(A1781,'Anlage 2a_Letztverbrauch'!$A$2774:$C$2786,3,0))</f>
        <v>0</v>
      </c>
      <c r="D1781" s="711">
        <v>0</v>
      </c>
      <c r="E1781" s="711">
        <f t="shared" si="65"/>
        <v>262406.46552000003</v>
      </c>
      <c r="F1781" s="711">
        <f>+SUMIF('Anlage 2b_Korrekturen'!$B$8:$B$226,'Anlage 3a_Zusammenfassung_KWKG'!A1781,'Anlage 2b_Korrekturen'!$E$8:$E$226)</f>
        <v>614.61</v>
      </c>
      <c r="G1781" s="668">
        <f t="shared" si="66"/>
        <v>263021.07552000001</v>
      </c>
      <c r="H1781" s="133"/>
      <c r="I1781" s="92"/>
      <c r="J1781" t="s">
        <v>667</v>
      </c>
    </row>
    <row r="1782" spans="1:10" hidden="1" outlineLevel="1">
      <c r="A1782" s="418" t="s">
        <v>632</v>
      </c>
      <c r="B1782" s="1698">
        <f>+VLOOKUP(A1782,'Anlage 2a_Letztverbrauch'!$A$932:$I$1705,9,FALSE)</f>
        <v>265435.92865000002</v>
      </c>
      <c r="C1782" s="711">
        <f>+IF(ISNA(VLOOKUP(A1782,'Anlage 2a_Letztverbrauch'!$A$2774:$C$2786,3,0)),0,VLOOKUP(A1782,'Anlage 2a_Letztverbrauch'!$A$2774:$C$2786,3,0))</f>
        <v>0</v>
      </c>
      <c r="D1782" s="711">
        <v>0</v>
      </c>
      <c r="E1782" s="711">
        <f t="shared" si="65"/>
        <v>265435.92865000002</v>
      </c>
      <c r="F1782" s="711">
        <f>+SUMIF('Anlage 2b_Korrekturen'!$B$8:$B$226,'Anlage 3a_Zusammenfassung_KWKG'!A1782,'Anlage 2b_Korrekturen'!$E$8:$E$226)</f>
        <v>64.22999999999999</v>
      </c>
      <c r="G1782" s="668">
        <f t="shared" si="66"/>
        <v>265500.15865</v>
      </c>
      <c r="H1782" s="133"/>
      <c r="I1782" s="92"/>
      <c r="J1782" t="s">
        <v>633</v>
      </c>
    </row>
    <row r="1783" spans="1:10" hidden="1" outlineLevel="1">
      <c r="A1783" s="418" t="s">
        <v>500</v>
      </c>
      <c r="B1783" s="1698">
        <f>+VLOOKUP(A1783,'Anlage 2a_Letztverbrauch'!$A$932:$I$1705,9,FALSE)</f>
        <v>83320.552940000009</v>
      </c>
      <c r="C1783" s="711">
        <f>+IF(ISNA(VLOOKUP(A1783,'Anlage 2a_Letztverbrauch'!$A$2774:$C$2786,3,0)),0,VLOOKUP(A1783,'Anlage 2a_Letztverbrauch'!$A$2774:$C$2786,3,0))</f>
        <v>0</v>
      </c>
      <c r="D1783" s="711">
        <v>0</v>
      </c>
      <c r="E1783" s="711">
        <f t="shared" si="65"/>
        <v>83320.552940000009</v>
      </c>
      <c r="F1783" s="711">
        <f>+SUMIF('Anlage 2b_Korrekturen'!$B$8:$B$226,'Anlage 3a_Zusammenfassung_KWKG'!A1783,'Anlage 2b_Korrekturen'!$E$8:$E$226)</f>
        <v>0</v>
      </c>
      <c r="G1783" s="668">
        <f t="shared" si="66"/>
        <v>83320.552940000009</v>
      </c>
      <c r="H1783" s="133"/>
      <c r="I1783" s="92"/>
      <c r="J1783" t="s">
        <v>501</v>
      </c>
    </row>
    <row r="1784" spans="1:10" hidden="1" outlineLevel="1">
      <c r="A1784" s="418" t="s">
        <v>610</v>
      </c>
      <c r="B1784" s="1698">
        <f>+VLOOKUP(A1784,'Anlage 2a_Letztverbrauch'!$A$932:$I$1705,9,FALSE)</f>
        <v>112670.35940000002</v>
      </c>
      <c r="C1784" s="711">
        <f>+IF(ISNA(VLOOKUP(A1784,'Anlage 2a_Letztverbrauch'!$A$2774:$C$2786,3,0)),0,VLOOKUP(A1784,'Anlage 2a_Letztverbrauch'!$A$2774:$C$2786,3,0))</f>
        <v>0</v>
      </c>
      <c r="D1784" s="711">
        <v>0</v>
      </c>
      <c r="E1784" s="711">
        <f t="shared" si="65"/>
        <v>112670.35940000002</v>
      </c>
      <c r="F1784" s="711">
        <f>+SUMIF('Anlage 2b_Korrekturen'!$B$8:$B$226,'Anlage 3a_Zusammenfassung_KWKG'!A1784,'Anlage 2b_Korrekturen'!$E$8:$E$226)</f>
        <v>-224.06</v>
      </c>
      <c r="G1784" s="668">
        <f t="shared" si="66"/>
        <v>112446.29940000002</v>
      </c>
      <c r="H1784" s="133"/>
      <c r="I1784" s="92"/>
      <c r="J1784" t="s">
        <v>611</v>
      </c>
    </row>
    <row r="1785" spans="1:10" hidden="1" outlineLevel="1">
      <c r="A1785" s="418" t="s">
        <v>688</v>
      </c>
      <c r="B1785" s="1698">
        <f>+VLOOKUP(A1785,'Anlage 2a_Letztverbrauch'!$A$932:$I$1705,9,FALSE)</f>
        <v>596959.35965700005</v>
      </c>
      <c r="C1785" s="711">
        <f>+IF(ISNA(VLOOKUP(A1785,'Anlage 2a_Letztverbrauch'!$A$2774:$C$2786,3,0)),0,VLOOKUP(A1785,'Anlage 2a_Letztverbrauch'!$A$2774:$C$2786,3,0))</f>
        <v>0</v>
      </c>
      <c r="D1785" s="711">
        <v>0</v>
      </c>
      <c r="E1785" s="711">
        <f t="shared" si="65"/>
        <v>596959.35965700005</v>
      </c>
      <c r="F1785" s="711">
        <f>+SUMIF('Anlage 2b_Korrekturen'!$B$8:$B$226,'Anlage 3a_Zusammenfassung_KWKG'!A1785,'Anlage 2b_Korrekturen'!$E$8:$E$226)</f>
        <v>21056.12</v>
      </c>
      <c r="G1785" s="668">
        <f t="shared" si="66"/>
        <v>618015.47965700005</v>
      </c>
      <c r="H1785" s="133"/>
      <c r="I1785" s="92"/>
      <c r="J1785" t="s">
        <v>689</v>
      </c>
    </row>
    <row r="1786" spans="1:10" hidden="1" outlineLevel="1">
      <c r="A1786" s="418" t="s">
        <v>528</v>
      </c>
      <c r="B1786" s="1698">
        <f>+VLOOKUP(A1786,'Anlage 2a_Letztverbrauch'!$A$932:$I$1705,9,FALSE)</f>
        <v>202420.09619000004</v>
      </c>
      <c r="C1786" s="711">
        <f>+IF(ISNA(VLOOKUP(A1786,'Anlage 2a_Letztverbrauch'!$A$2774:$C$2786,3,0)),0,VLOOKUP(A1786,'Anlage 2a_Letztverbrauch'!$A$2774:$C$2786,3,0))</f>
        <v>0</v>
      </c>
      <c r="D1786" s="711">
        <v>0</v>
      </c>
      <c r="E1786" s="711">
        <f t="shared" si="65"/>
        <v>202420.09619000004</v>
      </c>
      <c r="F1786" s="711">
        <f>+SUMIF('Anlage 2b_Korrekturen'!$B$8:$B$226,'Anlage 3a_Zusammenfassung_KWKG'!A1786,'Anlage 2b_Korrekturen'!$E$8:$E$226)</f>
        <v>10956.259999999998</v>
      </c>
      <c r="G1786" s="668">
        <f t="shared" si="66"/>
        <v>213376.35619000005</v>
      </c>
      <c r="H1786" s="133"/>
      <c r="I1786" s="92"/>
      <c r="J1786" t="s">
        <v>529</v>
      </c>
    </row>
    <row r="1787" spans="1:10" hidden="1" outlineLevel="1">
      <c r="A1787" s="418" t="s">
        <v>486</v>
      </c>
      <c r="B1787" s="1698">
        <f>+VLOOKUP(A1787,'Anlage 2a_Letztverbrauch'!$A$932:$I$1705,9,FALSE)</f>
        <v>1832019.8975880002</v>
      </c>
      <c r="C1787" s="711">
        <f>+IF(ISNA(VLOOKUP(A1787,'Anlage 2a_Letztverbrauch'!$A$2774:$C$2786,3,0)),0,VLOOKUP(A1787,'Anlage 2a_Letztverbrauch'!$A$2774:$C$2786,3,0))</f>
        <v>-13435.727110000002</v>
      </c>
      <c r="D1787" s="711">
        <v>0</v>
      </c>
      <c r="E1787" s="711">
        <f t="shared" si="65"/>
        <v>1818584.1704780001</v>
      </c>
      <c r="F1787" s="711">
        <f>+SUMIF('Anlage 2b_Korrekturen'!$B$8:$B$226,'Anlage 3a_Zusammenfassung_KWKG'!A1787,'Anlage 2b_Korrekturen'!$E$8:$E$226)</f>
        <v>0</v>
      </c>
      <c r="G1787" s="668">
        <f t="shared" si="66"/>
        <v>1818584.1704780001</v>
      </c>
      <c r="H1787" s="133"/>
      <c r="I1787" s="92"/>
      <c r="J1787" t="s">
        <v>487</v>
      </c>
    </row>
    <row r="1788" spans="1:10" hidden="1" outlineLevel="1">
      <c r="A1788" s="418" t="s">
        <v>546</v>
      </c>
      <c r="B1788" s="1698">
        <f>+VLOOKUP(A1788,'Anlage 2a_Letztverbrauch'!$A$932:$I$1705,9,FALSE)</f>
        <v>597046.63598600007</v>
      </c>
      <c r="C1788" s="711">
        <f>+IF(ISNA(VLOOKUP(A1788,'Anlage 2a_Letztverbrauch'!$A$2774:$C$2786,3,0)),0,VLOOKUP(A1788,'Anlage 2a_Letztverbrauch'!$A$2774:$C$2786,3,0))</f>
        <v>0</v>
      </c>
      <c r="D1788" s="711">
        <v>0</v>
      </c>
      <c r="E1788" s="711">
        <f t="shared" si="65"/>
        <v>597046.63598600007</v>
      </c>
      <c r="F1788" s="711">
        <f>+SUMIF('Anlage 2b_Korrekturen'!$B$8:$B$226,'Anlage 3a_Zusammenfassung_KWKG'!A1788,'Anlage 2b_Korrekturen'!$E$8:$E$226)</f>
        <v>0</v>
      </c>
      <c r="G1788" s="668">
        <f t="shared" si="66"/>
        <v>597046.63598600007</v>
      </c>
      <c r="H1788" s="133"/>
      <c r="I1788" s="92"/>
      <c r="J1788" t="s">
        <v>547</v>
      </c>
    </row>
    <row r="1789" spans="1:10" hidden="1" outlineLevel="1">
      <c r="A1789" s="418" t="s">
        <v>582</v>
      </c>
      <c r="B1789" s="1698">
        <f>+VLOOKUP(A1789,'Anlage 2a_Letztverbrauch'!$A$932:$I$1705,9,FALSE)</f>
        <v>164118.23143000001</v>
      </c>
      <c r="C1789" s="711">
        <f>+IF(ISNA(VLOOKUP(A1789,'Anlage 2a_Letztverbrauch'!$A$2774:$C$2786,3,0)),0,VLOOKUP(A1789,'Anlage 2a_Letztverbrauch'!$A$2774:$C$2786,3,0))</f>
        <v>0</v>
      </c>
      <c r="D1789" s="711">
        <v>0</v>
      </c>
      <c r="E1789" s="711">
        <f t="shared" si="65"/>
        <v>164118.23143000001</v>
      </c>
      <c r="F1789" s="711">
        <f>+SUMIF('Anlage 2b_Korrekturen'!$B$8:$B$226,'Anlage 3a_Zusammenfassung_KWKG'!A1789,'Anlage 2b_Korrekturen'!$E$8:$E$226)</f>
        <v>-537.75</v>
      </c>
      <c r="G1789" s="668">
        <f t="shared" si="66"/>
        <v>163580.48143000001</v>
      </c>
      <c r="H1789" s="133"/>
      <c r="I1789" s="92"/>
      <c r="J1789" t="s">
        <v>583</v>
      </c>
    </row>
    <row r="1790" spans="1:10" hidden="1" outlineLevel="1">
      <c r="A1790" s="418" t="s">
        <v>634</v>
      </c>
      <c r="B1790" s="1698">
        <f>+VLOOKUP(A1790,'Anlage 2a_Letztverbrauch'!$A$932:$I$1705,9,FALSE)</f>
        <v>699576.39989000012</v>
      </c>
      <c r="C1790" s="711">
        <f>+IF(ISNA(VLOOKUP(A1790,'Anlage 2a_Letztverbrauch'!$A$2774:$C$2786,3,0)),0,VLOOKUP(A1790,'Anlage 2a_Letztverbrauch'!$A$2774:$C$2786,3,0))</f>
        <v>0</v>
      </c>
      <c r="D1790" s="711">
        <v>0</v>
      </c>
      <c r="E1790" s="711">
        <f t="shared" si="65"/>
        <v>699576.39989000012</v>
      </c>
      <c r="F1790" s="711">
        <f>+SUMIF('Anlage 2b_Korrekturen'!$B$8:$B$226,'Anlage 3a_Zusammenfassung_KWKG'!A1790,'Anlage 2b_Korrekturen'!$E$8:$E$226)</f>
        <v>2054.36</v>
      </c>
      <c r="G1790" s="668">
        <f t="shared" si="66"/>
        <v>701630.7598900001</v>
      </c>
      <c r="H1790" s="133"/>
      <c r="I1790" s="92"/>
      <c r="J1790" t="s">
        <v>635</v>
      </c>
    </row>
    <row r="1791" spans="1:10" hidden="1" outlineLevel="1">
      <c r="A1791" s="418" t="s">
        <v>710</v>
      </c>
      <c r="B1791" s="1698">
        <f>+VLOOKUP(A1791,'Anlage 2a_Letztverbrauch'!$A$932:$I$1705,9,FALSE)</f>
        <v>233415.02781000003</v>
      </c>
      <c r="C1791" s="711">
        <f>+IF(ISNA(VLOOKUP(A1791,'Anlage 2a_Letztverbrauch'!$A$2774:$C$2786,3,0)),0,VLOOKUP(A1791,'Anlage 2a_Letztverbrauch'!$A$2774:$C$2786,3,0))</f>
        <v>0</v>
      </c>
      <c r="D1791" s="711">
        <v>0</v>
      </c>
      <c r="E1791" s="711">
        <f t="shared" si="65"/>
        <v>233415.02781000003</v>
      </c>
      <c r="F1791" s="711">
        <f>+SUMIF('Anlage 2b_Korrekturen'!$B$8:$B$226,'Anlage 3a_Zusammenfassung_KWKG'!A1791,'Anlage 2b_Korrekturen'!$E$8:$E$226)</f>
        <v>0</v>
      </c>
      <c r="G1791" s="668">
        <f t="shared" si="66"/>
        <v>233415.02781000003</v>
      </c>
      <c r="H1791" s="133"/>
      <c r="I1791" s="92"/>
      <c r="J1791" t="s">
        <v>711</v>
      </c>
    </row>
    <row r="1792" spans="1:10" hidden="1" outlineLevel="1">
      <c r="A1792" s="418" t="s">
        <v>576</v>
      </c>
      <c r="B1792" s="1698">
        <f>+VLOOKUP(A1792,'Anlage 2a_Letztverbrauch'!$A$932:$I$1705,9,FALSE)</f>
        <v>2070.4143400000003</v>
      </c>
      <c r="C1792" s="711">
        <f>+IF(ISNA(VLOOKUP(A1792,'Anlage 2a_Letztverbrauch'!$A$2774:$C$2786,3,0)),0,VLOOKUP(A1792,'Anlage 2a_Letztverbrauch'!$A$2774:$C$2786,3,0))</f>
        <v>0</v>
      </c>
      <c r="D1792" s="711">
        <v>0</v>
      </c>
      <c r="E1792" s="711">
        <f t="shared" si="65"/>
        <v>2070.4143400000003</v>
      </c>
      <c r="F1792" s="711">
        <f>+SUMIF('Anlage 2b_Korrekturen'!$B$8:$B$226,'Anlage 3a_Zusammenfassung_KWKG'!A1792,'Anlage 2b_Korrekturen'!$E$8:$E$226)</f>
        <v>0</v>
      </c>
      <c r="G1792" s="668">
        <f t="shared" si="66"/>
        <v>2070.4143400000003</v>
      </c>
      <c r="H1792" s="133"/>
      <c r="I1792" s="92"/>
      <c r="J1792" t="s">
        <v>2179</v>
      </c>
    </row>
    <row r="1793" spans="1:10" hidden="1" outlineLevel="1">
      <c r="A1793" s="418" t="s">
        <v>712</v>
      </c>
      <c r="B1793" s="1698">
        <f>+VLOOKUP(A1793,'Anlage 2a_Letztverbrauch'!$A$932:$I$1705,9,FALSE)</f>
        <v>104501.97842</v>
      </c>
      <c r="C1793" s="711">
        <f>+IF(ISNA(VLOOKUP(A1793,'Anlage 2a_Letztverbrauch'!$A$2774:$C$2786,3,0)),0,VLOOKUP(A1793,'Anlage 2a_Letztverbrauch'!$A$2774:$C$2786,3,0))</f>
        <v>0</v>
      </c>
      <c r="D1793" s="711">
        <v>0</v>
      </c>
      <c r="E1793" s="711">
        <f t="shared" si="65"/>
        <v>104501.97842</v>
      </c>
      <c r="F1793" s="711">
        <f>+SUMIF('Anlage 2b_Korrekturen'!$B$8:$B$226,'Anlage 3a_Zusammenfassung_KWKG'!A1793,'Anlage 2b_Korrekturen'!$E$8:$E$226)</f>
        <v>2547.83</v>
      </c>
      <c r="G1793" s="668">
        <f t="shared" si="66"/>
        <v>107049.80842</v>
      </c>
      <c r="H1793" s="133"/>
      <c r="I1793" s="92"/>
      <c r="J1793" t="s">
        <v>713</v>
      </c>
    </row>
    <row r="1794" spans="1:10" hidden="1" outlineLevel="1">
      <c r="A1794" s="418" t="s">
        <v>756</v>
      </c>
      <c r="B1794" s="1698">
        <f>+VLOOKUP(A1794,'Anlage 2a_Letztverbrauch'!$A$932:$I$1705,9,FALSE)</f>
        <v>419610.13154000009</v>
      </c>
      <c r="C1794" s="711">
        <f>+IF(ISNA(VLOOKUP(A1794,'Anlage 2a_Letztverbrauch'!$A$2774:$C$2786,3,0)),0,VLOOKUP(A1794,'Anlage 2a_Letztverbrauch'!$A$2774:$C$2786,3,0))</f>
        <v>0</v>
      </c>
      <c r="D1794" s="711">
        <v>0</v>
      </c>
      <c r="E1794" s="711">
        <f t="shared" si="65"/>
        <v>419610.13154000009</v>
      </c>
      <c r="F1794" s="711">
        <f>+SUMIF('Anlage 2b_Korrekturen'!$B$8:$B$226,'Anlage 3a_Zusammenfassung_KWKG'!A1794,'Anlage 2b_Korrekturen'!$E$8:$E$226)</f>
        <v>-271.39999999999998</v>
      </c>
      <c r="G1794" s="668">
        <f t="shared" si="66"/>
        <v>419338.73154000007</v>
      </c>
      <c r="H1794" s="133"/>
      <c r="I1794" s="92"/>
      <c r="J1794" t="s">
        <v>757</v>
      </c>
    </row>
    <row r="1795" spans="1:10" hidden="1" outlineLevel="1">
      <c r="A1795" s="418" t="s">
        <v>490</v>
      </c>
      <c r="B1795" s="1698">
        <f>+VLOOKUP(A1795,'Anlage 2a_Letztverbrauch'!$A$932:$I$1705,9,FALSE)</f>
        <v>90556.72643000001</v>
      </c>
      <c r="C1795" s="711">
        <f>+IF(ISNA(VLOOKUP(A1795,'Anlage 2a_Letztverbrauch'!$A$2774:$C$2786,3,0)),0,VLOOKUP(A1795,'Anlage 2a_Letztverbrauch'!$A$2774:$C$2786,3,0))</f>
        <v>0</v>
      </c>
      <c r="D1795" s="711">
        <v>0</v>
      </c>
      <c r="E1795" s="711">
        <f t="shared" si="65"/>
        <v>90556.72643000001</v>
      </c>
      <c r="F1795" s="711">
        <f>+SUMIF('Anlage 2b_Korrekturen'!$B$8:$B$226,'Anlage 3a_Zusammenfassung_KWKG'!A1795,'Anlage 2b_Korrekturen'!$E$8:$E$226)</f>
        <v>1038.96</v>
      </c>
      <c r="G1795" s="668">
        <f t="shared" si="66"/>
        <v>91595.686430000016</v>
      </c>
      <c r="H1795" s="133"/>
      <c r="I1795" s="92"/>
      <c r="J1795" t="s">
        <v>491</v>
      </c>
    </row>
    <row r="1796" spans="1:10" hidden="1" outlineLevel="1">
      <c r="A1796" s="418" t="s">
        <v>462</v>
      </c>
      <c r="B1796" s="1698">
        <f>+VLOOKUP(A1796,'Anlage 2a_Letztverbrauch'!$A$932:$I$1705,9,FALSE)</f>
        <v>159939.94958000001</v>
      </c>
      <c r="C1796" s="711">
        <f>+IF(ISNA(VLOOKUP(A1796,'Anlage 2a_Letztverbrauch'!$A$2774:$C$2786,3,0)),0,VLOOKUP(A1796,'Anlage 2a_Letztverbrauch'!$A$2774:$C$2786,3,0))</f>
        <v>0</v>
      </c>
      <c r="D1796" s="711">
        <v>0</v>
      </c>
      <c r="E1796" s="711">
        <f t="shared" si="65"/>
        <v>159939.94958000001</v>
      </c>
      <c r="F1796" s="711">
        <f>+SUMIF('Anlage 2b_Korrekturen'!$B$8:$B$226,'Anlage 3a_Zusammenfassung_KWKG'!A1796,'Anlage 2b_Korrekturen'!$E$8:$E$226)</f>
        <v>-260.07</v>
      </c>
      <c r="G1796" s="668">
        <f t="shared" si="66"/>
        <v>159679.87958000001</v>
      </c>
      <c r="H1796" s="133"/>
      <c r="I1796" s="92"/>
      <c r="J1796" t="s">
        <v>463</v>
      </c>
    </row>
    <row r="1797" spans="1:10" hidden="1" outlineLevel="1">
      <c r="A1797" s="418" t="s">
        <v>692</v>
      </c>
      <c r="B1797" s="1698">
        <f>+VLOOKUP(A1797,'Anlage 2a_Letztverbrauch'!$A$932:$I$1705,9,FALSE)</f>
        <v>72985.544440000012</v>
      </c>
      <c r="C1797" s="711">
        <f>+IF(ISNA(VLOOKUP(A1797,'Anlage 2a_Letztverbrauch'!$A$2774:$C$2786,3,0)),0,VLOOKUP(A1797,'Anlage 2a_Letztverbrauch'!$A$2774:$C$2786,3,0))</f>
        <v>0</v>
      </c>
      <c r="D1797" s="711">
        <v>0</v>
      </c>
      <c r="E1797" s="711">
        <f t="shared" si="65"/>
        <v>72985.544440000012</v>
      </c>
      <c r="F1797" s="711">
        <f>+SUMIF('Anlage 2b_Korrekturen'!$B$8:$B$226,'Anlage 3a_Zusammenfassung_KWKG'!A1797,'Anlage 2b_Korrekturen'!$E$8:$E$226)</f>
        <v>-140.52000000000001</v>
      </c>
      <c r="G1797" s="668">
        <f t="shared" si="66"/>
        <v>72845.024440000008</v>
      </c>
      <c r="H1797" s="133"/>
      <c r="I1797" s="92"/>
      <c r="J1797" t="s">
        <v>693</v>
      </c>
    </row>
    <row r="1798" spans="1:10" hidden="1" outlineLevel="1">
      <c r="A1798" s="418" t="s">
        <v>506</v>
      </c>
      <c r="B1798" s="1698">
        <f>+VLOOKUP(A1798,'Anlage 2a_Letztverbrauch'!$A$932:$I$1705,9,FALSE)</f>
        <v>436085.21068000002</v>
      </c>
      <c r="C1798" s="711">
        <f>+IF(ISNA(VLOOKUP(A1798,'Anlage 2a_Letztverbrauch'!$A$2774:$C$2786,3,0)),0,VLOOKUP(A1798,'Anlage 2a_Letztverbrauch'!$A$2774:$C$2786,3,0))</f>
        <v>0</v>
      </c>
      <c r="D1798" s="711">
        <v>0</v>
      </c>
      <c r="E1798" s="711">
        <f t="shared" si="65"/>
        <v>436085.21068000002</v>
      </c>
      <c r="F1798" s="711">
        <f>+SUMIF('Anlage 2b_Korrekturen'!$B$8:$B$226,'Anlage 3a_Zusammenfassung_KWKG'!A1798,'Anlage 2b_Korrekturen'!$E$8:$E$226)</f>
        <v>2728.76</v>
      </c>
      <c r="G1798" s="668">
        <f t="shared" si="66"/>
        <v>438813.97068000003</v>
      </c>
      <c r="H1798" s="133"/>
      <c r="I1798" s="92"/>
      <c r="J1798" t="s">
        <v>507</v>
      </c>
    </row>
    <row r="1799" spans="1:10" hidden="1" outlineLevel="1">
      <c r="A1799" s="418" t="s">
        <v>622</v>
      </c>
      <c r="B1799" s="1698">
        <f>+VLOOKUP(A1799,'Anlage 2a_Letztverbrauch'!$A$932:$I$1705,9,FALSE)</f>
        <v>1701210.1341870001</v>
      </c>
      <c r="C1799" s="711">
        <f>+IF(ISNA(VLOOKUP(A1799,'Anlage 2a_Letztverbrauch'!$A$2774:$C$2786,3,0)),0,VLOOKUP(A1799,'Anlage 2a_Letztverbrauch'!$A$2774:$C$2786,3,0))</f>
        <v>0</v>
      </c>
      <c r="D1799" s="711">
        <v>0</v>
      </c>
      <c r="E1799" s="711">
        <f t="shared" si="65"/>
        <v>1701210.1341870001</v>
      </c>
      <c r="F1799" s="711">
        <f>+SUMIF('Anlage 2b_Korrekturen'!$B$8:$B$226,'Anlage 3a_Zusammenfassung_KWKG'!A1799,'Anlage 2b_Korrekturen'!$E$8:$E$226)</f>
        <v>5494.7300000000032</v>
      </c>
      <c r="G1799" s="668">
        <f t="shared" si="66"/>
        <v>1706704.8641870001</v>
      </c>
      <c r="H1799" s="133"/>
      <c r="I1799" s="92"/>
      <c r="J1799" t="s">
        <v>2030</v>
      </c>
    </row>
    <row r="1800" spans="1:10" hidden="1" outlineLevel="1">
      <c r="A1800" s="418" t="s">
        <v>642</v>
      </c>
      <c r="B1800" s="1698">
        <f>+VLOOKUP(A1800,'Anlage 2a_Letztverbrauch'!$A$932:$I$1705,9,FALSE)</f>
        <v>106292.35407000002</v>
      </c>
      <c r="C1800" s="711">
        <f>+IF(ISNA(VLOOKUP(A1800,'Anlage 2a_Letztverbrauch'!$A$2774:$C$2786,3,0)),0,VLOOKUP(A1800,'Anlage 2a_Letztverbrauch'!$A$2774:$C$2786,3,0))</f>
        <v>0</v>
      </c>
      <c r="D1800" s="711">
        <v>0</v>
      </c>
      <c r="E1800" s="711">
        <f t="shared" si="65"/>
        <v>106292.35407000002</v>
      </c>
      <c r="F1800" s="711">
        <f>+SUMIF('Anlage 2b_Korrekturen'!$B$8:$B$226,'Anlage 3a_Zusammenfassung_KWKG'!A1800,'Anlage 2b_Korrekturen'!$E$8:$E$226)</f>
        <v>0</v>
      </c>
      <c r="G1800" s="668">
        <f t="shared" si="66"/>
        <v>106292.35407000002</v>
      </c>
      <c r="H1800" s="133"/>
      <c r="I1800" s="92"/>
      <c r="J1800" t="s">
        <v>643</v>
      </c>
    </row>
    <row r="1801" spans="1:10" hidden="1" outlineLevel="1">
      <c r="A1801" s="418" t="s">
        <v>510</v>
      </c>
      <c r="B1801" s="1698">
        <f>+VLOOKUP(A1801,'Anlage 2a_Letztverbrauch'!$A$932:$I$1705,9,FALSE)</f>
        <v>126389.42981</v>
      </c>
      <c r="C1801" s="711">
        <f>+IF(ISNA(VLOOKUP(A1801,'Anlage 2a_Letztverbrauch'!$A$2774:$C$2786,3,0)),0,VLOOKUP(A1801,'Anlage 2a_Letztverbrauch'!$A$2774:$C$2786,3,0))</f>
        <v>0</v>
      </c>
      <c r="D1801" s="711">
        <v>0</v>
      </c>
      <c r="E1801" s="711">
        <f t="shared" si="65"/>
        <v>126389.42981</v>
      </c>
      <c r="F1801" s="711">
        <f>+SUMIF('Anlage 2b_Korrekturen'!$B$8:$B$226,'Anlage 3a_Zusammenfassung_KWKG'!A1801,'Anlage 2b_Korrekturen'!$E$8:$E$226)</f>
        <v>21861.829999999998</v>
      </c>
      <c r="G1801" s="668">
        <f t="shared" si="66"/>
        <v>148251.25980999999</v>
      </c>
      <c r="H1801" s="133"/>
      <c r="I1801" s="92"/>
      <c r="J1801" t="s">
        <v>511</v>
      </c>
    </row>
    <row r="1802" spans="1:10" hidden="1" outlineLevel="1">
      <c r="A1802" s="418" t="s">
        <v>636</v>
      </c>
      <c r="B1802" s="1698">
        <f>+VLOOKUP(A1802,'Anlage 2a_Letztverbrauch'!$A$932:$I$1705,9,FALSE)</f>
        <v>541441.12968600006</v>
      </c>
      <c r="C1802" s="711">
        <f>+IF(ISNA(VLOOKUP(A1802,'Anlage 2a_Letztverbrauch'!$A$2774:$C$2786,3,0)),0,VLOOKUP(A1802,'Anlage 2a_Letztverbrauch'!$A$2774:$C$2786,3,0))</f>
        <v>0</v>
      </c>
      <c r="D1802" s="711">
        <v>0</v>
      </c>
      <c r="E1802" s="711">
        <f t="shared" si="65"/>
        <v>541441.12968600006</v>
      </c>
      <c r="F1802" s="711">
        <f>+SUMIF('Anlage 2b_Korrekturen'!$B$8:$B$226,'Anlage 3a_Zusammenfassung_KWKG'!A1802,'Anlage 2b_Korrekturen'!$E$8:$E$226)</f>
        <v>0</v>
      </c>
      <c r="G1802" s="668">
        <f t="shared" si="66"/>
        <v>541441.12968600006</v>
      </c>
      <c r="H1802" s="133"/>
      <c r="I1802" s="92"/>
      <c r="J1802" t="s">
        <v>637</v>
      </c>
    </row>
    <row r="1803" spans="1:10" hidden="1" outlineLevel="1">
      <c r="A1803" s="418" t="s">
        <v>760</v>
      </c>
      <c r="B1803" s="1698">
        <f>+VLOOKUP(A1803,'Anlage 2a_Letztverbrauch'!$A$932:$I$1705,9,FALSE)</f>
        <v>392528.22934000002</v>
      </c>
      <c r="C1803" s="711">
        <f>+IF(ISNA(VLOOKUP(A1803,'Anlage 2a_Letztverbrauch'!$A$2774:$C$2786,3,0)),0,VLOOKUP(A1803,'Anlage 2a_Letztverbrauch'!$A$2774:$C$2786,3,0))</f>
        <v>0</v>
      </c>
      <c r="D1803" s="711">
        <v>0</v>
      </c>
      <c r="E1803" s="711">
        <f t="shared" si="65"/>
        <v>392528.22934000002</v>
      </c>
      <c r="F1803" s="711">
        <f>+SUMIF('Anlage 2b_Korrekturen'!$B$8:$B$226,'Anlage 3a_Zusammenfassung_KWKG'!A1803,'Anlage 2b_Korrekturen'!$E$8:$E$226)</f>
        <v>5093.1499999999996</v>
      </c>
      <c r="G1803" s="668">
        <f t="shared" si="66"/>
        <v>397621.37934000004</v>
      </c>
      <c r="H1803" s="133"/>
      <c r="I1803" s="92"/>
      <c r="J1803" t="s">
        <v>761</v>
      </c>
    </row>
    <row r="1804" spans="1:10" hidden="1" outlineLevel="1">
      <c r="A1804" s="418" t="s">
        <v>736</v>
      </c>
      <c r="B1804" s="1698">
        <f>+VLOOKUP(A1804,'Anlage 2a_Letztverbrauch'!$A$932:$I$1705,9,FALSE)</f>
        <v>210895.19927000001</v>
      </c>
      <c r="C1804" s="711">
        <f>+IF(ISNA(VLOOKUP(A1804,'Anlage 2a_Letztverbrauch'!$A$2774:$C$2786,3,0)),0,VLOOKUP(A1804,'Anlage 2a_Letztverbrauch'!$A$2774:$C$2786,3,0))</f>
        <v>0</v>
      </c>
      <c r="D1804" s="711">
        <v>0</v>
      </c>
      <c r="E1804" s="711">
        <f t="shared" si="65"/>
        <v>210895.19927000001</v>
      </c>
      <c r="F1804" s="711">
        <f>+SUMIF('Anlage 2b_Korrekturen'!$B$8:$B$226,'Anlage 3a_Zusammenfassung_KWKG'!A1804,'Anlage 2b_Korrekturen'!$E$8:$E$226)</f>
        <v>0</v>
      </c>
      <c r="G1804" s="668">
        <f t="shared" si="66"/>
        <v>210895.19927000001</v>
      </c>
      <c r="H1804" s="133"/>
      <c r="I1804" s="92"/>
      <c r="J1804" t="s">
        <v>737</v>
      </c>
    </row>
    <row r="1805" spans="1:10" hidden="1" outlineLevel="1">
      <c r="A1805" s="418" t="s">
        <v>618</v>
      </c>
      <c r="B1805" s="1698">
        <f>+VLOOKUP(A1805,'Anlage 2a_Letztverbrauch'!$A$932:$I$1705,9,FALSE)</f>
        <v>732988.290301</v>
      </c>
      <c r="C1805" s="711">
        <f>+IF(ISNA(VLOOKUP(A1805,'Anlage 2a_Letztverbrauch'!$A$2774:$C$2786,3,0)),0,VLOOKUP(A1805,'Anlage 2a_Letztverbrauch'!$A$2774:$C$2786,3,0))</f>
        <v>-808.98958000000016</v>
      </c>
      <c r="D1805" s="711">
        <v>0</v>
      </c>
      <c r="E1805" s="711">
        <f t="shared" si="65"/>
        <v>732179.30072099995</v>
      </c>
      <c r="F1805" s="711">
        <f>+SUMIF('Anlage 2b_Korrekturen'!$B$8:$B$226,'Anlage 3a_Zusammenfassung_KWKG'!A1805,'Anlage 2b_Korrekturen'!$E$8:$E$226)</f>
        <v>9993.57</v>
      </c>
      <c r="G1805" s="668">
        <f t="shared" si="66"/>
        <v>742172.8707209999</v>
      </c>
      <c r="H1805" s="133"/>
      <c r="I1805" s="92"/>
      <c r="J1805" t="s">
        <v>619</v>
      </c>
    </row>
    <row r="1806" spans="1:10" hidden="1" outlineLevel="1">
      <c r="A1806" s="418" t="s">
        <v>704</v>
      </c>
      <c r="B1806" s="1698">
        <f>+VLOOKUP(A1806,'Anlage 2a_Letztverbrauch'!$A$932:$I$1705,9,FALSE)</f>
        <v>4562.8215600000003</v>
      </c>
      <c r="C1806" s="711">
        <f>+IF(ISNA(VLOOKUP(A1806,'Anlage 2a_Letztverbrauch'!$A$2774:$C$2786,3,0)),0,VLOOKUP(A1806,'Anlage 2a_Letztverbrauch'!$A$2774:$C$2786,3,0))</f>
        <v>0</v>
      </c>
      <c r="D1806" s="711">
        <v>0</v>
      </c>
      <c r="E1806" s="711">
        <f t="shared" si="65"/>
        <v>4562.8215600000003</v>
      </c>
      <c r="F1806" s="711">
        <f>+SUMIF('Anlage 2b_Korrekturen'!$B$8:$B$226,'Anlage 3a_Zusammenfassung_KWKG'!A1806,'Anlage 2b_Korrekturen'!$E$8:$E$226)</f>
        <v>0</v>
      </c>
      <c r="G1806" s="668">
        <f t="shared" si="66"/>
        <v>4562.8215600000003</v>
      </c>
      <c r="H1806" s="133"/>
      <c r="I1806" s="92"/>
      <c r="J1806" t="s">
        <v>705</v>
      </c>
    </row>
    <row r="1807" spans="1:10" hidden="1" outlineLevel="1">
      <c r="A1807" s="418" t="s">
        <v>668</v>
      </c>
      <c r="B1807" s="1698">
        <f>+VLOOKUP(A1807,'Anlage 2a_Letztverbrauch'!$A$932:$I$1705,9,FALSE)</f>
        <v>167911.68549000003</v>
      </c>
      <c r="C1807" s="711">
        <f>+IF(ISNA(VLOOKUP(A1807,'Anlage 2a_Letztverbrauch'!$A$2774:$C$2786,3,0)),0,VLOOKUP(A1807,'Anlage 2a_Letztverbrauch'!$A$2774:$C$2786,3,0))</f>
        <v>0</v>
      </c>
      <c r="D1807" s="711">
        <v>0</v>
      </c>
      <c r="E1807" s="711">
        <f t="shared" si="65"/>
        <v>167911.68549000003</v>
      </c>
      <c r="F1807" s="711">
        <f>+SUMIF('Anlage 2b_Korrekturen'!$B$8:$B$226,'Anlage 3a_Zusammenfassung_KWKG'!A1807,'Anlage 2b_Korrekturen'!$E$8:$E$226)</f>
        <v>0</v>
      </c>
      <c r="G1807" s="668">
        <f t="shared" si="66"/>
        <v>167911.68549000003</v>
      </c>
      <c r="H1807" s="133"/>
      <c r="I1807" s="92"/>
      <c r="J1807" t="s">
        <v>669</v>
      </c>
    </row>
    <row r="1808" spans="1:10" hidden="1" outlineLevel="1">
      <c r="A1808" s="418" t="s">
        <v>584</v>
      </c>
      <c r="B1808" s="1698">
        <f>+VLOOKUP(A1808,'Anlage 2a_Letztverbrauch'!$A$932:$I$1705,9,FALSE)</f>
        <v>318772.09306000004</v>
      </c>
      <c r="C1808" s="711">
        <f>+IF(ISNA(VLOOKUP(A1808,'Anlage 2a_Letztverbrauch'!$A$2774:$C$2786,3,0)),0,VLOOKUP(A1808,'Anlage 2a_Letztverbrauch'!$A$2774:$C$2786,3,0))</f>
        <v>0</v>
      </c>
      <c r="D1808" s="711">
        <v>0</v>
      </c>
      <c r="E1808" s="711">
        <f t="shared" si="65"/>
        <v>318772.09306000004</v>
      </c>
      <c r="F1808" s="711">
        <f>+SUMIF('Anlage 2b_Korrekturen'!$B$8:$B$226,'Anlage 3a_Zusammenfassung_KWKG'!A1808,'Anlage 2b_Korrekturen'!$E$8:$E$226)</f>
        <v>0</v>
      </c>
      <c r="G1808" s="668">
        <f t="shared" si="66"/>
        <v>318772.09306000004</v>
      </c>
      <c r="H1808" s="133"/>
      <c r="I1808" s="92"/>
      <c r="J1808" t="s">
        <v>585</v>
      </c>
    </row>
    <row r="1809" spans="1:10" hidden="1" outlineLevel="1">
      <c r="A1809" s="418" t="s">
        <v>658</v>
      </c>
      <c r="B1809" s="1698">
        <f>+VLOOKUP(A1809,'Anlage 2a_Letztverbrauch'!$A$932:$I$1705,9,FALSE)</f>
        <v>399506.51306000003</v>
      </c>
      <c r="C1809" s="711">
        <f>+IF(ISNA(VLOOKUP(A1809,'Anlage 2a_Letztverbrauch'!$A$2774:$C$2786,3,0)),0,VLOOKUP(A1809,'Anlage 2a_Letztverbrauch'!$A$2774:$C$2786,3,0))</f>
        <v>0</v>
      </c>
      <c r="D1809" s="711">
        <v>0</v>
      </c>
      <c r="E1809" s="711">
        <f t="shared" ref="E1809:E1872" si="67">B1809+C1809+D1809</f>
        <v>399506.51306000003</v>
      </c>
      <c r="F1809" s="711">
        <f>+SUMIF('Anlage 2b_Korrekturen'!$B$8:$B$226,'Anlage 3a_Zusammenfassung_KWKG'!A1809,'Anlage 2b_Korrekturen'!$E$8:$E$226)</f>
        <v>0</v>
      </c>
      <c r="G1809" s="668">
        <f t="shared" ref="G1809:G1872" si="68">E1809+F1809</f>
        <v>399506.51306000003</v>
      </c>
      <c r="H1809" s="133"/>
      <c r="I1809" s="92"/>
      <c r="J1809" t="s">
        <v>2180</v>
      </c>
    </row>
    <row r="1810" spans="1:10" hidden="1" outlineLevel="1">
      <c r="A1810" s="418" t="s">
        <v>524</v>
      </c>
      <c r="B1810" s="1698">
        <f>+VLOOKUP(A1810,'Anlage 2a_Letztverbrauch'!$A$932:$I$1705,9,FALSE)</f>
        <v>512300.66930000007</v>
      </c>
      <c r="C1810" s="711">
        <f>+IF(ISNA(VLOOKUP(A1810,'Anlage 2a_Letztverbrauch'!$A$2774:$C$2786,3,0)),0,VLOOKUP(A1810,'Anlage 2a_Letztverbrauch'!$A$2774:$C$2786,3,0))</f>
        <v>0</v>
      </c>
      <c r="D1810" s="711">
        <v>0</v>
      </c>
      <c r="E1810" s="711">
        <f t="shared" si="67"/>
        <v>512300.66930000007</v>
      </c>
      <c r="F1810" s="711">
        <f>+SUMIF('Anlage 2b_Korrekturen'!$B$8:$B$226,'Anlage 3a_Zusammenfassung_KWKG'!A1810,'Anlage 2b_Korrekturen'!$E$8:$E$226)</f>
        <v>5887.79</v>
      </c>
      <c r="G1810" s="668">
        <f t="shared" si="68"/>
        <v>518188.45930000005</v>
      </c>
      <c r="H1810" s="133"/>
      <c r="I1810" s="92"/>
      <c r="J1810" t="s">
        <v>525</v>
      </c>
    </row>
    <row r="1811" spans="1:10" hidden="1" outlineLevel="1">
      <c r="A1811" s="418" t="s">
        <v>540</v>
      </c>
      <c r="B1811" s="1698">
        <f>+VLOOKUP(A1811,'Anlage 2a_Letztverbrauch'!$A$932:$I$1705,9,FALSE)</f>
        <v>139455.51149999999</v>
      </c>
      <c r="C1811" s="711">
        <f>+IF(ISNA(VLOOKUP(A1811,'Anlage 2a_Letztverbrauch'!$A$2774:$C$2786,3,0)),0,VLOOKUP(A1811,'Anlage 2a_Letztverbrauch'!$A$2774:$C$2786,3,0))</f>
        <v>0</v>
      </c>
      <c r="D1811" s="711">
        <v>0</v>
      </c>
      <c r="E1811" s="711">
        <f t="shared" si="67"/>
        <v>139455.51149999999</v>
      </c>
      <c r="F1811" s="711">
        <f>+SUMIF('Anlage 2b_Korrekturen'!$B$8:$B$226,'Anlage 3a_Zusammenfassung_KWKG'!A1811,'Anlage 2b_Korrekturen'!$E$8:$E$226)</f>
        <v>-573.67000000000007</v>
      </c>
      <c r="G1811" s="668">
        <f t="shared" si="68"/>
        <v>138881.84149999998</v>
      </c>
      <c r="H1811" s="133"/>
      <c r="I1811" s="92"/>
      <c r="J1811" t="s">
        <v>541</v>
      </c>
    </row>
    <row r="1812" spans="1:10" hidden="1" outlineLevel="1">
      <c r="A1812" s="418" t="s">
        <v>762</v>
      </c>
      <c r="B1812" s="1698">
        <f>+VLOOKUP(A1812,'Anlage 2a_Letztverbrauch'!$A$932:$I$1705,9,FALSE)</f>
        <v>72844.792430000001</v>
      </c>
      <c r="C1812" s="711">
        <f>+IF(ISNA(VLOOKUP(A1812,'Anlage 2a_Letztverbrauch'!$A$2774:$C$2786,3,0)),0,VLOOKUP(A1812,'Anlage 2a_Letztverbrauch'!$A$2774:$C$2786,3,0))</f>
        <v>0</v>
      </c>
      <c r="D1812" s="711">
        <v>0</v>
      </c>
      <c r="E1812" s="711">
        <f t="shared" si="67"/>
        <v>72844.792430000001</v>
      </c>
      <c r="F1812" s="711">
        <f>+SUMIF('Anlage 2b_Korrekturen'!$B$8:$B$226,'Anlage 3a_Zusammenfassung_KWKG'!A1812,'Anlage 2b_Korrekturen'!$E$8:$E$226)</f>
        <v>0</v>
      </c>
      <c r="G1812" s="668">
        <f t="shared" si="68"/>
        <v>72844.792430000001</v>
      </c>
      <c r="H1812" s="133"/>
      <c r="I1812" s="92"/>
      <c r="J1812" t="s">
        <v>763</v>
      </c>
    </row>
    <row r="1813" spans="1:10" hidden="1" outlineLevel="1">
      <c r="A1813" s="418" t="s">
        <v>478</v>
      </c>
      <c r="B1813" s="1698">
        <f>+VLOOKUP(A1813,'Anlage 2a_Letztverbrauch'!$A$932:$I$1705,9,FALSE)</f>
        <v>116314.98690000002</v>
      </c>
      <c r="C1813" s="711">
        <f>+IF(ISNA(VLOOKUP(A1813,'Anlage 2a_Letztverbrauch'!$A$2774:$C$2786,3,0)),0,VLOOKUP(A1813,'Anlage 2a_Letztverbrauch'!$A$2774:$C$2786,3,0))</f>
        <v>0</v>
      </c>
      <c r="D1813" s="711">
        <v>0</v>
      </c>
      <c r="E1813" s="711">
        <f t="shared" si="67"/>
        <v>116314.98690000002</v>
      </c>
      <c r="F1813" s="711">
        <f>+SUMIF('Anlage 2b_Korrekturen'!$B$8:$B$226,'Anlage 3a_Zusammenfassung_KWKG'!A1813,'Anlage 2b_Korrekturen'!$E$8:$E$226)</f>
        <v>0</v>
      </c>
      <c r="G1813" s="668">
        <f t="shared" si="68"/>
        <v>116314.98690000002</v>
      </c>
      <c r="H1813" s="133"/>
      <c r="I1813" s="92"/>
      <c r="J1813" t="s">
        <v>479</v>
      </c>
    </row>
    <row r="1814" spans="1:10" hidden="1" outlineLevel="1">
      <c r="A1814" s="418" t="s">
        <v>742</v>
      </c>
      <c r="B1814" s="1698">
        <f>+VLOOKUP(A1814,'Anlage 2a_Letztverbrauch'!$A$932:$I$1705,9,FALSE)</f>
        <v>211741.81376000002</v>
      </c>
      <c r="C1814" s="711">
        <f>+IF(ISNA(VLOOKUP(A1814,'Anlage 2a_Letztverbrauch'!$A$2774:$C$2786,3,0)),0,VLOOKUP(A1814,'Anlage 2a_Letztverbrauch'!$A$2774:$C$2786,3,0))</f>
        <v>0</v>
      </c>
      <c r="D1814" s="711">
        <v>0</v>
      </c>
      <c r="E1814" s="711">
        <f t="shared" si="67"/>
        <v>211741.81376000002</v>
      </c>
      <c r="F1814" s="711">
        <f>+SUMIF('Anlage 2b_Korrekturen'!$B$8:$B$226,'Anlage 3a_Zusammenfassung_KWKG'!A1814,'Anlage 2b_Korrekturen'!$E$8:$E$226)</f>
        <v>0</v>
      </c>
      <c r="G1814" s="668">
        <f t="shared" si="68"/>
        <v>211741.81376000002</v>
      </c>
      <c r="H1814" s="133"/>
      <c r="I1814" s="92"/>
      <c r="J1814" t="s">
        <v>743</v>
      </c>
    </row>
    <row r="1815" spans="1:10" hidden="1" outlineLevel="1">
      <c r="A1815" s="418" t="s">
        <v>534</v>
      </c>
      <c r="B1815" s="1698">
        <f>+VLOOKUP(A1815,'Anlage 2a_Letztverbrauch'!$A$932:$I$1705,9,FALSE)</f>
        <v>116578.07042000002</v>
      </c>
      <c r="C1815" s="711">
        <f>+IF(ISNA(VLOOKUP(A1815,'Anlage 2a_Letztverbrauch'!$A$2774:$C$2786,3,0)),0,VLOOKUP(A1815,'Anlage 2a_Letztverbrauch'!$A$2774:$C$2786,3,0))</f>
        <v>0</v>
      </c>
      <c r="D1815" s="711">
        <v>0</v>
      </c>
      <c r="E1815" s="711">
        <f t="shared" si="67"/>
        <v>116578.07042000002</v>
      </c>
      <c r="F1815" s="711">
        <f>+SUMIF('Anlage 2b_Korrekturen'!$B$8:$B$226,'Anlage 3a_Zusammenfassung_KWKG'!A1815,'Anlage 2b_Korrekturen'!$E$8:$E$226)</f>
        <v>0</v>
      </c>
      <c r="G1815" s="668">
        <f t="shared" si="68"/>
        <v>116578.07042000002</v>
      </c>
      <c r="H1815" s="133"/>
      <c r="I1815" s="92"/>
      <c r="J1815" t="s">
        <v>535</v>
      </c>
    </row>
    <row r="1816" spans="1:10" hidden="1" outlineLevel="1">
      <c r="A1816" s="418" t="s">
        <v>714</v>
      </c>
      <c r="B1816" s="1698">
        <f>+VLOOKUP(A1816,'Anlage 2a_Letztverbrauch'!$A$932:$I$1705,9,FALSE)</f>
        <v>350147.78057000006</v>
      </c>
      <c r="C1816" s="711">
        <f>+IF(ISNA(VLOOKUP(A1816,'Anlage 2a_Letztverbrauch'!$A$2774:$C$2786,3,0)),0,VLOOKUP(A1816,'Anlage 2a_Letztverbrauch'!$A$2774:$C$2786,3,0))</f>
        <v>0</v>
      </c>
      <c r="D1816" s="711">
        <v>0</v>
      </c>
      <c r="E1816" s="711">
        <f t="shared" si="67"/>
        <v>350147.78057000006</v>
      </c>
      <c r="F1816" s="711">
        <f>+SUMIF('Anlage 2b_Korrekturen'!$B$8:$B$226,'Anlage 3a_Zusammenfassung_KWKG'!A1816,'Anlage 2b_Korrekturen'!$E$8:$E$226)</f>
        <v>0</v>
      </c>
      <c r="G1816" s="668">
        <f t="shared" si="68"/>
        <v>350147.78057000006</v>
      </c>
      <c r="H1816" s="133"/>
      <c r="I1816" s="92"/>
      <c r="J1816" t="s">
        <v>2181</v>
      </c>
    </row>
    <row r="1817" spans="1:10" hidden="1" outlineLevel="1">
      <c r="A1817" s="418" t="s">
        <v>648</v>
      </c>
      <c r="B1817" s="1698">
        <f>+VLOOKUP(A1817,'Anlage 2a_Letztverbrauch'!$A$932:$I$1705,9,FALSE)</f>
        <v>310514.44052</v>
      </c>
      <c r="C1817" s="711">
        <f>+IF(ISNA(VLOOKUP(A1817,'Anlage 2a_Letztverbrauch'!$A$2774:$C$2786,3,0)),0,VLOOKUP(A1817,'Anlage 2a_Letztverbrauch'!$A$2774:$C$2786,3,0))</f>
        <v>0</v>
      </c>
      <c r="D1817" s="711">
        <v>0</v>
      </c>
      <c r="E1817" s="711">
        <f t="shared" si="67"/>
        <v>310514.44052</v>
      </c>
      <c r="F1817" s="711">
        <f>+SUMIF('Anlage 2b_Korrekturen'!$B$8:$B$226,'Anlage 3a_Zusammenfassung_KWKG'!A1817,'Anlage 2b_Korrekturen'!$E$8:$E$226)</f>
        <v>-339.93</v>
      </c>
      <c r="G1817" s="668">
        <f t="shared" si="68"/>
        <v>310174.51052000001</v>
      </c>
      <c r="H1817" s="133"/>
      <c r="I1817" s="92"/>
      <c r="J1817" t="s">
        <v>649</v>
      </c>
    </row>
    <row r="1818" spans="1:10" hidden="1" outlineLevel="1">
      <c r="A1818" s="418" t="s">
        <v>740</v>
      </c>
      <c r="B1818" s="1698">
        <f>+VLOOKUP(A1818,'Anlage 2a_Letztverbrauch'!$A$932:$I$1705,9,FALSE)</f>
        <v>1768568.4582520002</v>
      </c>
      <c r="C1818" s="711">
        <f>+IF(ISNA(VLOOKUP(A1818,'Anlage 2a_Letztverbrauch'!$A$2774:$C$2786,3,0)),0,VLOOKUP(A1818,'Anlage 2a_Letztverbrauch'!$A$2774:$C$2786,3,0))</f>
        <v>-148.85426000000001</v>
      </c>
      <c r="D1818" s="711">
        <v>0</v>
      </c>
      <c r="E1818" s="711">
        <f t="shared" si="67"/>
        <v>1768419.6039920002</v>
      </c>
      <c r="F1818" s="711">
        <f>+SUMIF('Anlage 2b_Korrekturen'!$B$8:$B$226,'Anlage 3a_Zusammenfassung_KWKG'!A1818,'Anlage 2b_Korrekturen'!$E$8:$E$226)</f>
        <v>0</v>
      </c>
      <c r="G1818" s="668">
        <f t="shared" si="68"/>
        <v>1768419.6039920002</v>
      </c>
      <c r="H1818" s="133"/>
      <c r="I1818" s="92"/>
      <c r="J1818" t="s">
        <v>741</v>
      </c>
    </row>
    <row r="1819" spans="1:10" hidden="1" outlineLevel="1">
      <c r="A1819" s="418" t="s">
        <v>656</v>
      </c>
      <c r="B1819" s="1698">
        <f>+VLOOKUP(A1819,'Anlage 2a_Letztverbrauch'!$A$932:$I$1705,9,FALSE)</f>
        <v>39703.634340000004</v>
      </c>
      <c r="C1819" s="711">
        <f>+IF(ISNA(VLOOKUP(A1819,'Anlage 2a_Letztverbrauch'!$A$2774:$C$2786,3,0)),0,VLOOKUP(A1819,'Anlage 2a_Letztverbrauch'!$A$2774:$C$2786,3,0))</f>
        <v>0</v>
      </c>
      <c r="D1819" s="711">
        <v>0</v>
      </c>
      <c r="E1819" s="711">
        <f t="shared" si="67"/>
        <v>39703.634340000004</v>
      </c>
      <c r="F1819" s="711">
        <f>+SUMIF('Anlage 2b_Korrekturen'!$B$8:$B$226,'Anlage 3a_Zusammenfassung_KWKG'!A1819,'Anlage 2b_Korrekturen'!$E$8:$E$226)</f>
        <v>3682.37</v>
      </c>
      <c r="G1819" s="668">
        <f t="shared" si="68"/>
        <v>43386.004340000007</v>
      </c>
      <c r="H1819" s="133"/>
      <c r="I1819" s="92"/>
      <c r="J1819" t="s">
        <v>657</v>
      </c>
    </row>
    <row r="1820" spans="1:10" hidden="1" outlineLevel="1">
      <c r="A1820" s="418" t="s">
        <v>628</v>
      </c>
      <c r="B1820" s="1698">
        <f>+VLOOKUP(A1820,'Anlage 2a_Letztverbrauch'!$A$932:$I$1705,9,FALSE)</f>
        <v>236796.58287000001</v>
      </c>
      <c r="C1820" s="711">
        <f>+IF(ISNA(VLOOKUP(A1820,'Anlage 2a_Letztverbrauch'!$A$2774:$C$2786,3,0)),0,VLOOKUP(A1820,'Anlage 2a_Letztverbrauch'!$A$2774:$C$2786,3,0))</f>
        <v>0</v>
      </c>
      <c r="D1820" s="711">
        <v>0</v>
      </c>
      <c r="E1820" s="711">
        <f t="shared" si="67"/>
        <v>236796.58287000001</v>
      </c>
      <c r="F1820" s="711">
        <f>+SUMIF('Anlage 2b_Korrekturen'!$B$8:$B$226,'Anlage 3a_Zusammenfassung_KWKG'!A1820,'Anlage 2b_Korrekturen'!$E$8:$E$226)</f>
        <v>737.52</v>
      </c>
      <c r="G1820" s="668">
        <f t="shared" si="68"/>
        <v>237534.10287</v>
      </c>
      <c r="H1820" s="133"/>
      <c r="I1820" s="92"/>
      <c r="J1820" t="s">
        <v>629</v>
      </c>
    </row>
    <row r="1821" spans="1:10" hidden="1" outlineLevel="1">
      <c r="A1821" s="418" t="s">
        <v>606</v>
      </c>
      <c r="B1821" s="1698">
        <f>+VLOOKUP(A1821,'Anlage 2a_Letztverbrauch'!$A$932:$I$1705,9,FALSE)</f>
        <v>77635.784430000014</v>
      </c>
      <c r="C1821" s="711">
        <f>+IF(ISNA(VLOOKUP(A1821,'Anlage 2a_Letztverbrauch'!$A$2774:$C$2786,3,0)),0,VLOOKUP(A1821,'Anlage 2a_Letztverbrauch'!$A$2774:$C$2786,3,0))</f>
        <v>0</v>
      </c>
      <c r="D1821" s="711">
        <v>0</v>
      </c>
      <c r="E1821" s="711">
        <f t="shared" si="67"/>
        <v>77635.784430000014</v>
      </c>
      <c r="F1821" s="711">
        <f>+SUMIF('Anlage 2b_Korrekturen'!$B$8:$B$226,'Anlage 3a_Zusammenfassung_KWKG'!A1821,'Anlage 2b_Korrekturen'!$E$8:$E$226)</f>
        <v>-798.21</v>
      </c>
      <c r="G1821" s="668">
        <f t="shared" si="68"/>
        <v>76837.574430000008</v>
      </c>
      <c r="H1821" s="133"/>
      <c r="I1821" s="92"/>
      <c r="J1821" t="s">
        <v>607</v>
      </c>
    </row>
    <row r="1822" spans="1:10" hidden="1" outlineLevel="1">
      <c r="A1822" s="418" t="s">
        <v>614</v>
      </c>
      <c r="B1822" s="1698">
        <f>+VLOOKUP(A1822,'Anlage 2a_Letztverbrauch'!$A$932:$I$1705,9,FALSE)</f>
        <v>209780.96400000004</v>
      </c>
      <c r="C1822" s="711">
        <f>+IF(ISNA(VLOOKUP(A1822,'Anlage 2a_Letztverbrauch'!$A$2774:$C$2786,3,0)),0,VLOOKUP(A1822,'Anlage 2a_Letztverbrauch'!$A$2774:$C$2786,3,0))</f>
        <v>0</v>
      </c>
      <c r="D1822" s="711">
        <v>0</v>
      </c>
      <c r="E1822" s="711">
        <f t="shared" si="67"/>
        <v>209780.96400000004</v>
      </c>
      <c r="F1822" s="711">
        <f>+SUMIF('Anlage 2b_Korrekturen'!$B$8:$B$226,'Anlage 3a_Zusammenfassung_KWKG'!A1822,'Anlage 2b_Korrekturen'!$E$8:$E$226)</f>
        <v>-4014.43</v>
      </c>
      <c r="G1822" s="668">
        <f t="shared" si="68"/>
        <v>205766.53400000004</v>
      </c>
      <c r="H1822" s="133"/>
      <c r="I1822" s="92"/>
      <c r="J1822" t="s">
        <v>615</v>
      </c>
    </row>
    <row r="1823" spans="1:10" hidden="1" outlineLevel="1">
      <c r="A1823" s="418" t="s">
        <v>678</v>
      </c>
      <c r="B1823" s="1698">
        <f>+VLOOKUP(A1823,'Anlage 2a_Letztverbrauch'!$A$932:$I$1705,9,FALSE)</f>
        <v>223619.68455999999</v>
      </c>
      <c r="C1823" s="711">
        <f>+IF(ISNA(VLOOKUP(A1823,'Anlage 2a_Letztverbrauch'!$A$2774:$C$2786,3,0)),0,VLOOKUP(A1823,'Anlage 2a_Letztverbrauch'!$A$2774:$C$2786,3,0))</f>
        <v>0</v>
      </c>
      <c r="D1823" s="711">
        <v>0</v>
      </c>
      <c r="E1823" s="711">
        <f t="shared" si="67"/>
        <v>223619.68455999999</v>
      </c>
      <c r="F1823" s="711">
        <f>+SUMIF('Anlage 2b_Korrekturen'!$B$8:$B$226,'Anlage 3a_Zusammenfassung_KWKG'!A1823,'Anlage 2b_Korrekturen'!$E$8:$E$226)</f>
        <v>0</v>
      </c>
      <c r="G1823" s="668">
        <f t="shared" si="68"/>
        <v>223619.68455999999</v>
      </c>
      <c r="H1823" s="133"/>
      <c r="I1823" s="92"/>
      <c r="J1823" t="s">
        <v>679</v>
      </c>
    </row>
    <row r="1824" spans="1:10" hidden="1" outlineLevel="1">
      <c r="A1824" s="418" t="s">
        <v>702</v>
      </c>
      <c r="B1824" s="1698">
        <f>+VLOOKUP(A1824,'Anlage 2a_Letztverbrauch'!$A$932:$I$1705,9,FALSE)</f>
        <v>95373.241210000007</v>
      </c>
      <c r="C1824" s="711">
        <f>+IF(ISNA(VLOOKUP(A1824,'Anlage 2a_Letztverbrauch'!$A$2774:$C$2786,3,0)),0,VLOOKUP(A1824,'Anlage 2a_Letztverbrauch'!$A$2774:$C$2786,3,0))</f>
        <v>0</v>
      </c>
      <c r="D1824" s="711">
        <v>0</v>
      </c>
      <c r="E1824" s="711">
        <f t="shared" si="67"/>
        <v>95373.241210000007</v>
      </c>
      <c r="F1824" s="711">
        <f>+SUMIF('Anlage 2b_Korrekturen'!$B$8:$B$226,'Anlage 3a_Zusammenfassung_KWKG'!A1824,'Anlage 2b_Korrekturen'!$E$8:$E$226)</f>
        <v>0</v>
      </c>
      <c r="G1824" s="668">
        <f t="shared" si="68"/>
        <v>95373.241210000007</v>
      </c>
      <c r="H1824" s="133"/>
      <c r="I1824" s="92"/>
      <c r="J1824" t="s">
        <v>703</v>
      </c>
    </row>
    <row r="1825" spans="1:10" hidden="1" outlineLevel="1">
      <c r="A1825" s="418" t="s">
        <v>608</v>
      </c>
      <c r="B1825" s="1698">
        <f>+VLOOKUP(A1825,'Anlage 2a_Letztverbrauch'!$A$932:$I$1705,9,FALSE)</f>
        <v>1661735.7386760004</v>
      </c>
      <c r="C1825" s="711">
        <f>+IF(ISNA(VLOOKUP(A1825,'Anlage 2a_Letztverbrauch'!$A$2774:$C$2786,3,0)),0,VLOOKUP(A1825,'Anlage 2a_Letztverbrauch'!$A$2774:$C$2786,3,0))</f>
        <v>0</v>
      </c>
      <c r="D1825" s="711">
        <v>0</v>
      </c>
      <c r="E1825" s="711">
        <f t="shared" si="67"/>
        <v>1661735.7386760004</v>
      </c>
      <c r="F1825" s="711">
        <f>+SUMIF('Anlage 2b_Korrekturen'!$B$8:$B$226,'Anlage 3a_Zusammenfassung_KWKG'!A1825,'Anlage 2b_Korrekturen'!$E$8:$E$226)</f>
        <v>1335.28</v>
      </c>
      <c r="G1825" s="668">
        <f t="shared" si="68"/>
        <v>1663071.0186760004</v>
      </c>
      <c r="H1825" s="133"/>
      <c r="I1825" s="92"/>
      <c r="J1825" t="s">
        <v>609</v>
      </c>
    </row>
    <row r="1826" spans="1:10" hidden="1" outlineLevel="1">
      <c r="A1826" s="418" t="s">
        <v>570</v>
      </c>
      <c r="B1826" s="1698">
        <f>+VLOOKUP(A1826,'Anlage 2a_Letztverbrauch'!$A$932:$I$1705,9,FALSE)</f>
        <v>108721.67731</v>
      </c>
      <c r="C1826" s="711">
        <f>+IF(ISNA(VLOOKUP(A1826,'Anlage 2a_Letztverbrauch'!$A$2774:$C$2786,3,0)),0,VLOOKUP(A1826,'Anlage 2a_Letztverbrauch'!$A$2774:$C$2786,3,0))</f>
        <v>0</v>
      </c>
      <c r="D1826" s="711">
        <v>0</v>
      </c>
      <c r="E1826" s="711">
        <f t="shared" si="67"/>
        <v>108721.67731</v>
      </c>
      <c r="F1826" s="711">
        <f>+SUMIF('Anlage 2b_Korrekturen'!$B$8:$B$226,'Anlage 3a_Zusammenfassung_KWKG'!A1826,'Anlage 2b_Korrekturen'!$E$8:$E$226)</f>
        <v>-901.27</v>
      </c>
      <c r="G1826" s="668">
        <f t="shared" si="68"/>
        <v>107820.40731</v>
      </c>
      <c r="H1826" s="133"/>
      <c r="I1826" s="92"/>
      <c r="J1826" t="s">
        <v>571</v>
      </c>
    </row>
    <row r="1827" spans="1:10" hidden="1" outlineLevel="1">
      <c r="A1827" s="418" t="s">
        <v>620</v>
      </c>
      <c r="B1827" s="1698">
        <f>+VLOOKUP(A1827,'Anlage 2a_Letztverbrauch'!$A$932:$I$1705,9,FALSE)</f>
        <v>4443832.7743690014</v>
      </c>
      <c r="C1827" s="711">
        <f>+IF(ISNA(VLOOKUP(A1827,'Anlage 2a_Letztverbrauch'!$A$2774:$C$2786,3,0)),0,VLOOKUP(A1827,'Anlage 2a_Letztverbrauch'!$A$2774:$C$2786,3,0))</f>
        <v>0</v>
      </c>
      <c r="D1827" s="711">
        <v>0</v>
      </c>
      <c r="E1827" s="711">
        <f t="shared" si="67"/>
        <v>4443832.7743690014</v>
      </c>
      <c r="F1827" s="711">
        <f>+SUMIF('Anlage 2b_Korrekturen'!$B$8:$B$226,'Anlage 3a_Zusammenfassung_KWKG'!A1827,'Anlage 2b_Korrekturen'!$E$8:$E$226)</f>
        <v>0</v>
      </c>
      <c r="G1827" s="668">
        <f t="shared" si="68"/>
        <v>4443832.7743690014</v>
      </c>
      <c r="H1827" s="133"/>
      <c r="I1827" s="92"/>
      <c r="J1827" t="s">
        <v>621</v>
      </c>
    </row>
    <row r="1828" spans="1:10" hidden="1" outlineLevel="1">
      <c r="A1828" s="418" t="s">
        <v>526</v>
      </c>
      <c r="B1828" s="1698">
        <f>+VLOOKUP(A1828,'Anlage 2a_Letztverbrauch'!$A$932:$I$1705,9,FALSE)</f>
        <v>111761.49193000002</v>
      </c>
      <c r="C1828" s="711">
        <f>+IF(ISNA(VLOOKUP(A1828,'Anlage 2a_Letztverbrauch'!$A$2774:$C$2786,3,0)),0,VLOOKUP(A1828,'Anlage 2a_Letztverbrauch'!$A$2774:$C$2786,3,0))</f>
        <v>0</v>
      </c>
      <c r="D1828" s="711">
        <v>0</v>
      </c>
      <c r="E1828" s="711">
        <f t="shared" si="67"/>
        <v>111761.49193000002</v>
      </c>
      <c r="F1828" s="711">
        <f>+SUMIF('Anlage 2b_Korrekturen'!$B$8:$B$226,'Anlage 3a_Zusammenfassung_KWKG'!A1828,'Anlage 2b_Korrekturen'!$E$8:$E$226)</f>
        <v>1301.4100000000001</v>
      </c>
      <c r="G1828" s="668">
        <f t="shared" si="68"/>
        <v>113062.90193000002</v>
      </c>
      <c r="H1828" s="133"/>
      <c r="I1828" s="92"/>
      <c r="J1828" t="s">
        <v>527</v>
      </c>
    </row>
    <row r="1829" spans="1:10" hidden="1" outlineLevel="1">
      <c r="A1829" s="418" t="s">
        <v>480</v>
      </c>
      <c r="B1829" s="1698">
        <f>+VLOOKUP(A1829,'Anlage 2a_Letztverbrauch'!$A$932:$I$1705,9,FALSE)</f>
        <v>66882.622270000007</v>
      </c>
      <c r="C1829" s="711">
        <f>+IF(ISNA(VLOOKUP(A1829,'Anlage 2a_Letztverbrauch'!$A$2774:$C$2786,3,0)),0,VLOOKUP(A1829,'Anlage 2a_Letztverbrauch'!$A$2774:$C$2786,3,0))</f>
        <v>0</v>
      </c>
      <c r="D1829" s="711">
        <v>0</v>
      </c>
      <c r="E1829" s="711">
        <f t="shared" si="67"/>
        <v>66882.622270000007</v>
      </c>
      <c r="F1829" s="711">
        <f>+SUMIF('Anlage 2b_Korrekturen'!$B$8:$B$226,'Anlage 3a_Zusammenfassung_KWKG'!A1829,'Anlage 2b_Korrekturen'!$E$8:$E$226)</f>
        <v>0</v>
      </c>
      <c r="G1829" s="668">
        <f t="shared" si="68"/>
        <v>66882.622270000007</v>
      </c>
      <c r="H1829" s="133"/>
      <c r="I1829" s="92"/>
      <c r="J1829" t="s">
        <v>481</v>
      </c>
    </row>
    <row r="1830" spans="1:10" hidden="1" outlineLevel="1">
      <c r="A1830" s="418" t="s">
        <v>514</v>
      </c>
      <c r="B1830" s="1698">
        <f>+VLOOKUP(A1830,'Anlage 2a_Letztverbrauch'!$A$932:$I$1705,9,FALSE)</f>
        <v>272812.71842000005</v>
      </c>
      <c r="C1830" s="711">
        <f>+IF(ISNA(VLOOKUP(A1830,'Anlage 2a_Letztverbrauch'!$A$2774:$C$2786,3,0)),0,VLOOKUP(A1830,'Anlage 2a_Letztverbrauch'!$A$2774:$C$2786,3,0))</f>
        <v>0</v>
      </c>
      <c r="D1830" s="711">
        <v>0</v>
      </c>
      <c r="E1830" s="711">
        <f t="shared" si="67"/>
        <v>272812.71842000005</v>
      </c>
      <c r="F1830" s="711">
        <f>+SUMIF('Anlage 2b_Korrekturen'!$B$8:$B$226,'Anlage 3a_Zusammenfassung_KWKG'!A1830,'Anlage 2b_Korrekturen'!$E$8:$E$226)</f>
        <v>911.08</v>
      </c>
      <c r="G1830" s="668">
        <f t="shared" si="68"/>
        <v>273723.79842000006</v>
      </c>
      <c r="H1830" s="133"/>
      <c r="I1830" s="92"/>
      <c r="J1830" t="s">
        <v>2182</v>
      </c>
    </row>
    <row r="1831" spans="1:10" hidden="1" outlineLevel="1">
      <c r="A1831" s="418" t="s">
        <v>602</v>
      </c>
      <c r="B1831" s="1698">
        <f>+VLOOKUP(A1831,'Anlage 2a_Letztverbrauch'!$A$932:$I$1705,9,FALSE)</f>
        <v>170588.58579000001</v>
      </c>
      <c r="C1831" s="711">
        <f>+IF(ISNA(VLOOKUP(A1831,'Anlage 2a_Letztverbrauch'!$A$2774:$C$2786,3,0)),0,VLOOKUP(A1831,'Anlage 2a_Letztverbrauch'!$A$2774:$C$2786,3,0))</f>
        <v>0</v>
      </c>
      <c r="D1831" s="711">
        <v>0</v>
      </c>
      <c r="E1831" s="711">
        <f t="shared" si="67"/>
        <v>170588.58579000001</v>
      </c>
      <c r="F1831" s="711">
        <f>+SUMIF('Anlage 2b_Korrekturen'!$B$8:$B$226,'Anlage 3a_Zusammenfassung_KWKG'!A1831,'Anlage 2b_Korrekturen'!$E$8:$E$226)</f>
        <v>0</v>
      </c>
      <c r="G1831" s="668">
        <f t="shared" si="68"/>
        <v>170588.58579000001</v>
      </c>
      <c r="H1831" s="133"/>
      <c r="I1831" s="92"/>
      <c r="J1831" t="s">
        <v>603</v>
      </c>
    </row>
    <row r="1832" spans="1:10" hidden="1" outlineLevel="1">
      <c r="A1832" s="418" t="s">
        <v>744</v>
      </c>
      <c r="B1832" s="1698">
        <f>+VLOOKUP(A1832,'Anlage 2a_Letztverbrauch'!$A$932:$I$1705,9,FALSE)</f>
        <v>145615.37379000001</v>
      </c>
      <c r="C1832" s="711">
        <f>+IF(ISNA(VLOOKUP(A1832,'Anlage 2a_Letztverbrauch'!$A$2774:$C$2786,3,0)),0,VLOOKUP(A1832,'Anlage 2a_Letztverbrauch'!$A$2774:$C$2786,3,0))</f>
        <v>0</v>
      </c>
      <c r="D1832" s="711">
        <v>0</v>
      </c>
      <c r="E1832" s="711">
        <f t="shared" si="67"/>
        <v>145615.37379000001</v>
      </c>
      <c r="F1832" s="711">
        <f>+SUMIF('Anlage 2b_Korrekturen'!$B$8:$B$226,'Anlage 3a_Zusammenfassung_KWKG'!A1832,'Anlage 2b_Korrekturen'!$E$8:$E$226)</f>
        <v>0</v>
      </c>
      <c r="G1832" s="668">
        <f t="shared" si="68"/>
        <v>145615.37379000001</v>
      </c>
      <c r="H1832" s="133"/>
      <c r="I1832" s="92"/>
      <c r="J1832" t="s">
        <v>745</v>
      </c>
    </row>
    <row r="1833" spans="1:10" hidden="1" outlineLevel="1">
      <c r="A1833" s="418" t="s">
        <v>532</v>
      </c>
      <c r="B1833" s="1698">
        <f>+VLOOKUP(A1833,'Anlage 2a_Letztverbrauch'!$A$932:$I$1705,9,FALSE)</f>
        <v>101562.81729000001</v>
      </c>
      <c r="C1833" s="711">
        <f>+IF(ISNA(VLOOKUP(A1833,'Anlage 2a_Letztverbrauch'!$A$2774:$C$2786,3,0)),0,VLOOKUP(A1833,'Anlage 2a_Letztverbrauch'!$A$2774:$C$2786,3,0))</f>
        <v>0</v>
      </c>
      <c r="D1833" s="711">
        <v>0</v>
      </c>
      <c r="E1833" s="711">
        <f t="shared" si="67"/>
        <v>101562.81729000001</v>
      </c>
      <c r="F1833" s="711">
        <f>+SUMIF('Anlage 2b_Korrekturen'!$B$8:$B$226,'Anlage 3a_Zusammenfassung_KWKG'!A1833,'Anlage 2b_Korrekturen'!$E$8:$E$226)</f>
        <v>-311.75</v>
      </c>
      <c r="G1833" s="668">
        <f t="shared" si="68"/>
        <v>101251.06729000001</v>
      </c>
      <c r="H1833" s="133"/>
      <c r="I1833" s="92"/>
      <c r="J1833" t="s">
        <v>533</v>
      </c>
    </row>
    <row r="1834" spans="1:10" hidden="1" outlineLevel="1">
      <c r="A1834" s="418" t="s">
        <v>612</v>
      </c>
      <c r="B1834" s="1698">
        <f>+VLOOKUP(A1834,'Anlage 2a_Letztverbrauch'!$A$932:$I$1705,9,FALSE)</f>
        <v>347643.58422999998</v>
      </c>
      <c r="C1834" s="711">
        <f>+IF(ISNA(VLOOKUP(A1834,'Anlage 2a_Letztverbrauch'!$A$2774:$C$2786,3,0)),0,VLOOKUP(A1834,'Anlage 2a_Letztverbrauch'!$A$2774:$C$2786,3,0))</f>
        <v>0</v>
      </c>
      <c r="D1834" s="711">
        <v>0</v>
      </c>
      <c r="E1834" s="711">
        <f t="shared" si="67"/>
        <v>347643.58422999998</v>
      </c>
      <c r="F1834" s="711">
        <f>+SUMIF('Anlage 2b_Korrekturen'!$B$8:$B$226,'Anlage 3a_Zusammenfassung_KWKG'!A1834,'Anlage 2b_Korrekturen'!$E$8:$E$226)</f>
        <v>-286.52999999999997</v>
      </c>
      <c r="G1834" s="668">
        <f t="shared" si="68"/>
        <v>347357.05422999995</v>
      </c>
      <c r="H1834" s="133"/>
      <c r="I1834" s="92"/>
      <c r="J1834" t="s">
        <v>613</v>
      </c>
    </row>
    <row r="1835" spans="1:10" hidden="1" outlineLevel="1">
      <c r="A1835" s="418" t="s">
        <v>552</v>
      </c>
      <c r="B1835" s="1698">
        <f>+VLOOKUP(A1835,'Anlage 2a_Letztverbrauch'!$A$932:$I$1705,9,FALSE)</f>
        <v>687414.69827000005</v>
      </c>
      <c r="C1835" s="711">
        <f>+IF(ISNA(VLOOKUP(A1835,'Anlage 2a_Letztverbrauch'!$A$2774:$C$2786,3,0)),0,VLOOKUP(A1835,'Anlage 2a_Letztverbrauch'!$A$2774:$C$2786,3,0))</f>
        <v>0</v>
      </c>
      <c r="D1835" s="711">
        <v>0</v>
      </c>
      <c r="E1835" s="711">
        <f t="shared" si="67"/>
        <v>687414.69827000005</v>
      </c>
      <c r="F1835" s="711">
        <f>+SUMIF('Anlage 2b_Korrekturen'!$B$8:$B$226,'Anlage 3a_Zusammenfassung_KWKG'!A1835,'Anlage 2b_Korrekturen'!$E$8:$E$226)</f>
        <v>-2386.4</v>
      </c>
      <c r="G1835" s="668">
        <f t="shared" si="68"/>
        <v>685028.29827000003</v>
      </c>
      <c r="H1835" s="133"/>
      <c r="I1835" s="92"/>
      <c r="J1835" t="s">
        <v>553</v>
      </c>
    </row>
    <row r="1836" spans="1:10" hidden="1" outlineLevel="1">
      <c r="A1836" s="418" t="s">
        <v>560</v>
      </c>
      <c r="B1836" s="1698">
        <f>+VLOOKUP(A1836,'Anlage 2a_Letztverbrauch'!$A$932:$I$1705,9,FALSE)</f>
        <v>2025274.989789</v>
      </c>
      <c r="C1836" s="711">
        <f>+IF(ISNA(VLOOKUP(A1836,'Anlage 2a_Letztverbrauch'!$A$2774:$C$2786,3,0)),0,VLOOKUP(A1836,'Anlage 2a_Letztverbrauch'!$A$2774:$C$2786,3,0))</f>
        <v>0</v>
      </c>
      <c r="D1836" s="711">
        <v>0</v>
      </c>
      <c r="E1836" s="711">
        <f t="shared" si="67"/>
        <v>2025274.989789</v>
      </c>
      <c r="F1836" s="711">
        <f>+SUMIF('Anlage 2b_Korrekturen'!$B$8:$B$226,'Anlage 3a_Zusammenfassung_KWKG'!A1836,'Anlage 2b_Korrekturen'!$E$8:$E$226)</f>
        <v>0</v>
      </c>
      <c r="G1836" s="668">
        <f t="shared" si="68"/>
        <v>2025274.989789</v>
      </c>
      <c r="H1836" s="133"/>
      <c r="I1836" s="92"/>
      <c r="J1836" t="s">
        <v>561</v>
      </c>
    </row>
    <row r="1837" spans="1:10" hidden="1" outlineLevel="1">
      <c r="A1837" s="418" t="s">
        <v>616</v>
      </c>
      <c r="B1837" s="1698">
        <f>+VLOOKUP(A1837,'Anlage 2a_Letztverbrauch'!$A$932:$I$1705,9,FALSE)</f>
        <v>53626.413320000007</v>
      </c>
      <c r="C1837" s="711">
        <f>+IF(ISNA(VLOOKUP(A1837,'Anlage 2a_Letztverbrauch'!$A$2774:$C$2786,3,0)),0,VLOOKUP(A1837,'Anlage 2a_Letztverbrauch'!$A$2774:$C$2786,3,0))</f>
        <v>0</v>
      </c>
      <c r="D1837" s="711">
        <v>0</v>
      </c>
      <c r="E1837" s="711">
        <f t="shared" si="67"/>
        <v>53626.413320000007</v>
      </c>
      <c r="F1837" s="711">
        <f>+SUMIF('Anlage 2b_Korrekturen'!$B$8:$B$226,'Anlage 3a_Zusammenfassung_KWKG'!A1837,'Anlage 2b_Korrekturen'!$E$8:$E$226)</f>
        <v>0</v>
      </c>
      <c r="G1837" s="668">
        <f t="shared" si="68"/>
        <v>53626.413320000007</v>
      </c>
      <c r="H1837" s="133"/>
      <c r="I1837" s="92"/>
      <c r="J1837" t="s">
        <v>617</v>
      </c>
    </row>
    <row r="1838" spans="1:10" hidden="1" outlineLevel="1">
      <c r="A1838" s="418" t="s">
        <v>492</v>
      </c>
      <c r="B1838" s="1698">
        <f>+VLOOKUP(A1838,'Anlage 2a_Letztverbrauch'!$A$932:$I$1705,9,FALSE)</f>
        <v>178554.58780000001</v>
      </c>
      <c r="C1838" s="711">
        <f>+IF(ISNA(VLOOKUP(A1838,'Anlage 2a_Letztverbrauch'!$A$2774:$C$2786,3,0)),0,VLOOKUP(A1838,'Anlage 2a_Letztverbrauch'!$A$2774:$C$2786,3,0))</f>
        <v>0</v>
      </c>
      <c r="D1838" s="711">
        <v>0</v>
      </c>
      <c r="E1838" s="711">
        <f t="shared" si="67"/>
        <v>178554.58780000001</v>
      </c>
      <c r="F1838" s="711">
        <f>+SUMIF('Anlage 2b_Korrekturen'!$B$8:$B$226,'Anlage 3a_Zusammenfassung_KWKG'!A1838,'Anlage 2b_Korrekturen'!$E$8:$E$226)</f>
        <v>0</v>
      </c>
      <c r="G1838" s="668">
        <f t="shared" si="68"/>
        <v>178554.58780000001</v>
      </c>
      <c r="H1838" s="133"/>
      <c r="I1838" s="92"/>
      <c r="J1838" t="s">
        <v>493</v>
      </c>
    </row>
    <row r="1839" spans="1:10" hidden="1" outlineLevel="1">
      <c r="A1839" s="418" t="s">
        <v>520</v>
      </c>
      <c r="B1839" s="1698">
        <f>+VLOOKUP(A1839,'Anlage 2a_Letztverbrauch'!$A$932:$I$1705,9,FALSE)</f>
        <v>224116.42312000002</v>
      </c>
      <c r="C1839" s="711">
        <f>+IF(ISNA(VLOOKUP(A1839,'Anlage 2a_Letztverbrauch'!$A$2774:$C$2786,3,0)),0,VLOOKUP(A1839,'Anlage 2a_Letztverbrauch'!$A$2774:$C$2786,3,0))</f>
        <v>0</v>
      </c>
      <c r="D1839" s="711">
        <v>0</v>
      </c>
      <c r="E1839" s="711">
        <f t="shared" si="67"/>
        <v>224116.42312000002</v>
      </c>
      <c r="F1839" s="711">
        <f>+SUMIF('Anlage 2b_Korrekturen'!$B$8:$B$226,'Anlage 3a_Zusammenfassung_KWKG'!A1839,'Anlage 2b_Korrekturen'!$E$8:$E$226)</f>
        <v>3647.2699999999995</v>
      </c>
      <c r="G1839" s="668">
        <f t="shared" si="68"/>
        <v>227763.69312000001</v>
      </c>
      <c r="H1839" s="133"/>
      <c r="I1839" s="92"/>
      <c r="J1839" t="s">
        <v>521</v>
      </c>
    </row>
    <row r="1840" spans="1:10" hidden="1" outlineLevel="1">
      <c r="A1840" s="418" t="s">
        <v>472</v>
      </c>
      <c r="B1840" s="1698">
        <f>+VLOOKUP(A1840,'Anlage 2a_Letztverbrauch'!$A$932:$I$1705,9,FALSE)</f>
        <v>242798.44435999999</v>
      </c>
      <c r="C1840" s="711">
        <f>+IF(ISNA(VLOOKUP(A1840,'Anlage 2a_Letztverbrauch'!$A$2774:$C$2786,3,0)),0,VLOOKUP(A1840,'Anlage 2a_Letztverbrauch'!$A$2774:$C$2786,3,0))</f>
        <v>0</v>
      </c>
      <c r="D1840" s="711">
        <v>0</v>
      </c>
      <c r="E1840" s="711">
        <f t="shared" si="67"/>
        <v>242798.44435999999</v>
      </c>
      <c r="F1840" s="711">
        <f>+SUMIF('Anlage 2b_Korrekturen'!$B$8:$B$226,'Anlage 3a_Zusammenfassung_KWKG'!A1840,'Anlage 2b_Korrekturen'!$E$8:$E$226)</f>
        <v>4888.01</v>
      </c>
      <c r="G1840" s="668">
        <f t="shared" si="68"/>
        <v>247686.45436</v>
      </c>
      <c r="H1840" s="133"/>
      <c r="I1840" s="92"/>
      <c r="J1840" t="s">
        <v>473</v>
      </c>
    </row>
    <row r="1841" spans="1:10" hidden="1" outlineLevel="1">
      <c r="A1841" s="418" t="s">
        <v>464</v>
      </c>
      <c r="B1841" s="1698">
        <f>+VLOOKUP(A1841,'Anlage 2a_Letztverbrauch'!$A$932:$I$1705,9,FALSE)</f>
        <v>228694.45114900003</v>
      </c>
      <c r="C1841" s="711">
        <f>+IF(ISNA(VLOOKUP(A1841,'Anlage 2a_Letztverbrauch'!$A$2774:$C$2786,3,0)),0,VLOOKUP(A1841,'Anlage 2a_Letztverbrauch'!$A$2774:$C$2786,3,0))</f>
        <v>-6298.4149200000011</v>
      </c>
      <c r="D1841" s="711">
        <v>0</v>
      </c>
      <c r="E1841" s="711">
        <f t="shared" si="67"/>
        <v>222396.03622900002</v>
      </c>
      <c r="F1841" s="711">
        <f>+SUMIF('Anlage 2b_Korrekturen'!$B$8:$B$226,'Anlage 3a_Zusammenfassung_KWKG'!A1841,'Anlage 2b_Korrekturen'!$E$8:$E$226)</f>
        <v>2723.6</v>
      </c>
      <c r="G1841" s="668">
        <f t="shared" si="68"/>
        <v>225119.63622900003</v>
      </c>
      <c r="H1841" s="133"/>
      <c r="I1841" s="92"/>
      <c r="J1841" t="s">
        <v>465</v>
      </c>
    </row>
    <row r="1842" spans="1:10" hidden="1" outlineLevel="1">
      <c r="A1842" s="418" t="s">
        <v>548</v>
      </c>
      <c r="B1842" s="1698">
        <f>+VLOOKUP(A1842,'Anlage 2a_Letztverbrauch'!$A$932:$I$1705,9,FALSE)</f>
        <v>264542.78093000001</v>
      </c>
      <c r="C1842" s="711">
        <f>+IF(ISNA(VLOOKUP(A1842,'Anlage 2a_Letztverbrauch'!$A$2774:$C$2786,3,0)),0,VLOOKUP(A1842,'Anlage 2a_Letztverbrauch'!$A$2774:$C$2786,3,0))</f>
        <v>0</v>
      </c>
      <c r="D1842" s="711">
        <v>0</v>
      </c>
      <c r="E1842" s="711">
        <f t="shared" si="67"/>
        <v>264542.78093000001</v>
      </c>
      <c r="F1842" s="711">
        <f>+SUMIF('Anlage 2b_Korrekturen'!$B$8:$B$226,'Anlage 3a_Zusammenfassung_KWKG'!A1842,'Anlage 2b_Korrekturen'!$E$8:$E$226)</f>
        <v>0</v>
      </c>
      <c r="G1842" s="668">
        <f t="shared" si="68"/>
        <v>264542.78093000001</v>
      </c>
      <c r="H1842" s="133"/>
      <c r="I1842" s="92"/>
      <c r="J1842" t="s">
        <v>549</v>
      </c>
    </row>
    <row r="1843" spans="1:10" hidden="1" outlineLevel="1">
      <c r="A1843" s="418" t="s">
        <v>720</v>
      </c>
      <c r="B1843" s="1698">
        <f>+VLOOKUP(A1843,'Anlage 2a_Letztverbrauch'!$A$932:$I$1705,9,FALSE)</f>
        <v>185851.21377000003</v>
      </c>
      <c r="C1843" s="711">
        <f>+IF(ISNA(VLOOKUP(A1843,'Anlage 2a_Letztverbrauch'!$A$2774:$C$2786,3,0)),0,VLOOKUP(A1843,'Anlage 2a_Letztverbrauch'!$A$2774:$C$2786,3,0))</f>
        <v>0</v>
      </c>
      <c r="D1843" s="711">
        <v>0</v>
      </c>
      <c r="E1843" s="711">
        <f t="shared" si="67"/>
        <v>185851.21377000003</v>
      </c>
      <c r="F1843" s="711">
        <f>+SUMIF('Anlage 2b_Korrekturen'!$B$8:$B$226,'Anlage 3a_Zusammenfassung_KWKG'!A1843,'Anlage 2b_Korrekturen'!$E$8:$E$226)</f>
        <v>648.01</v>
      </c>
      <c r="G1843" s="668">
        <f t="shared" si="68"/>
        <v>186499.22377000004</v>
      </c>
      <c r="H1843" s="133"/>
      <c r="I1843" s="92"/>
      <c r="J1843" t="s">
        <v>721</v>
      </c>
    </row>
    <row r="1844" spans="1:10" hidden="1" outlineLevel="1">
      <c r="A1844" s="418" t="s">
        <v>588</v>
      </c>
      <c r="B1844" s="1698">
        <f>+VLOOKUP(A1844,'Anlage 2a_Letztverbrauch'!$A$932:$I$1705,9,FALSE)</f>
        <v>488991.35752000002</v>
      </c>
      <c r="C1844" s="711">
        <f>+IF(ISNA(VLOOKUP(A1844,'Anlage 2a_Letztverbrauch'!$A$2774:$C$2786,3,0)),0,VLOOKUP(A1844,'Anlage 2a_Letztverbrauch'!$A$2774:$C$2786,3,0))</f>
        <v>0</v>
      </c>
      <c r="D1844" s="711">
        <v>0</v>
      </c>
      <c r="E1844" s="711">
        <f t="shared" si="67"/>
        <v>488991.35752000002</v>
      </c>
      <c r="F1844" s="711">
        <f>+SUMIF('Anlage 2b_Korrekturen'!$B$8:$B$226,'Anlage 3a_Zusammenfassung_KWKG'!A1844,'Anlage 2b_Korrekturen'!$E$8:$E$226)</f>
        <v>0</v>
      </c>
      <c r="G1844" s="668">
        <f t="shared" si="68"/>
        <v>488991.35752000002</v>
      </c>
      <c r="H1844" s="133"/>
      <c r="I1844" s="92"/>
      <c r="J1844" t="s">
        <v>589</v>
      </c>
    </row>
    <row r="1845" spans="1:10" hidden="1" outlineLevel="1">
      <c r="A1845" s="418" t="s">
        <v>504</v>
      </c>
      <c r="B1845" s="1698">
        <f>+VLOOKUP(A1845,'Anlage 2a_Letztverbrauch'!$A$932:$I$1705,9,FALSE)</f>
        <v>314686.37353000004</v>
      </c>
      <c r="C1845" s="711">
        <f>+IF(ISNA(VLOOKUP(A1845,'Anlage 2a_Letztverbrauch'!$A$2774:$C$2786,3,0)),0,VLOOKUP(A1845,'Anlage 2a_Letztverbrauch'!$A$2774:$C$2786,3,0))</f>
        <v>0</v>
      </c>
      <c r="D1845" s="711">
        <v>0</v>
      </c>
      <c r="E1845" s="711">
        <f t="shared" si="67"/>
        <v>314686.37353000004</v>
      </c>
      <c r="F1845" s="711">
        <f>+SUMIF('Anlage 2b_Korrekturen'!$B$8:$B$226,'Anlage 3a_Zusammenfassung_KWKG'!A1845,'Anlage 2b_Korrekturen'!$E$8:$E$226)</f>
        <v>-140.81</v>
      </c>
      <c r="G1845" s="668">
        <f t="shared" si="68"/>
        <v>314545.56353000004</v>
      </c>
      <c r="H1845" s="133"/>
      <c r="I1845" s="92"/>
      <c r="J1845" t="s">
        <v>505</v>
      </c>
    </row>
    <row r="1846" spans="1:10" hidden="1" outlineLevel="1">
      <c r="A1846" s="418" t="s">
        <v>544</v>
      </c>
      <c r="B1846" s="1698">
        <f>+VLOOKUP(A1846,'Anlage 2a_Letztverbrauch'!$A$932:$I$1705,9,FALSE)</f>
        <v>76531.008710000009</v>
      </c>
      <c r="C1846" s="711">
        <f>+IF(ISNA(VLOOKUP(A1846,'Anlage 2a_Letztverbrauch'!$A$2774:$C$2786,3,0)),0,VLOOKUP(A1846,'Anlage 2a_Letztverbrauch'!$A$2774:$C$2786,3,0))</f>
        <v>0</v>
      </c>
      <c r="D1846" s="711">
        <v>0</v>
      </c>
      <c r="E1846" s="711">
        <f t="shared" si="67"/>
        <v>76531.008710000009</v>
      </c>
      <c r="F1846" s="711">
        <f>+SUMIF('Anlage 2b_Korrekturen'!$B$8:$B$226,'Anlage 3a_Zusammenfassung_KWKG'!A1846,'Anlage 2b_Korrekturen'!$E$8:$E$226)</f>
        <v>-67.42</v>
      </c>
      <c r="G1846" s="668">
        <f t="shared" si="68"/>
        <v>76463.588710000011</v>
      </c>
      <c r="H1846" s="133"/>
      <c r="I1846" s="92"/>
      <c r="J1846" t="s">
        <v>545</v>
      </c>
    </row>
    <row r="1847" spans="1:10" hidden="1" outlineLevel="1">
      <c r="A1847" s="418" t="s">
        <v>474</v>
      </c>
      <c r="B1847" s="1698">
        <f>+VLOOKUP(A1847,'Anlage 2a_Letztverbrauch'!$A$932:$I$1705,9,FALSE)</f>
        <v>146278.77771000002</v>
      </c>
      <c r="C1847" s="711">
        <f>+IF(ISNA(VLOOKUP(A1847,'Anlage 2a_Letztverbrauch'!$A$2774:$C$2786,3,0)),0,VLOOKUP(A1847,'Anlage 2a_Letztverbrauch'!$A$2774:$C$2786,3,0))</f>
        <v>0</v>
      </c>
      <c r="D1847" s="711">
        <v>0</v>
      </c>
      <c r="E1847" s="711">
        <f t="shared" si="67"/>
        <v>146278.77771000002</v>
      </c>
      <c r="F1847" s="711">
        <f>+SUMIF('Anlage 2b_Korrekturen'!$B$8:$B$226,'Anlage 3a_Zusammenfassung_KWKG'!A1847,'Anlage 2b_Korrekturen'!$E$8:$E$226)</f>
        <v>0</v>
      </c>
      <c r="G1847" s="668">
        <f t="shared" si="68"/>
        <v>146278.77771000002</v>
      </c>
      <c r="H1847" s="133"/>
      <c r="I1847" s="92"/>
      <c r="J1847" t="s">
        <v>475</v>
      </c>
    </row>
    <row r="1848" spans="1:10" hidden="1" outlineLevel="1">
      <c r="A1848" s="418" t="s">
        <v>662</v>
      </c>
      <c r="B1848" s="1698">
        <f>+VLOOKUP(A1848,'Anlage 2a_Letztverbrauch'!$A$932:$I$1705,9,FALSE)</f>
        <v>94026.331479999993</v>
      </c>
      <c r="C1848" s="711">
        <f>+IF(ISNA(VLOOKUP(A1848,'Anlage 2a_Letztverbrauch'!$A$2774:$C$2786,3,0)),0,VLOOKUP(A1848,'Anlage 2a_Letztverbrauch'!$A$2774:$C$2786,3,0))</f>
        <v>0</v>
      </c>
      <c r="D1848" s="711">
        <v>0</v>
      </c>
      <c r="E1848" s="711">
        <f t="shared" si="67"/>
        <v>94026.331479999993</v>
      </c>
      <c r="F1848" s="711">
        <f>+SUMIF('Anlage 2b_Korrekturen'!$B$8:$B$226,'Anlage 3a_Zusammenfassung_KWKG'!A1848,'Anlage 2b_Korrekturen'!$E$8:$E$226)</f>
        <v>0</v>
      </c>
      <c r="G1848" s="668">
        <f t="shared" si="68"/>
        <v>94026.331479999993</v>
      </c>
      <c r="H1848" s="133"/>
      <c r="I1848" s="92"/>
      <c r="J1848" t="s">
        <v>663</v>
      </c>
    </row>
    <row r="1849" spans="1:10" hidden="1" outlineLevel="1">
      <c r="A1849" s="418" t="s">
        <v>650</v>
      </c>
      <c r="B1849" s="1698">
        <f>+VLOOKUP(A1849,'Anlage 2a_Letztverbrauch'!$A$932:$I$1705,9,FALSE)</f>
        <v>396891.21479</v>
      </c>
      <c r="C1849" s="711">
        <f>+IF(ISNA(VLOOKUP(A1849,'Anlage 2a_Letztverbrauch'!$A$2774:$C$2786,3,0)),0,VLOOKUP(A1849,'Anlage 2a_Letztverbrauch'!$A$2774:$C$2786,3,0))</f>
        <v>0</v>
      </c>
      <c r="D1849" s="711">
        <v>0</v>
      </c>
      <c r="E1849" s="711">
        <f t="shared" si="67"/>
        <v>396891.21479</v>
      </c>
      <c r="F1849" s="711">
        <f>+SUMIF('Anlage 2b_Korrekturen'!$B$8:$B$226,'Anlage 3a_Zusammenfassung_KWKG'!A1849,'Anlage 2b_Korrekturen'!$E$8:$E$226)</f>
        <v>0</v>
      </c>
      <c r="G1849" s="668">
        <f t="shared" si="68"/>
        <v>396891.21479</v>
      </c>
      <c r="H1849" s="133"/>
      <c r="I1849" s="92"/>
      <c r="J1849" t="s">
        <v>651</v>
      </c>
    </row>
    <row r="1850" spans="1:10" hidden="1" outlineLevel="1">
      <c r="A1850" s="418" t="s">
        <v>596</v>
      </c>
      <c r="B1850" s="1698">
        <f>+VLOOKUP(A1850,'Anlage 2a_Letztverbrauch'!$A$932:$I$1705,9,FALSE)</f>
        <v>90639.430320000014</v>
      </c>
      <c r="C1850" s="711">
        <f>+IF(ISNA(VLOOKUP(A1850,'Anlage 2a_Letztverbrauch'!$A$2774:$C$2786,3,0)),0,VLOOKUP(A1850,'Anlage 2a_Letztverbrauch'!$A$2774:$C$2786,3,0))</f>
        <v>0</v>
      </c>
      <c r="D1850" s="711">
        <v>0</v>
      </c>
      <c r="E1850" s="711">
        <f t="shared" si="67"/>
        <v>90639.430320000014</v>
      </c>
      <c r="F1850" s="711">
        <f>+SUMIF('Anlage 2b_Korrekturen'!$B$8:$B$226,'Anlage 3a_Zusammenfassung_KWKG'!A1850,'Anlage 2b_Korrekturen'!$E$8:$E$226)</f>
        <v>-132.72999999999999</v>
      </c>
      <c r="G1850" s="668">
        <f t="shared" si="68"/>
        <v>90506.700320000018</v>
      </c>
      <c r="H1850" s="133"/>
      <c r="I1850" s="92"/>
      <c r="J1850" t="s">
        <v>597</v>
      </c>
    </row>
    <row r="1851" spans="1:10" hidden="1" outlineLevel="1">
      <c r="A1851" s="418" t="s">
        <v>764</v>
      </c>
      <c r="B1851" s="1698">
        <f>+VLOOKUP(A1851,'Anlage 2a_Letztverbrauch'!$A$932:$I$1705,9,FALSE)</f>
        <v>100781.21193</v>
      </c>
      <c r="C1851" s="711">
        <f>+IF(ISNA(VLOOKUP(A1851,'Anlage 2a_Letztverbrauch'!$A$2774:$C$2786,3,0)),0,VLOOKUP(A1851,'Anlage 2a_Letztverbrauch'!$A$2774:$C$2786,3,0))</f>
        <v>0</v>
      </c>
      <c r="D1851" s="711">
        <v>0</v>
      </c>
      <c r="E1851" s="711">
        <f t="shared" si="67"/>
        <v>100781.21193</v>
      </c>
      <c r="F1851" s="711">
        <f>+SUMIF('Anlage 2b_Korrekturen'!$B$8:$B$226,'Anlage 3a_Zusammenfassung_KWKG'!A1851,'Anlage 2b_Korrekturen'!$E$8:$E$226)</f>
        <v>0</v>
      </c>
      <c r="G1851" s="668">
        <f t="shared" si="68"/>
        <v>100781.21193</v>
      </c>
      <c r="H1851" s="133"/>
      <c r="I1851" s="92"/>
      <c r="J1851" t="s">
        <v>765</v>
      </c>
    </row>
    <row r="1852" spans="1:10" hidden="1" outlineLevel="1">
      <c r="A1852" s="418" t="s">
        <v>624</v>
      </c>
      <c r="B1852" s="1698">
        <f>+VLOOKUP(A1852,'Anlage 2a_Letztverbrauch'!$A$932:$I$1705,9,FALSE)</f>
        <v>544171.33919000009</v>
      </c>
      <c r="C1852" s="711">
        <f>+IF(ISNA(VLOOKUP(A1852,'Anlage 2a_Letztverbrauch'!$A$2774:$C$2786,3,0)),0,VLOOKUP(A1852,'Anlage 2a_Letztverbrauch'!$A$2774:$C$2786,3,0))</f>
        <v>0</v>
      </c>
      <c r="D1852" s="711">
        <v>0</v>
      </c>
      <c r="E1852" s="711">
        <f t="shared" si="67"/>
        <v>544171.33919000009</v>
      </c>
      <c r="F1852" s="711">
        <f>+SUMIF('Anlage 2b_Korrekturen'!$B$8:$B$226,'Anlage 3a_Zusammenfassung_KWKG'!A1852,'Anlage 2b_Korrekturen'!$E$8:$E$226)</f>
        <v>2399.12</v>
      </c>
      <c r="G1852" s="668">
        <f t="shared" si="68"/>
        <v>546570.45919000008</v>
      </c>
      <c r="H1852" s="133"/>
      <c r="I1852" s="92"/>
      <c r="J1852" t="s">
        <v>625</v>
      </c>
    </row>
    <row r="1853" spans="1:10" hidden="1" outlineLevel="1">
      <c r="A1853" s="418" t="s">
        <v>750</v>
      </c>
      <c r="B1853" s="1698">
        <f>+VLOOKUP(A1853,'Anlage 2a_Letztverbrauch'!$A$932:$I$1705,9,FALSE)</f>
        <v>111285.06578000002</v>
      </c>
      <c r="C1853" s="711">
        <f>+IF(ISNA(VLOOKUP(A1853,'Anlage 2a_Letztverbrauch'!$A$2774:$C$2786,3,0)),0,VLOOKUP(A1853,'Anlage 2a_Letztverbrauch'!$A$2774:$C$2786,3,0))</f>
        <v>0</v>
      </c>
      <c r="D1853" s="711">
        <v>0</v>
      </c>
      <c r="E1853" s="711">
        <f t="shared" si="67"/>
        <v>111285.06578000002</v>
      </c>
      <c r="F1853" s="711">
        <f>+SUMIF('Anlage 2b_Korrekturen'!$B$8:$B$226,'Anlage 3a_Zusammenfassung_KWKG'!A1853,'Anlage 2b_Korrekturen'!$E$8:$E$226)</f>
        <v>-2799.5</v>
      </c>
      <c r="G1853" s="668">
        <f t="shared" si="68"/>
        <v>108485.56578000002</v>
      </c>
      <c r="H1853" s="133"/>
      <c r="I1853" s="92"/>
      <c r="J1853" t="s">
        <v>751</v>
      </c>
    </row>
    <row r="1854" spans="1:10" hidden="1" outlineLevel="1">
      <c r="A1854" s="418" t="s">
        <v>770</v>
      </c>
      <c r="B1854" s="1698">
        <f>+VLOOKUP(A1854,'Anlage 2a_Letztverbrauch'!$A$932:$I$1705,9,FALSE)</f>
        <v>144939.17247000002</v>
      </c>
      <c r="C1854" s="711">
        <f>+IF(ISNA(VLOOKUP(A1854,'Anlage 2a_Letztverbrauch'!$A$2774:$C$2786,3,0)),0,VLOOKUP(A1854,'Anlage 2a_Letztverbrauch'!$A$2774:$C$2786,3,0))</f>
        <v>0</v>
      </c>
      <c r="D1854" s="711">
        <v>0</v>
      </c>
      <c r="E1854" s="711">
        <f t="shared" si="67"/>
        <v>144939.17247000002</v>
      </c>
      <c r="F1854" s="711">
        <f>+SUMIF('Anlage 2b_Korrekturen'!$B$8:$B$226,'Anlage 3a_Zusammenfassung_KWKG'!A1854,'Anlage 2b_Korrekturen'!$E$8:$E$226)</f>
        <v>734.6</v>
      </c>
      <c r="G1854" s="668">
        <f t="shared" si="68"/>
        <v>145673.77247000003</v>
      </c>
      <c r="H1854" s="133"/>
      <c r="I1854" s="92"/>
      <c r="J1854" t="s">
        <v>771</v>
      </c>
    </row>
    <row r="1855" spans="1:10" hidden="1" outlineLevel="1">
      <c r="A1855" s="418" t="s">
        <v>660</v>
      </c>
      <c r="B1855" s="1698">
        <f>+VLOOKUP(A1855,'Anlage 2a_Letztverbrauch'!$A$932:$I$1705,9,FALSE)</f>
        <v>100776.41152000001</v>
      </c>
      <c r="C1855" s="711">
        <f>+IF(ISNA(VLOOKUP(A1855,'Anlage 2a_Letztverbrauch'!$A$2774:$C$2786,3,0)),0,VLOOKUP(A1855,'Anlage 2a_Letztverbrauch'!$A$2774:$C$2786,3,0))</f>
        <v>0</v>
      </c>
      <c r="D1855" s="711">
        <v>0</v>
      </c>
      <c r="E1855" s="711">
        <f t="shared" si="67"/>
        <v>100776.41152000001</v>
      </c>
      <c r="F1855" s="711">
        <f>+SUMIF('Anlage 2b_Korrekturen'!$B$8:$B$226,'Anlage 3a_Zusammenfassung_KWKG'!A1855,'Anlage 2b_Korrekturen'!$E$8:$E$226)</f>
        <v>0</v>
      </c>
      <c r="G1855" s="668">
        <f t="shared" si="68"/>
        <v>100776.41152000001</v>
      </c>
      <c r="H1855" s="133"/>
      <c r="I1855" s="92"/>
      <c r="J1855" t="s">
        <v>661</v>
      </c>
    </row>
    <row r="1856" spans="1:10" hidden="1" outlineLevel="1">
      <c r="A1856" s="418" t="s">
        <v>530</v>
      </c>
      <c r="B1856" s="1698">
        <f>+VLOOKUP(A1856,'Anlage 2a_Letztverbrauch'!$A$932:$I$1705,9,FALSE)</f>
        <v>315210.20546000003</v>
      </c>
      <c r="C1856" s="711">
        <f>+IF(ISNA(VLOOKUP(A1856,'Anlage 2a_Letztverbrauch'!$A$2774:$C$2786,3,0)),0,VLOOKUP(A1856,'Anlage 2a_Letztverbrauch'!$A$2774:$C$2786,3,0))</f>
        <v>0</v>
      </c>
      <c r="D1856" s="711">
        <v>0</v>
      </c>
      <c r="E1856" s="711">
        <f t="shared" si="67"/>
        <v>315210.20546000003</v>
      </c>
      <c r="F1856" s="711">
        <f>+SUMIF('Anlage 2b_Korrekturen'!$B$8:$B$226,'Anlage 3a_Zusammenfassung_KWKG'!A1856,'Anlage 2b_Korrekturen'!$E$8:$E$226)</f>
        <v>975.48</v>
      </c>
      <c r="G1856" s="668">
        <f t="shared" si="68"/>
        <v>316185.68546000001</v>
      </c>
      <c r="H1856" s="133"/>
      <c r="I1856" s="92"/>
      <c r="J1856" t="s">
        <v>531</v>
      </c>
    </row>
    <row r="1857" spans="1:10" hidden="1" outlineLevel="1">
      <c r="A1857" s="418" t="s">
        <v>716</v>
      </c>
      <c r="B1857" s="1698">
        <f>+VLOOKUP(A1857,'Anlage 2a_Letztverbrauch'!$A$932:$I$1705,9,FALSE)</f>
        <v>518654.98614400008</v>
      </c>
      <c r="C1857" s="711">
        <f>+IF(ISNA(VLOOKUP(A1857,'Anlage 2a_Letztverbrauch'!$A$2774:$C$2786,3,0)),0,VLOOKUP(A1857,'Anlage 2a_Letztverbrauch'!$A$2774:$C$2786,3,0))</f>
        <v>0</v>
      </c>
      <c r="D1857" s="711">
        <v>0</v>
      </c>
      <c r="E1857" s="711">
        <f t="shared" si="67"/>
        <v>518654.98614400008</v>
      </c>
      <c r="F1857" s="711">
        <f>+SUMIF('Anlage 2b_Korrekturen'!$B$8:$B$226,'Anlage 3a_Zusammenfassung_KWKG'!A1857,'Anlage 2b_Korrekturen'!$E$8:$E$226)</f>
        <v>-3336.53</v>
      </c>
      <c r="G1857" s="668">
        <f t="shared" si="68"/>
        <v>515318.45614400005</v>
      </c>
      <c r="H1857" s="133"/>
      <c r="I1857" s="92"/>
      <c r="J1857" t="s">
        <v>717</v>
      </c>
    </row>
    <row r="1858" spans="1:10" hidden="1" outlineLevel="1">
      <c r="A1858" s="418" t="s">
        <v>538</v>
      </c>
      <c r="B1858" s="1698">
        <f>+VLOOKUP(A1858,'Anlage 2a_Letztverbrauch'!$A$932:$I$1705,9,FALSE)</f>
        <v>1440921.4865710002</v>
      </c>
      <c r="C1858" s="711">
        <f>+IF(ISNA(VLOOKUP(A1858,'Anlage 2a_Letztverbrauch'!$A$2774:$C$2786,3,0)),0,VLOOKUP(A1858,'Anlage 2a_Letztverbrauch'!$A$2774:$C$2786,3,0))</f>
        <v>0</v>
      </c>
      <c r="D1858" s="711">
        <v>0</v>
      </c>
      <c r="E1858" s="711">
        <f t="shared" si="67"/>
        <v>1440921.4865710002</v>
      </c>
      <c r="F1858" s="711">
        <f>+SUMIF('Anlage 2b_Korrekturen'!$B$8:$B$226,'Anlage 3a_Zusammenfassung_KWKG'!A1858,'Anlage 2b_Korrekturen'!$E$8:$E$226)</f>
        <v>15282.119999999999</v>
      </c>
      <c r="G1858" s="668">
        <f t="shared" si="68"/>
        <v>1456203.6065710003</v>
      </c>
      <c r="H1858" s="133"/>
      <c r="I1858" s="92"/>
      <c r="J1858" t="s">
        <v>539</v>
      </c>
    </row>
    <row r="1859" spans="1:10" hidden="1" outlineLevel="1">
      <c r="A1859" s="418" t="s">
        <v>594</v>
      </c>
      <c r="B1859" s="1698">
        <f>+VLOOKUP(A1859,'Anlage 2a_Letztverbrauch'!$A$932:$I$1705,9,FALSE)</f>
        <v>166236.25376000002</v>
      </c>
      <c r="C1859" s="711">
        <f>+IF(ISNA(VLOOKUP(A1859,'Anlage 2a_Letztverbrauch'!$A$2774:$C$2786,3,0)),0,VLOOKUP(A1859,'Anlage 2a_Letztverbrauch'!$A$2774:$C$2786,3,0))</f>
        <v>0</v>
      </c>
      <c r="D1859" s="711">
        <v>0</v>
      </c>
      <c r="E1859" s="711">
        <f t="shared" si="67"/>
        <v>166236.25376000002</v>
      </c>
      <c r="F1859" s="711">
        <f>+SUMIF('Anlage 2b_Korrekturen'!$B$8:$B$226,'Anlage 3a_Zusammenfassung_KWKG'!A1859,'Anlage 2b_Korrekturen'!$E$8:$E$226)</f>
        <v>0</v>
      </c>
      <c r="G1859" s="668">
        <f t="shared" si="68"/>
        <v>166236.25376000002</v>
      </c>
      <c r="H1859" s="133"/>
      <c r="I1859" s="92"/>
      <c r="J1859" t="s">
        <v>595</v>
      </c>
    </row>
    <row r="1860" spans="1:10" hidden="1" outlineLevel="1">
      <c r="A1860" s="418" t="s">
        <v>754</v>
      </c>
      <c r="B1860" s="1698">
        <f>+VLOOKUP(A1860,'Anlage 2a_Letztverbrauch'!$A$932:$I$1705,9,FALSE)</f>
        <v>81789.701360000006</v>
      </c>
      <c r="C1860" s="711">
        <f>+IF(ISNA(VLOOKUP(A1860,'Anlage 2a_Letztverbrauch'!$A$2774:$C$2786,3,0)),0,VLOOKUP(A1860,'Anlage 2a_Letztverbrauch'!$A$2774:$C$2786,3,0))</f>
        <v>0</v>
      </c>
      <c r="D1860" s="711">
        <v>0</v>
      </c>
      <c r="E1860" s="711">
        <f t="shared" si="67"/>
        <v>81789.701360000006</v>
      </c>
      <c r="F1860" s="711">
        <f>+SUMIF('Anlage 2b_Korrekturen'!$B$8:$B$226,'Anlage 3a_Zusammenfassung_KWKG'!A1860,'Anlage 2b_Korrekturen'!$E$8:$E$226)</f>
        <v>0</v>
      </c>
      <c r="G1860" s="668">
        <f t="shared" si="68"/>
        <v>81789.701360000006</v>
      </c>
      <c r="H1860" s="133"/>
      <c r="I1860" s="92"/>
      <c r="J1860" t="s">
        <v>755</v>
      </c>
    </row>
    <row r="1861" spans="1:10" hidden="1" outlineLevel="1">
      <c r="A1861" s="418" t="s">
        <v>512</v>
      </c>
      <c r="B1861" s="1698">
        <f>+VLOOKUP(A1861,'Anlage 2a_Letztverbrauch'!$A$932:$I$1705,9,FALSE)</f>
        <v>76840.575600000011</v>
      </c>
      <c r="C1861" s="711">
        <f>+IF(ISNA(VLOOKUP(A1861,'Anlage 2a_Letztverbrauch'!$A$2774:$C$2786,3,0)),0,VLOOKUP(A1861,'Anlage 2a_Letztverbrauch'!$A$2774:$C$2786,3,0))</f>
        <v>0</v>
      </c>
      <c r="D1861" s="711">
        <v>0</v>
      </c>
      <c r="E1861" s="711">
        <f t="shared" si="67"/>
        <v>76840.575600000011</v>
      </c>
      <c r="F1861" s="711">
        <f>+SUMIF('Anlage 2b_Korrekturen'!$B$8:$B$226,'Anlage 3a_Zusammenfassung_KWKG'!A1861,'Anlage 2b_Korrekturen'!$E$8:$E$226)</f>
        <v>0</v>
      </c>
      <c r="G1861" s="668">
        <f t="shared" si="68"/>
        <v>76840.575600000011</v>
      </c>
      <c r="H1861" s="133"/>
      <c r="I1861" s="92"/>
      <c r="J1861" t="s">
        <v>513</v>
      </c>
    </row>
    <row r="1862" spans="1:10" hidden="1" outlineLevel="1">
      <c r="A1862" s="418" t="s">
        <v>684</v>
      </c>
      <c r="B1862" s="1698">
        <f>+VLOOKUP(A1862,'Anlage 2a_Letztverbrauch'!$A$932:$I$1705,9,FALSE)</f>
        <v>232284.85396000001</v>
      </c>
      <c r="C1862" s="711">
        <f>+IF(ISNA(VLOOKUP(A1862,'Anlage 2a_Letztverbrauch'!$A$2774:$C$2786,3,0)),0,VLOOKUP(A1862,'Anlage 2a_Letztverbrauch'!$A$2774:$C$2786,3,0))</f>
        <v>0</v>
      </c>
      <c r="D1862" s="711">
        <v>0</v>
      </c>
      <c r="E1862" s="711">
        <f t="shared" si="67"/>
        <v>232284.85396000001</v>
      </c>
      <c r="F1862" s="711">
        <f>+SUMIF('Anlage 2b_Korrekturen'!$B$8:$B$226,'Anlage 3a_Zusammenfassung_KWKG'!A1862,'Anlage 2b_Korrekturen'!$E$8:$E$226)</f>
        <v>0</v>
      </c>
      <c r="G1862" s="668">
        <f t="shared" si="68"/>
        <v>232284.85396000001</v>
      </c>
      <c r="H1862" s="133"/>
      <c r="I1862" s="92"/>
      <c r="J1862" t="s">
        <v>685</v>
      </c>
    </row>
    <row r="1863" spans="1:10" hidden="1" outlineLevel="1">
      <c r="A1863" s="418" t="s">
        <v>652</v>
      </c>
      <c r="B1863" s="1698">
        <f>+VLOOKUP(A1863,'Anlage 2a_Letztverbrauch'!$A$932:$I$1705,9,FALSE)</f>
        <v>145350.63381</v>
      </c>
      <c r="C1863" s="711">
        <f>+IF(ISNA(VLOOKUP(A1863,'Anlage 2a_Letztverbrauch'!$A$2774:$C$2786,3,0)),0,VLOOKUP(A1863,'Anlage 2a_Letztverbrauch'!$A$2774:$C$2786,3,0))</f>
        <v>0</v>
      </c>
      <c r="D1863" s="711">
        <v>0</v>
      </c>
      <c r="E1863" s="711">
        <f t="shared" si="67"/>
        <v>145350.63381</v>
      </c>
      <c r="F1863" s="711">
        <f>+SUMIF('Anlage 2b_Korrekturen'!$B$8:$B$226,'Anlage 3a_Zusammenfassung_KWKG'!A1863,'Anlage 2b_Korrekturen'!$E$8:$E$226)</f>
        <v>0</v>
      </c>
      <c r="G1863" s="668">
        <f t="shared" si="68"/>
        <v>145350.63381</v>
      </c>
      <c r="H1863" s="133"/>
      <c r="I1863" s="92"/>
      <c r="J1863" t="s">
        <v>2183</v>
      </c>
    </row>
    <row r="1864" spans="1:10" hidden="1" outlineLevel="1">
      <c r="A1864" s="418" t="s">
        <v>580</v>
      </c>
      <c r="B1864" s="1698">
        <f>+VLOOKUP(A1864,'Anlage 2a_Letztverbrauch'!$A$932:$I$1705,9,FALSE)</f>
        <v>152603.07828000002</v>
      </c>
      <c r="C1864" s="711">
        <f>+IF(ISNA(VLOOKUP(A1864,'Anlage 2a_Letztverbrauch'!$A$2774:$C$2786,3,0)),0,VLOOKUP(A1864,'Anlage 2a_Letztverbrauch'!$A$2774:$C$2786,3,0))</f>
        <v>0</v>
      </c>
      <c r="D1864" s="711">
        <v>0</v>
      </c>
      <c r="E1864" s="711">
        <f t="shared" si="67"/>
        <v>152603.07828000002</v>
      </c>
      <c r="F1864" s="711">
        <f>+SUMIF('Anlage 2b_Korrekturen'!$B$8:$B$226,'Anlage 3a_Zusammenfassung_KWKG'!A1864,'Anlage 2b_Korrekturen'!$E$8:$E$226)</f>
        <v>-195.28</v>
      </c>
      <c r="G1864" s="668">
        <f t="shared" si="68"/>
        <v>152407.79828000002</v>
      </c>
      <c r="H1864" s="133"/>
      <c r="I1864" s="92"/>
      <c r="J1864" t="s">
        <v>581</v>
      </c>
    </row>
    <row r="1865" spans="1:10" hidden="1" outlineLevel="1">
      <c r="A1865" s="418" t="s">
        <v>626</v>
      </c>
      <c r="B1865" s="1698">
        <f>+VLOOKUP(A1865,'Anlage 2a_Letztverbrauch'!$A$932:$I$1705,9,FALSE)</f>
        <v>226147.68074000001</v>
      </c>
      <c r="C1865" s="711">
        <f>+IF(ISNA(VLOOKUP(A1865,'Anlage 2a_Letztverbrauch'!$A$2774:$C$2786,3,0)),0,VLOOKUP(A1865,'Anlage 2a_Letztverbrauch'!$A$2774:$C$2786,3,0))</f>
        <v>0</v>
      </c>
      <c r="D1865" s="711">
        <v>0</v>
      </c>
      <c r="E1865" s="711">
        <f t="shared" si="67"/>
        <v>226147.68074000001</v>
      </c>
      <c r="F1865" s="711">
        <f>+SUMIF('Anlage 2b_Korrekturen'!$B$8:$B$226,'Anlage 3a_Zusammenfassung_KWKG'!A1865,'Anlage 2b_Korrekturen'!$E$8:$E$226)</f>
        <v>335.81</v>
      </c>
      <c r="G1865" s="668">
        <f t="shared" si="68"/>
        <v>226483.49074000001</v>
      </c>
      <c r="H1865" s="133"/>
      <c r="I1865" s="92"/>
      <c r="J1865" t="s">
        <v>627</v>
      </c>
    </row>
    <row r="1866" spans="1:10" hidden="1" outlineLevel="1">
      <c r="A1866" s="418" t="s">
        <v>590</v>
      </c>
      <c r="B1866" s="1698">
        <f>+VLOOKUP(A1866,'Anlage 2a_Letztverbrauch'!$A$932:$I$1705,9,FALSE)</f>
        <v>1823445.4390400001</v>
      </c>
      <c r="C1866" s="711">
        <f>+IF(ISNA(VLOOKUP(A1866,'Anlage 2a_Letztverbrauch'!$A$2774:$C$2786,3,0)),0,VLOOKUP(A1866,'Anlage 2a_Letztverbrauch'!$A$2774:$C$2786,3,0))</f>
        <v>0</v>
      </c>
      <c r="D1866" s="711">
        <v>0</v>
      </c>
      <c r="E1866" s="711">
        <f t="shared" si="67"/>
        <v>1823445.4390400001</v>
      </c>
      <c r="F1866" s="711">
        <f>+SUMIF('Anlage 2b_Korrekturen'!$B$8:$B$226,'Anlage 3a_Zusammenfassung_KWKG'!A1866,'Anlage 2b_Korrekturen'!$E$8:$E$226)</f>
        <v>7413.8</v>
      </c>
      <c r="G1866" s="668">
        <f t="shared" si="68"/>
        <v>1830859.2390400001</v>
      </c>
      <c r="H1866" s="133"/>
      <c r="I1866" s="92"/>
      <c r="J1866" t="s">
        <v>591</v>
      </c>
    </row>
    <row r="1867" spans="1:10" hidden="1" outlineLevel="1">
      <c r="A1867" s="418" t="s">
        <v>630</v>
      </c>
      <c r="B1867" s="1698">
        <f>+VLOOKUP(A1867,'Anlage 2a_Letztverbrauch'!$A$932:$I$1705,9,FALSE)</f>
        <v>208212.72850000003</v>
      </c>
      <c r="C1867" s="711">
        <f>+IF(ISNA(VLOOKUP(A1867,'Anlage 2a_Letztverbrauch'!$A$2774:$C$2786,3,0)),0,VLOOKUP(A1867,'Anlage 2a_Letztverbrauch'!$A$2774:$C$2786,3,0))</f>
        <v>0</v>
      </c>
      <c r="D1867" s="711">
        <v>0</v>
      </c>
      <c r="E1867" s="711">
        <f t="shared" si="67"/>
        <v>208212.72850000003</v>
      </c>
      <c r="F1867" s="711">
        <f>+SUMIF('Anlage 2b_Korrekturen'!$B$8:$B$226,'Anlage 3a_Zusammenfassung_KWKG'!A1867,'Anlage 2b_Korrekturen'!$E$8:$E$226)</f>
        <v>0</v>
      </c>
      <c r="G1867" s="668">
        <f t="shared" si="68"/>
        <v>208212.72850000003</v>
      </c>
      <c r="H1867" s="133"/>
      <c r="I1867" s="92"/>
      <c r="J1867" t="s">
        <v>631</v>
      </c>
    </row>
    <row r="1868" spans="1:10" hidden="1" outlineLevel="1">
      <c r="A1868" s="418" t="s">
        <v>646</v>
      </c>
      <c r="B1868" s="1698">
        <f>+VLOOKUP(A1868,'Anlage 2a_Letztverbrauch'!$A$932:$I$1705,9,FALSE)</f>
        <v>203373.77118000001</v>
      </c>
      <c r="C1868" s="711">
        <f>+IF(ISNA(VLOOKUP(A1868,'Anlage 2a_Letztverbrauch'!$A$2774:$C$2786,3,0)),0,VLOOKUP(A1868,'Anlage 2a_Letztverbrauch'!$A$2774:$C$2786,3,0))</f>
        <v>0</v>
      </c>
      <c r="D1868" s="711">
        <v>0</v>
      </c>
      <c r="E1868" s="711">
        <f t="shared" si="67"/>
        <v>203373.77118000001</v>
      </c>
      <c r="F1868" s="711">
        <f>+SUMIF('Anlage 2b_Korrekturen'!$B$8:$B$226,'Anlage 3a_Zusammenfassung_KWKG'!A1868,'Anlage 2b_Korrekturen'!$E$8:$E$226)</f>
        <v>-955.92000000000007</v>
      </c>
      <c r="G1868" s="668">
        <f t="shared" si="68"/>
        <v>202417.85118</v>
      </c>
      <c r="H1868" s="133"/>
      <c r="I1868" s="92"/>
      <c r="J1868" t="s">
        <v>647</v>
      </c>
    </row>
    <row r="1869" spans="1:10" hidden="1" outlineLevel="1">
      <c r="A1869" s="418" t="s">
        <v>516</v>
      </c>
      <c r="B1869" s="1698">
        <f>+VLOOKUP(A1869,'Anlage 2a_Letztverbrauch'!$A$932:$I$1705,9,FALSE)</f>
        <v>217936.53927000001</v>
      </c>
      <c r="C1869" s="711">
        <f>+IF(ISNA(VLOOKUP(A1869,'Anlage 2a_Letztverbrauch'!$A$2774:$C$2786,3,0)),0,VLOOKUP(A1869,'Anlage 2a_Letztverbrauch'!$A$2774:$C$2786,3,0))</f>
        <v>0</v>
      </c>
      <c r="D1869" s="711">
        <v>0</v>
      </c>
      <c r="E1869" s="711">
        <f t="shared" si="67"/>
        <v>217936.53927000001</v>
      </c>
      <c r="F1869" s="711">
        <f>+SUMIF('Anlage 2b_Korrekturen'!$B$8:$B$226,'Anlage 3a_Zusammenfassung_KWKG'!A1869,'Anlage 2b_Korrekturen'!$E$8:$E$226)</f>
        <v>0</v>
      </c>
      <c r="G1869" s="668">
        <f t="shared" si="68"/>
        <v>217936.53927000001</v>
      </c>
      <c r="H1869" s="133"/>
      <c r="I1869" s="92"/>
      <c r="J1869" t="s">
        <v>517</v>
      </c>
    </row>
    <row r="1870" spans="1:10" hidden="1" outlineLevel="1">
      <c r="A1870" s="418" t="s">
        <v>734</v>
      </c>
      <c r="B1870" s="1698">
        <f>+VLOOKUP(A1870,'Anlage 2a_Letztverbrauch'!$A$932:$I$1705,9,FALSE)</f>
        <v>12344.036870000002</v>
      </c>
      <c r="C1870" s="711">
        <f>+IF(ISNA(VLOOKUP(A1870,'Anlage 2a_Letztverbrauch'!$A$2774:$C$2786,3,0)),0,VLOOKUP(A1870,'Anlage 2a_Letztverbrauch'!$A$2774:$C$2786,3,0))</f>
        <v>0</v>
      </c>
      <c r="D1870" s="711">
        <v>0</v>
      </c>
      <c r="E1870" s="711">
        <f t="shared" si="67"/>
        <v>12344.036870000002</v>
      </c>
      <c r="F1870" s="711">
        <f>+SUMIF('Anlage 2b_Korrekturen'!$B$8:$B$226,'Anlage 3a_Zusammenfassung_KWKG'!A1870,'Anlage 2b_Korrekturen'!$E$8:$E$226)</f>
        <v>0</v>
      </c>
      <c r="G1870" s="668">
        <f t="shared" si="68"/>
        <v>12344.036870000002</v>
      </c>
      <c r="H1870" s="133"/>
      <c r="I1870" s="92"/>
      <c r="J1870" t="s">
        <v>735</v>
      </c>
    </row>
    <row r="1871" spans="1:10" hidden="1" outlineLevel="1">
      <c r="A1871" s="418" t="s">
        <v>600</v>
      </c>
      <c r="B1871" s="1698">
        <f>+VLOOKUP(A1871,'Anlage 2a_Letztverbrauch'!$A$932:$I$1705,9,FALSE)</f>
        <v>239390.08124000003</v>
      </c>
      <c r="C1871" s="711">
        <f>+IF(ISNA(VLOOKUP(A1871,'Anlage 2a_Letztverbrauch'!$A$2774:$C$2786,3,0)),0,VLOOKUP(A1871,'Anlage 2a_Letztverbrauch'!$A$2774:$C$2786,3,0))</f>
        <v>0</v>
      </c>
      <c r="D1871" s="711">
        <v>0</v>
      </c>
      <c r="E1871" s="711">
        <f t="shared" si="67"/>
        <v>239390.08124000003</v>
      </c>
      <c r="F1871" s="711">
        <f>+SUMIF('Anlage 2b_Korrekturen'!$B$8:$B$226,'Anlage 3a_Zusammenfassung_KWKG'!A1871,'Anlage 2b_Korrekturen'!$E$8:$E$226)</f>
        <v>-409.62</v>
      </c>
      <c r="G1871" s="668">
        <f t="shared" si="68"/>
        <v>238980.46124000003</v>
      </c>
      <c r="H1871" s="133"/>
      <c r="I1871" s="92"/>
      <c r="J1871" t="s">
        <v>601</v>
      </c>
    </row>
    <row r="1872" spans="1:10" hidden="1" outlineLevel="1">
      <c r="A1872" s="418" t="s">
        <v>2184</v>
      </c>
      <c r="B1872" s="1698">
        <f>+VLOOKUP(A1872,'Anlage 2a_Letztverbrauch'!$A$932:$I$1705,9,FALSE)</f>
        <v>63507.022710000005</v>
      </c>
      <c r="C1872" s="711">
        <f>+IF(ISNA(VLOOKUP(A1872,'Anlage 2a_Letztverbrauch'!$A$2774:$C$2786,3,0)),0,VLOOKUP(A1872,'Anlage 2a_Letztverbrauch'!$A$2774:$C$2786,3,0))</f>
        <v>0</v>
      </c>
      <c r="D1872" s="711">
        <v>0</v>
      </c>
      <c r="E1872" s="711">
        <f t="shared" si="67"/>
        <v>63507.022710000005</v>
      </c>
      <c r="F1872" s="711">
        <f>+SUMIF('Anlage 2b_Korrekturen'!$B$8:$B$226,'Anlage 3a_Zusammenfassung_KWKG'!A1872,'Anlage 2b_Korrekturen'!$E$8:$E$226)</f>
        <v>0</v>
      </c>
      <c r="G1872" s="668">
        <f t="shared" si="68"/>
        <v>63507.022710000005</v>
      </c>
      <c r="H1872" s="133"/>
      <c r="I1872" s="92"/>
      <c r="J1872" t="s">
        <v>2185</v>
      </c>
    </row>
    <row r="1873" spans="1:10" hidden="1" outlineLevel="1">
      <c r="A1873" s="418" t="s">
        <v>724</v>
      </c>
      <c r="B1873" s="1698">
        <f>+VLOOKUP(A1873,'Anlage 2a_Letztverbrauch'!$A$932:$I$1705,9,FALSE)</f>
        <v>163247.58718999999</v>
      </c>
      <c r="C1873" s="711">
        <f>+IF(ISNA(VLOOKUP(A1873,'Anlage 2a_Letztverbrauch'!$A$2774:$C$2786,3,0)),0,VLOOKUP(A1873,'Anlage 2a_Letztverbrauch'!$A$2774:$C$2786,3,0))</f>
        <v>-2732.1756500000001</v>
      </c>
      <c r="D1873" s="711">
        <v>0</v>
      </c>
      <c r="E1873" s="711">
        <f t="shared" ref="E1873:E1939" si="69">B1873+C1873+D1873</f>
        <v>160515.41154</v>
      </c>
      <c r="F1873" s="711">
        <f>+SUMIF('Anlage 2b_Korrekturen'!$B$8:$B$226,'Anlage 3a_Zusammenfassung_KWKG'!A1873,'Anlage 2b_Korrekturen'!$E$8:$E$226)</f>
        <v>0</v>
      </c>
      <c r="G1873" s="668">
        <f t="shared" ref="G1873:G1939" si="70">E1873+F1873</f>
        <v>160515.41154</v>
      </c>
      <c r="H1873" s="133"/>
      <c r="I1873" s="92"/>
      <c r="J1873" t="s">
        <v>725</v>
      </c>
    </row>
    <row r="1874" spans="1:10" hidden="1" outlineLevel="1">
      <c r="A1874" s="418" t="s">
        <v>574</v>
      </c>
      <c r="B1874" s="1698">
        <f>+VLOOKUP(A1874,'Anlage 2a_Letztverbrauch'!$A$932:$I$1705,9,FALSE)</f>
        <v>330800.71280000004</v>
      </c>
      <c r="C1874" s="711">
        <f>+IF(ISNA(VLOOKUP(A1874,'Anlage 2a_Letztverbrauch'!$A$2774:$C$2786,3,0)),0,VLOOKUP(A1874,'Anlage 2a_Letztverbrauch'!$A$2774:$C$2786,3,0))</f>
        <v>0</v>
      </c>
      <c r="D1874" s="711">
        <v>0</v>
      </c>
      <c r="E1874" s="711">
        <f t="shared" si="69"/>
        <v>330800.71280000004</v>
      </c>
      <c r="F1874" s="711">
        <f>+SUMIF('Anlage 2b_Korrekturen'!$B$8:$B$226,'Anlage 3a_Zusammenfassung_KWKG'!A1874,'Anlage 2b_Korrekturen'!$E$8:$E$226)</f>
        <v>-726.87</v>
      </c>
      <c r="G1874" s="668">
        <f t="shared" si="70"/>
        <v>330073.84280000004</v>
      </c>
      <c r="H1874" s="133"/>
      <c r="I1874" s="92"/>
      <c r="J1874" t="s">
        <v>2186</v>
      </c>
    </row>
    <row r="1875" spans="1:10" hidden="1" outlineLevel="1">
      <c r="A1875" s="418" t="s">
        <v>746</v>
      </c>
      <c r="B1875" s="1698">
        <f>+VLOOKUP(A1875,'Anlage 2a_Letztverbrauch'!$A$932:$I$1705,9,FALSE)</f>
        <v>114207.63184</v>
      </c>
      <c r="C1875" s="711">
        <f>+IF(ISNA(VLOOKUP(A1875,'Anlage 2a_Letztverbrauch'!$A$2774:$C$2786,3,0)),0,VLOOKUP(A1875,'Anlage 2a_Letztverbrauch'!$A$2774:$C$2786,3,0))</f>
        <v>0</v>
      </c>
      <c r="D1875" s="711">
        <v>0</v>
      </c>
      <c r="E1875" s="711">
        <f t="shared" si="69"/>
        <v>114207.63184</v>
      </c>
      <c r="F1875" s="711">
        <f>+SUMIF('Anlage 2b_Korrekturen'!$B$8:$B$226,'Anlage 3a_Zusammenfassung_KWKG'!A1875,'Anlage 2b_Korrekturen'!$E$8:$E$226)</f>
        <v>0</v>
      </c>
      <c r="G1875" s="668">
        <f t="shared" si="70"/>
        <v>114207.63184</v>
      </c>
      <c r="H1875" s="133"/>
      <c r="I1875" s="92"/>
      <c r="J1875" t="s">
        <v>747</v>
      </c>
    </row>
    <row r="1876" spans="1:10" hidden="1" outlineLevel="1">
      <c r="A1876" s="418" t="s">
        <v>468</v>
      </c>
      <c r="B1876" s="1698">
        <f>+VLOOKUP(A1876,'Anlage 2a_Letztverbrauch'!$A$932:$I$1705,9,FALSE)</f>
        <v>236555.12474000003</v>
      </c>
      <c r="C1876" s="711">
        <f>+IF(ISNA(VLOOKUP(A1876,'Anlage 2a_Letztverbrauch'!$A$2774:$C$2786,3,0)),0,VLOOKUP(A1876,'Anlage 2a_Letztverbrauch'!$A$2774:$C$2786,3,0))</f>
        <v>0</v>
      </c>
      <c r="D1876" s="711">
        <v>0</v>
      </c>
      <c r="E1876" s="711">
        <f t="shared" si="69"/>
        <v>236555.12474000003</v>
      </c>
      <c r="F1876" s="711">
        <f>+SUMIF('Anlage 2b_Korrekturen'!$B$8:$B$226,'Anlage 3a_Zusammenfassung_KWKG'!A1876,'Anlage 2b_Korrekturen'!$E$8:$E$226)</f>
        <v>0</v>
      </c>
      <c r="G1876" s="668">
        <f t="shared" si="70"/>
        <v>236555.12474000003</v>
      </c>
      <c r="H1876" s="133"/>
      <c r="I1876" s="92"/>
      <c r="J1876" t="s">
        <v>469</v>
      </c>
    </row>
    <row r="1877" spans="1:10" hidden="1" outlineLevel="1">
      <c r="A1877" s="418" t="s">
        <v>466</v>
      </c>
      <c r="B1877" s="1698">
        <f>+VLOOKUP(A1877,'Anlage 2a_Letztverbrauch'!$A$932:$I$1705,9,FALSE)</f>
        <v>844568.91674300004</v>
      </c>
      <c r="C1877" s="711">
        <f>+IF(ISNA(VLOOKUP(A1877,'Anlage 2a_Letztverbrauch'!$A$2774:$C$2786,3,0)),0,VLOOKUP(A1877,'Anlage 2a_Letztverbrauch'!$A$2774:$C$2786,3,0))</f>
        <v>0</v>
      </c>
      <c r="D1877" s="711">
        <v>0</v>
      </c>
      <c r="E1877" s="711">
        <f t="shared" si="69"/>
        <v>844568.91674300004</v>
      </c>
      <c r="F1877" s="711">
        <f>+SUMIF('Anlage 2b_Korrekturen'!$B$8:$B$226,'Anlage 3a_Zusammenfassung_KWKG'!A1877,'Anlage 2b_Korrekturen'!$E$8:$E$226)</f>
        <v>0</v>
      </c>
      <c r="G1877" s="668">
        <f t="shared" si="70"/>
        <v>844568.91674300004</v>
      </c>
      <c r="H1877" s="133"/>
      <c r="I1877" s="92"/>
      <c r="J1877" t="s">
        <v>467</v>
      </c>
    </row>
    <row r="1878" spans="1:10" hidden="1" outlineLevel="1">
      <c r="A1878" s="418" t="s">
        <v>766</v>
      </c>
      <c r="B1878" s="1698">
        <f>+VLOOKUP(A1878,'Anlage 2a_Letztverbrauch'!$A$932:$I$1705,9,FALSE)</f>
        <v>191549.00405000002</v>
      </c>
      <c r="C1878" s="711">
        <f>+IF(ISNA(VLOOKUP(A1878,'Anlage 2a_Letztverbrauch'!$A$2774:$C$2786,3,0)),0,VLOOKUP(A1878,'Anlage 2a_Letztverbrauch'!$A$2774:$C$2786,3,0))</f>
        <v>0</v>
      </c>
      <c r="D1878" s="711">
        <v>0</v>
      </c>
      <c r="E1878" s="711">
        <f t="shared" si="69"/>
        <v>191549.00405000002</v>
      </c>
      <c r="F1878" s="711">
        <f>+SUMIF('Anlage 2b_Korrekturen'!$B$8:$B$226,'Anlage 3a_Zusammenfassung_KWKG'!A1878,'Anlage 2b_Korrekturen'!$E$8:$E$226)</f>
        <v>0</v>
      </c>
      <c r="G1878" s="668">
        <f t="shared" si="70"/>
        <v>191549.00405000002</v>
      </c>
      <c r="H1878" s="133"/>
      <c r="I1878" s="92"/>
      <c r="J1878" t="s">
        <v>767</v>
      </c>
    </row>
    <row r="1879" spans="1:10" hidden="1" outlineLevel="1">
      <c r="A1879" s="418" t="s">
        <v>550</v>
      </c>
      <c r="B1879" s="1698">
        <f>+VLOOKUP(A1879,'Anlage 2a_Letztverbrauch'!$A$932:$I$1705,9,FALSE)</f>
        <v>125689.53391000001</v>
      </c>
      <c r="C1879" s="711">
        <f>+IF(ISNA(VLOOKUP(A1879,'Anlage 2a_Letztverbrauch'!$A$2774:$C$2786,3,0)),0,VLOOKUP(A1879,'Anlage 2a_Letztverbrauch'!$A$2774:$C$2786,3,0))</f>
        <v>0</v>
      </c>
      <c r="D1879" s="711">
        <v>0</v>
      </c>
      <c r="E1879" s="711">
        <f t="shared" si="69"/>
        <v>125689.53391000001</v>
      </c>
      <c r="F1879" s="711">
        <f>+SUMIF('Anlage 2b_Korrekturen'!$B$8:$B$226,'Anlage 3a_Zusammenfassung_KWKG'!A1879,'Anlage 2b_Korrekturen'!$E$8:$E$226)</f>
        <v>0</v>
      </c>
      <c r="G1879" s="668">
        <f t="shared" si="70"/>
        <v>125689.53391000001</v>
      </c>
      <c r="H1879" s="133"/>
      <c r="I1879" s="92"/>
      <c r="J1879" t="s">
        <v>551</v>
      </c>
    </row>
    <row r="1880" spans="1:10" hidden="1" outlineLevel="1">
      <c r="A1880" s="418" t="s">
        <v>752</v>
      </c>
      <c r="B1880" s="1698">
        <f>+VLOOKUP(A1880,'Anlage 2a_Letztverbrauch'!$A$932:$I$1705,9,FALSE)</f>
        <v>197170.76891000001</v>
      </c>
      <c r="C1880" s="711">
        <f>+IF(ISNA(VLOOKUP(A1880,'Anlage 2a_Letztverbrauch'!$A$2774:$C$2786,3,0)),0,VLOOKUP(A1880,'Anlage 2a_Letztverbrauch'!$A$2774:$C$2786,3,0))</f>
        <v>0</v>
      </c>
      <c r="D1880" s="711">
        <v>0</v>
      </c>
      <c r="E1880" s="711">
        <f t="shared" si="69"/>
        <v>197170.76891000001</v>
      </c>
      <c r="F1880" s="711">
        <f>+SUMIF('Anlage 2b_Korrekturen'!$B$8:$B$226,'Anlage 3a_Zusammenfassung_KWKG'!A1880,'Anlage 2b_Korrekturen'!$E$8:$E$226)</f>
        <v>0</v>
      </c>
      <c r="G1880" s="668">
        <f t="shared" si="70"/>
        <v>197170.76891000001</v>
      </c>
      <c r="H1880" s="133"/>
      <c r="I1880" s="92"/>
      <c r="J1880" t="s">
        <v>753</v>
      </c>
    </row>
    <row r="1881" spans="1:10" hidden="1" outlineLevel="1">
      <c r="A1881" s="418" t="s">
        <v>502</v>
      </c>
      <c r="B1881" s="1698">
        <f>+VLOOKUP(A1881,'Anlage 2a_Letztverbrauch'!$A$932:$I$1705,9,FALSE)</f>
        <v>238026.60137000002</v>
      </c>
      <c r="C1881" s="711">
        <f>+IF(ISNA(VLOOKUP(A1881,'Anlage 2a_Letztverbrauch'!$A$2774:$C$2786,3,0)),0,VLOOKUP(A1881,'Anlage 2a_Letztverbrauch'!$A$2774:$C$2786,3,0))</f>
        <v>0</v>
      </c>
      <c r="D1881" s="711">
        <v>0</v>
      </c>
      <c r="E1881" s="711">
        <f t="shared" si="69"/>
        <v>238026.60137000002</v>
      </c>
      <c r="F1881" s="711">
        <f>+SUMIF('Anlage 2b_Korrekturen'!$B$8:$B$226,'Anlage 3a_Zusammenfassung_KWKG'!A1881,'Anlage 2b_Korrekturen'!$E$8:$E$226)</f>
        <v>-386.46000000000004</v>
      </c>
      <c r="G1881" s="668">
        <f t="shared" si="70"/>
        <v>237640.14137000003</v>
      </c>
      <c r="H1881" s="133"/>
      <c r="I1881" s="92"/>
      <c r="J1881" t="s">
        <v>503</v>
      </c>
    </row>
    <row r="1882" spans="1:10" hidden="1" outlineLevel="1">
      <c r="A1882" s="418" t="s">
        <v>522</v>
      </c>
      <c r="B1882" s="1698">
        <f>+VLOOKUP(A1882,'Anlage 2a_Letztverbrauch'!$A$932:$I$1705,9,FALSE)</f>
        <v>164326.85952000003</v>
      </c>
      <c r="C1882" s="711">
        <f>+IF(ISNA(VLOOKUP(A1882,'Anlage 2a_Letztverbrauch'!$A$2774:$C$2786,3,0)),0,VLOOKUP(A1882,'Anlage 2a_Letztverbrauch'!$A$2774:$C$2786,3,0))</f>
        <v>0</v>
      </c>
      <c r="D1882" s="711">
        <v>0</v>
      </c>
      <c r="E1882" s="711">
        <f t="shared" si="69"/>
        <v>164326.85952000003</v>
      </c>
      <c r="F1882" s="711">
        <f>+SUMIF('Anlage 2b_Korrekturen'!$B$8:$B$226,'Anlage 3a_Zusammenfassung_KWKG'!A1882,'Anlage 2b_Korrekturen'!$E$8:$E$226)</f>
        <v>0</v>
      </c>
      <c r="G1882" s="668">
        <f t="shared" si="70"/>
        <v>164326.85952000003</v>
      </c>
      <c r="H1882" s="133"/>
      <c r="I1882" s="92"/>
      <c r="J1882" t="s">
        <v>523</v>
      </c>
    </row>
    <row r="1883" spans="1:10" hidden="1" outlineLevel="1">
      <c r="A1883" s="418" t="s">
        <v>708</v>
      </c>
      <c r="B1883" s="1698">
        <f>+VLOOKUP(A1883,'Anlage 2a_Letztverbrauch'!$A$932:$I$1705,9,FALSE)</f>
        <v>51230.931170000003</v>
      </c>
      <c r="C1883" s="711">
        <f>+IF(ISNA(VLOOKUP(A1883,'Anlage 2a_Letztverbrauch'!$A$2774:$C$2786,3,0)),0,VLOOKUP(A1883,'Anlage 2a_Letztverbrauch'!$A$2774:$C$2786,3,0))</f>
        <v>0</v>
      </c>
      <c r="D1883" s="711">
        <v>0</v>
      </c>
      <c r="E1883" s="711">
        <f t="shared" si="69"/>
        <v>51230.931170000003</v>
      </c>
      <c r="F1883" s="711">
        <f>+SUMIF('Anlage 2b_Korrekturen'!$B$8:$B$226,'Anlage 3a_Zusammenfassung_KWKG'!A1883,'Anlage 2b_Korrekturen'!$E$8:$E$226)</f>
        <v>0</v>
      </c>
      <c r="G1883" s="668">
        <f t="shared" si="70"/>
        <v>51230.931170000003</v>
      </c>
      <c r="H1883" s="133"/>
      <c r="I1883" s="92"/>
      <c r="J1883" t="s">
        <v>709</v>
      </c>
    </row>
    <row r="1884" spans="1:10" hidden="1" outlineLevel="1">
      <c r="A1884" s="418" t="s">
        <v>458</v>
      </c>
      <c r="B1884" s="1698">
        <f>+VLOOKUP(A1884,'Anlage 2a_Letztverbrauch'!$A$932:$I$1705,9,FALSE)</f>
        <v>220734.72125000003</v>
      </c>
      <c r="C1884" s="711">
        <f>+IF(ISNA(VLOOKUP(A1884,'Anlage 2a_Letztverbrauch'!$A$2774:$C$2786,3,0)),0,VLOOKUP(A1884,'Anlage 2a_Letztverbrauch'!$A$2774:$C$2786,3,0))</f>
        <v>0</v>
      </c>
      <c r="D1884" s="711">
        <v>0</v>
      </c>
      <c r="E1884" s="711">
        <f t="shared" si="69"/>
        <v>220734.72125000003</v>
      </c>
      <c r="F1884" s="711">
        <f>+SUMIF('Anlage 2b_Korrekturen'!$B$8:$B$226,'Anlage 3a_Zusammenfassung_KWKG'!A1884,'Anlage 2b_Korrekturen'!$E$8:$E$226)</f>
        <v>-860.06</v>
      </c>
      <c r="G1884" s="668">
        <f t="shared" si="70"/>
        <v>219874.66125000003</v>
      </c>
      <c r="H1884" s="133"/>
      <c r="I1884" s="92"/>
      <c r="J1884" t="s">
        <v>459</v>
      </c>
    </row>
    <row r="1885" spans="1:10" hidden="1" outlineLevel="1">
      <c r="A1885" s="418" t="s">
        <v>638</v>
      </c>
      <c r="B1885" s="1698">
        <f>+VLOOKUP(A1885,'Anlage 2a_Letztverbrauch'!$A$932:$I$1705,9,FALSE)</f>
        <v>244712.92432000005</v>
      </c>
      <c r="C1885" s="711">
        <f>+IF(ISNA(VLOOKUP(A1885,'Anlage 2a_Letztverbrauch'!$A$2774:$C$2786,3,0)),0,VLOOKUP(A1885,'Anlage 2a_Letztverbrauch'!$A$2774:$C$2786,3,0))</f>
        <v>0</v>
      </c>
      <c r="D1885" s="711">
        <v>0</v>
      </c>
      <c r="E1885" s="711">
        <f t="shared" si="69"/>
        <v>244712.92432000005</v>
      </c>
      <c r="F1885" s="711">
        <f>+SUMIF('Anlage 2b_Korrekturen'!$B$8:$B$226,'Anlage 3a_Zusammenfassung_KWKG'!A1885,'Anlage 2b_Korrekturen'!$E$8:$E$226)</f>
        <v>0</v>
      </c>
      <c r="G1885" s="668">
        <f t="shared" si="70"/>
        <v>244712.92432000005</v>
      </c>
      <c r="H1885" s="133"/>
      <c r="I1885" s="92"/>
      <c r="J1885" t="s">
        <v>2187</v>
      </c>
    </row>
    <row r="1886" spans="1:10" hidden="1" outlineLevel="1">
      <c r="A1886" s="418" t="s">
        <v>482</v>
      </c>
      <c r="B1886" s="1698">
        <f>+VLOOKUP(A1886,'Anlage 2a_Letztverbrauch'!$A$932:$I$1705,9,FALSE)</f>
        <v>57472.444750000002</v>
      </c>
      <c r="C1886" s="711">
        <f>+IF(ISNA(VLOOKUP(A1886,'Anlage 2a_Letztverbrauch'!$A$2774:$C$2786,3,0)),0,VLOOKUP(A1886,'Anlage 2a_Letztverbrauch'!$A$2774:$C$2786,3,0))</f>
        <v>0</v>
      </c>
      <c r="D1886" s="711">
        <v>0</v>
      </c>
      <c r="E1886" s="711">
        <f t="shared" si="69"/>
        <v>57472.444750000002</v>
      </c>
      <c r="F1886" s="711">
        <f>+SUMIF('Anlage 2b_Korrekturen'!$B$8:$B$226,'Anlage 3a_Zusammenfassung_KWKG'!A1886,'Anlage 2b_Korrekturen'!$E$8:$E$226)</f>
        <v>0</v>
      </c>
      <c r="G1886" s="668">
        <f t="shared" si="70"/>
        <v>57472.444750000002</v>
      </c>
      <c r="H1886" s="133"/>
      <c r="I1886" s="92"/>
      <c r="J1886" t="s">
        <v>2188</v>
      </c>
    </row>
    <row r="1887" spans="1:10" hidden="1" outlineLevel="1">
      <c r="A1887" s="418" t="s">
        <v>482</v>
      </c>
      <c r="B1887" s="1698">
        <v>425609.15932000004</v>
      </c>
      <c r="C1887" s="711">
        <f>+IF(ISNA(VLOOKUP(A1887,'Anlage 2a_Letztverbrauch'!$A$2774:$C$2786,3,0)),0,VLOOKUP(A1887,'Anlage 2a_Letztverbrauch'!$A$2774:$C$2786,3,0))</f>
        <v>0</v>
      </c>
      <c r="D1887" s="711">
        <v>0</v>
      </c>
      <c r="E1887" s="711">
        <f t="shared" si="69"/>
        <v>425609.15932000004</v>
      </c>
      <c r="F1887" s="711">
        <f>+SUMIF('Anlage 2b_Korrekturen'!$B$8:$B$226,'Anlage 3a_Zusammenfassung_KWKG'!A1887,'Anlage 2b_Korrekturen'!$E$8:$E$226)</f>
        <v>0</v>
      </c>
      <c r="G1887" s="668">
        <f t="shared" si="70"/>
        <v>425609.15932000004</v>
      </c>
      <c r="H1887" s="133"/>
      <c r="I1887" s="92"/>
      <c r="J1887" t="s">
        <v>2189</v>
      </c>
    </row>
    <row r="1888" spans="1:10" hidden="1" outlineLevel="1">
      <c r="A1888" s="418" t="s">
        <v>706</v>
      </c>
      <c r="B1888" s="1698">
        <f>+VLOOKUP(A1888,'Anlage 2a_Letztverbrauch'!$A$932:$I$1705,9,FALSE)</f>
        <v>189444.25279000003</v>
      </c>
      <c r="C1888" s="711">
        <f>+IF(ISNA(VLOOKUP(A1888,'Anlage 2a_Letztverbrauch'!$A$2774:$C$2786,3,0)),0,VLOOKUP(A1888,'Anlage 2a_Letztverbrauch'!$A$2774:$C$2786,3,0))</f>
        <v>0</v>
      </c>
      <c r="D1888" s="711">
        <v>0</v>
      </c>
      <c r="E1888" s="711">
        <f t="shared" si="69"/>
        <v>189444.25279000003</v>
      </c>
      <c r="F1888" s="711">
        <f>+SUMIF('Anlage 2b_Korrekturen'!$B$8:$B$226,'Anlage 3a_Zusammenfassung_KWKG'!A1888,'Anlage 2b_Korrekturen'!$E$8:$E$226)</f>
        <v>0</v>
      </c>
      <c r="G1888" s="668">
        <f t="shared" si="70"/>
        <v>189444.25279000003</v>
      </c>
      <c r="H1888" s="133"/>
      <c r="I1888" s="92"/>
      <c r="J1888" t="s">
        <v>707</v>
      </c>
    </row>
    <row r="1889" spans="1:10" hidden="1" outlineLevel="1">
      <c r="A1889" s="418" t="s">
        <v>730</v>
      </c>
      <c r="B1889" s="1698">
        <f>+VLOOKUP(A1889,'Anlage 2a_Letztverbrauch'!$A$932:$I$1705,9,FALSE)</f>
        <v>2449.4362100000003</v>
      </c>
      <c r="C1889" s="711">
        <f>+IF(ISNA(VLOOKUP(A1889,'Anlage 2a_Letztverbrauch'!$A$2774:$C$2786,3,0)),0,VLOOKUP(A1889,'Anlage 2a_Letztverbrauch'!$A$2774:$C$2786,3,0))</f>
        <v>0</v>
      </c>
      <c r="D1889" s="711">
        <v>0</v>
      </c>
      <c r="E1889" s="711">
        <f t="shared" si="69"/>
        <v>2449.4362100000003</v>
      </c>
      <c r="F1889" s="711">
        <f>+SUMIF('Anlage 2b_Korrekturen'!$B$8:$B$226,'Anlage 3a_Zusammenfassung_KWKG'!A1889,'Anlage 2b_Korrekturen'!$E$8:$E$226)</f>
        <v>73.52</v>
      </c>
      <c r="G1889" s="668">
        <f t="shared" si="70"/>
        <v>2522.9562100000003</v>
      </c>
      <c r="H1889" s="133"/>
      <c r="I1889" s="92"/>
      <c r="J1889" t="s">
        <v>731</v>
      </c>
    </row>
    <row r="1890" spans="1:10" hidden="1" outlineLevel="1">
      <c r="A1890" s="418" t="s">
        <v>562</v>
      </c>
      <c r="B1890" s="1698">
        <f>+VLOOKUP(A1890,'Anlage 2a_Letztverbrauch'!$A$932:$I$1705,9,FALSE)</f>
        <v>147205.92718000003</v>
      </c>
      <c r="C1890" s="711">
        <f>+IF(ISNA(VLOOKUP(A1890,'Anlage 2a_Letztverbrauch'!$A$2774:$C$2786,3,0)),0,VLOOKUP(A1890,'Anlage 2a_Letztverbrauch'!$A$2774:$C$2786,3,0))</f>
        <v>0</v>
      </c>
      <c r="D1890" s="711">
        <v>0</v>
      </c>
      <c r="E1890" s="711">
        <f t="shared" si="69"/>
        <v>147205.92718000003</v>
      </c>
      <c r="F1890" s="711">
        <f>+SUMIF('Anlage 2b_Korrekturen'!$B$8:$B$226,'Anlage 3a_Zusammenfassung_KWKG'!A1890,'Anlage 2b_Korrekturen'!$E$8:$E$226)</f>
        <v>854.95</v>
      </c>
      <c r="G1890" s="668">
        <f t="shared" si="70"/>
        <v>148060.87718000004</v>
      </c>
      <c r="H1890" s="133"/>
      <c r="I1890" s="92"/>
      <c r="J1890" t="s">
        <v>563</v>
      </c>
    </row>
    <row r="1891" spans="1:10" hidden="1" outlineLevel="1">
      <c r="A1891" s="418" t="s">
        <v>572</v>
      </c>
      <c r="B1891" s="1698">
        <f>+VLOOKUP(A1891,'Anlage 2a_Letztverbrauch'!$A$932:$I$1705,9,FALSE)</f>
        <v>426052.25683000009</v>
      </c>
      <c r="C1891" s="711">
        <f>+IF(ISNA(VLOOKUP(A1891,'Anlage 2a_Letztverbrauch'!$A$2774:$C$2786,3,0)),0,VLOOKUP(A1891,'Anlage 2a_Letztverbrauch'!$A$2774:$C$2786,3,0))</f>
        <v>0</v>
      </c>
      <c r="D1891" s="711">
        <v>0</v>
      </c>
      <c r="E1891" s="711">
        <f t="shared" si="69"/>
        <v>426052.25683000009</v>
      </c>
      <c r="F1891" s="711">
        <f>+SUMIF('Anlage 2b_Korrekturen'!$B$8:$B$226,'Anlage 3a_Zusammenfassung_KWKG'!A1891,'Anlage 2b_Korrekturen'!$E$8:$E$226)</f>
        <v>0</v>
      </c>
      <c r="G1891" s="668">
        <f t="shared" si="70"/>
        <v>426052.25683000009</v>
      </c>
      <c r="H1891" s="133"/>
      <c r="I1891" s="92"/>
      <c r="J1891" t="s">
        <v>573</v>
      </c>
    </row>
    <row r="1892" spans="1:10" hidden="1" outlineLevel="1">
      <c r="A1892" s="418" t="s">
        <v>554</v>
      </c>
      <c r="B1892" s="1698">
        <f>+VLOOKUP(A1892,'Anlage 2a_Letztverbrauch'!$A$932:$I$1705,9,FALSE)</f>
        <v>104009.59430000001</v>
      </c>
      <c r="C1892" s="711">
        <f>+IF(ISNA(VLOOKUP(A1892,'Anlage 2a_Letztverbrauch'!$A$2774:$C$2786,3,0)),0,VLOOKUP(A1892,'Anlage 2a_Letztverbrauch'!$A$2774:$C$2786,3,0))</f>
        <v>0</v>
      </c>
      <c r="D1892" s="711">
        <v>0</v>
      </c>
      <c r="E1892" s="711">
        <f t="shared" si="69"/>
        <v>104009.59430000001</v>
      </c>
      <c r="F1892" s="711">
        <f>+SUMIF('Anlage 2b_Korrekturen'!$B$8:$B$226,'Anlage 3a_Zusammenfassung_KWKG'!A1892,'Anlage 2b_Korrekturen'!$E$8:$E$226)</f>
        <v>0</v>
      </c>
      <c r="G1892" s="668">
        <f t="shared" si="70"/>
        <v>104009.59430000001</v>
      </c>
      <c r="H1892" s="133"/>
      <c r="I1892" s="92"/>
      <c r="J1892" t="s">
        <v>555</v>
      </c>
    </row>
    <row r="1893" spans="1:10" hidden="1" outlineLevel="1">
      <c r="A1893" s="418" t="s">
        <v>556</v>
      </c>
      <c r="B1893" s="1698">
        <f>+VLOOKUP(A1893,'Anlage 2a_Letztverbrauch'!$A$932:$I$1705,9,FALSE)</f>
        <v>362330.81673000002</v>
      </c>
      <c r="C1893" s="711">
        <f>+IF(ISNA(VLOOKUP(A1893,'Anlage 2a_Letztverbrauch'!$A$2774:$C$2786,3,0)),0,VLOOKUP(A1893,'Anlage 2a_Letztverbrauch'!$A$2774:$C$2786,3,0))</f>
        <v>0</v>
      </c>
      <c r="D1893" s="711">
        <v>0</v>
      </c>
      <c r="E1893" s="711">
        <f t="shared" si="69"/>
        <v>362330.81673000002</v>
      </c>
      <c r="F1893" s="711">
        <f>+SUMIF('Anlage 2b_Korrekturen'!$B$8:$B$226,'Anlage 3a_Zusammenfassung_KWKG'!A1893,'Anlage 2b_Korrekturen'!$E$8:$E$226)</f>
        <v>190.73</v>
      </c>
      <c r="G1893" s="668">
        <f t="shared" si="70"/>
        <v>362521.54673</v>
      </c>
      <c r="H1893" s="133"/>
      <c r="I1893" s="92"/>
      <c r="J1893" t="s">
        <v>557</v>
      </c>
    </row>
    <row r="1894" spans="1:10" hidden="1" outlineLevel="1">
      <c r="A1894" s="418" t="s">
        <v>640</v>
      </c>
      <c r="B1894" s="1698">
        <f>+VLOOKUP(A1894,'Anlage 2a_Letztverbrauch'!$A$932:$I$1705,9,FALSE)</f>
        <v>125949.11338000001</v>
      </c>
      <c r="C1894" s="711">
        <f>+IF(ISNA(VLOOKUP(A1894,'Anlage 2a_Letztverbrauch'!$A$2774:$C$2786,3,0)),0,VLOOKUP(A1894,'Anlage 2a_Letztverbrauch'!$A$2774:$C$2786,3,0))</f>
        <v>0</v>
      </c>
      <c r="D1894" s="711">
        <v>0</v>
      </c>
      <c r="E1894" s="711">
        <f t="shared" si="69"/>
        <v>125949.11338000001</v>
      </c>
      <c r="F1894" s="711">
        <f>+SUMIF('Anlage 2b_Korrekturen'!$B$8:$B$226,'Anlage 3a_Zusammenfassung_KWKG'!A1894,'Anlage 2b_Korrekturen'!$E$8:$E$226)</f>
        <v>0</v>
      </c>
      <c r="G1894" s="668">
        <f t="shared" si="70"/>
        <v>125949.11338000001</v>
      </c>
      <c r="H1894" s="133"/>
      <c r="I1894" s="92"/>
      <c r="J1894" t="s">
        <v>641</v>
      </c>
    </row>
    <row r="1895" spans="1:10" hidden="1" outlineLevel="1">
      <c r="A1895" s="418" t="s">
        <v>698</v>
      </c>
      <c r="B1895" s="1698">
        <f>+VLOOKUP(A1895,'Anlage 2a_Letztverbrauch'!$A$932:$I$1705,9,FALSE)</f>
        <v>190237.80793000001</v>
      </c>
      <c r="C1895" s="711">
        <f>+IF(ISNA(VLOOKUP(A1895,'Anlage 2a_Letztverbrauch'!$A$2774:$C$2786,3,0)),0,VLOOKUP(A1895,'Anlage 2a_Letztverbrauch'!$A$2774:$C$2786,3,0))</f>
        <v>0</v>
      </c>
      <c r="D1895" s="711">
        <v>0</v>
      </c>
      <c r="E1895" s="711">
        <f t="shared" si="69"/>
        <v>190237.80793000001</v>
      </c>
      <c r="F1895" s="711">
        <f>+SUMIF('Anlage 2b_Korrekturen'!$B$8:$B$226,'Anlage 3a_Zusammenfassung_KWKG'!A1895,'Anlage 2b_Korrekturen'!$E$8:$E$226)</f>
        <v>0</v>
      </c>
      <c r="G1895" s="668">
        <f t="shared" si="70"/>
        <v>190237.80793000001</v>
      </c>
      <c r="H1895" s="133"/>
      <c r="I1895" s="92"/>
      <c r="J1895" t="s">
        <v>699</v>
      </c>
    </row>
    <row r="1896" spans="1:10" hidden="1" outlineLevel="1">
      <c r="A1896" s="418" t="s">
        <v>670</v>
      </c>
      <c r="B1896" s="1698">
        <f>+VLOOKUP(A1896,'Anlage 2a_Letztverbrauch'!$A$932:$I$1705,9,FALSE)</f>
        <v>481535.34852000006</v>
      </c>
      <c r="C1896" s="711">
        <f>+IF(ISNA(VLOOKUP(A1896,'Anlage 2a_Letztverbrauch'!$A$2774:$C$2786,3,0)),0,VLOOKUP(A1896,'Anlage 2a_Letztverbrauch'!$A$2774:$C$2786,3,0))</f>
        <v>0</v>
      </c>
      <c r="D1896" s="711">
        <v>0</v>
      </c>
      <c r="E1896" s="711">
        <f t="shared" si="69"/>
        <v>481535.34852000006</v>
      </c>
      <c r="F1896" s="711">
        <f>+SUMIF('Anlage 2b_Korrekturen'!$B$8:$B$226,'Anlage 3a_Zusammenfassung_KWKG'!A1896,'Anlage 2b_Korrekturen'!$E$8:$E$226)</f>
        <v>205.10999999999999</v>
      </c>
      <c r="G1896" s="668">
        <f t="shared" si="70"/>
        <v>481740.45852000004</v>
      </c>
      <c r="H1896" s="133"/>
      <c r="I1896" s="92"/>
      <c r="J1896" t="s">
        <v>671</v>
      </c>
    </row>
    <row r="1897" spans="1:10" hidden="1" outlineLevel="1">
      <c r="A1897" s="418" t="s">
        <v>558</v>
      </c>
      <c r="B1897" s="1698">
        <f>+VLOOKUP(A1897,'Anlage 2a_Letztverbrauch'!$A$932:$I$1705,9,FALSE)</f>
        <v>256238.5453</v>
      </c>
      <c r="C1897" s="711">
        <f>+IF(ISNA(VLOOKUP(A1897,'Anlage 2a_Letztverbrauch'!$A$2774:$C$2786,3,0)),0,VLOOKUP(A1897,'Anlage 2a_Letztverbrauch'!$A$2774:$C$2786,3,0))</f>
        <v>0</v>
      </c>
      <c r="D1897" s="711">
        <v>0</v>
      </c>
      <c r="E1897" s="711">
        <f t="shared" si="69"/>
        <v>256238.5453</v>
      </c>
      <c r="F1897" s="711">
        <f>+SUMIF('Anlage 2b_Korrekturen'!$B$8:$B$226,'Anlage 3a_Zusammenfassung_KWKG'!A1897,'Anlage 2b_Korrekturen'!$E$8:$E$226)</f>
        <v>237.52</v>
      </c>
      <c r="G1897" s="668">
        <f t="shared" si="70"/>
        <v>256476.06529999999</v>
      </c>
      <c r="H1897" s="133"/>
      <c r="I1897" s="92"/>
      <c r="J1897" t="s">
        <v>559</v>
      </c>
    </row>
    <row r="1898" spans="1:10" hidden="1" outlineLevel="1">
      <c r="A1898" s="418" t="s">
        <v>494</v>
      </c>
      <c r="B1898" s="1698">
        <f>+VLOOKUP(A1898,'Anlage 2a_Letztverbrauch'!$A$932:$I$1705,9,FALSE)</f>
        <v>95497.988160000008</v>
      </c>
      <c r="C1898" s="711">
        <f>+IF(ISNA(VLOOKUP(A1898,'Anlage 2a_Letztverbrauch'!$A$2774:$C$2786,3,0)),0,VLOOKUP(A1898,'Anlage 2a_Letztverbrauch'!$A$2774:$C$2786,3,0))</f>
        <v>0</v>
      </c>
      <c r="D1898" s="711">
        <v>0</v>
      </c>
      <c r="E1898" s="711">
        <f t="shared" si="69"/>
        <v>95497.988160000008</v>
      </c>
      <c r="F1898" s="711">
        <f>+SUMIF('Anlage 2b_Korrekturen'!$B$8:$B$226,'Anlage 3a_Zusammenfassung_KWKG'!A1898,'Anlage 2b_Korrekturen'!$E$8:$E$226)</f>
        <v>0</v>
      </c>
      <c r="G1898" s="668">
        <f t="shared" si="70"/>
        <v>95497.988160000008</v>
      </c>
      <c r="H1898" s="133"/>
      <c r="I1898" s="92"/>
      <c r="J1898" t="s">
        <v>495</v>
      </c>
    </row>
    <row r="1899" spans="1:10" hidden="1" outlineLevel="1">
      <c r="A1899" s="418" t="s">
        <v>664</v>
      </c>
      <c r="B1899" s="1698">
        <f>+VLOOKUP(A1899,'Anlage 2a_Letztverbrauch'!$A$932:$I$1705,9,FALSE)</f>
        <v>142264.95353000003</v>
      </c>
      <c r="C1899" s="711">
        <f>+IF(ISNA(VLOOKUP(A1899,'Anlage 2a_Letztverbrauch'!$A$2774:$C$2786,3,0)),0,VLOOKUP(A1899,'Anlage 2a_Letztverbrauch'!$A$2774:$C$2786,3,0))</f>
        <v>0</v>
      </c>
      <c r="D1899" s="711">
        <v>0</v>
      </c>
      <c r="E1899" s="711">
        <f t="shared" si="69"/>
        <v>142264.95353000003</v>
      </c>
      <c r="F1899" s="711">
        <f>+SUMIF('Anlage 2b_Korrekturen'!$B$8:$B$226,'Anlage 3a_Zusammenfassung_KWKG'!A1899,'Anlage 2b_Korrekturen'!$E$8:$E$226)</f>
        <v>-1261.28</v>
      </c>
      <c r="G1899" s="668">
        <f t="shared" si="70"/>
        <v>141003.67353000003</v>
      </c>
      <c r="H1899" s="133"/>
      <c r="I1899" s="92"/>
      <c r="J1899" t="s">
        <v>665</v>
      </c>
    </row>
    <row r="1900" spans="1:10" hidden="1" outlineLevel="1">
      <c r="A1900" s="418" t="s">
        <v>476</v>
      </c>
      <c r="B1900" s="1698">
        <f>+VLOOKUP(A1900,'Anlage 2a_Letztverbrauch'!$A$932:$I$1705,9,FALSE)</f>
        <v>373003.05611</v>
      </c>
      <c r="C1900" s="711">
        <f>+IF(ISNA(VLOOKUP(A1900,'Anlage 2a_Letztverbrauch'!$A$2774:$C$2786,3,0)),0,VLOOKUP(A1900,'Anlage 2a_Letztverbrauch'!$A$2774:$C$2786,3,0))</f>
        <v>0</v>
      </c>
      <c r="D1900" s="711">
        <v>0</v>
      </c>
      <c r="E1900" s="711">
        <f t="shared" ref="E1900:E1915" si="71">B1900+C1900+D1900</f>
        <v>373003.05611</v>
      </c>
      <c r="F1900" s="711">
        <f>+SUMIF('Anlage 2b_Korrekturen'!$B$8:$B$226,'Anlage 3a_Zusammenfassung_KWKG'!A1900,'Anlage 2b_Korrekturen'!$E$8:$E$226)</f>
        <v>-520.26</v>
      </c>
      <c r="G1900" s="668">
        <f t="shared" ref="G1900:G1915" si="72">E1900+F1900</f>
        <v>372482.79611</v>
      </c>
      <c r="H1900" s="133"/>
      <c r="I1900" s="92"/>
      <c r="J1900" t="s">
        <v>477</v>
      </c>
    </row>
    <row r="1901" spans="1:10" hidden="1" outlineLevel="1">
      <c r="A1901" s="418" t="s">
        <v>696</v>
      </c>
      <c r="B1901" s="1698">
        <f>+VLOOKUP(A1901,'Anlage 2a_Letztverbrauch'!$A$932:$I$1705,9,FALSE)</f>
        <v>254688.32034000001</v>
      </c>
      <c r="C1901" s="711">
        <f>+IF(ISNA(VLOOKUP(A1901,'Anlage 2a_Letztverbrauch'!$A$2774:$C$2786,3,0)),0,VLOOKUP(A1901,'Anlage 2a_Letztverbrauch'!$A$2774:$C$2786,3,0))</f>
        <v>0</v>
      </c>
      <c r="D1901" s="711">
        <v>0</v>
      </c>
      <c r="E1901" s="711">
        <f t="shared" si="71"/>
        <v>254688.32034000001</v>
      </c>
      <c r="F1901" s="711">
        <f>+SUMIF('Anlage 2b_Korrekturen'!$B$8:$B$226,'Anlage 3a_Zusammenfassung_KWKG'!A1901,'Anlage 2b_Korrekturen'!$E$8:$E$226)</f>
        <v>0</v>
      </c>
      <c r="G1901" s="668">
        <f t="shared" si="72"/>
        <v>254688.32034000001</v>
      </c>
      <c r="H1901" s="133"/>
      <c r="I1901" s="92"/>
      <c r="J1901" t="s">
        <v>697</v>
      </c>
    </row>
    <row r="1902" spans="1:10" hidden="1" outlineLevel="1">
      <c r="A1902" s="418" t="s">
        <v>674</v>
      </c>
      <c r="B1902" s="1698">
        <f>+VLOOKUP(A1902,'Anlage 2a_Letztverbrauch'!$A$932:$I$1705,9,FALSE)</f>
        <v>380222.24119000003</v>
      </c>
      <c r="C1902" s="711">
        <f>+IF(ISNA(VLOOKUP(A1902,'Anlage 2a_Letztverbrauch'!$A$2774:$C$2786,3,0)),0,VLOOKUP(A1902,'Anlage 2a_Letztverbrauch'!$A$2774:$C$2786,3,0))</f>
        <v>0</v>
      </c>
      <c r="D1902" s="711">
        <v>0</v>
      </c>
      <c r="E1902" s="711">
        <f t="shared" si="71"/>
        <v>380222.24119000003</v>
      </c>
      <c r="F1902" s="711">
        <f>+SUMIF('Anlage 2b_Korrekturen'!$B$8:$B$226,'Anlage 3a_Zusammenfassung_KWKG'!A1902,'Anlage 2b_Korrekturen'!$E$8:$E$226)</f>
        <v>5051.8099999999995</v>
      </c>
      <c r="G1902" s="668">
        <f t="shared" si="72"/>
        <v>385274.05119000003</v>
      </c>
      <c r="H1902" s="133"/>
      <c r="I1902" s="92"/>
      <c r="J1902" t="s">
        <v>2190</v>
      </c>
    </row>
    <row r="1903" spans="1:10" hidden="1" outlineLevel="1">
      <c r="A1903" s="418" t="s">
        <v>592</v>
      </c>
      <c r="B1903" s="1698">
        <f>+VLOOKUP(A1903,'Anlage 2a_Letztverbrauch'!$A$932:$I$1705,9,FALSE)</f>
        <v>150068.22081000003</v>
      </c>
      <c r="C1903" s="711">
        <f>+IF(ISNA(VLOOKUP(A1903,'Anlage 2a_Letztverbrauch'!$A$2774:$C$2786,3,0)),0,VLOOKUP(A1903,'Anlage 2a_Letztverbrauch'!$A$2774:$C$2786,3,0))</f>
        <v>0</v>
      </c>
      <c r="D1903" s="711">
        <v>0</v>
      </c>
      <c r="E1903" s="711">
        <f t="shared" si="71"/>
        <v>150068.22081000003</v>
      </c>
      <c r="F1903" s="711">
        <f>+SUMIF('Anlage 2b_Korrekturen'!$B$8:$B$226,'Anlage 3a_Zusammenfassung_KWKG'!A1903,'Anlage 2b_Korrekturen'!$E$8:$E$226)</f>
        <v>0</v>
      </c>
      <c r="G1903" s="668">
        <f t="shared" si="72"/>
        <v>150068.22081000003</v>
      </c>
      <c r="H1903" s="133"/>
      <c r="I1903" s="92"/>
      <c r="J1903" t="s">
        <v>593</v>
      </c>
    </row>
    <row r="1904" spans="1:10" hidden="1" outlineLevel="1">
      <c r="A1904" s="418" t="s">
        <v>718</v>
      </c>
      <c r="B1904" s="1698">
        <f>+VLOOKUP(A1904,'Anlage 2a_Letztverbrauch'!$A$932:$I$1705,9,FALSE)</f>
        <v>74828.95451000001</v>
      </c>
      <c r="C1904" s="711">
        <f>+IF(ISNA(VLOOKUP(A1904,'Anlage 2a_Letztverbrauch'!$A$2774:$C$2786,3,0)),0,VLOOKUP(A1904,'Anlage 2a_Letztverbrauch'!$A$2774:$C$2786,3,0))</f>
        <v>0</v>
      </c>
      <c r="D1904" s="711">
        <v>0</v>
      </c>
      <c r="E1904" s="711">
        <f t="shared" si="71"/>
        <v>74828.95451000001</v>
      </c>
      <c r="F1904" s="711">
        <f>+SUMIF('Anlage 2b_Korrekturen'!$B$8:$B$226,'Anlage 3a_Zusammenfassung_KWKG'!A1904,'Anlage 2b_Korrekturen'!$E$8:$E$226)</f>
        <v>1624.4699999999998</v>
      </c>
      <c r="G1904" s="668">
        <f t="shared" si="72"/>
        <v>76453.424510000012</v>
      </c>
      <c r="H1904" s="133"/>
      <c r="I1904" s="92"/>
      <c r="J1904" t="s">
        <v>719</v>
      </c>
    </row>
    <row r="1905" spans="1:10" hidden="1" outlineLevel="1">
      <c r="A1905" s="418" t="s">
        <v>690</v>
      </c>
      <c r="B1905" s="1698">
        <f>+VLOOKUP(A1905,'Anlage 2a_Letztverbrauch'!$A$932:$I$1705,9,FALSE)</f>
        <v>97792.132630000007</v>
      </c>
      <c r="C1905" s="711">
        <f>+IF(ISNA(VLOOKUP(A1905,'Anlage 2a_Letztverbrauch'!$A$2774:$C$2786,3,0)),0,VLOOKUP(A1905,'Anlage 2a_Letztverbrauch'!$A$2774:$C$2786,3,0))</f>
        <v>0</v>
      </c>
      <c r="D1905" s="711">
        <v>0</v>
      </c>
      <c r="E1905" s="711">
        <f t="shared" si="71"/>
        <v>97792.132630000007</v>
      </c>
      <c r="F1905" s="711">
        <f>+SUMIF('Anlage 2b_Korrekturen'!$B$8:$B$226,'Anlage 3a_Zusammenfassung_KWKG'!A1905,'Anlage 2b_Korrekturen'!$E$8:$E$226)</f>
        <v>0</v>
      </c>
      <c r="G1905" s="668">
        <f t="shared" si="72"/>
        <v>97792.132630000007</v>
      </c>
      <c r="H1905" s="133"/>
      <c r="I1905" s="92"/>
      <c r="J1905" t="s">
        <v>691</v>
      </c>
    </row>
    <row r="1906" spans="1:10" hidden="1" outlineLevel="1">
      <c r="A1906" s="418" t="s">
        <v>566</v>
      </c>
      <c r="B1906" s="1698">
        <f>+VLOOKUP(A1906,'Anlage 2a_Letztverbrauch'!$A$932:$I$1705,9,FALSE)</f>
        <v>67963.312840000013</v>
      </c>
      <c r="C1906" s="711">
        <f>+IF(ISNA(VLOOKUP(A1906,'Anlage 2a_Letztverbrauch'!$A$2774:$C$2786,3,0)),0,VLOOKUP(A1906,'Anlage 2a_Letztverbrauch'!$A$2774:$C$2786,3,0))</f>
        <v>0</v>
      </c>
      <c r="D1906" s="711">
        <v>0</v>
      </c>
      <c r="E1906" s="711">
        <f t="shared" si="71"/>
        <v>67963.312840000013</v>
      </c>
      <c r="F1906" s="711">
        <f>+SUMIF('Anlage 2b_Korrekturen'!$B$8:$B$226,'Anlage 3a_Zusammenfassung_KWKG'!A1906,'Anlage 2b_Korrekturen'!$E$8:$E$226)</f>
        <v>-2240.6</v>
      </c>
      <c r="G1906" s="668">
        <f t="shared" si="72"/>
        <v>65722.712840000007</v>
      </c>
      <c r="H1906" s="133"/>
      <c r="I1906" s="92"/>
      <c r="J1906" t="s">
        <v>567</v>
      </c>
    </row>
    <row r="1907" spans="1:10" hidden="1" outlineLevel="1">
      <c r="A1907" s="418" t="s">
        <v>672</v>
      </c>
      <c r="B1907" s="1698">
        <f>+VLOOKUP(A1907,'Anlage 2a_Letztverbrauch'!$A$932:$I$1705,9,FALSE)</f>
        <v>159117.84127999999</v>
      </c>
      <c r="C1907" s="711">
        <f>+IF(ISNA(VLOOKUP(A1907,'Anlage 2a_Letztverbrauch'!$A$2774:$C$2786,3,0)),0,VLOOKUP(A1907,'Anlage 2a_Letztverbrauch'!$A$2774:$C$2786,3,0))</f>
        <v>0</v>
      </c>
      <c r="D1907" s="711">
        <v>0</v>
      </c>
      <c r="E1907" s="711">
        <f t="shared" si="71"/>
        <v>159117.84127999999</v>
      </c>
      <c r="F1907" s="711">
        <f>+SUMIF('Anlage 2b_Korrekturen'!$B$8:$B$226,'Anlage 3a_Zusammenfassung_KWKG'!A1907,'Anlage 2b_Korrekturen'!$E$8:$E$226)</f>
        <v>-691.24</v>
      </c>
      <c r="G1907" s="668">
        <f t="shared" si="72"/>
        <v>158426.60128</v>
      </c>
      <c r="H1907" s="133"/>
      <c r="I1907" s="92"/>
      <c r="J1907" t="s">
        <v>673</v>
      </c>
    </row>
    <row r="1908" spans="1:10" hidden="1" outlineLevel="1">
      <c r="A1908" s="418" t="s">
        <v>496</v>
      </c>
      <c r="B1908" s="1698">
        <f>+VLOOKUP(A1908,'Anlage 2a_Letztverbrauch'!$A$932:$I$1705,9,FALSE)</f>
        <v>176406.16472000003</v>
      </c>
      <c r="C1908" s="711">
        <f>+IF(ISNA(VLOOKUP(A1908,'Anlage 2a_Letztverbrauch'!$A$2774:$C$2786,3,0)),0,VLOOKUP(A1908,'Anlage 2a_Letztverbrauch'!$A$2774:$C$2786,3,0))</f>
        <v>0</v>
      </c>
      <c r="D1908" s="711">
        <v>0</v>
      </c>
      <c r="E1908" s="711">
        <f t="shared" si="71"/>
        <v>176406.16472000003</v>
      </c>
      <c r="F1908" s="711">
        <f>+SUMIF('Anlage 2b_Korrekturen'!$B$8:$B$226,'Anlage 3a_Zusammenfassung_KWKG'!A1908,'Anlage 2b_Korrekturen'!$E$8:$E$226)</f>
        <v>0</v>
      </c>
      <c r="G1908" s="668">
        <f t="shared" si="72"/>
        <v>176406.16472000003</v>
      </c>
      <c r="H1908" s="133"/>
      <c r="I1908" s="92"/>
      <c r="J1908" t="s">
        <v>497</v>
      </c>
    </row>
    <row r="1909" spans="1:10" hidden="1" outlineLevel="1">
      <c r="A1909" s="418" t="s">
        <v>700</v>
      </c>
      <c r="B1909" s="1698">
        <f>+VLOOKUP(A1909,'Anlage 2a_Letztverbrauch'!$A$932:$I$1705,9,FALSE)</f>
        <v>123258.84783000001</v>
      </c>
      <c r="C1909" s="711">
        <f>+IF(ISNA(VLOOKUP(A1909,'Anlage 2a_Letztverbrauch'!$A$2774:$C$2786,3,0)),0,VLOOKUP(A1909,'Anlage 2a_Letztverbrauch'!$A$2774:$C$2786,3,0))</f>
        <v>0</v>
      </c>
      <c r="D1909" s="711">
        <v>0</v>
      </c>
      <c r="E1909" s="711">
        <f t="shared" si="71"/>
        <v>123258.84783000001</v>
      </c>
      <c r="F1909" s="711">
        <f>+SUMIF('Anlage 2b_Korrekturen'!$B$8:$B$226,'Anlage 3a_Zusammenfassung_KWKG'!A1909,'Anlage 2b_Korrekturen'!$E$8:$E$226)</f>
        <v>0</v>
      </c>
      <c r="G1909" s="668">
        <f t="shared" si="72"/>
        <v>123258.84783000001</v>
      </c>
      <c r="H1909" s="133"/>
      <c r="I1909" s="92"/>
      <c r="J1909" t="s">
        <v>701</v>
      </c>
    </row>
    <row r="1910" spans="1:10" hidden="1" outlineLevel="1">
      <c r="A1910" s="418" t="s">
        <v>654</v>
      </c>
      <c r="B1910" s="1698">
        <f>+VLOOKUP(A1910,'Anlage 2a_Letztverbrauch'!$A$932:$I$1705,9,FALSE)</f>
        <v>174265.66107</v>
      </c>
      <c r="C1910" s="711">
        <f>+IF(ISNA(VLOOKUP(A1910,'Anlage 2a_Letztverbrauch'!$A$2774:$C$2786,3,0)),0,VLOOKUP(A1910,'Anlage 2a_Letztverbrauch'!$A$2774:$C$2786,3,0))</f>
        <v>0</v>
      </c>
      <c r="D1910" s="711">
        <v>0</v>
      </c>
      <c r="E1910" s="711">
        <f t="shared" si="71"/>
        <v>174265.66107</v>
      </c>
      <c r="F1910" s="711">
        <f>+SUMIF('Anlage 2b_Korrekturen'!$B$8:$B$226,'Anlage 3a_Zusammenfassung_KWKG'!A1910,'Anlage 2b_Korrekturen'!$E$8:$E$226)</f>
        <v>-3181.87</v>
      </c>
      <c r="G1910" s="668">
        <f t="shared" si="72"/>
        <v>171083.79107000001</v>
      </c>
      <c r="H1910" s="133"/>
      <c r="I1910" s="92"/>
      <c r="J1910" t="s">
        <v>655</v>
      </c>
    </row>
    <row r="1911" spans="1:10" hidden="1" outlineLevel="1">
      <c r="A1911" s="418" t="s">
        <v>518</v>
      </c>
      <c r="B1911" s="1698">
        <f>+VLOOKUP(A1911,'Anlage 2a_Letztverbrauch'!$A$932:$I$1705,9,FALSE)</f>
        <v>677123.26713300007</v>
      </c>
      <c r="C1911" s="711">
        <f>+IF(ISNA(VLOOKUP(A1911,'Anlage 2a_Letztverbrauch'!$A$2774:$C$2786,3,0)),0,VLOOKUP(A1911,'Anlage 2a_Letztverbrauch'!$A$2774:$C$2786,3,0))</f>
        <v>0</v>
      </c>
      <c r="D1911" s="711">
        <v>0</v>
      </c>
      <c r="E1911" s="711">
        <f t="shared" si="71"/>
        <v>677123.26713300007</v>
      </c>
      <c r="F1911" s="711">
        <f>+SUMIF('Anlage 2b_Korrekturen'!$B$8:$B$226,'Anlage 3a_Zusammenfassung_KWKG'!A1911,'Anlage 2b_Korrekturen'!$E$8:$E$226)</f>
        <v>0</v>
      </c>
      <c r="G1911" s="668">
        <f t="shared" si="72"/>
        <v>677123.26713300007</v>
      </c>
      <c r="H1911" s="133"/>
      <c r="I1911" s="92"/>
      <c r="J1911" t="s">
        <v>519</v>
      </c>
    </row>
    <row r="1912" spans="1:10" hidden="1" outlineLevel="1">
      <c r="A1912" s="418" t="s">
        <v>686</v>
      </c>
      <c r="B1912" s="1698">
        <f>+VLOOKUP(A1912,'Anlage 2a_Letztverbrauch'!$A$932:$I$1705,9,FALSE)</f>
        <v>7750806.0200900007</v>
      </c>
      <c r="C1912" s="711">
        <f>+IF(ISNA(VLOOKUP(A1912,'Anlage 2a_Letztverbrauch'!$A$2774:$C$2786,3,0)),0,VLOOKUP(A1912,'Anlage 2a_Letztverbrauch'!$A$2774:$C$2786,3,0))</f>
        <v>-161924.09504000001</v>
      </c>
      <c r="D1912" s="711">
        <v>0</v>
      </c>
      <c r="E1912" s="711">
        <f t="shared" si="71"/>
        <v>7588881.9250500007</v>
      </c>
      <c r="F1912" s="88">
        <f>+SUMIF('Anlage 2b_Korrekturen'!$B$8:$B$226,'Anlage 3a_Zusammenfassung_KWKG'!A1912,'Anlage 2b_Korrekturen'!$E$8:$E$226)</f>
        <v>476669.12</v>
      </c>
      <c r="G1912" s="668">
        <f t="shared" si="72"/>
        <v>8065551.0450500008</v>
      </c>
      <c r="H1912" s="133"/>
      <c r="I1912" s="92"/>
      <c r="J1912" t="s">
        <v>687</v>
      </c>
    </row>
    <row r="1913" spans="1:10" hidden="1" outlineLevel="1">
      <c r="A1913" s="418" t="s">
        <v>2191</v>
      </c>
      <c r="B1913" s="1698">
        <f>+VLOOKUP(A1913,'Anlage 2a_Letztverbrauch'!$A$932:$I$1705,9,FALSE)</f>
        <v>21863.997800000001</v>
      </c>
      <c r="C1913" s="711">
        <f>+IF(ISNA(VLOOKUP(A1913,'Anlage 2a_Letztverbrauch'!$A$2774:$C$2786,3,0)),0,VLOOKUP(A1913,'Anlage 2a_Letztverbrauch'!$A$2774:$C$2786,3,0))</f>
        <v>0</v>
      </c>
      <c r="D1913" s="711">
        <v>0</v>
      </c>
      <c r="E1913" s="711">
        <f t="shared" si="71"/>
        <v>21863.997800000001</v>
      </c>
      <c r="F1913" s="711">
        <f>+SUMIF('Anlage 2b_Korrekturen'!$B$8:$B$226,'Anlage 3a_Zusammenfassung_KWKG'!A1913,'Anlage 2b_Korrekturen'!$E$8:$E$226)</f>
        <v>0</v>
      </c>
      <c r="G1913" s="668">
        <f t="shared" si="72"/>
        <v>21863.997800000001</v>
      </c>
      <c r="H1913" s="133"/>
      <c r="I1913" s="92"/>
      <c r="J1913" t="s">
        <v>2192</v>
      </c>
    </row>
    <row r="1914" spans="1:10" hidden="1" outlineLevel="1">
      <c r="A1914" s="418" t="s">
        <v>536</v>
      </c>
      <c r="B1914" s="1698">
        <f>+VLOOKUP(A1914,'Anlage 2a_Letztverbrauch'!$A$932:$I$1705,9,FALSE)</f>
        <v>2226169.4345200001</v>
      </c>
      <c r="C1914" s="711">
        <f>+IF(ISNA(VLOOKUP(A1914,'Anlage 2a_Letztverbrauch'!$A$2774:$C$2786,3,0)),0,VLOOKUP(A1914,'Anlage 2a_Letztverbrauch'!$A$2774:$C$2786,3,0))</f>
        <v>0</v>
      </c>
      <c r="D1914" s="711">
        <v>0</v>
      </c>
      <c r="E1914" s="711">
        <f t="shared" si="71"/>
        <v>2226169.4345200001</v>
      </c>
      <c r="F1914" s="711">
        <f>+SUMIF('Anlage 2b_Korrekturen'!$B$8:$B$226,'Anlage 3a_Zusammenfassung_KWKG'!A1914,'Anlage 2b_Korrekturen'!$E$8:$E$226)</f>
        <v>-11432.380000000001</v>
      </c>
      <c r="G1914" s="668">
        <f t="shared" si="72"/>
        <v>2214737.0545200002</v>
      </c>
      <c r="H1914" s="133"/>
      <c r="I1914" s="92"/>
      <c r="J1914" t="s">
        <v>537</v>
      </c>
    </row>
    <row r="1915" spans="1:10" hidden="1" outlineLevel="1">
      <c r="A1915" s="418" t="s">
        <v>1196</v>
      </c>
      <c r="B1915" s="1698">
        <f>+VLOOKUP(A1915,'Anlage 2a_Letztverbrauch'!$A$932:$I$1705,9,FALSE)</f>
        <v>98574.710260000007</v>
      </c>
      <c r="C1915" s="711">
        <f>+IF(ISNA(VLOOKUP(A1915,'Anlage 2a_Letztverbrauch'!$A$2774:$C$2786,3,0)),0,VLOOKUP(A1915,'Anlage 2a_Letztverbrauch'!$A$2774:$C$2786,3,0))</f>
        <v>0</v>
      </c>
      <c r="D1915" s="711">
        <v>0</v>
      </c>
      <c r="E1915" s="711">
        <f t="shared" si="71"/>
        <v>98574.710260000007</v>
      </c>
      <c r="F1915" s="711">
        <f>+SUMIF('Anlage 2b_Korrekturen'!$B$8:$B$226,'Anlage 3a_Zusammenfassung_KWKG'!A1915,'Anlage 2b_Korrekturen'!$E$8:$E$226)</f>
        <v>0</v>
      </c>
      <c r="G1915" s="668">
        <f t="shared" si="72"/>
        <v>98574.710260000007</v>
      </c>
      <c r="H1915" s="133"/>
      <c r="I1915" s="92"/>
      <c r="J1915" t="s">
        <v>1197</v>
      </c>
    </row>
    <row r="1916" spans="1:10" collapsed="1">
      <c r="A1916" s="701" t="str">
        <f>A167</f>
        <v>Regelzone Amprion (gesamt)</v>
      </c>
      <c r="B1916" s="702">
        <f>SUM(B1917:B2150)</f>
        <v>289529620.71999997</v>
      </c>
      <c r="C1916" s="711">
        <f>SUM(C1917:C2150)</f>
        <v>-7969061.9800000004</v>
      </c>
      <c r="D1916" s="667">
        <f>SUM(D1917:D2150)</f>
        <v>11</v>
      </c>
      <c r="E1916" s="711">
        <f>B1916+C1916+D1916</f>
        <v>281560569.73999995</v>
      </c>
      <c r="F1916" s="667">
        <f>SUM(F1917:F2150)</f>
        <v>-55694.509999999791</v>
      </c>
      <c r="G1916" s="668">
        <f t="shared" si="70"/>
        <v>281504875.22999996</v>
      </c>
      <c r="H1916" s="133"/>
    </row>
    <row r="1917" spans="1:10" hidden="1" outlineLevel="1">
      <c r="A1917" s="418" t="s">
        <v>775</v>
      </c>
      <c r="B1917" s="492">
        <f>+VLOOKUP(A1917,'Anlage 2a_Letztverbrauch'!$A$1084:$I$1336,9,FALSE)</f>
        <v>252347.06</v>
      </c>
      <c r="C1917" s="88">
        <f>+IF(ISNA(VLOOKUP(A1917,'Anlage 2a_Letztverbrauch'!$A$2788:$C$2795,3,0)),0,VLOOKUP(A1917,'Anlage 2a_Letztverbrauch'!$A$2788:$C$2795,3,0))</f>
        <v>0</v>
      </c>
      <c r="D1917" s="1726">
        <v>0</v>
      </c>
      <c r="E1917" s="88">
        <f t="shared" si="69"/>
        <v>252347.06</v>
      </c>
      <c r="F1917" s="88">
        <f>+SUMIF('Anlage 2b_Korrekturen'!$B$234:$B$693,'Anlage 3a_Zusammenfassung_KWKG'!A1917,'Anlage 2b_Korrekturen'!$E$234:$E$693)</f>
        <v>-9816.9500000000007</v>
      </c>
      <c r="G1917" s="135">
        <f t="shared" si="70"/>
        <v>242530.11</v>
      </c>
      <c r="H1917" s="133"/>
      <c r="I1917" s="92"/>
      <c r="J1917" s="133" t="s">
        <v>776</v>
      </c>
    </row>
    <row r="1918" spans="1:10" hidden="1" outlineLevel="1">
      <c r="A1918" s="418" t="s">
        <v>456</v>
      </c>
      <c r="B1918" s="492">
        <f>+VLOOKUP(A1918,'Anlage 2a_Letztverbrauch'!$A$1084:$I$1336,9,FALSE)</f>
        <v>287529.63</v>
      </c>
      <c r="C1918" s="88">
        <f>+IF(ISNA(VLOOKUP(A1918,'Anlage 2a_Letztverbrauch'!$A$2788:$C$2795,3,0)),0,VLOOKUP(A1918,'Anlage 2a_Letztverbrauch'!$A$2788:$C$2795,3,0))</f>
        <v>0</v>
      </c>
      <c r="D1918" s="1726">
        <v>0</v>
      </c>
      <c r="E1918" s="88">
        <f t="shared" si="69"/>
        <v>287529.63</v>
      </c>
      <c r="F1918" s="88">
        <f>+SUMIF('Anlage 2b_Korrekturen'!$B$234:$B$693,'Anlage 3a_Zusammenfassung_KWKG'!A1918,'Anlage 2b_Korrekturen'!$E$234:$E$693)</f>
        <v>19506.560000000001</v>
      </c>
      <c r="G1918" s="135">
        <f t="shared" si="70"/>
        <v>307036.19</v>
      </c>
      <c r="H1918" s="133"/>
      <c r="I1918" s="92"/>
      <c r="J1918" s="133" t="s">
        <v>457</v>
      </c>
    </row>
    <row r="1919" spans="1:10" hidden="1" outlineLevel="1">
      <c r="A1919" s="418" t="s">
        <v>777</v>
      </c>
      <c r="B1919" s="492">
        <f>+VLOOKUP(A1919,'Anlage 2a_Letztverbrauch'!$A$1084:$I$1336,9,FALSE)</f>
        <v>333153.63</v>
      </c>
      <c r="C1919" s="88">
        <f>+IF(ISNA(VLOOKUP(A1919,'Anlage 2a_Letztverbrauch'!$A$2788:$C$2795,3,0)),0,VLOOKUP(A1919,'Anlage 2a_Letztverbrauch'!$A$2788:$C$2795,3,0))</f>
        <v>0</v>
      </c>
      <c r="D1919" s="1726">
        <v>0</v>
      </c>
      <c r="E1919" s="88">
        <f t="shared" si="69"/>
        <v>333153.63</v>
      </c>
      <c r="F1919" s="88">
        <f>+SUMIF('Anlage 2b_Korrekturen'!$B$234:$B$693,'Anlage 3a_Zusammenfassung_KWKG'!A1919,'Anlage 2b_Korrekturen'!$E$234:$E$693)</f>
        <v>460.56</v>
      </c>
      <c r="G1919" s="135">
        <f t="shared" si="70"/>
        <v>333614.19</v>
      </c>
      <c r="H1919" s="133"/>
      <c r="I1919" s="92"/>
      <c r="J1919" s="133" t="s">
        <v>778</v>
      </c>
    </row>
    <row r="1920" spans="1:10" hidden="1" outlineLevel="1">
      <c r="A1920" s="418" t="s">
        <v>779</v>
      </c>
      <c r="B1920" s="492">
        <f>+VLOOKUP(A1920,'Anlage 2a_Letztverbrauch'!$A$1084:$I$1336,9,FALSE)</f>
        <v>825354.64</v>
      </c>
      <c r="C1920" s="88">
        <f>+IF(ISNA(VLOOKUP(A1920,'Anlage 2a_Letztverbrauch'!$A$2788:$C$2795,3,0)),0,VLOOKUP(A1920,'Anlage 2a_Letztverbrauch'!$A$2788:$C$2795,3,0))</f>
        <v>0</v>
      </c>
      <c r="D1920" s="1726">
        <v>0</v>
      </c>
      <c r="E1920" s="88">
        <f t="shared" si="69"/>
        <v>825354.64</v>
      </c>
      <c r="F1920" s="88">
        <f>+SUMIF('Anlage 2b_Korrekturen'!$B$234:$B$693,'Anlage 3a_Zusammenfassung_KWKG'!A1920,'Anlage 2b_Korrekturen'!$E$234:$E$693)</f>
        <v>0</v>
      </c>
      <c r="G1920" s="135">
        <f t="shared" si="70"/>
        <v>825354.64</v>
      </c>
      <c r="H1920" s="133"/>
      <c r="I1920" s="92"/>
      <c r="J1920" s="133" t="s">
        <v>780</v>
      </c>
    </row>
    <row r="1921" spans="1:10" hidden="1" outlineLevel="1">
      <c r="A1921" s="418" t="s">
        <v>781</v>
      </c>
      <c r="B1921" s="492">
        <f>+VLOOKUP(A1921,'Anlage 2a_Letztverbrauch'!$A$1084:$I$1336,9,FALSE)</f>
        <v>2558998.2200000002</v>
      </c>
      <c r="C1921" s="88">
        <f>+IF(ISNA(VLOOKUP(A1921,'Anlage 2a_Letztverbrauch'!$A$2788:$C$2795,3,0)),0,VLOOKUP(A1921,'Anlage 2a_Letztverbrauch'!$A$2788:$C$2795,3,0))</f>
        <v>0</v>
      </c>
      <c r="D1921" s="1726">
        <v>0</v>
      </c>
      <c r="E1921" s="88">
        <f t="shared" si="69"/>
        <v>2558998.2200000002</v>
      </c>
      <c r="F1921" s="88">
        <f>+SUMIF('Anlage 2b_Korrekturen'!$B$234:$B$693,'Anlage 3a_Zusammenfassung_KWKG'!A1921,'Anlage 2b_Korrekturen'!$E$234:$E$693)</f>
        <v>925.02000000000044</v>
      </c>
      <c r="G1921" s="135">
        <f t="shared" si="70"/>
        <v>2559923.2400000002</v>
      </c>
      <c r="H1921" s="133"/>
      <c r="I1921" s="92"/>
      <c r="J1921" s="133" t="s">
        <v>782</v>
      </c>
    </row>
    <row r="1922" spans="1:10" hidden="1" outlineLevel="1">
      <c r="A1922" s="418" t="s">
        <v>783</v>
      </c>
      <c r="B1922" s="492">
        <f>+VLOOKUP(A1922,'Anlage 2a_Letztverbrauch'!$A$1084:$I$1336,9,FALSE)</f>
        <v>464743.18</v>
      </c>
      <c r="C1922" s="88">
        <f>+IF(ISNA(VLOOKUP(A1922,'Anlage 2a_Letztverbrauch'!$A$2788:$C$2795,3,0)),0,VLOOKUP(A1922,'Anlage 2a_Letztverbrauch'!$A$2788:$C$2795,3,0))</f>
        <v>0</v>
      </c>
      <c r="D1922" s="1726">
        <v>0</v>
      </c>
      <c r="E1922" s="88">
        <f t="shared" si="69"/>
        <v>464743.18</v>
      </c>
      <c r="F1922" s="88">
        <f>+SUMIF('Anlage 2b_Korrekturen'!$B$234:$B$693,'Anlage 3a_Zusammenfassung_KWKG'!A1922,'Anlage 2b_Korrekturen'!$E$234:$E$693)</f>
        <v>3933.41</v>
      </c>
      <c r="G1922" s="135">
        <f t="shared" si="70"/>
        <v>468676.58999999997</v>
      </c>
      <c r="H1922" s="133"/>
      <c r="I1922" s="92"/>
      <c r="J1922" s="133" t="s">
        <v>784</v>
      </c>
    </row>
    <row r="1923" spans="1:10" hidden="1" outlineLevel="1">
      <c r="A1923" s="418" t="s">
        <v>785</v>
      </c>
      <c r="B1923" s="492">
        <f>+VLOOKUP(A1923,'Anlage 2a_Letztverbrauch'!$A$1084:$I$1336,9,FALSE)</f>
        <v>343291.93</v>
      </c>
      <c r="C1923" s="88">
        <f>+IF(ISNA(VLOOKUP(A1923,'Anlage 2a_Letztverbrauch'!$A$2788:$C$2795,3,0)),0,VLOOKUP(A1923,'Anlage 2a_Letztverbrauch'!$A$2788:$C$2795,3,0))</f>
        <v>0</v>
      </c>
      <c r="D1923" s="1726">
        <v>0</v>
      </c>
      <c r="E1923" s="88">
        <f t="shared" si="69"/>
        <v>343291.93</v>
      </c>
      <c r="F1923" s="88">
        <f>+SUMIF('Anlage 2b_Korrekturen'!$B$234:$B$693,'Anlage 3a_Zusammenfassung_KWKG'!A1923,'Anlage 2b_Korrekturen'!$E$234:$E$693)</f>
        <v>0</v>
      </c>
      <c r="G1923" s="135">
        <f t="shared" si="70"/>
        <v>343291.93</v>
      </c>
      <c r="H1923" s="133"/>
      <c r="I1923" s="92"/>
      <c r="J1923" s="133" t="s">
        <v>786</v>
      </c>
    </row>
    <row r="1924" spans="1:10" hidden="1" outlineLevel="1">
      <c r="A1924" s="418" t="s">
        <v>787</v>
      </c>
      <c r="B1924" s="492">
        <f>+VLOOKUP(A1924,'Anlage 2a_Letztverbrauch'!$A$1084:$I$1336,9,FALSE)</f>
        <v>6606581.4199999999</v>
      </c>
      <c r="C1924" s="88">
        <f>+IF(ISNA(VLOOKUP(A1924,'Anlage 2a_Letztverbrauch'!$A$2788:$C$2795,3,0)),0,VLOOKUP(A1924,'Anlage 2a_Letztverbrauch'!$A$2788:$C$2795,3,0))</f>
        <v>0</v>
      </c>
      <c r="D1924" s="1726">
        <v>0</v>
      </c>
      <c r="E1924" s="88">
        <f t="shared" si="69"/>
        <v>6606581.4199999999</v>
      </c>
      <c r="F1924" s="88">
        <f>+SUMIF('Anlage 2b_Korrekturen'!$B$234:$B$693,'Anlage 3a_Zusammenfassung_KWKG'!A1924,'Anlage 2b_Korrekturen'!$E$234:$E$693)</f>
        <v>-24137.049999999996</v>
      </c>
      <c r="G1924" s="135">
        <f t="shared" si="70"/>
        <v>6582444.3700000001</v>
      </c>
      <c r="H1924" s="133"/>
      <c r="I1924" s="92"/>
      <c r="J1924" s="133" t="s">
        <v>788</v>
      </c>
    </row>
    <row r="1925" spans="1:10" hidden="1" outlineLevel="1">
      <c r="A1925" s="418" t="s">
        <v>789</v>
      </c>
      <c r="B1925" s="492">
        <f>+VLOOKUP(A1925,'Anlage 2a_Letztverbrauch'!$A$1084:$I$1336,9,FALSE)</f>
        <v>9881042.1099999994</v>
      </c>
      <c r="C1925" s="88">
        <f>+IF(ISNA(VLOOKUP(A1925,'Anlage 2a_Letztverbrauch'!$A$2788:$C$2795,3,0)),0,VLOOKUP(A1925,'Anlage 2a_Letztverbrauch'!$A$2788:$C$2795,3,0))</f>
        <v>-68650.09</v>
      </c>
      <c r="D1925" s="1726">
        <v>0</v>
      </c>
      <c r="E1925" s="88">
        <f t="shared" si="69"/>
        <v>9812392.0199999996</v>
      </c>
      <c r="F1925" s="88">
        <f>+SUMIF('Anlage 2b_Korrekturen'!$B$234:$B$693,'Anlage 3a_Zusammenfassung_KWKG'!A1925,'Anlage 2b_Korrekturen'!$E$234:$E$693)</f>
        <v>129111.29000000001</v>
      </c>
      <c r="G1925" s="135">
        <f t="shared" si="70"/>
        <v>9941503.3099999987</v>
      </c>
      <c r="H1925" s="133"/>
      <c r="I1925" s="92"/>
      <c r="J1925" s="133" t="s">
        <v>790</v>
      </c>
    </row>
    <row r="1926" spans="1:10" hidden="1" outlineLevel="1">
      <c r="A1926" s="418" t="s">
        <v>791</v>
      </c>
      <c r="B1926" s="492">
        <f>+VLOOKUP(A1926,'Anlage 2a_Letztverbrauch'!$A$1084:$I$1336,9,FALSE)</f>
        <v>338913.23</v>
      </c>
      <c r="C1926" s="88">
        <f>+IF(ISNA(VLOOKUP(A1926,'Anlage 2a_Letztverbrauch'!$A$2788:$C$2795,3,0)),0,VLOOKUP(A1926,'Anlage 2a_Letztverbrauch'!$A$2788:$C$2795,3,0))</f>
        <v>0</v>
      </c>
      <c r="D1926" s="1726">
        <v>0</v>
      </c>
      <c r="E1926" s="88">
        <f t="shared" si="69"/>
        <v>338913.23</v>
      </c>
      <c r="F1926" s="88">
        <f>+SUMIF('Anlage 2b_Korrekturen'!$B$234:$B$693,'Anlage 3a_Zusammenfassung_KWKG'!A1926,'Anlage 2b_Korrekturen'!$E$234:$E$693)</f>
        <v>6582.69</v>
      </c>
      <c r="G1926" s="135">
        <f t="shared" si="70"/>
        <v>345495.92</v>
      </c>
      <c r="H1926" s="133"/>
      <c r="I1926" s="92"/>
      <c r="J1926" s="133" t="s">
        <v>792</v>
      </c>
    </row>
    <row r="1927" spans="1:10" hidden="1" outlineLevel="1">
      <c r="A1927" s="418" t="s">
        <v>793</v>
      </c>
      <c r="B1927" s="492">
        <f>+VLOOKUP(A1927,'Anlage 2a_Letztverbrauch'!$A$1084:$I$1336,9,FALSE)</f>
        <v>411277.36</v>
      </c>
      <c r="C1927" s="88">
        <f>+IF(ISNA(VLOOKUP(A1927,'Anlage 2a_Letztverbrauch'!$A$2788:$C$2795,3,0)),0,VLOOKUP(A1927,'Anlage 2a_Letztverbrauch'!$A$2788:$C$2795,3,0))</f>
        <v>0</v>
      </c>
      <c r="D1927" s="1726">
        <v>0</v>
      </c>
      <c r="E1927" s="88">
        <f t="shared" si="69"/>
        <v>411277.36</v>
      </c>
      <c r="F1927" s="88">
        <f>+SUMIF('Anlage 2b_Korrekturen'!$B$234:$B$693,'Anlage 3a_Zusammenfassung_KWKG'!A1927,'Anlage 2b_Korrekturen'!$E$234:$E$693)</f>
        <v>-1096.98</v>
      </c>
      <c r="G1927" s="135">
        <f t="shared" si="70"/>
        <v>410180.38</v>
      </c>
      <c r="H1927" s="133"/>
      <c r="I1927" s="92"/>
      <c r="J1927" s="133" t="s">
        <v>794</v>
      </c>
    </row>
    <row r="1928" spans="1:10" hidden="1" outlineLevel="1">
      <c r="A1928" s="418" t="s">
        <v>795</v>
      </c>
      <c r="B1928" s="492">
        <f>+VLOOKUP(A1928,'Anlage 2a_Letztverbrauch'!$A$1084:$I$1336,9,FALSE)</f>
        <v>1589786.73</v>
      </c>
      <c r="C1928" s="88">
        <f>+IF(ISNA(VLOOKUP(A1928,'Anlage 2a_Letztverbrauch'!$A$2788:$C$2795,3,0)),0,VLOOKUP(A1928,'Anlage 2a_Letztverbrauch'!$A$2788:$C$2795,3,0))</f>
        <v>0</v>
      </c>
      <c r="D1928" s="1726">
        <v>0</v>
      </c>
      <c r="E1928" s="88">
        <f t="shared" si="69"/>
        <v>1589786.73</v>
      </c>
      <c r="F1928" s="88">
        <f>+SUMIF('Anlage 2b_Korrekturen'!$B$234:$B$693,'Anlage 3a_Zusammenfassung_KWKG'!A1928,'Anlage 2b_Korrekturen'!$E$234:$E$693)</f>
        <v>1123.2800000000007</v>
      </c>
      <c r="G1928" s="135">
        <f t="shared" si="70"/>
        <v>1590910.01</v>
      </c>
      <c r="H1928" s="133"/>
      <c r="I1928" s="92"/>
      <c r="J1928" s="133" t="s">
        <v>796</v>
      </c>
    </row>
    <row r="1929" spans="1:10" hidden="1" outlineLevel="1">
      <c r="A1929" s="418" t="s">
        <v>797</v>
      </c>
      <c r="B1929" s="492">
        <f>+VLOOKUP(A1929,'Anlage 2a_Letztverbrauch'!$A$1084:$I$1336,9,FALSE)</f>
        <v>976554.66</v>
      </c>
      <c r="C1929" s="88">
        <f>+IF(ISNA(VLOOKUP(A1929,'Anlage 2a_Letztverbrauch'!$A$2788:$C$2795,3,0)),0,VLOOKUP(A1929,'Anlage 2a_Letztverbrauch'!$A$2788:$C$2795,3,0))</f>
        <v>0</v>
      </c>
      <c r="D1929" s="1726">
        <v>0</v>
      </c>
      <c r="E1929" s="88">
        <f t="shared" si="69"/>
        <v>976554.66</v>
      </c>
      <c r="F1929" s="88">
        <f>+SUMIF('Anlage 2b_Korrekturen'!$B$234:$B$693,'Anlage 3a_Zusammenfassung_KWKG'!A1929,'Anlage 2b_Korrekturen'!$E$234:$E$693)</f>
        <v>-5061.8600000000006</v>
      </c>
      <c r="G1929" s="135">
        <f t="shared" si="70"/>
        <v>971492.8</v>
      </c>
      <c r="H1929" s="133"/>
      <c r="I1929" s="92"/>
      <c r="J1929" s="133" t="s">
        <v>798</v>
      </c>
    </row>
    <row r="1930" spans="1:10" hidden="1" outlineLevel="1">
      <c r="A1930" s="418" t="s">
        <v>799</v>
      </c>
      <c r="B1930" s="492">
        <f>+VLOOKUP(A1930,'Anlage 2a_Letztverbrauch'!$A$1084:$I$1336,9,FALSE)</f>
        <v>140726.5</v>
      </c>
      <c r="C1930" s="88">
        <f>+IF(ISNA(VLOOKUP(A1930,'Anlage 2a_Letztverbrauch'!$A$2788:$C$2795,3,0)),0,VLOOKUP(A1930,'Anlage 2a_Letztverbrauch'!$A$2788:$C$2795,3,0))</f>
        <v>0</v>
      </c>
      <c r="D1930" s="1726">
        <v>0</v>
      </c>
      <c r="E1930" s="88">
        <f t="shared" si="69"/>
        <v>140726.5</v>
      </c>
      <c r="F1930" s="88">
        <f>+SUMIF('Anlage 2b_Korrekturen'!$B$234:$B$693,'Anlage 3a_Zusammenfassung_KWKG'!A1930,'Anlage 2b_Korrekturen'!$E$234:$E$693)</f>
        <v>-4878.75</v>
      </c>
      <c r="G1930" s="135">
        <f t="shared" si="70"/>
        <v>135847.75</v>
      </c>
      <c r="H1930" s="133"/>
      <c r="I1930" s="92"/>
      <c r="J1930" s="133" t="s">
        <v>800</v>
      </c>
    </row>
    <row r="1931" spans="1:10" hidden="1" outlineLevel="1">
      <c r="A1931" s="418" t="s">
        <v>801</v>
      </c>
      <c r="B1931" s="492">
        <f>+VLOOKUP(A1931,'Anlage 2a_Letztverbrauch'!$A$1084:$I$1336,9,FALSE)</f>
        <v>90654.7</v>
      </c>
      <c r="C1931" s="88">
        <f>+IF(ISNA(VLOOKUP(A1931,'Anlage 2a_Letztverbrauch'!$A$2788:$C$2795,3,0)),0,VLOOKUP(A1931,'Anlage 2a_Letztverbrauch'!$A$2788:$C$2795,3,0))</f>
        <v>0</v>
      </c>
      <c r="D1931" s="1726">
        <v>0</v>
      </c>
      <c r="E1931" s="88">
        <f t="shared" si="69"/>
        <v>90654.7</v>
      </c>
      <c r="F1931" s="88">
        <f>+SUMIF('Anlage 2b_Korrekturen'!$B$234:$B$693,'Anlage 3a_Zusammenfassung_KWKG'!A1931,'Anlage 2b_Korrekturen'!$E$234:$E$693)</f>
        <v>3107.18</v>
      </c>
      <c r="G1931" s="135">
        <f t="shared" si="70"/>
        <v>93761.87999999999</v>
      </c>
      <c r="H1931" s="133"/>
      <c r="I1931" s="92"/>
      <c r="J1931" s="133" t="s">
        <v>802</v>
      </c>
    </row>
    <row r="1932" spans="1:10" hidden="1" outlineLevel="1">
      <c r="A1932" s="418" t="s">
        <v>803</v>
      </c>
      <c r="B1932" s="492">
        <f>+VLOOKUP(A1932,'Anlage 2a_Letztverbrauch'!$A$1084:$I$1336,9,FALSE)</f>
        <v>3388999.56</v>
      </c>
      <c r="C1932" s="88">
        <f>+IF(ISNA(VLOOKUP(A1932,'Anlage 2a_Letztverbrauch'!$A$2788:$C$2795,3,0)),0,VLOOKUP(A1932,'Anlage 2a_Letztverbrauch'!$A$2788:$C$2795,3,0))</f>
        <v>0</v>
      </c>
      <c r="D1932" s="1726">
        <v>0</v>
      </c>
      <c r="E1932" s="88">
        <f t="shared" si="69"/>
        <v>3388999.56</v>
      </c>
      <c r="F1932" s="88">
        <f>+SUMIF('Anlage 2b_Korrekturen'!$B$234:$B$693,'Anlage 3a_Zusammenfassung_KWKG'!A1932,'Anlage 2b_Korrekturen'!$E$234:$E$693)</f>
        <v>0</v>
      </c>
      <c r="G1932" s="135">
        <f t="shared" si="70"/>
        <v>3388999.56</v>
      </c>
      <c r="H1932" s="133"/>
      <c r="I1932" s="92"/>
      <c r="J1932" s="133" t="s">
        <v>804</v>
      </c>
    </row>
    <row r="1933" spans="1:10" hidden="1" outlineLevel="1">
      <c r="A1933" s="418" t="s">
        <v>805</v>
      </c>
      <c r="B1933" s="492">
        <f>+VLOOKUP(A1933,'Anlage 2a_Letztverbrauch'!$A$1084:$I$1336,9,FALSE)</f>
        <v>339715.46</v>
      </c>
      <c r="C1933" s="88">
        <f>+IF(ISNA(VLOOKUP(A1933,'Anlage 2a_Letztverbrauch'!$A$2788:$C$2795,3,0)),0,VLOOKUP(A1933,'Anlage 2a_Letztverbrauch'!$A$2788:$C$2795,3,0))</f>
        <v>0</v>
      </c>
      <c r="D1933" s="1726">
        <v>0</v>
      </c>
      <c r="E1933" s="88">
        <f t="shared" si="69"/>
        <v>339715.46</v>
      </c>
      <c r="F1933" s="88">
        <f>+SUMIF('Anlage 2b_Korrekturen'!$B$234:$B$693,'Anlage 3a_Zusammenfassung_KWKG'!A1933,'Anlage 2b_Korrekturen'!$E$234:$E$693)</f>
        <v>-1606.93</v>
      </c>
      <c r="G1933" s="135">
        <f t="shared" si="70"/>
        <v>338108.53</v>
      </c>
      <c r="H1933" s="133"/>
      <c r="I1933" s="92"/>
      <c r="J1933" s="133" t="s">
        <v>806</v>
      </c>
    </row>
    <row r="1934" spans="1:10" hidden="1" outlineLevel="1">
      <c r="A1934" s="418" t="s">
        <v>807</v>
      </c>
      <c r="B1934" s="492">
        <f>+VLOOKUP(A1934,'Anlage 2a_Letztverbrauch'!$A$1084:$I$1336,9,FALSE)</f>
        <v>2654504.2200000002</v>
      </c>
      <c r="C1934" s="88">
        <f>+IF(ISNA(VLOOKUP(A1934,'Anlage 2a_Letztverbrauch'!$A$2788:$C$2795,3,0)),0,VLOOKUP(A1934,'Anlage 2a_Letztverbrauch'!$A$2788:$C$2795,3,0))</f>
        <v>0</v>
      </c>
      <c r="D1934" s="1726">
        <v>0</v>
      </c>
      <c r="E1934" s="88">
        <f t="shared" si="69"/>
        <v>2654504.2200000002</v>
      </c>
      <c r="F1934" s="88">
        <f>+SUMIF('Anlage 2b_Korrekturen'!$B$234:$B$693,'Anlage 3a_Zusammenfassung_KWKG'!A1934,'Anlage 2b_Korrekturen'!$E$234:$E$693)</f>
        <v>5320.71</v>
      </c>
      <c r="G1934" s="135">
        <f t="shared" si="70"/>
        <v>2659824.9300000002</v>
      </c>
      <c r="H1934" s="133"/>
      <c r="I1934" s="92"/>
      <c r="J1934" s="133" t="s">
        <v>808</v>
      </c>
    </row>
    <row r="1935" spans="1:10" hidden="1" outlineLevel="1">
      <c r="A1935" s="418" t="s">
        <v>809</v>
      </c>
      <c r="B1935" s="492">
        <f>+VLOOKUP(A1935,'Anlage 2a_Letztverbrauch'!$A$1084:$I$1336,9,FALSE)</f>
        <v>502609.18</v>
      </c>
      <c r="C1935" s="88">
        <f>+IF(ISNA(VLOOKUP(A1935,'Anlage 2a_Letztverbrauch'!$A$2788:$C$2795,3,0)),0,VLOOKUP(A1935,'Anlage 2a_Letztverbrauch'!$A$2788:$C$2795,3,0))</f>
        <v>0</v>
      </c>
      <c r="D1935" s="1726">
        <v>0</v>
      </c>
      <c r="E1935" s="88">
        <f t="shared" si="69"/>
        <v>502609.18</v>
      </c>
      <c r="F1935" s="88">
        <f>+SUMIF('Anlage 2b_Korrekturen'!$B$234:$B$693,'Anlage 3a_Zusammenfassung_KWKG'!A1935,'Anlage 2b_Korrekturen'!$E$234:$E$693)</f>
        <v>-1832.62</v>
      </c>
      <c r="G1935" s="135">
        <f t="shared" si="70"/>
        <v>500776.56</v>
      </c>
      <c r="H1935" s="133"/>
      <c r="I1935" s="92"/>
      <c r="J1935" s="133" t="s">
        <v>810</v>
      </c>
    </row>
    <row r="1936" spans="1:10" hidden="1" outlineLevel="1">
      <c r="A1936" s="418" t="s">
        <v>811</v>
      </c>
      <c r="B1936" s="492">
        <f>+VLOOKUP(A1936,'Anlage 2a_Letztverbrauch'!$A$1084:$I$1336,9,FALSE)</f>
        <v>3862880.73</v>
      </c>
      <c r="C1936" s="88">
        <f>+IF(ISNA(VLOOKUP(A1936,'Anlage 2a_Letztverbrauch'!$A$2788:$C$2795,3,0)),0,VLOOKUP(A1936,'Anlage 2a_Letztverbrauch'!$A$2788:$C$2795,3,0))</f>
        <v>0</v>
      </c>
      <c r="D1936" s="1726">
        <v>0</v>
      </c>
      <c r="E1936" s="88">
        <f t="shared" si="69"/>
        <v>3862880.73</v>
      </c>
      <c r="F1936" s="88">
        <f>+SUMIF('Anlage 2b_Korrekturen'!$B$234:$B$693,'Anlage 3a_Zusammenfassung_KWKG'!A1936,'Anlage 2b_Korrekturen'!$E$234:$E$693)</f>
        <v>-98690.6</v>
      </c>
      <c r="G1936" s="135">
        <f t="shared" si="70"/>
        <v>3764190.13</v>
      </c>
      <c r="H1936" s="133"/>
      <c r="I1936" s="92"/>
      <c r="J1936" s="133" t="s">
        <v>812</v>
      </c>
    </row>
    <row r="1937" spans="1:10" hidden="1" outlineLevel="1">
      <c r="A1937" s="418" t="s">
        <v>813</v>
      </c>
      <c r="B1937" s="492">
        <f>+VLOOKUP(A1937,'Anlage 2a_Letztverbrauch'!$A$1084:$I$1336,9,FALSE)</f>
        <v>27405.119999999999</v>
      </c>
      <c r="C1937" s="88">
        <f>+IF(ISNA(VLOOKUP(A1937,'Anlage 2a_Letztverbrauch'!$A$2788:$C$2795,3,0)),0,VLOOKUP(A1937,'Anlage 2a_Letztverbrauch'!$A$2788:$C$2795,3,0))</f>
        <v>0</v>
      </c>
      <c r="D1937" s="1726">
        <v>0</v>
      </c>
      <c r="E1937" s="88">
        <f t="shared" si="69"/>
        <v>27405.119999999999</v>
      </c>
      <c r="F1937" s="88">
        <f>+SUMIF('Anlage 2b_Korrekturen'!$B$234:$B$693,'Anlage 3a_Zusammenfassung_KWKG'!A1937,'Anlage 2b_Korrekturen'!$E$234:$E$693)</f>
        <v>-141.57</v>
      </c>
      <c r="G1937" s="135">
        <f t="shared" si="70"/>
        <v>27263.55</v>
      </c>
      <c r="H1937" s="133"/>
      <c r="I1937" s="92"/>
      <c r="J1937" s="133" t="s">
        <v>814</v>
      </c>
    </row>
    <row r="1938" spans="1:10" hidden="1" outlineLevel="1">
      <c r="A1938" s="418" t="s">
        <v>815</v>
      </c>
      <c r="B1938" s="492">
        <f>+VLOOKUP(A1938,'Anlage 2a_Letztverbrauch'!$A$1084:$I$1336,9,FALSE)</f>
        <v>620651.43000000005</v>
      </c>
      <c r="C1938" s="88">
        <f>+IF(ISNA(VLOOKUP(A1938,'Anlage 2a_Letztverbrauch'!$A$2788:$C$2795,3,0)),0,VLOOKUP(A1938,'Anlage 2a_Letztverbrauch'!$A$2788:$C$2795,3,0))</f>
        <v>0</v>
      </c>
      <c r="D1938" s="1726">
        <v>0</v>
      </c>
      <c r="E1938" s="88">
        <f t="shared" si="69"/>
        <v>620651.43000000005</v>
      </c>
      <c r="F1938" s="88">
        <f>+SUMIF('Anlage 2b_Korrekturen'!$B$234:$B$693,'Anlage 3a_Zusammenfassung_KWKG'!A1938,'Anlage 2b_Korrekturen'!$E$234:$E$693)</f>
        <v>0</v>
      </c>
      <c r="G1938" s="135">
        <f t="shared" si="70"/>
        <v>620651.43000000005</v>
      </c>
      <c r="H1938" s="133"/>
      <c r="I1938" s="92"/>
      <c r="J1938" s="133" t="s">
        <v>816</v>
      </c>
    </row>
    <row r="1939" spans="1:10" hidden="1" outlineLevel="1">
      <c r="A1939" s="418" t="s">
        <v>817</v>
      </c>
      <c r="B1939" s="492">
        <f>+VLOOKUP(A1939,'Anlage 2a_Letztverbrauch'!$A$1084:$I$1336,9,FALSE)</f>
        <v>297417.57</v>
      </c>
      <c r="C1939" s="88">
        <f>+IF(ISNA(VLOOKUP(A1939,'Anlage 2a_Letztverbrauch'!$A$2788:$C$2795,3,0)),0,VLOOKUP(A1939,'Anlage 2a_Letztverbrauch'!$A$2788:$C$2795,3,0))</f>
        <v>0</v>
      </c>
      <c r="D1939" s="1726">
        <v>0</v>
      </c>
      <c r="E1939" s="88">
        <f t="shared" si="69"/>
        <v>297417.57</v>
      </c>
      <c r="F1939" s="88">
        <f>+SUMIF('Anlage 2b_Korrekturen'!$B$234:$B$693,'Anlage 3a_Zusammenfassung_KWKG'!A1939,'Anlage 2b_Korrekturen'!$E$234:$E$693)</f>
        <v>-3.7099999999999795</v>
      </c>
      <c r="G1939" s="135">
        <f t="shared" si="70"/>
        <v>297413.86</v>
      </c>
      <c r="H1939" s="133"/>
      <c r="I1939" s="92"/>
      <c r="J1939" s="133" t="s">
        <v>818</v>
      </c>
    </row>
    <row r="1940" spans="1:10" hidden="1" outlineLevel="1">
      <c r="A1940" s="418" t="s">
        <v>819</v>
      </c>
      <c r="B1940" s="492">
        <f>+VLOOKUP(A1940,'Anlage 2a_Letztverbrauch'!$A$1084:$I$1336,9,FALSE)</f>
        <v>15067770.539999999</v>
      </c>
      <c r="C1940" s="88">
        <f>+IF(ISNA(VLOOKUP(A1940,'Anlage 2a_Letztverbrauch'!$A$2788:$C$2795,3,0)),0,VLOOKUP(A1940,'Anlage 2a_Letztverbrauch'!$A$2788:$C$2795,3,0))</f>
        <v>0</v>
      </c>
      <c r="D1940" s="1726">
        <v>0</v>
      </c>
      <c r="E1940" s="88">
        <f t="shared" ref="E1940:E2003" si="73">B1940+C1940+D1940</f>
        <v>15067770.539999999</v>
      </c>
      <c r="F1940" s="88">
        <f>+SUMIF('Anlage 2b_Korrekturen'!$B$234:$B$693,'Anlage 3a_Zusammenfassung_KWKG'!A1940,'Anlage 2b_Korrekturen'!$E$234:$E$693)</f>
        <v>196899.19</v>
      </c>
      <c r="G1940" s="135">
        <f t="shared" ref="G1940:G2003" si="74">E1940+F1940</f>
        <v>15264669.729999999</v>
      </c>
      <c r="H1940" s="133"/>
      <c r="I1940" s="92"/>
      <c r="J1940" s="133" t="s">
        <v>820</v>
      </c>
    </row>
    <row r="1941" spans="1:10" hidden="1" outlineLevel="1">
      <c r="A1941" s="418" t="s">
        <v>821</v>
      </c>
      <c r="B1941" s="492">
        <f>+VLOOKUP(A1941,'Anlage 2a_Letztverbrauch'!$A$1084:$I$1336,9,FALSE)</f>
        <v>195903.93</v>
      </c>
      <c r="C1941" s="88">
        <f>+IF(ISNA(VLOOKUP(A1941,'Anlage 2a_Letztverbrauch'!$A$2788:$C$2795,3,0)),0,VLOOKUP(A1941,'Anlage 2a_Letztverbrauch'!$A$2788:$C$2795,3,0))</f>
        <v>0</v>
      </c>
      <c r="D1941" s="1726">
        <v>0</v>
      </c>
      <c r="E1941" s="88">
        <f t="shared" si="73"/>
        <v>195903.93</v>
      </c>
      <c r="F1941" s="88">
        <f>+SUMIF('Anlage 2b_Korrekturen'!$B$234:$B$693,'Anlage 3a_Zusammenfassung_KWKG'!A1941,'Anlage 2b_Korrekturen'!$E$234:$E$693)</f>
        <v>392.5</v>
      </c>
      <c r="G1941" s="135">
        <f t="shared" si="74"/>
        <v>196296.43</v>
      </c>
      <c r="H1941" s="133"/>
      <c r="I1941" s="92"/>
      <c r="J1941" s="133" t="s">
        <v>822</v>
      </c>
    </row>
    <row r="1942" spans="1:10" hidden="1" outlineLevel="1">
      <c r="A1942" s="418" t="s">
        <v>823</v>
      </c>
      <c r="B1942" s="492">
        <f>+VLOOKUP(A1942,'Anlage 2a_Letztverbrauch'!$A$1084:$I$1336,9,FALSE)</f>
        <v>709212.97</v>
      </c>
      <c r="C1942" s="88">
        <f>+IF(ISNA(VLOOKUP(A1942,'Anlage 2a_Letztverbrauch'!$A$2788:$C$2795,3,0)),0,VLOOKUP(A1942,'Anlage 2a_Letztverbrauch'!$A$2788:$C$2795,3,0))</f>
        <v>0</v>
      </c>
      <c r="D1942" s="1726">
        <v>0</v>
      </c>
      <c r="E1942" s="88">
        <f t="shared" si="73"/>
        <v>709212.97</v>
      </c>
      <c r="F1942" s="88">
        <f>+SUMIF('Anlage 2b_Korrekturen'!$B$234:$B$693,'Anlage 3a_Zusammenfassung_KWKG'!A1942,'Anlage 2b_Korrekturen'!$E$234:$E$693)</f>
        <v>1427.63</v>
      </c>
      <c r="G1942" s="135">
        <f t="shared" si="74"/>
        <v>710640.6</v>
      </c>
      <c r="H1942" s="133"/>
      <c r="I1942" s="92"/>
      <c r="J1942" s="133" t="s">
        <v>824</v>
      </c>
    </row>
    <row r="1943" spans="1:10" hidden="1" outlineLevel="1">
      <c r="A1943" s="418" t="s">
        <v>825</v>
      </c>
      <c r="B1943" s="492">
        <f>+VLOOKUP(A1943,'Anlage 2a_Letztverbrauch'!$A$1084:$I$1336,9,FALSE)</f>
        <v>78303.97</v>
      </c>
      <c r="C1943" s="88">
        <f>+IF(ISNA(VLOOKUP(A1943,'Anlage 2a_Letztverbrauch'!$A$2788:$C$2795,3,0)),0,VLOOKUP(A1943,'Anlage 2a_Letztverbrauch'!$A$2788:$C$2795,3,0))</f>
        <v>0</v>
      </c>
      <c r="D1943" s="1726">
        <v>0</v>
      </c>
      <c r="E1943" s="88">
        <f t="shared" si="73"/>
        <v>78303.97</v>
      </c>
      <c r="F1943" s="88">
        <f>+SUMIF('Anlage 2b_Korrekturen'!$B$234:$B$693,'Anlage 3a_Zusammenfassung_KWKG'!A1943,'Anlage 2b_Korrekturen'!$E$234:$E$693)</f>
        <v>-334.11</v>
      </c>
      <c r="G1943" s="135">
        <f t="shared" si="74"/>
        <v>77969.86</v>
      </c>
      <c r="H1943" s="133"/>
      <c r="I1943" s="92"/>
      <c r="J1943" s="133" t="s">
        <v>826</v>
      </c>
    </row>
    <row r="1944" spans="1:10" hidden="1" outlineLevel="1">
      <c r="A1944" s="418" t="s">
        <v>827</v>
      </c>
      <c r="B1944" s="492">
        <f>+VLOOKUP(A1944,'Anlage 2a_Letztverbrauch'!$A$1084:$I$1336,9,FALSE)</f>
        <v>13208</v>
      </c>
      <c r="C1944" s="88">
        <f>+IF(ISNA(VLOOKUP(A1944,'Anlage 2a_Letztverbrauch'!$A$2788:$C$2795,3,0)),0,VLOOKUP(A1944,'Anlage 2a_Letztverbrauch'!$A$2788:$C$2795,3,0))</f>
        <v>0</v>
      </c>
      <c r="D1944" s="1726">
        <v>0</v>
      </c>
      <c r="E1944" s="88">
        <f t="shared" si="73"/>
        <v>13208</v>
      </c>
      <c r="F1944" s="88">
        <f>+SUMIF('Anlage 2b_Korrekturen'!$B$234:$B$693,'Anlage 3a_Zusammenfassung_KWKG'!A1944,'Anlage 2b_Korrekturen'!$E$234:$E$693)</f>
        <v>694.31999999999994</v>
      </c>
      <c r="G1944" s="135">
        <f t="shared" si="74"/>
        <v>13902.32</v>
      </c>
      <c r="H1944" s="133"/>
      <c r="I1944" s="92"/>
      <c r="J1944" s="133" t="s">
        <v>828</v>
      </c>
    </row>
    <row r="1945" spans="1:10" hidden="1" outlineLevel="1">
      <c r="A1945" s="418" t="s">
        <v>829</v>
      </c>
      <c r="B1945" s="492">
        <f>+VLOOKUP(A1945,'Anlage 2a_Letztverbrauch'!$A$1084:$I$1336,9,FALSE)</f>
        <v>804284.93</v>
      </c>
      <c r="C1945" s="88">
        <f>+IF(ISNA(VLOOKUP(A1945,'Anlage 2a_Letztverbrauch'!$A$2788:$C$2795,3,0)),0,VLOOKUP(A1945,'Anlage 2a_Letztverbrauch'!$A$2788:$C$2795,3,0))</f>
        <v>0</v>
      </c>
      <c r="D1945" s="1726">
        <v>0</v>
      </c>
      <c r="E1945" s="88">
        <f t="shared" si="73"/>
        <v>804284.93</v>
      </c>
      <c r="F1945" s="88">
        <f>+SUMIF('Anlage 2b_Korrekturen'!$B$234:$B$693,'Anlage 3a_Zusammenfassung_KWKG'!A1945,'Anlage 2b_Korrekturen'!$E$234:$E$693)</f>
        <v>-2905.8599999999997</v>
      </c>
      <c r="G1945" s="135">
        <f t="shared" si="74"/>
        <v>801379.07000000007</v>
      </c>
      <c r="H1945" s="133"/>
      <c r="I1945" s="92"/>
      <c r="J1945" s="133" t="s">
        <v>830</v>
      </c>
    </row>
    <row r="1946" spans="1:10" hidden="1" outlineLevel="1">
      <c r="A1946" s="418" t="s">
        <v>831</v>
      </c>
      <c r="B1946" s="492">
        <f>+VLOOKUP(A1946,'Anlage 2a_Letztverbrauch'!$A$1084:$I$1336,9,FALSE)</f>
        <v>82815.179999999993</v>
      </c>
      <c r="C1946" s="88">
        <f>+IF(ISNA(VLOOKUP(A1946,'Anlage 2a_Letztverbrauch'!$A$2788:$C$2795,3,0)),0,VLOOKUP(A1946,'Anlage 2a_Letztverbrauch'!$A$2788:$C$2795,3,0))</f>
        <v>0</v>
      </c>
      <c r="D1946" s="1726">
        <v>0</v>
      </c>
      <c r="E1946" s="88">
        <f t="shared" si="73"/>
        <v>82815.179999999993</v>
      </c>
      <c r="F1946" s="88">
        <f>+SUMIF('Anlage 2b_Korrekturen'!$B$234:$B$693,'Anlage 3a_Zusammenfassung_KWKG'!A1946,'Anlage 2b_Korrekturen'!$E$234:$E$693)</f>
        <v>-178.08</v>
      </c>
      <c r="G1946" s="135">
        <f t="shared" si="74"/>
        <v>82637.099999999991</v>
      </c>
      <c r="H1946" s="133"/>
      <c r="I1946" s="92"/>
      <c r="J1946" s="133" t="s">
        <v>832</v>
      </c>
    </row>
    <row r="1947" spans="1:10" hidden="1" outlineLevel="1">
      <c r="A1947" s="418" t="s">
        <v>833</v>
      </c>
      <c r="B1947" s="492">
        <f>+VLOOKUP(A1947,'Anlage 2a_Letztverbrauch'!$A$1084:$I$1336,9,FALSE)</f>
        <v>5764935.6399999997</v>
      </c>
      <c r="C1947" s="88">
        <f>+IF(ISNA(VLOOKUP(A1947,'Anlage 2a_Letztverbrauch'!$A$2788:$C$2795,3,0)),0,VLOOKUP(A1947,'Anlage 2a_Letztverbrauch'!$A$2788:$C$2795,3,0))</f>
        <v>-768506.04</v>
      </c>
      <c r="D1947" s="1726">
        <v>0</v>
      </c>
      <c r="E1947" s="88">
        <f t="shared" si="73"/>
        <v>4996429.5999999996</v>
      </c>
      <c r="F1947" s="88">
        <f>+SUMIF('Anlage 2b_Korrekturen'!$B$234:$B$693,'Anlage 3a_Zusammenfassung_KWKG'!A1947,'Anlage 2b_Korrekturen'!$E$234:$E$693)</f>
        <v>-30321.22</v>
      </c>
      <c r="G1947" s="135">
        <f t="shared" si="74"/>
        <v>4966108.38</v>
      </c>
      <c r="H1947" s="133"/>
      <c r="I1947" s="92"/>
      <c r="J1947" s="133" t="s">
        <v>834</v>
      </c>
    </row>
    <row r="1948" spans="1:10" hidden="1" outlineLevel="1">
      <c r="A1948" s="418" t="s">
        <v>835</v>
      </c>
      <c r="B1948" s="492">
        <f>+VLOOKUP(A1948,'Anlage 2a_Letztverbrauch'!$A$1084:$I$1336,9,FALSE)</f>
        <v>16365.38</v>
      </c>
      <c r="C1948" s="88">
        <f>+IF(ISNA(VLOOKUP(A1948,'Anlage 2a_Letztverbrauch'!$A$2788:$C$2795,3,0)),0,VLOOKUP(A1948,'Anlage 2a_Letztverbrauch'!$A$2788:$C$2795,3,0))</f>
        <v>0</v>
      </c>
      <c r="D1948" s="1726">
        <v>0</v>
      </c>
      <c r="E1948" s="88">
        <f t="shared" si="73"/>
        <v>16365.38</v>
      </c>
      <c r="F1948" s="88">
        <f>+SUMIF('Anlage 2b_Korrekturen'!$B$234:$B$693,'Anlage 3a_Zusammenfassung_KWKG'!A1948,'Anlage 2b_Korrekturen'!$E$234:$E$693)</f>
        <v>-17.920000000000002</v>
      </c>
      <c r="G1948" s="135">
        <f t="shared" si="74"/>
        <v>16347.46</v>
      </c>
      <c r="H1948" s="133"/>
      <c r="I1948" s="92"/>
      <c r="J1948" s="133" t="s">
        <v>836</v>
      </c>
    </row>
    <row r="1949" spans="1:10" hidden="1" outlineLevel="1">
      <c r="A1949" s="418" t="s">
        <v>837</v>
      </c>
      <c r="B1949" s="492">
        <f>+VLOOKUP(A1949,'Anlage 2a_Letztverbrauch'!$A$1084:$I$1336,9,FALSE)</f>
        <v>297430.44</v>
      </c>
      <c r="C1949" s="88">
        <f>+IF(ISNA(VLOOKUP(A1949,'Anlage 2a_Letztverbrauch'!$A$2788:$C$2795,3,0)),0,VLOOKUP(A1949,'Anlage 2a_Letztverbrauch'!$A$2788:$C$2795,3,0))</f>
        <v>0</v>
      </c>
      <c r="D1949" s="1726">
        <v>0</v>
      </c>
      <c r="E1949" s="88">
        <f t="shared" si="73"/>
        <v>297430.44</v>
      </c>
      <c r="F1949" s="88">
        <f>+SUMIF('Anlage 2b_Korrekturen'!$B$234:$B$693,'Anlage 3a_Zusammenfassung_KWKG'!A1949,'Anlage 2b_Korrekturen'!$E$234:$E$693)</f>
        <v>0</v>
      </c>
      <c r="G1949" s="135">
        <f t="shared" si="74"/>
        <v>297430.44</v>
      </c>
      <c r="H1949" s="133"/>
      <c r="I1949" s="92"/>
      <c r="J1949" s="133" t="s">
        <v>838</v>
      </c>
    </row>
    <row r="1950" spans="1:10" hidden="1" outlineLevel="1">
      <c r="A1950" s="418" t="s">
        <v>839</v>
      </c>
      <c r="B1950" s="492">
        <f>+VLOOKUP(A1950,'Anlage 2a_Letztverbrauch'!$A$1084:$I$1336,9,FALSE)</f>
        <v>61520464.190000005</v>
      </c>
      <c r="C1950" s="88">
        <f>+IF(ISNA(VLOOKUP(A1950,'Anlage 2a_Letztverbrauch'!$A$2788:$C$2795,3,0)),0,VLOOKUP(A1950,'Anlage 2a_Letztverbrauch'!$A$2788:$C$2795,3,0))</f>
        <v>-975479.65</v>
      </c>
      <c r="D1950" s="1726">
        <v>0</v>
      </c>
      <c r="E1950" s="88">
        <f t="shared" si="73"/>
        <v>60544984.540000007</v>
      </c>
      <c r="F1950" s="88">
        <f>+SUMIF('Anlage 2b_Korrekturen'!$B$234:$B$693,'Anlage 3a_Zusammenfassung_KWKG'!A1950,'Anlage 2b_Korrekturen'!$E$234:$E$693)</f>
        <v>7110.7399999999961</v>
      </c>
      <c r="G1950" s="135">
        <f t="shared" si="74"/>
        <v>60552095.280000009</v>
      </c>
      <c r="H1950" s="133"/>
      <c r="I1950" s="92"/>
      <c r="J1950" s="133" t="s">
        <v>840</v>
      </c>
    </row>
    <row r="1951" spans="1:10" hidden="1" outlineLevel="1">
      <c r="A1951" s="418" t="s">
        <v>841</v>
      </c>
      <c r="B1951" s="492">
        <f>+VLOOKUP(A1951,'Anlage 2a_Letztverbrauch'!$A$1084:$I$1336,9,FALSE)</f>
        <v>378994.17</v>
      </c>
      <c r="C1951" s="88">
        <f>+IF(ISNA(VLOOKUP(A1951,'Anlage 2a_Letztverbrauch'!$A$2788:$C$2795,3,0)),0,VLOOKUP(A1951,'Anlage 2a_Letztverbrauch'!$A$2788:$C$2795,3,0))</f>
        <v>0</v>
      </c>
      <c r="D1951" s="1726">
        <v>0</v>
      </c>
      <c r="E1951" s="88">
        <f t="shared" si="73"/>
        <v>378994.17</v>
      </c>
      <c r="F1951" s="88">
        <f>+SUMIF('Anlage 2b_Korrekturen'!$B$234:$B$693,'Anlage 3a_Zusammenfassung_KWKG'!A1951,'Anlage 2b_Korrekturen'!$E$234:$E$693)</f>
        <v>-25062.15</v>
      </c>
      <c r="G1951" s="135">
        <f t="shared" si="74"/>
        <v>353932.01999999996</v>
      </c>
      <c r="H1951" s="133"/>
      <c r="I1951" s="92"/>
      <c r="J1951" s="133" t="s">
        <v>842</v>
      </c>
    </row>
    <row r="1952" spans="1:10" hidden="1" outlineLevel="1">
      <c r="A1952" s="418" t="s">
        <v>843</v>
      </c>
      <c r="B1952" s="492">
        <f>+VLOOKUP(A1952,'Anlage 2a_Letztverbrauch'!$A$1084:$I$1336,9,FALSE)</f>
        <v>45888.5</v>
      </c>
      <c r="C1952" s="88">
        <f>+IF(ISNA(VLOOKUP(A1952,'Anlage 2a_Letztverbrauch'!$A$2788:$C$2795,3,0)),0,VLOOKUP(A1952,'Anlage 2a_Letztverbrauch'!$A$2788:$C$2795,3,0))</f>
        <v>0</v>
      </c>
      <c r="D1952" s="1726">
        <v>0</v>
      </c>
      <c r="E1952" s="88">
        <f t="shared" si="73"/>
        <v>45888.5</v>
      </c>
      <c r="F1952" s="88">
        <f>+SUMIF('Anlage 2b_Korrekturen'!$B$234:$B$693,'Anlage 3a_Zusammenfassung_KWKG'!A1952,'Anlage 2b_Korrekturen'!$E$234:$E$693)</f>
        <v>0</v>
      </c>
      <c r="G1952" s="135">
        <f t="shared" si="74"/>
        <v>45888.5</v>
      </c>
      <c r="H1952" s="133"/>
      <c r="I1952" s="92"/>
      <c r="J1952" s="133" t="s">
        <v>844</v>
      </c>
    </row>
    <row r="1953" spans="1:10" hidden="1" outlineLevel="1">
      <c r="A1953" s="418" t="s">
        <v>845</v>
      </c>
      <c r="B1953" s="492">
        <f>+VLOOKUP(A1953,'Anlage 2a_Letztverbrauch'!$A$1084:$I$1336,9,FALSE)</f>
        <v>162477.25</v>
      </c>
      <c r="C1953" s="88">
        <f>+IF(ISNA(VLOOKUP(A1953,'Anlage 2a_Letztverbrauch'!$A$2788:$C$2795,3,0)),0,VLOOKUP(A1953,'Anlage 2a_Letztverbrauch'!$A$2788:$C$2795,3,0))</f>
        <v>0</v>
      </c>
      <c r="D1953" s="1726">
        <v>0</v>
      </c>
      <c r="E1953" s="88">
        <f t="shared" si="73"/>
        <v>162477.25</v>
      </c>
      <c r="F1953" s="88">
        <f>+SUMIF('Anlage 2b_Korrekturen'!$B$234:$B$693,'Anlage 3a_Zusammenfassung_KWKG'!A1953,'Anlage 2b_Korrekturen'!$E$234:$E$693)</f>
        <v>762.56</v>
      </c>
      <c r="G1953" s="135">
        <f t="shared" si="74"/>
        <v>163239.81</v>
      </c>
      <c r="H1953" s="133"/>
      <c r="I1953" s="92"/>
      <c r="J1953" s="133" t="s">
        <v>846</v>
      </c>
    </row>
    <row r="1954" spans="1:10" hidden="1" outlineLevel="1">
      <c r="A1954" s="418" t="s">
        <v>847</v>
      </c>
      <c r="B1954" s="492">
        <f>+VLOOKUP(A1954,'Anlage 2a_Letztverbrauch'!$A$1084:$I$1336,9,FALSE)</f>
        <v>3343014.7</v>
      </c>
      <c r="C1954" s="88">
        <f>+IF(ISNA(VLOOKUP(A1954,'Anlage 2a_Letztverbrauch'!$A$2788:$C$2795,3,0)),0,VLOOKUP(A1954,'Anlage 2a_Letztverbrauch'!$A$2788:$C$2795,3,0))</f>
        <v>0</v>
      </c>
      <c r="D1954" s="1726">
        <v>0</v>
      </c>
      <c r="E1954" s="88">
        <f t="shared" si="73"/>
        <v>3343014.7</v>
      </c>
      <c r="F1954" s="88">
        <f>+SUMIF('Anlage 2b_Korrekturen'!$B$234:$B$693,'Anlage 3a_Zusammenfassung_KWKG'!A1954,'Anlage 2b_Korrekturen'!$E$234:$E$693)</f>
        <v>-3649.84</v>
      </c>
      <c r="G1954" s="135">
        <f t="shared" si="74"/>
        <v>3339364.8600000003</v>
      </c>
      <c r="H1954" s="133"/>
      <c r="I1954" s="92"/>
      <c r="J1954" s="133" t="s">
        <v>848</v>
      </c>
    </row>
    <row r="1955" spans="1:10" hidden="1" outlineLevel="1">
      <c r="A1955" s="418" t="s">
        <v>849</v>
      </c>
      <c r="B1955" s="492">
        <f>+VLOOKUP(A1955,'Anlage 2a_Letztverbrauch'!$A$1084:$I$1336,9,FALSE)</f>
        <v>500738.72</v>
      </c>
      <c r="C1955" s="88">
        <f>+IF(ISNA(VLOOKUP(A1955,'Anlage 2a_Letztverbrauch'!$A$2788:$C$2795,3,0)),0,VLOOKUP(A1955,'Anlage 2a_Letztverbrauch'!$A$2788:$C$2795,3,0))</f>
        <v>0</v>
      </c>
      <c r="D1955" s="1726">
        <v>0</v>
      </c>
      <c r="E1955" s="88">
        <f t="shared" si="73"/>
        <v>500738.72</v>
      </c>
      <c r="F1955" s="88">
        <f>+SUMIF('Anlage 2b_Korrekturen'!$B$234:$B$693,'Anlage 3a_Zusammenfassung_KWKG'!A1955,'Anlage 2b_Korrekturen'!$E$234:$E$693)</f>
        <v>-2223.66</v>
      </c>
      <c r="G1955" s="135">
        <f t="shared" si="74"/>
        <v>498515.06</v>
      </c>
      <c r="H1955" s="133"/>
      <c r="I1955" s="92"/>
      <c r="J1955" s="133" t="s">
        <v>850</v>
      </c>
    </row>
    <row r="1956" spans="1:10" hidden="1" outlineLevel="1">
      <c r="A1956" s="418" t="s">
        <v>851</v>
      </c>
      <c r="B1956" s="492">
        <f>+VLOOKUP(A1956,'Anlage 2a_Letztverbrauch'!$A$1084:$I$1336,9,FALSE)</f>
        <v>325534.39</v>
      </c>
      <c r="C1956" s="88">
        <f>+IF(ISNA(VLOOKUP(A1956,'Anlage 2a_Letztverbrauch'!$A$2788:$C$2795,3,0)),0,VLOOKUP(A1956,'Anlage 2a_Letztverbrauch'!$A$2788:$C$2795,3,0))</f>
        <v>0</v>
      </c>
      <c r="D1956" s="1726">
        <v>0</v>
      </c>
      <c r="E1956" s="88">
        <f t="shared" si="73"/>
        <v>325534.39</v>
      </c>
      <c r="F1956" s="88">
        <f>+SUMIF('Anlage 2b_Korrekturen'!$B$234:$B$693,'Anlage 3a_Zusammenfassung_KWKG'!A1956,'Anlage 2b_Korrekturen'!$E$234:$E$693)</f>
        <v>0</v>
      </c>
      <c r="G1956" s="135">
        <f t="shared" si="74"/>
        <v>325534.39</v>
      </c>
      <c r="H1956" s="133"/>
      <c r="I1956" s="92"/>
      <c r="J1956" s="133" t="s">
        <v>852</v>
      </c>
    </row>
    <row r="1957" spans="1:10" hidden="1" outlineLevel="1">
      <c r="A1957" s="418" t="s">
        <v>853</v>
      </c>
      <c r="B1957" s="492">
        <f>+VLOOKUP(A1957,'Anlage 2a_Letztverbrauch'!$A$1084:$I$1336,9,FALSE)</f>
        <v>18006277.440000005</v>
      </c>
      <c r="C1957" s="88">
        <f>+IF(ISNA(VLOOKUP(A1957,'Anlage 2a_Letztverbrauch'!$A$2788:$C$2795,3,0)),0,VLOOKUP(A1957,'Anlage 2a_Letztverbrauch'!$A$2788:$C$2795,3,0))</f>
        <v>0</v>
      </c>
      <c r="D1957" s="1726">
        <v>0</v>
      </c>
      <c r="E1957" s="88">
        <f t="shared" si="73"/>
        <v>18006277.440000005</v>
      </c>
      <c r="F1957" s="88">
        <f>+SUMIF('Anlage 2b_Korrekturen'!$B$234:$B$693,'Anlage 3a_Zusammenfassung_KWKG'!A1957,'Anlage 2b_Korrekturen'!$E$234:$E$693)</f>
        <v>-580128.05999999994</v>
      </c>
      <c r="G1957" s="135">
        <f t="shared" si="74"/>
        <v>17426149.380000006</v>
      </c>
      <c r="H1957" s="133"/>
      <c r="I1957" s="92"/>
      <c r="J1957" s="133" t="s">
        <v>854</v>
      </c>
    </row>
    <row r="1958" spans="1:10" hidden="1" outlineLevel="1">
      <c r="A1958" s="418" t="s">
        <v>855</v>
      </c>
      <c r="B1958" s="492">
        <f>+VLOOKUP(A1958,'Anlage 2a_Letztverbrauch'!$A$1084:$I$1336,9,FALSE)</f>
        <v>940514.44</v>
      </c>
      <c r="C1958" s="88">
        <f>+IF(ISNA(VLOOKUP(A1958,'Anlage 2a_Letztverbrauch'!$A$2788:$C$2795,3,0)),0,VLOOKUP(A1958,'Anlage 2a_Letztverbrauch'!$A$2788:$C$2795,3,0))</f>
        <v>0</v>
      </c>
      <c r="D1958" s="1726">
        <v>0</v>
      </c>
      <c r="E1958" s="88">
        <f t="shared" si="73"/>
        <v>940514.44</v>
      </c>
      <c r="F1958" s="88">
        <f>+SUMIF('Anlage 2b_Korrekturen'!$B$234:$B$693,'Anlage 3a_Zusammenfassung_KWKG'!A1958,'Anlage 2b_Korrekturen'!$E$234:$E$693)</f>
        <v>7246.89</v>
      </c>
      <c r="G1958" s="135">
        <f t="shared" si="74"/>
        <v>947761.33</v>
      </c>
      <c r="H1958" s="133"/>
      <c r="I1958" s="92"/>
      <c r="J1958" s="133" t="s">
        <v>856</v>
      </c>
    </row>
    <row r="1959" spans="1:10" hidden="1" outlineLevel="1">
      <c r="A1959" s="418" t="s">
        <v>857</v>
      </c>
      <c r="B1959" s="492">
        <f>+VLOOKUP(A1959,'Anlage 2a_Letztverbrauch'!$A$1084:$I$1336,9,FALSE)</f>
        <v>190088.85</v>
      </c>
      <c r="C1959" s="88">
        <f>+IF(ISNA(VLOOKUP(A1959,'Anlage 2a_Letztverbrauch'!$A$2788:$C$2795,3,0)),0,VLOOKUP(A1959,'Anlage 2a_Letztverbrauch'!$A$2788:$C$2795,3,0))</f>
        <v>0</v>
      </c>
      <c r="D1959" s="1726">
        <v>0</v>
      </c>
      <c r="E1959" s="88">
        <f t="shared" si="73"/>
        <v>190088.85</v>
      </c>
      <c r="F1959" s="88">
        <f>+SUMIF('Anlage 2b_Korrekturen'!$B$234:$B$693,'Anlage 3a_Zusammenfassung_KWKG'!A1959,'Anlage 2b_Korrekturen'!$E$234:$E$693)</f>
        <v>371.77</v>
      </c>
      <c r="G1959" s="135">
        <f t="shared" si="74"/>
        <v>190460.62</v>
      </c>
      <c r="H1959" s="133"/>
      <c r="I1959" s="92"/>
      <c r="J1959" s="133" t="s">
        <v>858</v>
      </c>
    </row>
    <row r="1960" spans="1:10" hidden="1" outlineLevel="1">
      <c r="A1960" s="418" t="s">
        <v>859</v>
      </c>
      <c r="B1960" s="492">
        <f>+VLOOKUP(A1960,'Anlage 2a_Letztverbrauch'!$A$1084:$I$1336,9,FALSE)</f>
        <v>1215910.28</v>
      </c>
      <c r="C1960" s="88">
        <f>+IF(ISNA(VLOOKUP(A1960,'Anlage 2a_Letztverbrauch'!$A$2788:$C$2795,3,0)),0,VLOOKUP(A1960,'Anlage 2a_Letztverbrauch'!$A$2788:$C$2795,3,0))</f>
        <v>0</v>
      </c>
      <c r="D1960" s="1726">
        <v>0</v>
      </c>
      <c r="E1960" s="88">
        <f t="shared" si="73"/>
        <v>1215910.28</v>
      </c>
      <c r="F1960" s="88">
        <f>+SUMIF('Anlage 2b_Korrekturen'!$B$234:$B$693,'Anlage 3a_Zusammenfassung_KWKG'!A1960,'Anlage 2b_Korrekturen'!$E$234:$E$693)</f>
        <v>2319.1799999999998</v>
      </c>
      <c r="G1960" s="135">
        <f t="shared" si="74"/>
        <v>1218229.46</v>
      </c>
      <c r="H1960" s="133"/>
      <c r="I1960" s="92"/>
      <c r="J1960" s="133" t="s">
        <v>860</v>
      </c>
    </row>
    <row r="1961" spans="1:10" hidden="1" outlineLevel="1">
      <c r="A1961" s="418" t="s">
        <v>861</v>
      </c>
      <c r="B1961" s="492">
        <f>+VLOOKUP(A1961,'Anlage 2a_Letztverbrauch'!$A$1084:$I$1336,9,FALSE)</f>
        <v>52412.83</v>
      </c>
      <c r="C1961" s="88">
        <f>+IF(ISNA(VLOOKUP(A1961,'Anlage 2a_Letztverbrauch'!$A$2788:$C$2795,3,0)),0,VLOOKUP(A1961,'Anlage 2a_Letztverbrauch'!$A$2788:$C$2795,3,0))</f>
        <v>0</v>
      </c>
      <c r="D1961" s="1726">
        <v>0</v>
      </c>
      <c r="E1961" s="88">
        <f t="shared" si="73"/>
        <v>52412.83</v>
      </c>
      <c r="F1961" s="88">
        <f>+SUMIF('Anlage 2b_Korrekturen'!$B$234:$B$693,'Anlage 3a_Zusammenfassung_KWKG'!A1961,'Anlage 2b_Korrekturen'!$E$234:$E$693)</f>
        <v>0</v>
      </c>
      <c r="G1961" s="135">
        <f t="shared" si="74"/>
        <v>52412.83</v>
      </c>
      <c r="H1961" s="133"/>
      <c r="I1961" s="92"/>
      <c r="J1961" s="133" t="s">
        <v>862</v>
      </c>
    </row>
    <row r="1962" spans="1:10" hidden="1" outlineLevel="1">
      <c r="A1962" s="418" t="s">
        <v>863</v>
      </c>
      <c r="B1962" s="492">
        <f>+VLOOKUP(A1962,'Anlage 2a_Letztverbrauch'!$A$1084:$I$1336,9,FALSE)</f>
        <v>585429.18999999994</v>
      </c>
      <c r="C1962" s="88">
        <f>+IF(ISNA(VLOOKUP(A1962,'Anlage 2a_Letztverbrauch'!$A$2788:$C$2795,3,0)),0,VLOOKUP(A1962,'Anlage 2a_Letztverbrauch'!$A$2788:$C$2795,3,0))</f>
        <v>0</v>
      </c>
      <c r="D1962" s="1726">
        <v>0</v>
      </c>
      <c r="E1962" s="88">
        <f t="shared" si="73"/>
        <v>585429.18999999994</v>
      </c>
      <c r="F1962" s="88">
        <f>+SUMIF('Anlage 2b_Korrekturen'!$B$234:$B$693,'Anlage 3a_Zusammenfassung_KWKG'!A1962,'Anlage 2b_Korrekturen'!$E$234:$E$693)</f>
        <v>0</v>
      </c>
      <c r="G1962" s="135">
        <f t="shared" si="74"/>
        <v>585429.18999999994</v>
      </c>
      <c r="H1962" s="133"/>
      <c r="I1962" s="92"/>
      <c r="J1962" s="133" t="s">
        <v>864</v>
      </c>
    </row>
    <row r="1963" spans="1:10" hidden="1" outlineLevel="1">
      <c r="A1963" s="418" t="s">
        <v>865</v>
      </c>
      <c r="B1963" s="492">
        <f>+VLOOKUP(A1963,'Anlage 2a_Letztverbrauch'!$A$1084:$I$1336,9,FALSE)</f>
        <v>2080260.56</v>
      </c>
      <c r="C1963" s="88">
        <f>+IF(ISNA(VLOOKUP(A1963,'Anlage 2a_Letztverbrauch'!$A$2788:$C$2795,3,0)),0,VLOOKUP(A1963,'Anlage 2a_Letztverbrauch'!$A$2788:$C$2795,3,0))</f>
        <v>-44663.57</v>
      </c>
      <c r="D1963" s="1726">
        <v>0</v>
      </c>
      <c r="E1963" s="88">
        <f t="shared" si="73"/>
        <v>2035596.99</v>
      </c>
      <c r="F1963" s="88">
        <f>+SUMIF('Anlage 2b_Korrekturen'!$B$234:$B$693,'Anlage 3a_Zusammenfassung_KWKG'!A1963,'Anlage 2b_Korrekturen'!$E$234:$E$693)</f>
        <v>0</v>
      </c>
      <c r="G1963" s="135">
        <f t="shared" si="74"/>
        <v>2035596.99</v>
      </c>
      <c r="H1963" s="133"/>
      <c r="I1963" s="92"/>
      <c r="J1963" s="133" t="s">
        <v>866</v>
      </c>
    </row>
    <row r="1964" spans="1:10" hidden="1" outlineLevel="1">
      <c r="A1964" s="418" t="s">
        <v>867</v>
      </c>
      <c r="B1964" s="492">
        <f>+VLOOKUP(A1964,'Anlage 2a_Letztverbrauch'!$A$1084:$I$1336,9,FALSE)</f>
        <v>466714.27</v>
      </c>
      <c r="C1964" s="88">
        <f>+IF(ISNA(VLOOKUP(A1964,'Anlage 2a_Letztverbrauch'!$A$2788:$C$2795,3,0)),0,VLOOKUP(A1964,'Anlage 2a_Letztverbrauch'!$A$2788:$C$2795,3,0))</f>
        <v>0</v>
      </c>
      <c r="D1964" s="1726">
        <v>0</v>
      </c>
      <c r="E1964" s="88">
        <f t="shared" si="73"/>
        <v>466714.27</v>
      </c>
      <c r="F1964" s="88">
        <f>+SUMIF('Anlage 2b_Korrekturen'!$B$234:$B$693,'Anlage 3a_Zusammenfassung_KWKG'!A1964,'Anlage 2b_Korrekturen'!$E$234:$E$693)</f>
        <v>187.62</v>
      </c>
      <c r="G1964" s="135">
        <f t="shared" si="74"/>
        <v>466901.89</v>
      </c>
      <c r="H1964" s="133"/>
      <c r="I1964" s="92"/>
      <c r="J1964" s="133" t="s">
        <v>868</v>
      </c>
    </row>
    <row r="1965" spans="1:10" hidden="1" outlineLevel="1">
      <c r="A1965" s="418" t="s">
        <v>869</v>
      </c>
      <c r="B1965" s="492">
        <f>+VLOOKUP(A1965,'Anlage 2a_Letztverbrauch'!$A$1084:$I$1336,9,FALSE)</f>
        <v>40545.18</v>
      </c>
      <c r="C1965" s="88">
        <f>+IF(ISNA(VLOOKUP(A1965,'Anlage 2a_Letztverbrauch'!$A$2788:$C$2795,3,0)),0,VLOOKUP(A1965,'Anlage 2a_Letztverbrauch'!$A$2788:$C$2795,3,0))</f>
        <v>0</v>
      </c>
      <c r="D1965" s="1726">
        <v>0</v>
      </c>
      <c r="E1965" s="88">
        <f t="shared" si="73"/>
        <v>40545.18</v>
      </c>
      <c r="F1965" s="88">
        <f>+SUMIF('Anlage 2b_Korrekturen'!$B$234:$B$693,'Anlage 3a_Zusammenfassung_KWKG'!A1965,'Anlage 2b_Korrekturen'!$E$234:$E$693)</f>
        <v>11.579999999999998</v>
      </c>
      <c r="G1965" s="135">
        <f t="shared" si="74"/>
        <v>40556.76</v>
      </c>
      <c r="H1965" s="133"/>
      <c r="I1965" s="92"/>
      <c r="J1965" s="133" t="s">
        <v>870</v>
      </c>
    </row>
    <row r="1966" spans="1:10" hidden="1" outlineLevel="1">
      <c r="A1966" s="418" t="s">
        <v>871</v>
      </c>
      <c r="B1966" s="492">
        <f>+VLOOKUP(A1966,'Anlage 2a_Letztverbrauch'!$A$1084:$I$1336,9,FALSE)</f>
        <v>391561.06</v>
      </c>
      <c r="C1966" s="88">
        <f>+IF(ISNA(VLOOKUP(A1966,'Anlage 2a_Letztverbrauch'!$A$2788:$C$2795,3,0)),0,VLOOKUP(A1966,'Anlage 2a_Letztverbrauch'!$A$2788:$C$2795,3,0))</f>
        <v>0</v>
      </c>
      <c r="D1966" s="1726">
        <v>0</v>
      </c>
      <c r="E1966" s="88">
        <f t="shared" si="73"/>
        <v>391561.06</v>
      </c>
      <c r="F1966" s="88">
        <f>+SUMIF('Anlage 2b_Korrekturen'!$B$234:$B$693,'Anlage 3a_Zusammenfassung_KWKG'!A1966,'Anlage 2b_Korrekturen'!$E$234:$E$693)</f>
        <v>-3117.8</v>
      </c>
      <c r="G1966" s="135">
        <f t="shared" si="74"/>
        <v>388443.26</v>
      </c>
      <c r="H1966" s="133"/>
      <c r="I1966" s="92"/>
      <c r="J1966" s="133" t="s">
        <v>872</v>
      </c>
    </row>
    <row r="1967" spans="1:10" hidden="1" outlineLevel="1">
      <c r="A1967" s="418" t="s">
        <v>873</v>
      </c>
      <c r="B1967" s="492">
        <f>+VLOOKUP(A1967,'Anlage 2a_Letztverbrauch'!$A$1084:$I$1336,9,FALSE)</f>
        <v>3381180.4699999997</v>
      </c>
      <c r="C1967" s="88">
        <f>+IF(ISNA(VLOOKUP(A1967,'Anlage 2a_Letztverbrauch'!$A$2788:$C$2795,3,0)),0,VLOOKUP(A1967,'Anlage 2a_Letztverbrauch'!$A$2788:$C$2795,3,0))</f>
        <v>0</v>
      </c>
      <c r="D1967" s="1726">
        <v>0</v>
      </c>
      <c r="E1967" s="88">
        <f t="shared" si="73"/>
        <v>3381180.4699999997</v>
      </c>
      <c r="F1967" s="88">
        <f>+SUMIF('Anlage 2b_Korrekturen'!$B$234:$B$693,'Anlage 3a_Zusammenfassung_KWKG'!A1967,'Anlage 2b_Korrekturen'!$E$234:$E$693)</f>
        <v>-73722.7</v>
      </c>
      <c r="G1967" s="135">
        <f t="shared" si="74"/>
        <v>3307457.7699999996</v>
      </c>
      <c r="H1967" s="133"/>
      <c r="I1967" s="92"/>
      <c r="J1967" s="133" t="s">
        <v>874</v>
      </c>
    </row>
    <row r="1968" spans="1:10" hidden="1" outlineLevel="1">
      <c r="A1968" s="418" t="s">
        <v>875</v>
      </c>
      <c r="B1968" s="492">
        <f>+VLOOKUP(A1968,'Anlage 2a_Letztverbrauch'!$A$1084:$I$1336,9,FALSE)</f>
        <v>296773.14</v>
      </c>
      <c r="C1968" s="88">
        <f>+IF(ISNA(VLOOKUP(A1968,'Anlage 2a_Letztverbrauch'!$A$2788:$C$2795,3,0)),0,VLOOKUP(A1968,'Anlage 2a_Letztverbrauch'!$A$2788:$C$2795,3,0))</f>
        <v>0</v>
      </c>
      <c r="D1968" s="1726">
        <v>0</v>
      </c>
      <c r="E1968" s="88">
        <f t="shared" si="73"/>
        <v>296773.14</v>
      </c>
      <c r="F1968" s="88">
        <f>+SUMIF('Anlage 2b_Korrekturen'!$B$234:$B$693,'Anlage 3a_Zusammenfassung_KWKG'!A1968,'Anlage 2b_Korrekturen'!$E$234:$E$693)</f>
        <v>4698.1399999999994</v>
      </c>
      <c r="G1968" s="135">
        <f t="shared" si="74"/>
        <v>301471.28000000003</v>
      </c>
      <c r="H1968" s="133"/>
      <c r="I1968" s="92"/>
      <c r="J1968" s="133" t="s">
        <v>876</v>
      </c>
    </row>
    <row r="1969" spans="1:10" hidden="1" outlineLevel="1">
      <c r="A1969" s="418" t="s">
        <v>877</v>
      </c>
      <c r="B1969" s="492">
        <f>+VLOOKUP(A1969,'Anlage 2a_Letztverbrauch'!$A$1084:$I$1336,9,FALSE)</f>
        <v>340403.93</v>
      </c>
      <c r="C1969" s="88">
        <f>+IF(ISNA(VLOOKUP(A1969,'Anlage 2a_Letztverbrauch'!$A$2788:$C$2795,3,0)),0,VLOOKUP(A1969,'Anlage 2a_Letztverbrauch'!$A$2788:$C$2795,3,0))</f>
        <v>0</v>
      </c>
      <c r="D1969" s="1726">
        <v>0</v>
      </c>
      <c r="E1969" s="88">
        <f t="shared" si="73"/>
        <v>340403.93</v>
      </c>
      <c r="F1969" s="88">
        <f>+SUMIF('Anlage 2b_Korrekturen'!$B$234:$B$693,'Anlage 3a_Zusammenfassung_KWKG'!A1969,'Anlage 2b_Korrekturen'!$E$234:$E$693)</f>
        <v>-313.28999999999996</v>
      </c>
      <c r="G1969" s="135">
        <f t="shared" si="74"/>
        <v>340090.64</v>
      </c>
      <c r="H1969" s="133"/>
      <c r="I1969" s="92"/>
      <c r="J1969" s="133" t="s">
        <v>878</v>
      </c>
    </row>
    <row r="1970" spans="1:10" hidden="1" outlineLevel="1">
      <c r="A1970" s="418" t="s">
        <v>879</v>
      </c>
      <c r="B1970" s="492">
        <f>+VLOOKUP(A1970,'Anlage 2a_Letztverbrauch'!$A$1084:$I$1336,9,FALSE)</f>
        <v>330443.74</v>
      </c>
      <c r="C1970" s="88">
        <f>+IF(ISNA(VLOOKUP(A1970,'Anlage 2a_Letztverbrauch'!$A$2788:$C$2795,3,0)),0,VLOOKUP(A1970,'Anlage 2a_Letztverbrauch'!$A$2788:$C$2795,3,0))</f>
        <v>0</v>
      </c>
      <c r="D1970" s="1726">
        <v>0</v>
      </c>
      <c r="E1970" s="88">
        <f t="shared" si="73"/>
        <v>330443.74</v>
      </c>
      <c r="F1970" s="88">
        <f>+SUMIF('Anlage 2b_Korrekturen'!$B$234:$B$693,'Anlage 3a_Zusammenfassung_KWKG'!A1970,'Anlage 2b_Korrekturen'!$E$234:$E$693)</f>
        <v>3437.43</v>
      </c>
      <c r="G1970" s="135">
        <f t="shared" si="74"/>
        <v>333881.17</v>
      </c>
      <c r="H1970" s="133"/>
      <c r="I1970" s="92"/>
      <c r="J1970" s="133" t="s">
        <v>880</v>
      </c>
    </row>
    <row r="1971" spans="1:10" hidden="1" outlineLevel="1">
      <c r="A1971" s="418" t="s">
        <v>881</v>
      </c>
      <c r="B1971" s="492">
        <f>+VLOOKUP(A1971,'Anlage 2a_Letztverbrauch'!$A$1084:$I$1336,9,FALSE)</f>
        <v>191.36</v>
      </c>
      <c r="C1971" s="88">
        <f>+IF(ISNA(VLOOKUP(A1971,'Anlage 2a_Letztverbrauch'!$A$2788:$C$2795,3,0)),0,VLOOKUP(A1971,'Anlage 2a_Letztverbrauch'!$A$2788:$C$2795,3,0))</f>
        <v>0</v>
      </c>
      <c r="D1971" s="1726">
        <v>0</v>
      </c>
      <c r="E1971" s="88">
        <f t="shared" si="73"/>
        <v>191.36</v>
      </c>
      <c r="F1971" s="88">
        <f>+SUMIF('Anlage 2b_Korrekturen'!$B$234:$B$693,'Anlage 3a_Zusammenfassung_KWKG'!A1971,'Anlage 2b_Korrekturen'!$E$234:$E$693)</f>
        <v>0</v>
      </c>
      <c r="G1971" s="135">
        <f t="shared" si="74"/>
        <v>191.36</v>
      </c>
      <c r="H1971" s="133"/>
      <c r="I1971" s="92"/>
      <c r="J1971" s="133" t="s">
        <v>882</v>
      </c>
    </row>
    <row r="1972" spans="1:10" hidden="1" outlineLevel="1">
      <c r="A1972" s="418" t="s">
        <v>542</v>
      </c>
      <c r="B1972" s="492">
        <f>+VLOOKUP(A1972,'Anlage 2a_Letztverbrauch'!$A$1084:$I$1336,9,FALSE)</f>
        <v>29966.94</v>
      </c>
      <c r="C1972" s="88">
        <f>+IF(ISNA(VLOOKUP(A1972,'Anlage 2a_Letztverbrauch'!$A$2788:$C$2795,3,0)),0,VLOOKUP(A1972,'Anlage 2a_Letztverbrauch'!$A$2788:$C$2795,3,0))</f>
        <v>0</v>
      </c>
      <c r="D1972" s="1726">
        <v>0</v>
      </c>
      <c r="E1972" s="88">
        <f t="shared" si="73"/>
        <v>29966.94</v>
      </c>
      <c r="F1972" s="88">
        <f>+SUMIF('Anlage 2b_Korrekturen'!$B$234:$B$693,'Anlage 3a_Zusammenfassung_KWKG'!A1972,'Anlage 2b_Korrekturen'!$E$234:$E$693)</f>
        <v>-1185.3200000000002</v>
      </c>
      <c r="G1972" s="135">
        <f t="shared" si="74"/>
        <v>28781.62</v>
      </c>
      <c r="H1972" s="133"/>
      <c r="I1972" s="92"/>
      <c r="J1972" s="133" t="s">
        <v>543</v>
      </c>
    </row>
    <row r="1973" spans="1:10" hidden="1" outlineLevel="1">
      <c r="A1973" s="418" t="s">
        <v>883</v>
      </c>
      <c r="B1973" s="492">
        <f>+VLOOKUP(A1973,'Anlage 2a_Letztverbrauch'!$A$1084:$I$1336,9,FALSE)</f>
        <v>224719.53</v>
      </c>
      <c r="C1973" s="88">
        <f>+IF(ISNA(VLOOKUP(A1973,'Anlage 2a_Letztverbrauch'!$A$2788:$C$2795,3,0)),0,VLOOKUP(A1973,'Anlage 2a_Letztverbrauch'!$A$2788:$C$2795,3,0))</f>
        <v>0</v>
      </c>
      <c r="D1973" s="1726">
        <v>0</v>
      </c>
      <c r="E1973" s="88">
        <f t="shared" si="73"/>
        <v>224719.53</v>
      </c>
      <c r="F1973" s="88">
        <f>+SUMIF('Anlage 2b_Korrekturen'!$B$234:$B$693,'Anlage 3a_Zusammenfassung_KWKG'!A1973,'Anlage 2b_Korrekturen'!$E$234:$E$693)</f>
        <v>2745.1099999999997</v>
      </c>
      <c r="G1973" s="135">
        <f t="shared" si="74"/>
        <v>227464.63999999998</v>
      </c>
      <c r="H1973" s="133"/>
      <c r="I1973" s="92"/>
      <c r="J1973" s="133" t="s">
        <v>884</v>
      </c>
    </row>
    <row r="1974" spans="1:10" hidden="1" outlineLevel="1">
      <c r="A1974" s="418" t="s">
        <v>885</v>
      </c>
      <c r="B1974" s="492">
        <f>+VLOOKUP(A1974,'Anlage 2a_Letztverbrauch'!$A$1084:$I$1336,9,FALSE)</f>
        <v>9820.74</v>
      </c>
      <c r="C1974" s="88">
        <f>+IF(ISNA(VLOOKUP(A1974,'Anlage 2a_Letztverbrauch'!$A$2788:$C$2795,3,0)),0,VLOOKUP(A1974,'Anlage 2a_Letztverbrauch'!$A$2788:$C$2795,3,0))</f>
        <v>0</v>
      </c>
      <c r="D1974" s="1726">
        <v>0</v>
      </c>
      <c r="E1974" s="88">
        <f t="shared" si="73"/>
        <v>9820.74</v>
      </c>
      <c r="F1974" s="88">
        <f>+SUMIF('Anlage 2b_Korrekturen'!$B$234:$B$693,'Anlage 3a_Zusammenfassung_KWKG'!A1974,'Anlage 2b_Korrekturen'!$E$234:$E$693)</f>
        <v>0</v>
      </c>
      <c r="G1974" s="135">
        <f t="shared" si="74"/>
        <v>9820.74</v>
      </c>
      <c r="H1974" s="133"/>
      <c r="I1974" s="92"/>
      <c r="J1974" s="133" t="s">
        <v>886</v>
      </c>
    </row>
    <row r="1975" spans="1:10" hidden="1" outlineLevel="1">
      <c r="A1975" s="418" t="s">
        <v>887</v>
      </c>
      <c r="B1975" s="492">
        <f>+VLOOKUP(A1975,'Anlage 2a_Letztverbrauch'!$A$1084:$I$1336,9,FALSE)</f>
        <v>383346.5</v>
      </c>
      <c r="C1975" s="88">
        <f>+IF(ISNA(VLOOKUP(A1975,'Anlage 2a_Letztverbrauch'!$A$2788:$C$2795,3,0)),0,VLOOKUP(A1975,'Anlage 2a_Letztverbrauch'!$A$2788:$C$2795,3,0))</f>
        <v>0</v>
      </c>
      <c r="D1975" s="1726">
        <v>0</v>
      </c>
      <c r="E1975" s="88">
        <f t="shared" si="73"/>
        <v>383346.5</v>
      </c>
      <c r="F1975" s="88">
        <f>+SUMIF('Anlage 2b_Korrekturen'!$B$234:$B$693,'Anlage 3a_Zusammenfassung_KWKG'!A1975,'Anlage 2b_Korrekturen'!$E$234:$E$693)</f>
        <v>0</v>
      </c>
      <c r="G1975" s="135">
        <f t="shared" si="74"/>
        <v>383346.5</v>
      </c>
      <c r="H1975" s="133"/>
      <c r="I1975" s="92"/>
      <c r="J1975" s="133" t="s">
        <v>888</v>
      </c>
    </row>
    <row r="1976" spans="1:10" hidden="1" outlineLevel="1">
      <c r="A1976" s="418" t="s">
        <v>889</v>
      </c>
      <c r="B1976" s="492">
        <f>+VLOOKUP(A1976,'Anlage 2a_Letztverbrauch'!$A$1084:$I$1336,9,FALSE)</f>
        <v>257520.16</v>
      </c>
      <c r="C1976" s="88">
        <f>+IF(ISNA(VLOOKUP(A1976,'Anlage 2a_Letztverbrauch'!$A$2788:$C$2795,3,0)),0,VLOOKUP(A1976,'Anlage 2a_Letztverbrauch'!$A$2788:$C$2795,3,0))</f>
        <v>0</v>
      </c>
      <c r="D1976" s="1726">
        <v>0</v>
      </c>
      <c r="E1976" s="88">
        <f t="shared" si="73"/>
        <v>257520.16</v>
      </c>
      <c r="F1976" s="88">
        <f>+SUMIF('Anlage 2b_Korrekturen'!$B$234:$B$693,'Anlage 3a_Zusammenfassung_KWKG'!A1976,'Anlage 2b_Korrekturen'!$E$234:$E$693)</f>
        <v>2273.58</v>
      </c>
      <c r="G1976" s="135">
        <f t="shared" si="74"/>
        <v>259793.74</v>
      </c>
      <c r="H1976" s="133"/>
      <c r="I1976" s="92"/>
      <c r="J1976" s="133" t="s">
        <v>890</v>
      </c>
    </row>
    <row r="1977" spans="1:10" hidden="1" outlineLevel="1">
      <c r="A1977" s="418" t="s">
        <v>891</v>
      </c>
      <c r="B1977" s="492">
        <f>+VLOOKUP(A1977,'Anlage 2a_Letztverbrauch'!$A$1084:$I$1336,9,FALSE)</f>
        <v>842622.02</v>
      </c>
      <c r="C1977" s="88">
        <f>+IF(ISNA(VLOOKUP(A1977,'Anlage 2a_Letztverbrauch'!$A$2788:$C$2795,3,0)),0,VLOOKUP(A1977,'Anlage 2a_Letztverbrauch'!$A$2788:$C$2795,3,0))</f>
        <v>0</v>
      </c>
      <c r="D1977" s="1726">
        <v>0</v>
      </c>
      <c r="E1977" s="88">
        <f t="shared" si="73"/>
        <v>842622.02</v>
      </c>
      <c r="F1977" s="88">
        <f>+SUMIF('Anlage 2b_Korrekturen'!$B$234:$B$693,'Anlage 3a_Zusammenfassung_KWKG'!A1977,'Anlage 2b_Korrekturen'!$E$234:$E$693)</f>
        <v>0</v>
      </c>
      <c r="G1977" s="135">
        <f t="shared" si="74"/>
        <v>842622.02</v>
      </c>
      <c r="H1977" s="133"/>
      <c r="I1977" s="92"/>
      <c r="J1977" s="133" t="s">
        <v>892</v>
      </c>
    </row>
    <row r="1978" spans="1:10" hidden="1" outlineLevel="1">
      <c r="A1978" s="418" t="s">
        <v>893</v>
      </c>
      <c r="B1978" s="492">
        <f>+VLOOKUP(A1978,'Anlage 2a_Letztverbrauch'!$A$1084:$I$1336,9,FALSE)</f>
        <v>53332.19</v>
      </c>
      <c r="C1978" s="88">
        <f>+IF(ISNA(VLOOKUP(A1978,'Anlage 2a_Letztverbrauch'!$A$2788:$C$2795,3,0)),0,VLOOKUP(A1978,'Anlage 2a_Letztverbrauch'!$A$2788:$C$2795,3,0))</f>
        <v>0</v>
      </c>
      <c r="D1978" s="1726">
        <v>0</v>
      </c>
      <c r="E1978" s="88">
        <f t="shared" si="73"/>
        <v>53332.19</v>
      </c>
      <c r="F1978" s="88">
        <f>+SUMIF('Anlage 2b_Korrekturen'!$B$234:$B$693,'Anlage 3a_Zusammenfassung_KWKG'!A1978,'Anlage 2b_Korrekturen'!$E$234:$E$693)</f>
        <v>0</v>
      </c>
      <c r="G1978" s="135">
        <f t="shared" si="74"/>
        <v>53332.19</v>
      </c>
      <c r="H1978" s="133"/>
      <c r="I1978" s="92"/>
      <c r="J1978" s="133" t="s">
        <v>894</v>
      </c>
    </row>
    <row r="1979" spans="1:10" hidden="1" outlineLevel="1">
      <c r="A1979" s="418" t="s">
        <v>895</v>
      </c>
      <c r="B1979" s="492">
        <f>+VLOOKUP(A1979,'Anlage 2a_Letztverbrauch'!$A$1084:$I$1336,9,FALSE)</f>
        <v>495286.92</v>
      </c>
      <c r="C1979" s="88">
        <f>+IF(ISNA(VLOOKUP(A1979,'Anlage 2a_Letztverbrauch'!$A$2788:$C$2795,3,0)),0,VLOOKUP(A1979,'Anlage 2a_Letztverbrauch'!$A$2788:$C$2795,3,0))</f>
        <v>0</v>
      </c>
      <c r="D1979" s="1726">
        <v>0</v>
      </c>
      <c r="E1979" s="88">
        <f t="shared" si="73"/>
        <v>495286.92</v>
      </c>
      <c r="F1979" s="88">
        <f>+SUMIF('Anlage 2b_Korrekturen'!$B$234:$B$693,'Anlage 3a_Zusammenfassung_KWKG'!A1979,'Anlage 2b_Korrekturen'!$E$234:$E$693)</f>
        <v>-1007.6899999999996</v>
      </c>
      <c r="G1979" s="135">
        <f t="shared" si="74"/>
        <v>494279.23</v>
      </c>
      <c r="H1979" s="133"/>
      <c r="I1979" s="92"/>
      <c r="J1979" s="133" t="s">
        <v>896</v>
      </c>
    </row>
    <row r="1980" spans="1:10" hidden="1" outlineLevel="1">
      <c r="A1980" s="418" t="s">
        <v>897</v>
      </c>
      <c r="B1980" s="492">
        <f>+VLOOKUP(A1980,'Anlage 2a_Letztverbrauch'!$A$1084:$I$1336,9,FALSE)</f>
        <v>30698.12</v>
      </c>
      <c r="C1980" s="88">
        <f>+IF(ISNA(VLOOKUP(A1980,'Anlage 2a_Letztverbrauch'!$A$2788:$C$2795,3,0)),0,VLOOKUP(A1980,'Anlage 2a_Letztverbrauch'!$A$2788:$C$2795,3,0))</f>
        <v>0</v>
      </c>
      <c r="D1980" s="1726">
        <v>0</v>
      </c>
      <c r="E1980" s="88">
        <f t="shared" si="73"/>
        <v>30698.12</v>
      </c>
      <c r="F1980" s="88">
        <f>+SUMIF('Anlage 2b_Korrekturen'!$B$234:$B$693,'Anlage 3a_Zusammenfassung_KWKG'!A1980,'Anlage 2b_Korrekturen'!$E$234:$E$693)</f>
        <v>426.26</v>
      </c>
      <c r="G1980" s="135">
        <f t="shared" si="74"/>
        <v>31124.379999999997</v>
      </c>
      <c r="H1980" s="133"/>
      <c r="I1980" s="92"/>
      <c r="J1980" s="133" t="s">
        <v>898</v>
      </c>
    </row>
    <row r="1981" spans="1:10" hidden="1" outlineLevel="1">
      <c r="A1981" s="418" t="s">
        <v>899</v>
      </c>
      <c r="B1981" s="492">
        <f>+VLOOKUP(A1981,'Anlage 2a_Letztverbrauch'!$A$1084:$I$1336,9,FALSE)</f>
        <v>929537.76</v>
      </c>
      <c r="C1981" s="88">
        <f>+IF(ISNA(VLOOKUP(A1981,'Anlage 2a_Letztverbrauch'!$A$2788:$C$2795,3,0)),0,VLOOKUP(A1981,'Anlage 2a_Letztverbrauch'!$A$2788:$C$2795,3,0))</f>
        <v>0</v>
      </c>
      <c r="D1981" s="1726">
        <v>0</v>
      </c>
      <c r="E1981" s="88">
        <f t="shared" si="73"/>
        <v>929537.76</v>
      </c>
      <c r="F1981" s="88">
        <f>+SUMIF('Anlage 2b_Korrekturen'!$B$234:$B$693,'Anlage 3a_Zusammenfassung_KWKG'!A1981,'Anlage 2b_Korrekturen'!$E$234:$E$693)</f>
        <v>0</v>
      </c>
      <c r="G1981" s="135">
        <f t="shared" si="74"/>
        <v>929537.76</v>
      </c>
      <c r="H1981" s="133"/>
      <c r="I1981" s="92"/>
      <c r="J1981" s="133" t="s">
        <v>900</v>
      </c>
    </row>
    <row r="1982" spans="1:10" hidden="1" outlineLevel="1">
      <c r="A1982" s="418" t="s">
        <v>901</v>
      </c>
      <c r="B1982" s="492">
        <f>+VLOOKUP(A1982,'Anlage 2a_Letztverbrauch'!$A$1084:$I$1336,9,FALSE)</f>
        <v>682236.29</v>
      </c>
      <c r="C1982" s="88">
        <f>+IF(ISNA(VLOOKUP(A1982,'Anlage 2a_Letztverbrauch'!$A$2788:$C$2795,3,0)),0,VLOOKUP(A1982,'Anlage 2a_Letztverbrauch'!$A$2788:$C$2795,3,0))</f>
        <v>0</v>
      </c>
      <c r="D1982" s="1726">
        <v>0</v>
      </c>
      <c r="E1982" s="88">
        <f t="shared" si="73"/>
        <v>682236.29</v>
      </c>
      <c r="F1982" s="88">
        <f>+SUMIF('Anlage 2b_Korrekturen'!$B$234:$B$693,'Anlage 3a_Zusammenfassung_KWKG'!A1982,'Anlage 2b_Korrekturen'!$E$234:$E$693)</f>
        <v>0</v>
      </c>
      <c r="G1982" s="135">
        <f t="shared" si="74"/>
        <v>682236.29</v>
      </c>
      <c r="H1982" s="133"/>
      <c r="I1982" s="92"/>
      <c r="J1982" s="133" t="s">
        <v>902</v>
      </c>
    </row>
    <row r="1983" spans="1:10" hidden="1" outlineLevel="1">
      <c r="A1983" s="418" t="s">
        <v>903</v>
      </c>
      <c r="B1983" s="492">
        <f>+VLOOKUP(A1983,'Anlage 2a_Letztverbrauch'!$A$1084:$I$1336,9,FALSE)</f>
        <v>375061.76000000001</v>
      </c>
      <c r="C1983" s="88">
        <f>+IF(ISNA(VLOOKUP(A1983,'Anlage 2a_Letztverbrauch'!$A$2788:$C$2795,3,0)),0,VLOOKUP(A1983,'Anlage 2a_Letztverbrauch'!$A$2788:$C$2795,3,0))</f>
        <v>0</v>
      </c>
      <c r="D1983" s="1726">
        <v>0</v>
      </c>
      <c r="E1983" s="88">
        <f t="shared" si="73"/>
        <v>375061.76000000001</v>
      </c>
      <c r="F1983" s="88">
        <f>+SUMIF('Anlage 2b_Korrekturen'!$B$234:$B$693,'Anlage 3a_Zusammenfassung_KWKG'!A1983,'Anlage 2b_Korrekturen'!$E$234:$E$693)</f>
        <v>3886.49</v>
      </c>
      <c r="G1983" s="135">
        <f t="shared" si="74"/>
        <v>378948.25</v>
      </c>
      <c r="H1983" s="133"/>
      <c r="I1983" s="92"/>
      <c r="J1983" s="133" t="s">
        <v>904</v>
      </c>
    </row>
    <row r="1984" spans="1:10" hidden="1" outlineLevel="1">
      <c r="A1984" s="418" t="s">
        <v>905</v>
      </c>
      <c r="B1984" s="492">
        <f>+VLOOKUP(A1984,'Anlage 2a_Letztverbrauch'!$A$1084:$I$1336,9,FALSE)</f>
        <v>84559.21</v>
      </c>
      <c r="C1984" s="88">
        <f>+IF(ISNA(VLOOKUP(A1984,'Anlage 2a_Letztverbrauch'!$A$2788:$C$2795,3,0)),0,VLOOKUP(A1984,'Anlage 2a_Letztverbrauch'!$A$2788:$C$2795,3,0))</f>
        <v>0</v>
      </c>
      <c r="D1984" s="1726">
        <v>0</v>
      </c>
      <c r="E1984" s="88">
        <f t="shared" si="73"/>
        <v>84559.21</v>
      </c>
      <c r="F1984" s="88">
        <f>+SUMIF('Anlage 2b_Korrekturen'!$B$234:$B$693,'Anlage 3a_Zusammenfassung_KWKG'!A1984,'Anlage 2b_Korrekturen'!$E$234:$E$693)</f>
        <v>0</v>
      </c>
      <c r="G1984" s="135">
        <f t="shared" si="74"/>
        <v>84559.21</v>
      </c>
      <c r="H1984" s="133"/>
      <c r="I1984" s="92"/>
      <c r="J1984" s="133" t="s">
        <v>906</v>
      </c>
    </row>
    <row r="1985" spans="1:10" hidden="1" outlineLevel="1">
      <c r="A1985" s="418" t="s">
        <v>907</v>
      </c>
      <c r="B1985" s="492">
        <f>+VLOOKUP(A1985,'Anlage 2a_Letztverbrauch'!$A$1084:$I$1336,9,FALSE)</f>
        <v>362156.31</v>
      </c>
      <c r="C1985" s="88">
        <f>+IF(ISNA(VLOOKUP(A1985,'Anlage 2a_Letztverbrauch'!$A$2788:$C$2795,3,0)),0,VLOOKUP(A1985,'Anlage 2a_Letztverbrauch'!$A$2788:$C$2795,3,0))</f>
        <v>0</v>
      </c>
      <c r="D1985" s="1726">
        <v>0</v>
      </c>
      <c r="E1985" s="88">
        <f t="shared" si="73"/>
        <v>362156.31</v>
      </c>
      <c r="F1985" s="88">
        <f>+SUMIF('Anlage 2b_Korrekturen'!$B$234:$B$693,'Anlage 3a_Zusammenfassung_KWKG'!A1985,'Anlage 2b_Korrekturen'!$E$234:$E$693)</f>
        <v>-10048.49</v>
      </c>
      <c r="G1985" s="135">
        <f t="shared" si="74"/>
        <v>352107.82</v>
      </c>
      <c r="H1985" s="133"/>
      <c r="I1985" s="92"/>
      <c r="J1985" s="133" t="s">
        <v>908</v>
      </c>
    </row>
    <row r="1986" spans="1:10" hidden="1" outlineLevel="1">
      <c r="A1986" s="418" t="s">
        <v>909</v>
      </c>
      <c r="B1986" s="492">
        <f>+VLOOKUP(A1986,'Anlage 2a_Letztverbrauch'!$A$1084:$I$1336,9,FALSE)</f>
        <v>7056881.8800000008</v>
      </c>
      <c r="C1986" s="88">
        <f>+IF(ISNA(VLOOKUP(A1986,'Anlage 2a_Letztverbrauch'!$A$2788:$C$2795,3,0)),0,VLOOKUP(A1986,'Anlage 2a_Letztverbrauch'!$A$2788:$C$2795,3,0))</f>
        <v>0</v>
      </c>
      <c r="D1986" s="1726">
        <v>0</v>
      </c>
      <c r="E1986" s="88">
        <f t="shared" si="73"/>
        <v>7056881.8800000008</v>
      </c>
      <c r="F1986" s="88">
        <f>+SUMIF('Anlage 2b_Korrekturen'!$B$234:$B$693,'Anlage 3a_Zusammenfassung_KWKG'!A1986,'Anlage 2b_Korrekturen'!$E$234:$E$693)</f>
        <v>10020.590000000002</v>
      </c>
      <c r="G1986" s="135">
        <f t="shared" si="74"/>
        <v>7066902.4700000007</v>
      </c>
      <c r="H1986" s="133"/>
      <c r="I1986" s="92"/>
      <c r="J1986" s="133" t="s">
        <v>910</v>
      </c>
    </row>
    <row r="1987" spans="1:10" hidden="1" outlineLevel="1">
      <c r="A1987" s="418" t="s">
        <v>911</v>
      </c>
      <c r="B1987" s="492">
        <f>+VLOOKUP(A1987,'Anlage 2a_Letztverbrauch'!$A$1084:$I$1336,9,FALSE)</f>
        <v>785232.26</v>
      </c>
      <c r="C1987" s="88">
        <f>+IF(ISNA(VLOOKUP(A1987,'Anlage 2a_Letztverbrauch'!$A$2788:$C$2795,3,0)),0,VLOOKUP(A1987,'Anlage 2a_Letztverbrauch'!$A$2788:$C$2795,3,0))</f>
        <v>0</v>
      </c>
      <c r="D1987" s="1726">
        <v>0</v>
      </c>
      <c r="E1987" s="88">
        <f t="shared" si="73"/>
        <v>785232.26</v>
      </c>
      <c r="F1987" s="88">
        <f>+SUMIF('Anlage 2b_Korrekturen'!$B$234:$B$693,'Anlage 3a_Zusammenfassung_KWKG'!A1987,'Anlage 2b_Korrekturen'!$E$234:$E$693)</f>
        <v>0</v>
      </c>
      <c r="G1987" s="135">
        <f t="shared" si="74"/>
        <v>785232.26</v>
      </c>
      <c r="H1987" s="133"/>
      <c r="I1987" s="92"/>
      <c r="J1987" s="133" t="s">
        <v>912</v>
      </c>
    </row>
    <row r="1988" spans="1:10" hidden="1" outlineLevel="1">
      <c r="A1988" s="418" t="s">
        <v>913</v>
      </c>
      <c r="B1988" s="492">
        <f>+VLOOKUP(A1988,'Anlage 2a_Letztverbrauch'!$A$1084:$I$1336,9,FALSE)</f>
        <v>232062.1</v>
      </c>
      <c r="C1988" s="88">
        <f>+IF(ISNA(VLOOKUP(A1988,'Anlage 2a_Letztverbrauch'!$A$2788:$C$2795,3,0)),0,VLOOKUP(A1988,'Anlage 2a_Letztverbrauch'!$A$2788:$C$2795,3,0))</f>
        <v>0</v>
      </c>
      <c r="D1988" s="1726">
        <v>0</v>
      </c>
      <c r="E1988" s="88">
        <f t="shared" si="73"/>
        <v>232062.1</v>
      </c>
      <c r="F1988" s="88">
        <f>+SUMIF('Anlage 2b_Korrekturen'!$B$234:$B$693,'Anlage 3a_Zusammenfassung_KWKG'!A1988,'Anlage 2b_Korrekturen'!$E$234:$E$693)</f>
        <v>-418.56</v>
      </c>
      <c r="G1988" s="135">
        <f t="shared" si="74"/>
        <v>231643.54</v>
      </c>
      <c r="H1988" s="133"/>
      <c r="I1988" s="92"/>
      <c r="J1988" s="133" t="s">
        <v>914</v>
      </c>
    </row>
    <row r="1989" spans="1:10" hidden="1" outlineLevel="1">
      <c r="A1989" s="418" t="s">
        <v>915</v>
      </c>
      <c r="B1989" s="492">
        <f>+VLOOKUP(A1989,'Anlage 2a_Letztverbrauch'!$A$1084:$I$1336,9,FALSE)</f>
        <v>433512.82</v>
      </c>
      <c r="C1989" s="88">
        <f>+IF(ISNA(VLOOKUP(A1989,'Anlage 2a_Letztverbrauch'!$A$2788:$C$2795,3,0)),0,VLOOKUP(A1989,'Anlage 2a_Letztverbrauch'!$A$2788:$C$2795,3,0))</f>
        <v>0</v>
      </c>
      <c r="D1989" s="1726">
        <v>0</v>
      </c>
      <c r="E1989" s="88">
        <f t="shared" si="73"/>
        <v>433512.82</v>
      </c>
      <c r="F1989" s="88">
        <f>+SUMIF('Anlage 2b_Korrekturen'!$B$234:$B$693,'Anlage 3a_Zusammenfassung_KWKG'!A1989,'Anlage 2b_Korrekturen'!$E$234:$E$693)</f>
        <v>17632.11</v>
      </c>
      <c r="G1989" s="135">
        <f t="shared" si="74"/>
        <v>451144.93</v>
      </c>
      <c r="H1989" s="133"/>
      <c r="I1989" s="92"/>
      <c r="J1989" s="133" t="s">
        <v>916</v>
      </c>
    </row>
    <row r="1990" spans="1:10" hidden="1" outlineLevel="1">
      <c r="A1990" s="418" t="s">
        <v>917</v>
      </c>
      <c r="B1990" s="492">
        <f>+VLOOKUP(A1990,'Anlage 2a_Letztverbrauch'!$A$1084:$I$1336,9,FALSE)</f>
        <v>208013.75</v>
      </c>
      <c r="C1990" s="88">
        <f>+IF(ISNA(VLOOKUP(A1990,'Anlage 2a_Letztverbrauch'!$A$2788:$C$2795,3,0)),0,VLOOKUP(A1990,'Anlage 2a_Letztverbrauch'!$A$2788:$C$2795,3,0))</f>
        <v>0</v>
      </c>
      <c r="D1990" s="1726">
        <v>0</v>
      </c>
      <c r="E1990" s="88">
        <f t="shared" si="73"/>
        <v>208013.75</v>
      </c>
      <c r="F1990" s="88">
        <f>+SUMIF('Anlage 2b_Korrekturen'!$B$234:$B$693,'Anlage 3a_Zusammenfassung_KWKG'!A1990,'Anlage 2b_Korrekturen'!$E$234:$E$693)</f>
        <v>-135.57</v>
      </c>
      <c r="G1990" s="135">
        <f t="shared" si="74"/>
        <v>207878.18</v>
      </c>
      <c r="H1990" s="133"/>
      <c r="I1990" s="92"/>
      <c r="J1990" s="133" t="s">
        <v>918</v>
      </c>
    </row>
    <row r="1991" spans="1:10" hidden="1" outlineLevel="1">
      <c r="A1991" s="418" t="s">
        <v>919</v>
      </c>
      <c r="B1991" s="492">
        <f>+VLOOKUP(A1991,'Anlage 2a_Letztverbrauch'!$A$1084:$I$1336,9,FALSE)</f>
        <v>1253967.73</v>
      </c>
      <c r="C1991" s="88">
        <f>+IF(ISNA(VLOOKUP(A1991,'Anlage 2a_Letztverbrauch'!$A$2788:$C$2795,3,0)),0,VLOOKUP(A1991,'Anlage 2a_Letztverbrauch'!$A$2788:$C$2795,3,0))</f>
        <v>0</v>
      </c>
      <c r="D1991" s="1726">
        <v>0</v>
      </c>
      <c r="E1991" s="88">
        <f t="shared" si="73"/>
        <v>1253967.73</v>
      </c>
      <c r="F1991" s="88">
        <f>+SUMIF('Anlage 2b_Korrekturen'!$B$234:$B$693,'Anlage 3a_Zusammenfassung_KWKG'!A1991,'Anlage 2b_Korrekturen'!$E$234:$E$693)</f>
        <v>-3498.7799999999997</v>
      </c>
      <c r="G1991" s="135">
        <f t="shared" si="74"/>
        <v>1250468.95</v>
      </c>
      <c r="H1991" s="133"/>
      <c r="I1991" s="92"/>
      <c r="J1991" s="133" t="s">
        <v>920</v>
      </c>
    </row>
    <row r="1992" spans="1:10" hidden="1" outlineLevel="1">
      <c r="A1992" s="418" t="s">
        <v>921</v>
      </c>
      <c r="B1992" s="492">
        <f>+VLOOKUP(A1992,'Anlage 2a_Letztverbrauch'!$A$1084:$I$1336,9,FALSE)</f>
        <v>937436.03</v>
      </c>
      <c r="C1992" s="88">
        <f>+IF(ISNA(VLOOKUP(A1992,'Anlage 2a_Letztverbrauch'!$A$2788:$C$2795,3,0)),0,VLOOKUP(A1992,'Anlage 2a_Letztverbrauch'!$A$2788:$C$2795,3,0))</f>
        <v>0</v>
      </c>
      <c r="D1992" s="1726">
        <v>0</v>
      </c>
      <c r="E1992" s="88">
        <f t="shared" si="73"/>
        <v>937436.03</v>
      </c>
      <c r="F1992" s="88">
        <f>+SUMIF('Anlage 2b_Korrekturen'!$B$234:$B$693,'Anlage 3a_Zusammenfassung_KWKG'!A1992,'Anlage 2b_Korrekturen'!$E$234:$E$693)</f>
        <v>12700.01</v>
      </c>
      <c r="G1992" s="135">
        <f t="shared" si="74"/>
        <v>950136.04</v>
      </c>
      <c r="H1992" s="133"/>
      <c r="I1992" s="92"/>
      <c r="J1992" s="133" t="s">
        <v>922</v>
      </c>
    </row>
    <row r="1993" spans="1:10" hidden="1" outlineLevel="1">
      <c r="A1993" s="418" t="s">
        <v>923</v>
      </c>
      <c r="B1993" s="492">
        <f>+VLOOKUP(A1993,'Anlage 2a_Letztverbrauch'!$A$1084:$I$1336,9,FALSE)</f>
        <v>464595.26</v>
      </c>
      <c r="C1993" s="88">
        <f>+IF(ISNA(VLOOKUP(A1993,'Anlage 2a_Letztverbrauch'!$A$2788:$C$2795,3,0)),0,VLOOKUP(A1993,'Anlage 2a_Letztverbrauch'!$A$2788:$C$2795,3,0))</f>
        <v>0</v>
      </c>
      <c r="D1993" s="1726">
        <v>0</v>
      </c>
      <c r="E1993" s="88">
        <f t="shared" si="73"/>
        <v>464595.26</v>
      </c>
      <c r="F1993" s="88">
        <f>+SUMIF('Anlage 2b_Korrekturen'!$B$234:$B$693,'Anlage 3a_Zusammenfassung_KWKG'!A1993,'Anlage 2b_Korrekturen'!$E$234:$E$693)</f>
        <v>2090.92</v>
      </c>
      <c r="G1993" s="135">
        <f t="shared" si="74"/>
        <v>466686.18</v>
      </c>
      <c r="H1993" s="133"/>
      <c r="I1993" s="92"/>
      <c r="J1993" s="133" t="s">
        <v>924</v>
      </c>
    </row>
    <row r="1994" spans="1:10" hidden="1" outlineLevel="1">
      <c r="A1994" s="418" t="s">
        <v>925</v>
      </c>
      <c r="B1994" s="492">
        <f>+VLOOKUP(A1994,'Anlage 2a_Letztverbrauch'!$A$1084:$I$1336,9,FALSE)</f>
        <v>39599.230000000003</v>
      </c>
      <c r="C1994" s="88">
        <f>+IF(ISNA(VLOOKUP(A1994,'Anlage 2a_Letztverbrauch'!$A$2788:$C$2795,3,0)),0,VLOOKUP(A1994,'Anlage 2a_Letztverbrauch'!$A$2788:$C$2795,3,0))</f>
        <v>0</v>
      </c>
      <c r="D1994" s="1726">
        <v>0</v>
      </c>
      <c r="E1994" s="88">
        <f t="shared" si="73"/>
        <v>39599.230000000003</v>
      </c>
      <c r="F1994" s="88">
        <f>+SUMIF('Anlage 2b_Korrekturen'!$B$234:$B$693,'Anlage 3a_Zusammenfassung_KWKG'!A1994,'Anlage 2b_Korrekturen'!$E$234:$E$693)</f>
        <v>0</v>
      </c>
      <c r="G1994" s="135">
        <f t="shared" si="74"/>
        <v>39599.230000000003</v>
      </c>
      <c r="H1994" s="133"/>
      <c r="I1994" s="92"/>
      <c r="J1994" s="133" t="s">
        <v>926</v>
      </c>
    </row>
    <row r="1995" spans="1:10" hidden="1" outlineLevel="1">
      <c r="A1995" s="418" t="s">
        <v>927</v>
      </c>
      <c r="B1995" s="492">
        <f>+VLOOKUP(A1995,'Anlage 2a_Letztverbrauch'!$A$1084:$I$1336,9,FALSE)</f>
        <v>29243.78</v>
      </c>
      <c r="C1995" s="88">
        <f>+IF(ISNA(VLOOKUP(A1995,'Anlage 2a_Letztverbrauch'!$A$2788:$C$2795,3,0)),0,VLOOKUP(A1995,'Anlage 2a_Letztverbrauch'!$A$2788:$C$2795,3,0))</f>
        <v>0</v>
      </c>
      <c r="D1995" s="1726">
        <v>0</v>
      </c>
      <c r="E1995" s="88">
        <f t="shared" si="73"/>
        <v>29243.78</v>
      </c>
      <c r="F1995" s="88">
        <f>+SUMIF('Anlage 2b_Korrekturen'!$B$234:$B$693,'Anlage 3a_Zusammenfassung_KWKG'!A1995,'Anlage 2b_Korrekturen'!$E$234:$E$693)</f>
        <v>-294.04000000000002</v>
      </c>
      <c r="G1995" s="135">
        <f t="shared" si="74"/>
        <v>28949.739999999998</v>
      </c>
      <c r="H1995" s="133"/>
      <c r="I1995" s="92"/>
      <c r="J1995" s="133" t="s">
        <v>928</v>
      </c>
    </row>
    <row r="1996" spans="1:10" hidden="1" outlineLevel="1">
      <c r="A1996" s="418" t="s">
        <v>929</v>
      </c>
      <c r="B1996" s="492">
        <f>+VLOOKUP(A1996,'Anlage 2a_Letztverbrauch'!$A$1084:$I$1336,9,FALSE)</f>
        <v>206984.06</v>
      </c>
      <c r="C1996" s="88">
        <f>+IF(ISNA(VLOOKUP(A1996,'Anlage 2a_Letztverbrauch'!$A$2788:$C$2795,3,0)),0,VLOOKUP(A1996,'Anlage 2a_Letztverbrauch'!$A$2788:$C$2795,3,0))</f>
        <v>0</v>
      </c>
      <c r="D1996" s="1726">
        <v>0</v>
      </c>
      <c r="E1996" s="88">
        <f t="shared" si="73"/>
        <v>206984.06</v>
      </c>
      <c r="F1996" s="88">
        <f>+SUMIF('Anlage 2b_Korrekturen'!$B$234:$B$693,'Anlage 3a_Zusammenfassung_KWKG'!A1996,'Anlage 2b_Korrekturen'!$E$234:$E$693)</f>
        <v>-79.31</v>
      </c>
      <c r="G1996" s="135">
        <f t="shared" si="74"/>
        <v>206904.75</v>
      </c>
      <c r="H1996" s="133"/>
      <c r="I1996" s="92"/>
      <c r="J1996" s="133" t="s">
        <v>930</v>
      </c>
    </row>
    <row r="1997" spans="1:10" hidden="1" outlineLevel="1">
      <c r="A1997" s="418" t="s">
        <v>931</v>
      </c>
      <c r="B1997" s="492">
        <f>+VLOOKUP(A1997,'Anlage 2a_Letztverbrauch'!$A$1084:$I$1336,9,FALSE)</f>
        <v>280568.55</v>
      </c>
      <c r="C1997" s="88">
        <f>+IF(ISNA(VLOOKUP(A1997,'Anlage 2a_Letztverbrauch'!$A$2788:$C$2795,3,0)),0,VLOOKUP(A1997,'Anlage 2a_Letztverbrauch'!$A$2788:$C$2795,3,0))</f>
        <v>-52829.29</v>
      </c>
      <c r="D1997" s="1726">
        <v>0</v>
      </c>
      <c r="E1997" s="88">
        <f t="shared" si="73"/>
        <v>227739.25999999998</v>
      </c>
      <c r="F1997" s="88">
        <f>+SUMIF('Anlage 2b_Korrekturen'!$B$234:$B$693,'Anlage 3a_Zusammenfassung_KWKG'!A1997,'Anlage 2b_Korrekturen'!$E$234:$E$693)</f>
        <v>0</v>
      </c>
      <c r="G1997" s="135">
        <f t="shared" si="74"/>
        <v>227739.25999999998</v>
      </c>
      <c r="H1997" s="133"/>
      <c r="I1997" s="92"/>
      <c r="J1997" s="133" t="s">
        <v>932</v>
      </c>
    </row>
    <row r="1998" spans="1:10" hidden="1" outlineLevel="1">
      <c r="A1998" s="418" t="s">
        <v>933</v>
      </c>
      <c r="B1998" s="492">
        <f>+VLOOKUP(A1998,'Anlage 2a_Letztverbrauch'!$A$1084:$I$1336,9,FALSE)</f>
        <v>6437707.1499999994</v>
      </c>
      <c r="C1998" s="88">
        <f>+IF(ISNA(VLOOKUP(A1998,'Anlage 2a_Letztverbrauch'!$A$2788:$C$2795,3,0)),0,VLOOKUP(A1998,'Anlage 2a_Letztverbrauch'!$A$2788:$C$2795,3,0))</f>
        <v>0</v>
      </c>
      <c r="D1998" s="1726">
        <v>0</v>
      </c>
      <c r="E1998" s="88">
        <f t="shared" si="73"/>
        <v>6437707.1499999994</v>
      </c>
      <c r="F1998" s="88">
        <f>+SUMIF('Anlage 2b_Korrekturen'!$B$234:$B$693,'Anlage 3a_Zusammenfassung_KWKG'!A1998,'Anlage 2b_Korrekturen'!$E$234:$E$693)</f>
        <v>-78013.23</v>
      </c>
      <c r="G1998" s="135">
        <f t="shared" si="74"/>
        <v>6359693.919999999</v>
      </c>
      <c r="H1998" s="133"/>
      <c r="I1998" s="92"/>
      <c r="J1998" s="133" t="s">
        <v>934</v>
      </c>
    </row>
    <row r="1999" spans="1:10" hidden="1" outlineLevel="1">
      <c r="A1999" s="418" t="s">
        <v>935</v>
      </c>
      <c r="B1999" s="492">
        <f>+VLOOKUP(A1999,'Anlage 2a_Letztverbrauch'!$A$1084:$I$1336,9,FALSE)</f>
        <v>128692.53</v>
      </c>
      <c r="C1999" s="88">
        <f>+IF(ISNA(VLOOKUP(A1999,'Anlage 2a_Letztverbrauch'!$A$2788:$C$2795,3,0)),0,VLOOKUP(A1999,'Anlage 2a_Letztverbrauch'!$A$2788:$C$2795,3,0))</f>
        <v>0</v>
      </c>
      <c r="D1999" s="1726">
        <v>0</v>
      </c>
      <c r="E1999" s="88">
        <f t="shared" si="73"/>
        <v>128692.53</v>
      </c>
      <c r="F1999" s="88">
        <f>+SUMIF('Anlage 2b_Korrekturen'!$B$234:$B$693,'Anlage 3a_Zusammenfassung_KWKG'!A1999,'Anlage 2b_Korrekturen'!$E$234:$E$693)</f>
        <v>0</v>
      </c>
      <c r="G1999" s="135">
        <f t="shared" si="74"/>
        <v>128692.53</v>
      </c>
      <c r="H1999" s="133"/>
      <c r="I1999" s="92"/>
      <c r="J1999" s="133" t="s">
        <v>936</v>
      </c>
    </row>
    <row r="2000" spans="1:10" hidden="1" outlineLevel="1">
      <c r="A2000" s="418" t="s">
        <v>937</v>
      </c>
      <c r="B2000" s="492">
        <f>+VLOOKUP(A2000,'Anlage 2a_Letztverbrauch'!$A$1084:$I$1336,9,FALSE)</f>
        <v>111080.97</v>
      </c>
      <c r="C2000" s="88">
        <f>+IF(ISNA(VLOOKUP(A2000,'Anlage 2a_Letztverbrauch'!$A$2788:$C$2795,3,0)),0,VLOOKUP(A2000,'Anlage 2a_Letztverbrauch'!$A$2788:$C$2795,3,0))</f>
        <v>0</v>
      </c>
      <c r="D2000" s="1726">
        <v>0</v>
      </c>
      <c r="E2000" s="88">
        <f t="shared" si="73"/>
        <v>111080.97</v>
      </c>
      <c r="F2000" s="88">
        <f>+SUMIF('Anlage 2b_Korrekturen'!$B$234:$B$693,'Anlage 3a_Zusammenfassung_KWKG'!A2000,'Anlage 2b_Korrekturen'!$E$234:$E$693)</f>
        <v>-45729.87</v>
      </c>
      <c r="G2000" s="135">
        <f t="shared" si="74"/>
        <v>65351.1</v>
      </c>
      <c r="H2000" s="133"/>
      <c r="I2000" s="92"/>
      <c r="J2000" s="133" t="s">
        <v>938</v>
      </c>
    </row>
    <row r="2001" spans="1:10" hidden="1" outlineLevel="1">
      <c r="A2001" s="418" t="s">
        <v>939</v>
      </c>
      <c r="B2001" s="492">
        <f>+VLOOKUP(A2001,'Anlage 2a_Letztverbrauch'!$A$1084:$I$1336,9,FALSE)</f>
        <v>703238.23</v>
      </c>
      <c r="C2001" s="88">
        <f>+IF(ISNA(VLOOKUP(A2001,'Anlage 2a_Letztverbrauch'!$A$2788:$C$2795,3,0)),0,VLOOKUP(A2001,'Anlage 2a_Letztverbrauch'!$A$2788:$C$2795,3,0))</f>
        <v>-10241.24</v>
      </c>
      <c r="D2001" s="1726">
        <v>0</v>
      </c>
      <c r="E2001" s="88">
        <f t="shared" si="73"/>
        <v>692996.99</v>
      </c>
      <c r="F2001" s="88">
        <f>+SUMIF('Anlage 2b_Korrekturen'!$B$234:$B$693,'Anlage 3a_Zusammenfassung_KWKG'!A2001,'Anlage 2b_Korrekturen'!$E$234:$E$693)</f>
        <v>10179.450000000001</v>
      </c>
      <c r="G2001" s="135">
        <f t="shared" si="74"/>
        <v>703176.44</v>
      </c>
      <c r="H2001" s="133"/>
      <c r="I2001" s="92"/>
      <c r="J2001" s="133" t="s">
        <v>940</v>
      </c>
    </row>
    <row r="2002" spans="1:10" hidden="1" outlineLevel="1">
      <c r="A2002" s="418" t="s">
        <v>941</v>
      </c>
      <c r="B2002" s="492">
        <f>+VLOOKUP(A2002,'Anlage 2a_Letztverbrauch'!$A$1084:$I$1336,9,FALSE)</f>
        <v>286235.74</v>
      </c>
      <c r="C2002" s="88">
        <f>+IF(ISNA(VLOOKUP(A2002,'Anlage 2a_Letztverbrauch'!$A$2788:$C$2795,3,0)),0,VLOOKUP(A2002,'Anlage 2a_Letztverbrauch'!$A$2788:$C$2795,3,0))</f>
        <v>0</v>
      </c>
      <c r="D2002" s="1726">
        <v>0</v>
      </c>
      <c r="E2002" s="88">
        <f t="shared" si="73"/>
        <v>286235.74</v>
      </c>
      <c r="F2002" s="88">
        <f>+SUMIF('Anlage 2b_Korrekturen'!$B$234:$B$693,'Anlage 3a_Zusammenfassung_KWKG'!A2002,'Anlage 2b_Korrekturen'!$E$234:$E$693)</f>
        <v>3817.28</v>
      </c>
      <c r="G2002" s="135">
        <f t="shared" si="74"/>
        <v>290053.02</v>
      </c>
      <c r="H2002" s="133"/>
      <c r="I2002" s="92"/>
      <c r="J2002" s="133" t="s">
        <v>942</v>
      </c>
    </row>
    <row r="2003" spans="1:10" hidden="1" outlineLevel="1">
      <c r="A2003" s="418" t="s">
        <v>943</v>
      </c>
      <c r="B2003" s="492">
        <f>+VLOOKUP(A2003,'Anlage 2a_Letztverbrauch'!$A$1084:$I$1336,9,FALSE)</f>
        <v>1474624.97</v>
      </c>
      <c r="C2003" s="88">
        <f>+IF(ISNA(VLOOKUP(A2003,'Anlage 2a_Letztverbrauch'!$A$2788:$C$2795,3,0)),0,VLOOKUP(A2003,'Anlage 2a_Letztverbrauch'!$A$2788:$C$2795,3,0))</f>
        <v>0</v>
      </c>
      <c r="D2003" s="1726">
        <v>0</v>
      </c>
      <c r="E2003" s="88">
        <f t="shared" si="73"/>
        <v>1474624.97</v>
      </c>
      <c r="F2003" s="88">
        <f>+SUMIF('Anlage 2b_Korrekturen'!$B$234:$B$693,'Anlage 3a_Zusammenfassung_KWKG'!A2003,'Anlage 2b_Korrekturen'!$E$234:$E$693)</f>
        <v>-3506.0699999999993</v>
      </c>
      <c r="G2003" s="135">
        <f t="shared" si="74"/>
        <v>1471118.9</v>
      </c>
      <c r="H2003" s="133"/>
      <c r="I2003" s="92"/>
      <c r="J2003" s="133" t="s">
        <v>944</v>
      </c>
    </row>
    <row r="2004" spans="1:10" hidden="1" outlineLevel="1">
      <c r="A2004" s="418" t="s">
        <v>945</v>
      </c>
      <c r="B2004" s="492">
        <f>+VLOOKUP(A2004,'Anlage 2a_Letztverbrauch'!$A$1084:$I$1336,9,FALSE)</f>
        <v>383352.47</v>
      </c>
      <c r="C2004" s="88">
        <f>+IF(ISNA(VLOOKUP(A2004,'Anlage 2a_Letztverbrauch'!$A$2788:$C$2795,3,0)),0,VLOOKUP(A2004,'Anlage 2a_Letztverbrauch'!$A$2788:$C$2795,3,0))</f>
        <v>0</v>
      </c>
      <c r="D2004" s="1726">
        <v>0</v>
      </c>
      <c r="E2004" s="88">
        <f t="shared" ref="E2004:E2067" si="75">B2004+C2004+D2004</f>
        <v>383352.47</v>
      </c>
      <c r="F2004" s="88">
        <f>+SUMIF('Anlage 2b_Korrekturen'!$B$234:$B$693,'Anlage 3a_Zusammenfassung_KWKG'!A2004,'Anlage 2b_Korrekturen'!$E$234:$E$693)</f>
        <v>4127.84</v>
      </c>
      <c r="G2004" s="135">
        <f t="shared" ref="G2004:G2067" si="76">E2004+F2004</f>
        <v>387480.31</v>
      </c>
      <c r="H2004" s="133"/>
      <c r="I2004" s="92"/>
      <c r="J2004" s="133" t="s">
        <v>946</v>
      </c>
    </row>
    <row r="2005" spans="1:10" hidden="1" outlineLevel="1">
      <c r="A2005" s="418" t="s">
        <v>947</v>
      </c>
      <c r="B2005" s="492">
        <f>+VLOOKUP(A2005,'Anlage 2a_Letztverbrauch'!$A$1084:$I$1336,9,FALSE)</f>
        <v>84608.19</v>
      </c>
      <c r="C2005" s="88">
        <f>+IF(ISNA(VLOOKUP(A2005,'Anlage 2a_Letztverbrauch'!$A$2788:$C$2795,3,0)),0,VLOOKUP(A2005,'Anlage 2a_Letztverbrauch'!$A$2788:$C$2795,3,0))</f>
        <v>0</v>
      </c>
      <c r="D2005" s="1726">
        <v>0</v>
      </c>
      <c r="E2005" s="88">
        <f t="shared" si="75"/>
        <v>84608.19</v>
      </c>
      <c r="F2005" s="88">
        <f>+SUMIF('Anlage 2b_Korrekturen'!$B$234:$B$693,'Anlage 3a_Zusammenfassung_KWKG'!A2005,'Anlage 2b_Korrekturen'!$E$234:$E$693)</f>
        <v>-1786.61</v>
      </c>
      <c r="G2005" s="135">
        <f t="shared" si="76"/>
        <v>82821.58</v>
      </c>
      <c r="H2005" s="133"/>
      <c r="I2005" s="92"/>
      <c r="J2005" s="133" t="s">
        <v>948</v>
      </c>
    </row>
    <row r="2006" spans="1:10" hidden="1" outlineLevel="1">
      <c r="A2006" s="418" t="s">
        <v>949</v>
      </c>
      <c r="B2006" s="492">
        <f>+VLOOKUP(A2006,'Anlage 2a_Letztverbrauch'!$A$1084:$I$1336,9,FALSE)</f>
        <v>319874.48</v>
      </c>
      <c r="C2006" s="88">
        <f>+IF(ISNA(VLOOKUP(A2006,'Anlage 2a_Letztverbrauch'!$A$2788:$C$2795,3,0)),0,VLOOKUP(A2006,'Anlage 2a_Letztverbrauch'!$A$2788:$C$2795,3,0))</f>
        <v>0</v>
      </c>
      <c r="D2006" s="1726">
        <v>0</v>
      </c>
      <c r="E2006" s="88">
        <f t="shared" si="75"/>
        <v>319874.48</v>
      </c>
      <c r="F2006" s="88">
        <f>+SUMIF('Anlage 2b_Korrekturen'!$B$234:$B$693,'Anlage 3a_Zusammenfassung_KWKG'!A2006,'Anlage 2b_Korrekturen'!$E$234:$E$693)</f>
        <v>12222.03</v>
      </c>
      <c r="G2006" s="135">
        <f t="shared" si="76"/>
        <v>332096.51</v>
      </c>
      <c r="H2006" s="133"/>
      <c r="I2006" s="92"/>
      <c r="J2006" s="133" t="s">
        <v>950</v>
      </c>
    </row>
    <row r="2007" spans="1:10" hidden="1" outlineLevel="1">
      <c r="A2007" s="418" t="s">
        <v>951</v>
      </c>
      <c r="B2007" s="492">
        <f>+VLOOKUP(A2007,'Anlage 2a_Letztverbrauch'!$A$1084:$I$1336,9,FALSE)</f>
        <v>5748.41</v>
      </c>
      <c r="C2007" s="88">
        <f>+IF(ISNA(VLOOKUP(A2007,'Anlage 2a_Letztverbrauch'!$A$2788:$C$2795,3,0)),0,VLOOKUP(A2007,'Anlage 2a_Letztverbrauch'!$A$2788:$C$2795,3,0))</f>
        <v>0</v>
      </c>
      <c r="D2007" s="1726">
        <v>0</v>
      </c>
      <c r="E2007" s="88">
        <f t="shared" si="75"/>
        <v>5748.41</v>
      </c>
      <c r="F2007" s="88">
        <f>+SUMIF('Anlage 2b_Korrekturen'!$B$234:$B$693,'Anlage 3a_Zusammenfassung_KWKG'!A2007,'Anlage 2b_Korrekturen'!$E$234:$E$693)</f>
        <v>0</v>
      </c>
      <c r="G2007" s="135">
        <f t="shared" si="76"/>
        <v>5748.41</v>
      </c>
      <c r="H2007" s="133"/>
      <c r="I2007" s="92"/>
      <c r="J2007" s="133" t="s">
        <v>952</v>
      </c>
    </row>
    <row r="2008" spans="1:10" hidden="1" outlineLevel="1">
      <c r="A2008" s="418" t="s">
        <v>951</v>
      </c>
      <c r="B2008" s="1648">
        <v>105152.63</v>
      </c>
      <c r="C2008" s="88">
        <f>+IF(ISNA(VLOOKUP(A2008,'Anlage 2a_Letztverbrauch'!$A$2788:$C$2795,3,0)),0,VLOOKUP(A2008,'Anlage 2a_Letztverbrauch'!$A$2788:$C$2795,3,0))</f>
        <v>0</v>
      </c>
      <c r="D2008" s="1726">
        <v>0</v>
      </c>
      <c r="E2008" s="88">
        <f t="shared" si="75"/>
        <v>105152.63</v>
      </c>
      <c r="F2008" s="88">
        <f>+SUMIF('Anlage 2b_Korrekturen'!$B$234:$B$693,'Anlage 3a_Zusammenfassung_KWKG'!A2008,'Anlage 2b_Korrekturen'!$E$234:$E$693)</f>
        <v>0</v>
      </c>
      <c r="G2008" s="135">
        <f t="shared" si="76"/>
        <v>105152.63</v>
      </c>
      <c r="H2008" s="133"/>
      <c r="I2008" s="92"/>
      <c r="J2008" s="133" t="s">
        <v>952</v>
      </c>
    </row>
    <row r="2009" spans="1:10" hidden="1" outlineLevel="1">
      <c r="A2009" s="418" t="s">
        <v>953</v>
      </c>
      <c r="B2009" s="492">
        <f>+VLOOKUP(A2009,'Anlage 2a_Letztverbrauch'!$A$1084:$I$1336,9,FALSE)</f>
        <v>190172.33</v>
      </c>
      <c r="C2009" s="88">
        <f>+IF(ISNA(VLOOKUP(A2009,'Anlage 2a_Letztverbrauch'!$A$2788:$C$2795,3,0)),0,VLOOKUP(A2009,'Anlage 2a_Letztverbrauch'!$A$2788:$C$2795,3,0))</f>
        <v>0</v>
      </c>
      <c r="D2009" s="1726">
        <v>0</v>
      </c>
      <c r="E2009" s="88">
        <f t="shared" si="75"/>
        <v>190172.33</v>
      </c>
      <c r="F2009" s="88">
        <f>+SUMIF('Anlage 2b_Korrekturen'!$B$234:$B$693,'Anlage 3a_Zusammenfassung_KWKG'!A2009,'Anlage 2b_Korrekturen'!$E$234:$E$693)</f>
        <v>-106.33000000000004</v>
      </c>
      <c r="G2009" s="135">
        <f t="shared" si="76"/>
        <v>190066</v>
      </c>
      <c r="H2009" s="133"/>
      <c r="I2009" s="92"/>
      <c r="J2009" s="133" t="s">
        <v>954</v>
      </c>
    </row>
    <row r="2010" spans="1:10" hidden="1" outlineLevel="1">
      <c r="A2010" s="418" t="s">
        <v>955</v>
      </c>
      <c r="B2010" s="492">
        <f>+VLOOKUP(A2010,'Anlage 2a_Letztverbrauch'!$A$1084:$I$1336,9,FALSE)</f>
        <v>395660.93</v>
      </c>
      <c r="C2010" s="88">
        <f>+IF(ISNA(VLOOKUP(A2010,'Anlage 2a_Letztverbrauch'!$A$2788:$C$2795,3,0)),0,VLOOKUP(A2010,'Anlage 2a_Letztverbrauch'!$A$2788:$C$2795,3,0))</f>
        <v>0</v>
      </c>
      <c r="D2010" s="1726">
        <v>0</v>
      </c>
      <c r="E2010" s="88">
        <f t="shared" si="75"/>
        <v>395660.93</v>
      </c>
      <c r="F2010" s="88">
        <f>+SUMIF('Anlage 2b_Korrekturen'!$B$234:$B$693,'Anlage 3a_Zusammenfassung_KWKG'!A2010,'Anlage 2b_Korrekturen'!$E$234:$E$693)</f>
        <v>232.76999999999998</v>
      </c>
      <c r="G2010" s="135">
        <f t="shared" si="76"/>
        <v>395893.7</v>
      </c>
      <c r="H2010" s="133"/>
      <c r="I2010" s="92"/>
      <c r="J2010" s="133" t="s">
        <v>956</v>
      </c>
    </row>
    <row r="2011" spans="1:10" hidden="1" outlineLevel="1">
      <c r="A2011" s="418" t="s">
        <v>957</v>
      </c>
      <c r="B2011" s="492">
        <f>+VLOOKUP(A2011,'Anlage 2a_Letztverbrauch'!$A$1084:$I$1336,9,FALSE)</f>
        <v>1680699.67</v>
      </c>
      <c r="C2011" s="88">
        <f>+IF(ISNA(VLOOKUP(A2011,'Anlage 2a_Letztverbrauch'!$A$2788:$C$2795,3,0)),0,VLOOKUP(A2011,'Anlage 2a_Letztverbrauch'!$A$2788:$C$2795,3,0))</f>
        <v>0</v>
      </c>
      <c r="D2011" s="1726">
        <v>0</v>
      </c>
      <c r="E2011" s="88">
        <f t="shared" si="75"/>
        <v>1680699.67</v>
      </c>
      <c r="F2011" s="88">
        <f>+SUMIF('Anlage 2b_Korrekturen'!$B$234:$B$693,'Anlage 3a_Zusammenfassung_KWKG'!A2011,'Anlage 2b_Korrekturen'!$E$234:$E$693)</f>
        <v>-3596.24</v>
      </c>
      <c r="G2011" s="135">
        <f t="shared" si="76"/>
        <v>1677103.43</v>
      </c>
      <c r="H2011" s="133"/>
      <c r="I2011" s="92"/>
      <c r="J2011" s="133" t="s">
        <v>958</v>
      </c>
    </row>
    <row r="2012" spans="1:10" hidden="1" outlineLevel="1">
      <c r="A2012" s="418" t="s">
        <v>959</v>
      </c>
      <c r="B2012" s="492">
        <f>+VLOOKUP(A2012,'Anlage 2a_Letztverbrauch'!$A$1084:$I$1336,9,FALSE)</f>
        <v>736951.6</v>
      </c>
      <c r="C2012" s="88">
        <f>+IF(ISNA(VLOOKUP(A2012,'Anlage 2a_Letztverbrauch'!$A$2788:$C$2795,3,0)),0,VLOOKUP(A2012,'Anlage 2a_Letztverbrauch'!$A$2788:$C$2795,3,0))</f>
        <v>0</v>
      </c>
      <c r="D2012" s="1726">
        <v>0</v>
      </c>
      <c r="E2012" s="88">
        <f t="shared" si="75"/>
        <v>736951.6</v>
      </c>
      <c r="F2012" s="88">
        <f>+SUMIF('Anlage 2b_Korrekturen'!$B$234:$B$693,'Anlage 3a_Zusammenfassung_KWKG'!A2012,'Anlage 2b_Korrekturen'!$E$234:$E$693)</f>
        <v>31.68</v>
      </c>
      <c r="G2012" s="135">
        <f t="shared" si="76"/>
        <v>736983.28</v>
      </c>
      <c r="H2012" s="133"/>
      <c r="I2012" s="92"/>
      <c r="J2012" s="133" t="s">
        <v>960</v>
      </c>
    </row>
    <row r="2013" spans="1:10" hidden="1" outlineLevel="1">
      <c r="A2013" s="418" t="s">
        <v>961</v>
      </c>
      <c r="B2013" s="492">
        <f>+VLOOKUP(A2013,'Anlage 2a_Letztverbrauch'!$A$1084:$I$1336,9,FALSE)</f>
        <v>762492.94</v>
      </c>
      <c r="C2013" s="88">
        <f>+IF(ISNA(VLOOKUP(A2013,'Anlage 2a_Letztverbrauch'!$A$2788:$C$2795,3,0)),0,VLOOKUP(A2013,'Anlage 2a_Letztverbrauch'!$A$2788:$C$2795,3,0))</f>
        <v>0</v>
      </c>
      <c r="D2013" s="1726">
        <v>0</v>
      </c>
      <c r="E2013" s="88">
        <f t="shared" si="75"/>
        <v>762492.94</v>
      </c>
      <c r="F2013" s="88">
        <f>+SUMIF('Anlage 2b_Korrekturen'!$B$234:$B$693,'Anlage 3a_Zusammenfassung_KWKG'!A2013,'Anlage 2b_Korrekturen'!$E$234:$E$693)</f>
        <v>0</v>
      </c>
      <c r="G2013" s="135">
        <f t="shared" si="76"/>
        <v>762492.94</v>
      </c>
      <c r="H2013" s="133"/>
      <c r="I2013" s="92"/>
      <c r="J2013" s="133" t="s">
        <v>962</v>
      </c>
    </row>
    <row r="2014" spans="1:10" hidden="1" outlineLevel="1">
      <c r="A2014" s="418" t="s">
        <v>963</v>
      </c>
      <c r="B2014" s="492">
        <f>+VLOOKUP(A2014,'Anlage 2a_Letztverbrauch'!$A$1084:$I$1336,9,FALSE)</f>
        <v>454257.86</v>
      </c>
      <c r="C2014" s="88">
        <f>+IF(ISNA(VLOOKUP(A2014,'Anlage 2a_Letztverbrauch'!$A$2788:$C$2795,3,0)),0,VLOOKUP(A2014,'Anlage 2a_Letztverbrauch'!$A$2788:$C$2795,3,0))</f>
        <v>0</v>
      </c>
      <c r="D2014" s="1726">
        <v>0</v>
      </c>
      <c r="E2014" s="88">
        <f t="shared" si="75"/>
        <v>454257.86</v>
      </c>
      <c r="F2014" s="88">
        <f>+SUMIF('Anlage 2b_Korrekturen'!$B$234:$B$693,'Anlage 3a_Zusammenfassung_KWKG'!A2014,'Anlage 2b_Korrekturen'!$E$234:$E$693)</f>
        <v>3674.4300000000003</v>
      </c>
      <c r="G2014" s="135">
        <f t="shared" si="76"/>
        <v>457932.29</v>
      </c>
      <c r="H2014" s="133"/>
      <c r="I2014" s="92"/>
      <c r="J2014" s="133" t="s">
        <v>964</v>
      </c>
    </row>
    <row r="2015" spans="1:10" hidden="1" outlineLevel="1">
      <c r="A2015" s="418" t="s">
        <v>965</v>
      </c>
      <c r="B2015" s="492">
        <f>+VLOOKUP(A2015,'Anlage 2a_Letztverbrauch'!$A$1084:$I$1336,9,FALSE)</f>
        <v>268159.63</v>
      </c>
      <c r="C2015" s="88">
        <f>+IF(ISNA(VLOOKUP(A2015,'Anlage 2a_Letztverbrauch'!$A$2788:$C$2795,3,0)),0,VLOOKUP(A2015,'Anlage 2a_Letztverbrauch'!$A$2788:$C$2795,3,0))</f>
        <v>0</v>
      </c>
      <c r="D2015" s="1726">
        <v>0</v>
      </c>
      <c r="E2015" s="88">
        <f t="shared" si="75"/>
        <v>268159.63</v>
      </c>
      <c r="F2015" s="88">
        <f>+SUMIF('Anlage 2b_Korrekturen'!$B$234:$B$693,'Anlage 3a_Zusammenfassung_KWKG'!A2015,'Anlage 2b_Korrekturen'!$E$234:$E$693)</f>
        <v>3922.62</v>
      </c>
      <c r="G2015" s="135">
        <f t="shared" si="76"/>
        <v>272082.25</v>
      </c>
      <c r="H2015" s="133"/>
      <c r="I2015" s="92"/>
      <c r="J2015" s="133" t="s">
        <v>966</v>
      </c>
    </row>
    <row r="2016" spans="1:10" hidden="1" outlineLevel="1">
      <c r="A2016" s="418" t="s">
        <v>967</v>
      </c>
      <c r="B2016" s="492">
        <f>+VLOOKUP(A2016,'Anlage 2a_Letztverbrauch'!$A$1084:$I$1336,9,FALSE)</f>
        <v>42251.31</v>
      </c>
      <c r="C2016" s="88">
        <f>+IF(ISNA(VLOOKUP(A2016,'Anlage 2a_Letztverbrauch'!$A$2788:$C$2795,3,0)),0,VLOOKUP(A2016,'Anlage 2a_Letztverbrauch'!$A$2788:$C$2795,3,0))</f>
        <v>0</v>
      </c>
      <c r="D2016" s="1726">
        <v>0</v>
      </c>
      <c r="E2016" s="88">
        <f t="shared" si="75"/>
        <v>42251.31</v>
      </c>
      <c r="F2016" s="88">
        <f>+SUMIF('Anlage 2b_Korrekturen'!$B$234:$B$693,'Anlage 3a_Zusammenfassung_KWKG'!A2016,'Anlage 2b_Korrekturen'!$E$234:$E$693)</f>
        <v>0</v>
      </c>
      <c r="G2016" s="135">
        <f t="shared" si="76"/>
        <v>42251.31</v>
      </c>
      <c r="H2016" s="133"/>
      <c r="I2016" s="92"/>
      <c r="J2016" s="133" t="s">
        <v>968</v>
      </c>
    </row>
    <row r="2017" spans="1:10" hidden="1" outlineLevel="1">
      <c r="A2017" s="418" t="s">
        <v>969</v>
      </c>
      <c r="B2017" s="492">
        <f>+VLOOKUP(A2017,'Anlage 2a_Letztverbrauch'!$A$1084:$I$1336,9,FALSE)</f>
        <v>329469.82</v>
      </c>
      <c r="C2017" s="88">
        <f>+IF(ISNA(VLOOKUP(A2017,'Anlage 2a_Letztverbrauch'!$A$2788:$C$2795,3,0)),0,VLOOKUP(A2017,'Anlage 2a_Letztverbrauch'!$A$2788:$C$2795,3,0))</f>
        <v>0</v>
      </c>
      <c r="D2017" s="1726">
        <v>0</v>
      </c>
      <c r="E2017" s="88">
        <f t="shared" si="75"/>
        <v>329469.82</v>
      </c>
      <c r="F2017" s="88">
        <f>+SUMIF('Anlage 2b_Korrekturen'!$B$234:$B$693,'Anlage 3a_Zusammenfassung_KWKG'!A2017,'Anlage 2b_Korrekturen'!$E$234:$E$693)</f>
        <v>108.25999999999999</v>
      </c>
      <c r="G2017" s="135">
        <f t="shared" si="76"/>
        <v>329578.08</v>
      </c>
      <c r="H2017" s="133"/>
      <c r="I2017" s="92"/>
      <c r="J2017" s="133" t="s">
        <v>970</v>
      </c>
    </row>
    <row r="2018" spans="1:10" hidden="1" outlineLevel="1">
      <c r="A2018" s="418" t="s">
        <v>971</v>
      </c>
      <c r="B2018" s="492">
        <f>+VLOOKUP(A2018,'Anlage 2a_Letztverbrauch'!$A$1084:$I$1336,9,FALSE)</f>
        <v>747424.51</v>
      </c>
      <c r="C2018" s="88">
        <f>+IF(ISNA(VLOOKUP(A2018,'Anlage 2a_Letztverbrauch'!$A$2788:$C$2795,3,0)),0,VLOOKUP(A2018,'Anlage 2a_Letztverbrauch'!$A$2788:$C$2795,3,0))</f>
        <v>0</v>
      </c>
      <c r="D2018" s="1726">
        <v>0</v>
      </c>
      <c r="E2018" s="88">
        <f t="shared" si="75"/>
        <v>747424.51</v>
      </c>
      <c r="F2018" s="88">
        <f>+SUMIF('Anlage 2b_Korrekturen'!$B$234:$B$693,'Anlage 3a_Zusammenfassung_KWKG'!A2018,'Anlage 2b_Korrekturen'!$E$234:$E$693)</f>
        <v>0</v>
      </c>
      <c r="G2018" s="135">
        <f t="shared" si="76"/>
        <v>747424.51</v>
      </c>
      <c r="H2018" s="133"/>
      <c r="I2018" s="92"/>
      <c r="J2018" s="133" t="s">
        <v>972</v>
      </c>
    </row>
    <row r="2019" spans="1:10" hidden="1" outlineLevel="1">
      <c r="A2019" s="418" t="s">
        <v>973</v>
      </c>
      <c r="B2019" s="492">
        <f>+VLOOKUP(A2019,'Anlage 2a_Letztverbrauch'!$A$1084:$I$1336,9,FALSE)</f>
        <v>47186.43</v>
      </c>
      <c r="C2019" s="88">
        <f>+IF(ISNA(VLOOKUP(A2019,'Anlage 2a_Letztverbrauch'!$A$2788:$C$2795,3,0)),0,VLOOKUP(A2019,'Anlage 2a_Letztverbrauch'!$A$2788:$C$2795,3,0))</f>
        <v>0</v>
      </c>
      <c r="D2019" s="1726">
        <v>0</v>
      </c>
      <c r="E2019" s="88">
        <f t="shared" si="75"/>
        <v>47186.43</v>
      </c>
      <c r="F2019" s="88">
        <f>+SUMIF('Anlage 2b_Korrekturen'!$B$234:$B$693,'Anlage 3a_Zusammenfassung_KWKG'!A2019,'Anlage 2b_Korrekturen'!$E$234:$E$693)</f>
        <v>-259.49</v>
      </c>
      <c r="G2019" s="135">
        <f t="shared" si="76"/>
        <v>46926.94</v>
      </c>
      <c r="H2019" s="133"/>
      <c r="I2019" s="92"/>
      <c r="J2019" s="133" t="s">
        <v>974</v>
      </c>
    </row>
    <row r="2020" spans="1:10" hidden="1" outlineLevel="1">
      <c r="A2020" s="418" t="s">
        <v>975</v>
      </c>
      <c r="B2020" s="492">
        <f>+VLOOKUP(A2020,'Anlage 2a_Letztverbrauch'!$A$1084:$I$1336,9,FALSE)</f>
        <v>468817.23</v>
      </c>
      <c r="C2020" s="88">
        <f>+IF(ISNA(VLOOKUP(A2020,'Anlage 2a_Letztverbrauch'!$A$2788:$C$2795,3,0)),0,VLOOKUP(A2020,'Anlage 2a_Letztverbrauch'!$A$2788:$C$2795,3,0))</f>
        <v>0</v>
      </c>
      <c r="D2020" s="1726">
        <v>0</v>
      </c>
      <c r="E2020" s="88">
        <f t="shared" si="75"/>
        <v>468817.23</v>
      </c>
      <c r="F2020" s="88">
        <f>+SUMIF('Anlage 2b_Korrekturen'!$B$234:$B$693,'Anlage 3a_Zusammenfassung_KWKG'!A2020,'Anlage 2b_Korrekturen'!$E$234:$E$693)</f>
        <v>3553.7200000000003</v>
      </c>
      <c r="G2020" s="135">
        <f t="shared" si="76"/>
        <v>472370.94999999995</v>
      </c>
      <c r="H2020" s="133"/>
      <c r="I2020" s="92"/>
      <c r="J2020" s="133" t="s">
        <v>976</v>
      </c>
    </row>
    <row r="2021" spans="1:10" hidden="1" outlineLevel="1">
      <c r="A2021" s="418" t="s">
        <v>977</v>
      </c>
      <c r="B2021" s="492">
        <f>+VLOOKUP(A2021,'Anlage 2a_Letztverbrauch'!$A$1084:$I$1336,9,FALSE)</f>
        <v>16371.54</v>
      </c>
      <c r="C2021" s="88">
        <f>+IF(ISNA(VLOOKUP(A2021,'Anlage 2a_Letztverbrauch'!$A$2788:$C$2795,3,0)),0,VLOOKUP(A2021,'Anlage 2a_Letztverbrauch'!$A$2788:$C$2795,3,0))</f>
        <v>0</v>
      </c>
      <c r="D2021" s="1726">
        <v>0</v>
      </c>
      <c r="E2021" s="88">
        <f t="shared" si="75"/>
        <v>16371.54</v>
      </c>
      <c r="F2021" s="88">
        <f>+SUMIF('Anlage 2b_Korrekturen'!$B$234:$B$693,'Anlage 3a_Zusammenfassung_KWKG'!A2021,'Anlage 2b_Korrekturen'!$E$234:$E$693)</f>
        <v>-3.01</v>
      </c>
      <c r="G2021" s="135">
        <f t="shared" si="76"/>
        <v>16368.53</v>
      </c>
      <c r="H2021" s="133"/>
      <c r="I2021" s="92"/>
      <c r="J2021" s="133" t="s">
        <v>978</v>
      </c>
    </row>
    <row r="2022" spans="1:10" hidden="1" outlineLevel="1">
      <c r="A2022" s="418" t="s">
        <v>979</v>
      </c>
      <c r="B2022" s="492">
        <f>+VLOOKUP(A2022,'Anlage 2a_Letztverbrauch'!$A$1084:$I$1336,9,FALSE)</f>
        <v>254950.07</v>
      </c>
      <c r="C2022" s="88">
        <f>+IF(ISNA(VLOOKUP(A2022,'Anlage 2a_Letztverbrauch'!$A$2788:$C$2795,3,0)),0,VLOOKUP(A2022,'Anlage 2a_Letztverbrauch'!$A$2788:$C$2795,3,0))</f>
        <v>0</v>
      </c>
      <c r="D2022" s="1726">
        <v>0</v>
      </c>
      <c r="E2022" s="88">
        <f t="shared" si="75"/>
        <v>254950.07</v>
      </c>
      <c r="F2022" s="88">
        <f>+SUMIF('Anlage 2b_Korrekturen'!$B$234:$B$693,'Anlage 3a_Zusammenfassung_KWKG'!A2022,'Anlage 2b_Korrekturen'!$E$234:$E$693)</f>
        <v>25.07</v>
      </c>
      <c r="G2022" s="135">
        <f t="shared" si="76"/>
        <v>254975.14</v>
      </c>
      <c r="H2022" s="133"/>
      <c r="I2022" s="92"/>
      <c r="J2022" s="133" t="s">
        <v>980</v>
      </c>
    </row>
    <row r="2023" spans="1:10" hidden="1" outlineLevel="1">
      <c r="A2023" s="418" t="s">
        <v>981</v>
      </c>
      <c r="B2023" s="492">
        <f>+VLOOKUP(A2023,'Anlage 2a_Letztverbrauch'!$A$1084:$I$1336,9,FALSE)</f>
        <v>164980.17000000001</v>
      </c>
      <c r="C2023" s="88">
        <f>+IF(ISNA(VLOOKUP(A2023,'Anlage 2a_Letztverbrauch'!$A$2788:$C$2795,3,0)),0,VLOOKUP(A2023,'Anlage 2a_Letztverbrauch'!$A$2788:$C$2795,3,0))</f>
        <v>0</v>
      </c>
      <c r="D2023" s="1726">
        <v>0</v>
      </c>
      <c r="E2023" s="88">
        <f t="shared" si="75"/>
        <v>164980.17000000001</v>
      </c>
      <c r="F2023" s="88">
        <f>+SUMIF('Anlage 2b_Korrekturen'!$B$234:$B$693,'Anlage 3a_Zusammenfassung_KWKG'!A2023,'Anlage 2b_Korrekturen'!$E$234:$E$693)</f>
        <v>0</v>
      </c>
      <c r="G2023" s="135">
        <f t="shared" si="76"/>
        <v>164980.17000000001</v>
      </c>
      <c r="H2023" s="133"/>
      <c r="I2023" s="92"/>
      <c r="J2023" s="133" t="s">
        <v>982</v>
      </c>
    </row>
    <row r="2024" spans="1:10" hidden="1" outlineLevel="1">
      <c r="A2024" s="418" t="s">
        <v>983</v>
      </c>
      <c r="B2024" s="492">
        <f>+VLOOKUP(A2024,'Anlage 2a_Letztverbrauch'!$A$1084:$I$1336,9,FALSE)</f>
        <v>1099890.96</v>
      </c>
      <c r="C2024" s="88">
        <f>+IF(ISNA(VLOOKUP(A2024,'Anlage 2a_Letztverbrauch'!$A$2788:$C$2795,3,0)),0,VLOOKUP(A2024,'Anlage 2a_Letztverbrauch'!$A$2788:$C$2795,3,0))</f>
        <v>0</v>
      </c>
      <c r="D2024" s="1726">
        <v>0</v>
      </c>
      <c r="E2024" s="88">
        <f t="shared" si="75"/>
        <v>1099890.96</v>
      </c>
      <c r="F2024" s="88">
        <f>+SUMIF('Anlage 2b_Korrekturen'!$B$234:$B$693,'Anlage 3a_Zusammenfassung_KWKG'!A2024,'Anlage 2b_Korrekturen'!$E$234:$E$693)</f>
        <v>0</v>
      </c>
      <c r="G2024" s="135">
        <f t="shared" si="76"/>
        <v>1099890.96</v>
      </c>
      <c r="H2024" s="133"/>
      <c r="I2024" s="92"/>
      <c r="J2024" s="133" t="s">
        <v>984</v>
      </c>
    </row>
    <row r="2025" spans="1:10" hidden="1" outlineLevel="1">
      <c r="A2025" s="418" t="s">
        <v>985</v>
      </c>
      <c r="B2025" s="492">
        <f>+VLOOKUP(A2025,'Anlage 2a_Letztverbrauch'!$A$1084:$I$1336,9,FALSE)</f>
        <v>2703872.13</v>
      </c>
      <c r="C2025" s="88">
        <f>+IF(ISNA(VLOOKUP(A2025,'Anlage 2a_Letztverbrauch'!$A$2788:$C$2795,3,0)),0,VLOOKUP(A2025,'Anlage 2a_Letztverbrauch'!$A$2788:$C$2795,3,0))</f>
        <v>0</v>
      </c>
      <c r="D2025" s="1726">
        <v>0</v>
      </c>
      <c r="E2025" s="88">
        <f t="shared" si="75"/>
        <v>2703872.13</v>
      </c>
      <c r="F2025" s="88">
        <f>+SUMIF('Anlage 2b_Korrekturen'!$B$234:$B$693,'Anlage 3a_Zusammenfassung_KWKG'!A2025,'Anlage 2b_Korrekturen'!$E$234:$E$693)</f>
        <v>48064.270000000004</v>
      </c>
      <c r="G2025" s="135">
        <f t="shared" si="76"/>
        <v>2751936.4</v>
      </c>
      <c r="H2025" s="133"/>
      <c r="I2025" s="92"/>
      <c r="J2025" s="133" t="s">
        <v>986</v>
      </c>
    </row>
    <row r="2026" spans="1:10" hidden="1" outlineLevel="1">
      <c r="A2026" s="418" t="s">
        <v>987</v>
      </c>
      <c r="B2026" s="492">
        <f>+VLOOKUP(A2026,'Anlage 2a_Letztverbrauch'!$A$1084:$I$1336,9,FALSE)</f>
        <v>28411.97</v>
      </c>
      <c r="C2026" s="88">
        <f>+IF(ISNA(VLOOKUP(A2026,'Anlage 2a_Letztverbrauch'!$A$2788:$C$2795,3,0)),0,VLOOKUP(A2026,'Anlage 2a_Letztverbrauch'!$A$2788:$C$2795,3,0))</f>
        <v>0</v>
      </c>
      <c r="D2026" s="1726">
        <v>0</v>
      </c>
      <c r="E2026" s="88">
        <f t="shared" si="75"/>
        <v>28411.97</v>
      </c>
      <c r="F2026" s="88">
        <f>+SUMIF('Anlage 2b_Korrekturen'!$B$234:$B$693,'Anlage 3a_Zusammenfassung_KWKG'!A2026,'Anlage 2b_Korrekturen'!$E$234:$E$693)</f>
        <v>320.95</v>
      </c>
      <c r="G2026" s="135">
        <f t="shared" si="76"/>
        <v>28732.920000000002</v>
      </c>
      <c r="H2026" s="133"/>
      <c r="I2026" s="92"/>
      <c r="J2026" s="133" t="s">
        <v>988</v>
      </c>
    </row>
    <row r="2027" spans="1:10" hidden="1" outlineLevel="1">
      <c r="A2027" s="418" t="s">
        <v>989</v>
      </c>
      <c r="B2027" s="492">
        <f>+VLOOKUP(A2027,'Anlage 2a_Letztverbrauch'!$A$1084:$I$1336,9,FALSE)</f>
        <v>20040.009999999998</v>
      </c>
      <c r="C2027" s="88">
        <f>+IF(ISNA(VLOOKUP(A2027,'Anlage 2a_Letztverbrauch'!$A$2788:$C$2795,3,0)),0,VLOOKUP(A2027,'Anlage 2a_Letztverbrauch'!$A$2788:$C$2795,3,0))</f>
        <v>0</v>
      </c>
      <c r="D2027" s="1726">
        <v>0</v>
      </c>
      <c r="E2027" s="88">
        <f t="shared" si="75"/>
        <v>20040.009999999998</v>
      </c>
      <c r="F2027" s="88">
        <f>+SUMIF('Anlage 2b_Korrekturen'!$B$234:$B$693,'Anlage 3a_Zusammenfassung_KWKG'!A2027,'Anlage 2b_Korrekturen'!$E$234:$E$693)</f>
        <v>17171.98</v>
      </c>
      <c r="G2027" s="135">
        <f t="shared" si="76"/>
        <v>37211.99</v>
      </c>
      <c r="H2027" s="133"/>
      <c r="I2027" s="92"/>
      <c r="J2027" s="133" t="s">
        <v>990</v>
      </c>
    </row>
    <row r="2028" spans="1:10" hidden="1" outlineLevel="1">
      <c r="A2028" s="418" t="s">
        <v>991</v>
      </c>
      <c r="B2028" s="492">
        <f>+VLOOKUP(A2028,'Anlage 2a_Letztverbrauch'!$A$1084:$I$1336,9,FALSE)</f>
        <v>129529.7</v>
      </c>
      <c r="C2028" s="88">
        <f>+IF(ISNA(VLOOKUP(A2028,'Anlage 2a_Letztverbrauch'!$A$2788:$C$2795,3,0)),0,VLOOKUP(A2028,'Anlage 2a_Letztverbrauch'!$A$2788:$C$2795,3,0))</f>
        <v>0</v>
      </c>
      <c r="D2028" s="1726">
        <v>0</v>
      </c>
      <c r="E2028" s="88">
        <f t="shared" si="75"/>
        <v>129529.7</v>
      </c>
      <c r="F2028" s="88">
        <f>+SUMIF('Anlage 2b_Korrekturen'!$B$234:$B$693,'Anlage 3a_Zusammenfassung_KWKG'!A2028,'Anlage 2b_Korrekturen'!$E$234:$E$693)</f>
        <v>170.19</v>
      </c>
      <c r="G2028" s="135">
        <f t="shared" si="76"/>
        <v>129699.89</v>
      </c>
      <c r="H2028" s="133"/>
      <c r="I2028" s="92"/>
      <c r="J2028" s="133" t="s">
        <v>992</v>
      </c>
    </row>
    <row r="2029" spans="1:10" hidden="1" outlineLevel="1">
      <c r="A2029" s="418" t="s">
        <v>993</v>
      </c>
      <c r="B2029" s="492">
        <f>+VLOOKUP(A2029,'Anlage 2a_Letztverbrauch'!$A$1084:$I$1336,9,FALSE)</f>
        <v>982325.57000000007</v>
      </c>
      <c r="C2029" s="88">
        <f>+IF(ISNA(VLOOKUP(A2029,'Anlage 2a_Letztverbrauch'!$A$2788:$C$2795,3,0)),0,VLOOKUP(A2029,'Anlage 2a_Letztverbrauch'!$A$2788:$C$2795,3,0))</f>
        <v>0</v>
      </c>
      <c r="D2029" s="1726">
        <v>0</v>
      </c>
      <c r="E2029" s="88">
        <f t="shared" si="75"/>
        <v>982325.57000000007</v>
      </c>
      <c r="F2029" s="88">
        <f>+SUMIF('Anlage 2b_Korrekturen'!$B$234:$B$693,'Anlage 3a_Zusammenfassung_KWKG'!A2029,'Anlage 2b_Korrekturen'!$E$234:$E$693)</f>
        <v>0</v>
      </c>
      <c r="G2029" s="135">
        <f t="shared" si="76"/>
        <v>982325.57000000007</v>
      </c>
      <c r="H2029" s="133"/>
      <c r="I2029" s="92"/>
      <c r="J2029" s="133" t="s">
        <v>994</v>
      </c>
    </row>
    <row r="2030" spans="1:10" hidden="1" outlineLevel="1">
      <c r="A2030" s="418" t="s">
        <v>995</v>
      </c>
      <c r="B2030" s="492">
        <f>+VLOOKUP(A2030,'Anlage 2a_Letztverbrauch'!$A$1084:$I$1336,9,FALSE)</f>
        <v>299316.19</v>
      </c>
      <c r="C2030" s="88">
        <f>+IF(ISNA(VLOOKUP(A2030,'Anlage 2a_Letztverbrauch'!$A$2788:$C$2795,3,0)),0,VLOOKUP(A2030,'Anlage 2a_Letztverbrauch'!$A$2788:$C$2795,3,0))</f>
        <v>0</v>
      </c>
      <c r="D2030" s="1726">
        <v>0</v>
      </c>
      <c r="E2030" s="88">
        <f t="shared" si="75"/>
        <v>299316.19</v>
      </c>
      <c r="F2030" s="88">
        <f>+SUMIF('Anlage 2b_Korrekturen'!$B$234:$B$693,'Anlage 3a_Zusammenfassung_KWKG'!A2030,'Anlage 2b_Korrekturen'!$E$234:$E$693)</f>
        <v>0</v>
      </c>
      <c r="G2030" s="135">
        <f t="shared" si="76"/>
        <v>299316.19</v>
      </c>
      <c r="H2030" s="133"/>
      <c r="I2030" s="92"/>
      <c r="J2030" s="133" t="s">
        <v>996</v>
      </c>
    </row>
    <row r="2031" spans="1:10" hidden="1" outlineLevel="1">
      <c r="A2031" s="418" t="s">
        <v>997</v>
      </c>
      <c r="B2031" s="492">
        <f>+VLOOKUP(A2031,'Anlage 2a_Letztverbrauch'!$A$1084:$I$1336,9,FALSE)</f>
        <v>395918.94</v>
      </c>
      <c r="C2031" s="88">
        <f>+IF(ISNA(VLOOKUP(A2031,'Anlage 2a_Letztverbrauch'!$A$2788:$C$2795,3,0)),0,VLOOKUP(A2031,'Anlage 2a_Letztverbrauch'!$A$2788:$C$2795,3,0))</f>
        <v>0</v>
      </c>
      <c r="D2031" s="1726">
        <v>0</v>
      </c>
      <c r="E2031" s="88">
        <f t="shared" si="75"/>
        <v>395918.94</v>
      </c>
      <c r="F2031" s="88">
        <f>+SUMIF('Anlage 2b_Korrekturen'!$B$234:$B$693,'Anlage 3a_Zusammenfassung_KWKG'!A2031,'Anlage 2b_Korrekturen'!$E$234:$E$693)</f>
        <v>-257.40000000000009</v>
      </c>
      <c r="G2031" s="135">
        <f t="shared" si="76"/>
        <v>395661.54</v>
      </c>
      <c r="H2031" s="133"/>
      <c r="I2031" s="92"/>
      <c r="J2031" s="133" t="s">
        <v>998</v>
      </c>
    </row>
    <row r="2032" spans="1:10" hidden="1" outlineLevel="1">
      <c r="A2032" s="418" t="s">
        <v>999</v>
      </c>
      <c r="B2032" s="492">
        <f>+VLOOKUP(A2032,'Anlage 2a_Letztverbrauch'!$A$1084:$I$1336,9,FALSE)</f>
        <v>81356.289999999994</v>
      </c>
      <c r="C2032" s="88">
        <f>+IF(ISNA(VLOOKUP(A2032,'Anlage 2a_Letztverbrauch'!$A$2788:$C$2795,3,0)),0,VLOOKUP(A2032,'Anlage 2a_Letztverbrauch'!$A$2788:$C$2795,3,0))</f>
        <v>0</v>
      </c>
      <c r="D2032" s="1726">
        <v>0</v>
      </c>
      <c r="E2032" s="88">
        <f t="shared" si="75"/>
        <v>81356.289999999994</v>
      </c>
      <c r="F2032" s="88">
        <f>+SUMIF('Anlage 2b_Korrekturen'!$B$234:$B$693,'Anlage 3a_Zusammenfassung_KWKG'!A2032,'Anlage 2b_Korrekturen'!$E$234:$E$693)</f>
        <v>0</v>
      </c>
      <c r="G2032" s="135">
        <f t="shared" si="76"/>
        <v>81356.289999999994</v>
      </c>
      <c r="H2032" s="133"/>
      <c r="I2032" s="92"/>
      <c r="J2032" s="133" t="s">
        <v>1000</v>
      </c>
    </row>
    <row r="2033" spans="1:10" hidden="1" outlineLevel="1">
      <c r="A2033" s="418" t="s">
        <v>1001</v>
      </c>
      <c r="B2033" s="492">
        <f>+VLOOKUP(A2033,'Anlage 2a_Letztverbrauch'!$A$1084:$I$1336,9,FALSE)</f>
        <v>143929</v>
      </c>
      <c r="C2033" s="88">
        <f>+IF(ISNA(VLOOKUP(A2033,'Anlage 2a_Letztverbrauch'!$A$2788:$C$2795,3,0)),0,VLOOKUP(A2033,'Anlage 2a_Letztverbrauch'!$A$2788:$C$2795,3,0))</f>
        <v>0</v>
      </c>
      <c r="D2033" s="1726">
        <v>0</v>
      </c>
      <c r="E2033" s="88">
        <f t="shared" si="75"/>
        <v>143929</v>
      </c>
      <c r="F2033" s="88">
        <f>+SUMIF('Anlage 2b_Korrekturen'!$B$234:$B$693,'Anlage 3a_Zusammenfassung_KWKG'!A2033,'Anlage 2b_Korrekturen'!$E$234:$E$693)</f>
        <v>0</v>
      </c>
      <c r="G2033" s="135">
        <f t="shared" si="76"/>
        <v>143929</v>
      </c>
      <c r="H2033" s="133"/>
      <c r="I2033" s="92"/>
      <c r="J2033" s="133" t="s">
        <v>1002</v>
      </c>
    </row>
    <row r="2034" spans="1:10" hidden="1" outlineLevel="1">
      <c r="A2034" s="418" t="s">
        <v>1003</v>
      </c>
      <c r="B2034" s="492">
        <f>+VLOOKUP(A2034,'Anlage 2a_Letztverbrauch'!$A$1084:$I$1336,9,FALSE)</f>
        <v>152976.76999999999</v>
      </c>
      <c r="C2034" s="88">
        <f>+IF(ISNA(VLOOKUP(A2034,'Anlage 2a_Letztverbrauch'!$A$2788:$C$2795,3,0)),0,VLOOKUP(A2034,'Anlage 2a_Letztverbrauch'!$A$2788:$C$2795,3,0))</f>
        <v>0</v>
      </c>
      <c r="D2034" s="1726">
        <v>0</v>
      </c>
      <c r="E2034" s="88">
        <f t="shared" si="75"/>
        <v>152976.76999999999</v>
      </c>
      <c r="F2034" s="88">
        <f>+SUMIF('Anlage 2b_Korrekturen'!$B$234:$B$693,'Anlage 3a_Zusammenfassung_KWKG'!A2034,'Anlage 2b_Korrekturen'!$E$234:$E$693)</f>
        <v>0</v>
      </c>
      <c r="G2034" s="135">
        <f t="shared" si="76"/>
        <v>152976.76999999999</v>
      </c>
      <c r="H2034" s="133"/>
      <c r="I2034" s="92"/>
      <c r="J2034" s="133" t="s">
        <v>1004</v>
      </c>
    </row>
    <row r="2035" spans="1:10" hidden="1" outlineLevel="1">
      <c r="A2035" s="418" t="s">
        <v>1005</v>
      </c>
      <c r="B2035" s="492">
        <f>+VLOOKUP(A2035,'Anlage 2a_Letztverbrauch'!$A$1084:$I$1336,9,FALSE)</f>
        <v>6546030.1100000003</v>
      </c>
      <c r="C2035" s="88">
        <f>+IF(ISNA(VLOOKUP(A2035,'Anlage 2a_Letztverbrauch'!$A$2788:$C$2795,3,0)),0,VLOOKUP(A2035,'Anlage 2a_Letztverbrauch'!$A$2788:$C$2795,3,0))</f>
        <v>0</v>
      </c>
      <c r="D2035" s="1726">
        <v>11</v>
      </c>
      <c r="E2035" s="88">
        <f t="shared" si="75"/>
        <v>6546041.1100000003</v>
      </c>
      <c r="F2035" s="88">
        <f>+SUMIF('Anlage 2b_Korrekturen'!$B$234:$B$693,'Anlage 3a_Zusammenfassung_KWKG'!A2035,'Anlage 2b_Korrekturen'!$E$234:$E$693)</f>
        <v>440121.37</v>
      </c>
      <c r="G2035" s="135">
        <f t="shared" si="76"/>
        <v>6986162.4800000004</v>
      </c>
      <c r="H2035" s="133"/>
      <c r="I2035" s="92"/>
      <c r="J2035" s="133" t="s">
        <v>1006</v>
      </c>
    </row>
    <row r="2036" spans="1:10" hidden="1" outlineLevel="1">
      <c r="A2036" s="418" t="s">
        <v>1007</v>
      </c>
      <c r="B2036" s="492">
        <f>+VLOOKUP(A2036,'Anlage 2a_Letztverbrauch'!$A$1084:$I$1336,9,FALSE)</f>
        <v>72223.28</v>
      </c>
      <c r="C2036" s="88">
        <f>+IF(ISNA(VLOOKUP(A2036,'Anlage 2a_Letztverbrauch'!$A$2788:$C$2795,3,0)),0,VLOOKUP(A2036,'Anlage 2a_Letztverbrauch'!$A$2788:$C$2795,3,0))</f>
        <v>0</v>
      </c>
      <c r="D2036" s="1726">
        <v>0</v>
      </c>
      <c r="E2036" s="88">
        <f t="shared" si="75"/>
        <v>72223.28</v>
      </c>
      <c r="F2036" s="88">
        <f>+SUMIF('Anlage 2b_Korrekturen'!$B$234:$B$693,'Anlage 3a_Zusammenfassung_KWKG'!A2036,'Anlage 2b_Korrekturen'!$E$234:$E$693)</f>
        <v>597.11</v>
      </c>
      <c r="G2036" s="135">
        <f t="shared" si="76"/>
        <v>72820.39</v>
      </c>
      <c r="H2036" s="133"/>
      <c r="I2036" s="92"/>
      <c r="J2036" s="133" t="s">
        <v>1008</v>
      </c>
    </row>
    <row r="2037" spans="1:10" hidden="1" outlineLevel="1">
      <c r="A2037" s="418" t="s">
        <v>1009</v>
      </c>
      <c r="B2037" s="492">
        <f>+VLOOKUP(A2037,'Anlage 2a_Letztverbrauch'!$A$1084:$I$1336,9,FALSE)</f>
        <v>251554.51</v>
      </c>
      <c r="C2037" s="88">
        <f>+IF(ISNA(VLOOKUP(A2037,'Anlage 2a_Letztverbrauch'!$A$2788:$C$2795,3,0)),0,VLOOKUP(A2037,'Anlage 2a_Letztverbrauch'!$A$2788:$C$2795,3,0))</f>
        <v>0</v>
      </c>
      <c r="D2037" s="1726">
        <v>0</v>
      </c>
      <c r="E2037" s="88">
        <f t="shared" si="75"/>
        <v>251554.51</v>
      </c>
      <c r="F2037" s="88">
        <f>+SUMIF('Anlage 2b_Korrekturen'!$B$234:$B$693,'Anlage 3a_Zusammenfassung_KWKG'!A2037,'Anlage 2b_Korrekturen'!$E$234:$E$693)</f>
        <v>-125.78000000000003</v>
      </c>
      <c r="G2037" s="135">
        <f t="shared" si="76"/>
        <v>251428.73</v>
      </c>
      <c r="H2037" s="133"/>
      <c r="I2037" s="92"/>
      <c r="J2037" s="133" t="s">
        <v>1010</v>
      </c>
    </row>
    <row r="2038" spans="1:10" hidden="1" outlineLevel="1">
      <c r="A2038" s="418" t="s">
        <v>1011</v>
      </c>
      <c r="B2038" s="492">
        <f>+VLOOKUP(A2038,'Anlage 2a_Letztverbrauch'!$A$1084:$I$1336,9,FALSE)</f>
        <v>2794974.32</v>
      </c>
      <c r="C2038" s="88">
        <f>+IF(ISNA(VLOOKUP(A2038,'Anlage 2a_Letztverbrauch'!$A$2788:$C$2795,3,0)),0,VLOOKUP(A2038,'Anlage 2a_Letztverbrauch'!$A$2788:$C$2795,3,0))</f>
        <v>0</v>
      </c>
      <c r="D2038" s="1726">
        <v>0</v>
      </c>
      <c r="E2038" s="88">
        <f t="shared" si="75"/>
        <v>2794974.32</v>
      </c>
      <c r="F2038" s="88">
        <f>+SUMIF('Anlage 2b_Korrekturen'!$B$234:$B$693,'Anlage 3a_Zusammenfassung_KWKG'!A2038,'Anlage 2b_Korrekturen'!$E$234:$E$693)</f>
        <v>-6176.21</v>
      </c>
      <c r="G2038" s="135">
        <f t="shared" si="76"/>
        <v>2788798.11</v>
      </c>
      <c r="H2038" s="133"/>
      <c r="I2038" s="92"/>
      <c r="J2038" s="133" t="s">
        <v>1012</v>
      </c>
    </row>
    <row r="2039" spans="1:10" hidden="1" outlineLevel="1">
      <c r="A2039" s="418" t="s">
        <v>1013</v>
      </c>
      <c r="B2039" s="492">
        <f>+VLOOKUP(A2039,'Anlage 2a_Letztverbrauch'!$A$1084:$I$1336,9,FALSE)</f>
        <v>246676.49</v>
      </c>
      <c r="C2039" s="88">
        <f>+IF(ISNA(VLOOKUP(A2039,'Anlage 2a_Letztverbrauch'!$A$2788:$C$2795,3,0)),0,VLOOKUP(A2039,'Anlage 2a_Letztverbrauch'!$A$2788:$C$2795,3,0))</f>
        <v>0</v>
      </c>
      <c r="D2039" s="1726">
        <v>0</v>
      </c>
      <c r="E2039" s="88">
        <f t="shared" si="75"/>
        <v>246676.49</v>
      </c>
      <c r="F2039" s="88">
        <f>+SUMIF('Anlage 2b_Korrekturen'!$B$234:$B$693,'Anlage 3a_Zusammenfassung_KWKG'!A2039,'Anlage 2b_Korrekturen'!$E$234:$E$693)</f>
        <v>0</v>
      </c>
      <c r="G2039" s="135">
        <f t="shared" si="76"/>
        <v>246676.49</v>
      </c>
      <c r="H2039" s="133"/>
      <c r="I2039" s="92"/>
      <c r="J2039" s="133" t="s">
        <v>1014</v>
      </c>
    </row>
    <row r="2040" spans="1:10" hidden="1" outlineLevel="1">
      <c r="A2040" s="418" t="s">
        <v>1015</v>
      </c>
      <c r="B2040" s="492">
        <f>+VLOOKUP(A2040,'Anlage 2a_Letztverbrauch'!$A$1084:$I$1336,9,FALSE)</f>
        <v>321381.76000000001</v>
      </c>
      <c r="C2040" s="88">
        <f>+IF(ISNA(VLOOKUP(A2040,'Anlage 2a_Letztverbrauch'!$A$2788:$C$2795,3,0)),0,VLOOKUP(A2040,'Anlage 2a_Letztverbrauch'!$A$2788:$C$2795,3,0))</f>
        <v>0</v>
      </c>
      <c r="D2040" s="1726">
        <v>0</v>
      </c>
      <c r="E2040" s="88">
        <f t="shared" si="75"/>
        <v>321381.76000000001</v>
      </c>
      <c r="F2040" s="88">
        <f>+SUMIF('Anlage 2b_Korrekturen'!$B$234:$B$693,'Anlage 3a_Zusammenfassung_KWKG'!A2040,'Anlage 2b_Korrekturen'!$E$234:$E$693)</f>
        <v>412.17</v>
      </c>
      <c r="G2040" s="135">
        <f t="shared" si="76"/>
        <v>321793.93</v>
      </c>
      <c r="H2040" s="133"/>
      <c r="I2040" s="92"/>
      <c r="J2040" s="133" t="s">
        <v>1016</v>
      </c>
    </row>
    <row r="2041" spans="1:10" hidden="1" outlineLevel="1">
      <c r="A2041" s="418" t="s">
        <v>1017</v>
      </c>
      <c r="B2041" s="492">
        <f>+VLOOKUP(A2041,'Anlage 2a_Letztverbrauch'!$A$1084:$I$1336,9,FALSE)</f>
        <v>3608004.04</v>
      </c>
      <c r="C2041" s="88">
        <f>+IF(ISNA(VLOOKUP(A2041,'Anlage 2a_Letztverbrauch'!$A$2788:$C$2795,3,0)),0,VLOOKUP(A2041,'Anlage 2a_Letztverbrauch'!$A$2788:$C$2795,3,0))</f>
        <v>0</v>
      </c>
      <c r="D2041" s="1726">
        <v>0</v>
      </c>
      <c r="E2041" s="88">
        <f t="shared" si="75"/>
        <v>3608004.04</v>
      </c>
      <c r="F2041" s="88">
        <f>+SUMIF('Anlage 2b_Korrekturen'!$B$234:$B$693,'Anlage 3a_Zusammenfassung_KWKG'!A2041,'Anlage 2b_Korrekturen'!$E$234:$E$693)</f>
        <v>-102511.41</v>
      </c>
      <c r="G2041" s="135">
        <f t="shared" si="76"/>
        <v>3505492.63</v>
      </c>
      <c r="H2041" s="133"/>
      <c r="I2041" s="92"/>
      <c r="J2041" s="133" t="s">
        <v>1018</v>
      </c>
    </row>
    <row r="2042" spans="1:10" hidden="1" outlineLevel="1">
      <c r="A2042" s="418" t="s">
        <v>1019</v>
      </c>
      <c r="B2042" s="492">
        <f>+VLOOKUP(A2042,'Anlage 2a_Letztverbrauch'!$A$1084:$I$1336,9,FALSE)</f>
        <v>32149.91</v>
      </c>
      <c r="C2042" s="88">
        <f>+IF(ISNA(VLOOKUP(A2042,'Anlage 2a_Letztverbrauch'!$A$2788:$C$2795,3,0)),0,VLOOKUP(A2042,'Anlage 2a_Letztverbrauch'!$A$2788:$C$2795,3,0))</f>
        <v>0</v>
      </c>
      <c r="D2042" s="1726">
        <v>0</v>
      </c>
      <c r="E2042" s="88">
        <f t="shared" si="75"/>
        <v>32149.91</v>
      </c>
      <c r="F2042" s="88">
        <f>+SUMIF('Anlage 2b_Korrekturen'!$B$234:$B$693,'Anlage 3a_Zusammenfassung_KWKG'!A2042,'Anlage 2b_Korrekturen'!$E$234:$E$693)</f>
        <v>-86.15</v>
      </c>
      <c r="G2042" s="135">
        <f t="shared" si="76"/>
        <v>32063.759999999998</v>
      </c>
      <c r="H2042" s="133"/>
      <c r="I2042" s="92"/>
      <c r="J2042" s="133" t="s">
        <v>1020</v>
      </c>
    </row>
    <row r="2043" spans="1:10" hidden="1" outlineLevel="1">
      <c r="A2043" s="418" t="s">
        <v>1021</v>
      </c>
      <c r="B2043" s="492">
        <f>+VLOOKUP(A2043,'Anlage 2a_Letztverbrauch'!$A$1084:$I$1336,9,FALSE)</f>
        <v>207787.94</v>
      </c>
      <c r="C2043" s="88">
        <f>+IF(ISNA(VLOOKUP(A2043,'Anlage 2a_Letztverbrauch'!$A$2788:$C$2795,3,0)),0,VLOOKUP(A2043,'Anlage 2a_Letztverbrauch'!$A$2788:$C$2795,3,0))</f>
        <v>0</v>
      </c>
      <c r="D2043" s="1726">
        <v>0</v>
      </c>
      <c r="E2043" s="88">
        <f t="shared" si="75"/>
        <v>207787.94</v>
      </c>
      <c r="F2043" s="88">
        <f>+SUMIF('Anlage 2b_Korrekturen'!$B$234:$B$693,'Anlage 3a_Zusammenfassung_KWKG'!A2043,'Anlage 2b_Korrekturen'!$E$234:$E$693)</f>
        <v>-2323.9</v>
      </c>
      <c r="G2043" s="135">
        <f t="shared" si="76"/>
        <v>205464.04</v>
      </c>
      <c r="H2043" s="133"/>
      <c r="I2043" s="92"/>
      <c r="J2043" s="133" t="s">
        <v>944</v>
      </c>
    </row>
    <row r="2044" spans="1:10" hidden="1" outlineLevel="1">
      <c r="A2044" s="418" t="s">
        <v>1022</v>
      </c>
      <c r="B2044" s="492">
        <f>+VLOOKUP(A2044,'Anlage 2a_Letztverbrauch'!$A$1084:$I$1336,9,FALSE)</f>
        <v>359613.8</v>
      </c>
      <c r="C2044" s="88">
        <f>+IF(ISNA(VLOOKUP(A2044,'Anlage 2a_Letztverbrauch'!$A$2788:$C$2795,3,0)),0,VLOOKUP(A2044,'Anlage 2a_Letztverbrauch'!$A$2788:$C$2795,3,0))</f>
        <v>0</v>
      </c>
      <c r="D2044" s="1726">
        <v>0</v>
      </c>
      <c r="E2044" s="88">
        <f t="shared" si="75"/>
        <v>359613.8</v>
      </c>
      <c r="F2044" s="88">
        <f>+SUMIF('Anlage 2b_Korrekturen'!$B$234:$B$693,'Anlage 3a_Zusammenfassung_KWKG'!A2044,'Anlage 2b_Korrekturen'!$E$234:$E$693)</f>
        <v>0</v>
      </c>
      <c r="G2044" s="135">
        <f t="shared" si="76"/>
        <v>359613.8</v>
      </c>
      <c r="H2044" s="133"/>
      <c r="I2044" s="92"/>
      <c r="J2044" s="133" t="s">
        <v>1023</v>
      </c>
    </row>
    <row r="2045" spans="1:10" hidden="1" outlineLevel="1">
      <c r="A2045" s="418" t="s">
        <v>1024</v>
      </c>
      <c r="B2045" s="492">
        <f>+VLOOKUP(A2045,'Anlage 2a_Letztverbrauch'!$A$1084:$I$1336,9,FALSE)</f>
        <v>239718.18</v>
      </c>
      <c r="C2045" s="88">
        <f>+IF(ISNA(VLOOKUP(A2045,'Anlage 2a_Letztverbrauch'!$A$2788:$C$2795,3,0)),0,VLOOKUP(A2045,'Anlage 2a_Letztverbrauch'!$A$2788:$C$2795,3,0))</f>
        <v>0</v>
      </c>
      <c r="D2045" s="1726">
        <v>0</v>
      </c>
      <c r="E2045" s="88">
        <f t="shared" si="75"/>
        <v>239718.18</v>
      </c>
      <c r="F2045" s="88">
        <f>+SUMIF('Anlage 2b_Korrekturen'!$B$234:$B$693,'Anlage 3a_Zusammenfassung_KWKG'!A2045,'Anlage 2b_Korrekturen'!$E$234:$E$693)</f>
        <v>0</v>
      </c>
      <c r="G2045" s="135">
        <f t="shared" si="76"/>
        <v>239718.18</v>
      </c>
      <c r="H2045" s="133"/>
      <c r="I2045" s="92"/>
      <c r="J2045" s="133" t="s">
        <v>1025</v>
      </c>
    </row>
    <row r="2046" spans="1:10" hidden="1" outlineLevel="1">
      <c r="A2046" s="418" t="s">
        <v>1026</v>
      </c>
      <c r="B2046" s="492">
        <f>+VLOOKUP(A2046,'Anlage 2a_Letztverbrauch'!$A$1084:$I$1336,9,FALSE)</f>
        <v>80637.3</v>
      </c>
      <c r="C2046" s="88">
        <f>+IF(ISNA(VLOOKUP(A2046,'Anlage 2a_Letztverbrauch'!$A$2788:$C$2795,3,0)),0,VLOOKUP(A2046,'Anlage 2a_Letztverbrauch'!$A$2788:$C$2795,3,0))</f>
        <v>0</v>
      </c>
      <c r="D2046" s="1726">
        <v>0</v>
      </c>
      <c r="E2046" s="88">
        <f t="shared" si="75"/>
        <v>80637.3</v>
      </c>
      <c r="F2046" s="88">
        <f>+SUMIF('Anlage 2b_Korrekturen'!$B$234:$B$693,'Anlage 3a_Zusammenfassung_KWKG'!A2046,'Anlage 2b_Korrekturen'!$E$234:$E$693)</f>
        <v>-323.8</v>
      </c>
      <c r="G2046" s="135">
        <f t="shared" si="76"/>
        <v>80313.5</v>
      </c>
      <c r="H2046" s="133"/>
      <c r="I2046" s="92"/>
      <c r="J2046" s="133" t="s">
        <v>1027</v>
      </c>
    </row>
    <row r="2047" spans="1:10" hidden="1" outlineLevel="1">
      <c r="A2047" s="418" t="s">
        <v>1028</v>
      </c>
      <c r="B2047" s="492">
        <f>+VLOOKUP(A2047,'Anlage 2a_Letztverbrauch'!$A$1084:$I$1336,9,FALSE)</f>
        <v>5017798.2600000007</v>
      </c>
      <c r="C2047" s="88">
        <f>+IF(ISNA(VLOOKUP(A2047,'Anlage 2a_Letztverbrauch'!$A$2788:$C$2795,3,0)),0,VLOOKUP(A2047,'Anlage 2a_Letztverbrauch'!$A$2788:$C$2795,3,0))</f>
        <v>0</v>
      </c>
      <c r="D2047" s="1726">
        <v>0</v>
      </c>
      <c r="E2047" s="88">
        <f t="shared" si="75"/>
        <v>5017798.2600000007</v>
      </c>
      <c r="F2047" s="88">
        <f>+SUMIF('Anlage 2b_Korrekturen'!$B$234:$B$693,'Anlage 3a_Zusammenfassung_KWKG'!A2047,'Anlage 2b_Korrekturen'!$E$234:$E$693)</f>
        <v>0</v>
      </c>
      <c r="G2047" s="135">
        <f t="shared" si="76"/>
        <v>5017798.2600000007</v>
      </c>
      <c r="H2047" s="133"/>
      <c r="I2047" s="92"/>
      <c r="J2047" s="133" t="s">
        <v>1029</v>
      </c>
    </row>
    <row r="2048" spans="1:10" hidden="1" outlineLevel="1">
      <c r="A2048" s="418" t="s">
        <v>1030</v>
      </c>
      <c r="B2048" s="492">
        <f>+VLOOKUP(A2048,'Anlage 2a_Letztverbrauch'!$A$1084:$I$1336,9,FALSE)</f>
        <v>1094066.67</v>
      </c>
      <c r="C2048" s="88">
        <f>+IF(ISNA(VLOOKUP(A2048,'Anlage 2a_Letztverbrauch'!$A$2788:$C$2795,3,0)),0,VLOOKUP(A2048,'Anlage 2a_Letztverbrauch'!$A$2788:$C$2795,3,0))</f>
        <v>0</v>
      </c>
      <c r="D2048" s="1726">
        <v>0</v>
      </c>
      <c r="E2048" s="88">
        <f t="shared" si="75"/>
        <v>1094066.67</v>
      </c>
      <c r="F2048" s="88">
        <f>+SUMIF('Anlage 2b_Korrekturen'!$B$234:$B$693,'Anlage 3a_Zusammenfassung_KWKG'!A2048,'Anlage 2b_Korrekturen'!$E$234:$E$693)</f>
        <v>-34286.929999999993</v>
      </c>
      <c r="G2048" s="135">
        <f t="shared" si="76"/>
        <v>1059779.74</v>
      </c>
      <c r="H2048" s="133"/>
      <c r="I2048" s="92"/>
      <c r="J2048" s="133" t="s">
        <v>1031</v>
      </c>
    </row>
    <row r="2049" spans="1:10" hidden="1" outlineLevel="1">
      <c r="A2049" s="418" t="s">
        <v>1032</v>
      </c>
      <c r="B2049" s="492">
        <f>+VLOOKUP(A2049,'Anlage 2a_Letztverbrauch'!$A$1084:$I$1336,9,FALSE)</f>
        <v>600500.34</v>
      </c>
      <c r="C2049" s="88">
        <f>+IF(ISNA(VLOOKUP(A2049,'Anlage 2a_Letztverbrauch'!$A$2788:$C$2795,3,0)),0,VLOOKUP(A2049,'Anlage 2a_Letztverbrauch'!$A$2788:$C$2795,3,0))</f>
        <v>0</v>
      </c>
      <c r="D2049" s="1726">
        <v>0</v>
      </c>
      <c r="E2049" s="88">
        <f t="shared" si="75"/>
        <v>600500.34</v>
      </c>
      <c r="F2049" s="88">
        <f>+SUMIF('Anlage 2b_Korrekturen'!$B$234:$B$693,'Anlage 3a_Zusammenfassung_KWKG'!A2049,'Anlage 2b_Korrekturen'!$E$234:$E$693)</f>
        <v>1391.94</v>
      </c>
      <c r="G2049" s="135">
        <f t="shared" si="76"/>
        <v>601892.27999999991</v>
      </c>
      <c r="H2049" s="133"/>
      <c r="I2049" s="92"/>
      <c r="J2049" s="133" t="s">
        <v>1033</v>
      </c>
    </row>
    <row r="2050" spans="1:10" hidden="1" outlineLevel="1">
      <c r="A2050" s="418" t="s">
        <v>1034</v>
      </c>
      <c r="B2050" s="492">
        <f>+VLOOKUP(A2050,'Anlage 2a_Letztverbrauch'!$A$1084:$I$1336,9,FALSE)</f>
        <v>42118.09</v>
      </c>
      <c r="C2050" s="88">
        <f>+IF(ISNA(VLOOKUP(A2050,'Anlage 2a_Letztverbrauch'!$A$2788:$C$2795,3,0)),0,VLOOKUP(A2050,'Anlage 2a_Letztverbrauch'!$A$2788:$C$2795,3,0))</f>
        <v>0</v>
      </c>
      <c r="D2050" s="1726">
        <v>0</v>
      </c>
      <c r="E2050" s="88">
        <f t="shared" si="75"/>
        <v>42118.09</v>
      </c>
      <c r="F2050" s="88">
        <f>+SUMIF('Anlage 2b_Korrekturen'!$B$234:$B$693,'Anlage 3a_Zusammenfassung_KWKG'!A2050,'Anlage 2b_Korrekturen'!$E$234:$E$693)</f>
        <v>-510.99</v>
      </c>
      <c r="G2050" s="135">
        <f t="shared" si="76"/>
        <v>41607.1</v>
      </c>
      <c r="H2050" s="133"/>
      <c r="I2050" s="92"/>
      <c r="J2050" s="133" t="s">
        <v>1035</v>
      </c>
    </row>
    <row r="2051" spans="1:10" hidden="1" outlineLevel="1">
      <c r="A2051" s="418" t="s">
        <v>1036</v>
      </c>
      <c r="B2051" s="492">
        <f>+VLOOKUP(A2051,'Anlage 2a_Letztverbrauch'!$A$1084:$I$1336,9,FALSE)</f>
        <v>1173220.5399999998</v>
      </c>
      <c r="C2051" s="88">
        <f>+IF(ISNA(VLOOKUP(A2051,'Anlage 2a_Letztverbrauch'!$A$2788:$C$2795,3,0)),0,VLOOKUP(A2051,'Anlage 2a_Letztverbrauch'!$A$2788:$C$2795,3,0))</f>
        <v>0</v>
      </c>
      <c r="D2051" s="1726">
        <v>0</v>
      </c>
      <c r="E2051" s="88">
        <f t="shared" si="75"/>
        <v>1173220.5399999998</v>
      </c>
      <c r="F2051" s="88">
        <f>+SUMIF('Anlage 2b_Korrekturen'!$B$234:$B$693,'Anlage 3a_Zusammenfassung_KWKG'!A2051,'Anlage 2b_Korrekturen'!$E$234:$E$693)</f>
        <v>-19153.759999999998</v>
      </c>
      <c r="G2051" s="135">
        <f t="shared" si="76"/>
        <v>1154066.7799999998</v>
      </c>
      <c r="H2051" s="133"/>
      <c r="I2051" s="92"/>
      <c r="J2051" s="133" t="s">
        <v>1037</v>
      </c>
    </row>
    <row r="2052" spans="1:10" hidden="1" outlineLevel="1">
      <c r="A2052" s="418" t="s">
        <v>1038</v>
      </c>
      <c r="B2052" s="492">
        <f>+VLOOKUP(A2052,'Anlage 2a_Letztverbrauch'!$A$1084:$I$1336,9,FALSE)</f>
        <v>247486.47</v>
      </c>
      <c r="C2052" s="88">
        <f>+IF(ISNA(VLOOKUP(A2052,'Anlage 2a_Letztverbrauch'!$A$2788:$C$2795,3,0)),0,VLOOKUP(A2052,'Anlage 2a_Letztverbrauch'!$A$2788:$C$2795,3,0))</f>
        <v>0</v>
      </c>
      <c r="D2052" s="1726">
        <v>0</v>
      </c>
      <c r="E2052" s="88">
        <f t="shared" si="75"/>
        <v>247486.47</v>
      </c>
      <c r="F2052" s="88">
        <f>+SUMIF('Anlage 2b_Korrekturen'!$B$234:$B$693,'Anlage 3a_Zusammenfassung_KWKG'!A2052,'Anlage 2b_Korrekturen'!$E$234:$E$693)</f>
        <v>0</v>
      </c>
      <c r="G2052" s="135">
        <f t="shared" si="76"/>
        <v>247486.47</v>
      </c>
      <c r="H2052" s="133"/>
      <c r="I2052" s="92"/>
      <c r="J2052" s="133" t="s">
        <v>1039</v>
      </c>
    </row>
    <row r="2053" spans="1:10" hidden="1" outlineLevel="1">
      <c r="A2053" s="418" t="s">
        <v>1040</v>
      </c>
      <c r="B2053" s="492">
        <f>+VLOOKUP(A2053,'Anlage 2a_Letztverbrauch'!$A$1084:$I$1336,9,FALSE)</f>
        <v>480195.29</v>
      </c>
      <c r="C2053" s="88">
        <f>+IF(ISNA(VLOOKUP(A2053,'Anlage 2a_Letztverbrauch'!$A$2788:$C$2795,3,0)),0,VLOOKUP(A2053,'Anlage 2a_Letztverbrauch'!$A$2788:$C$2795,3,0))</f>
        <v>0</v>
      </c>
      <c r="D2053" s="1726">
        <v>0</v>
      </c>
      <c r="E2053" s="88">
        <f t="shared" si="75"/>
        <v>480195.29</v>
      </c>
      <c r="F2053" s="88">
        <f>+SUMIF('Anlage 2b_Korrekturen'!$B$234:$B$693,'Anlage 3a_Zusammenfassung_KWKG'!A2053,'Anlage 2b_Korrekturen'!$E$234:$E$693)</f>
        <v>146.41999999999999</v>
      </c>
      <c r="G2053" s="135">
        <f t="shared" si="76"/>
        <v>480341.70999999996</v>
      </c>
      <c r="H2053" s="133"/>
      <c r="I2053" s="92"/>
      <c r="J2053" s="133" t="s">
        <v>1041</v>
      </c>
    </row>
    <row r="2054" spans="1:10" hidden="1" outlineLevel="1">
      <c r="A2054" s="418" t="s">
        <v>1042</v>
      </c>
      <c r="B2054" s="492">
        <f>+VLOOKUP(A2054,'Anlage 2a_Letztverbrauch'!$A$1084:$I$1336,9,FALSE)</f>
        <v>330863.15999999997</v>
      </c>
      <c r="C2054" s="88">
        <f>+IF(ISNA(VLOOKUP(A2054,'Anlage 2a_Letztverbrauch'!$A$2788:$C$2795,3,0)),0,VLOOKUP(A2054,'Anlage 2a_Letztverbrauch'!$A$2788:$C$2795,3,0))</f>
        <v>0</v>
      </c>
      <c r="D2054" s="1726">
        <v>0</v>
      </c>
      <c r="E2054" s="88">
        <f t="shared" si="75"/>
        <v>330863.15999999997</v>
      </c>
      <c r="F2054" s="88">
        <f>+SUMIF('Anlage 2b_Korrekturen'!$B$234:$B$693,'Anlage 3a_Zusammenfassung_KWKG'!A2054,'Anlage 2b_Korrekturen'!$E$234:$E$693)</f>
        <v>240.56</v>
      </c>
      <c r="G2054" s="135">
        <f t="shared" si="76"/>
        <v>331103.71999999997</v>
      </c>
      <c r="H2054" s="133"/>
      <c r="I2054" s="92"/>
      <c r="J2054" s="133" t="s">
        <v>1043</v>
      </c>
    </row>
    <row r="2055" spans="1:10" hidden="1" outlineLevel="1">
      <c r="A2055" s="418" t="s">
        <v>1044</v>
      </c>
      <c r="B2055" s="492">
        <f>+VLOOKUP(A2055,'Anlage 2a_Letztverbrauch'!$A$1084:$I$1336,9,FALSE)</f>
        <v>449089.81</v>
      </c>
      <c r="C2055" s="88">
        <f>+IF(ISNA(VLOOKUP(A2055,'Anlage 2a_Letztverbrauch'!$A$2788:$C$2795,3,0)),0,VLOOKUP(A2055,'Anlage 2a_Letztverbrauch'!$A$2788:$C$2795,3,0))</f>
        <v>0</v>
      </c>
      <c r="D2055" s="1726">
        <v>0</v>
      </c>
      <c r="E2055" s="88">
        <f t="shared" si="75"/>
        <v>449089.81</v>
      </c>
      <c r="F2055" s="88">
        <f>+SUMIF('Anlage 2b_Korrekturen'!$B$234:$B$693,'Anlage 3a_Zusammenfassung_KWKG'!A2055,'Anlage 2b_Korrekturen'!$E$234:$E$693)</f>
        <v>1285.97</v>
      </c>
      <c r="G2055" s="135">
        <f t="shared" si="76"/>
        <v>450375.77999999997</v>
      </c>
      <c r="H2055" s="133"/>
      <c r="I2055" s="92"/>
      <c r="J2055" s="133" t="s">
        <v>1045</v>
      </c>
    </row>
    <row r="2056" spans="1:10" hidden="1" outlineLevel="1">
      <c r="A2056" s="418" t="s">
        <v>1046</v>
      </c>
      <c r="B2056" s="492">
        <f>+VLOOKUP(A2056,'Anlage 2a_Letztverbrauch'!$A$1084:$I$1336,9,FALSE)</f>
        <v>731323.96</v>
      </c>
      <c r="C2056" s="88">
        <f>+IF(ISNA(VLOOKUP(A2056,'Anlage 2a_Letztverbrauch'!$A$2788:$C$2795,3,0)),0,VLOOKUP(A2056,'Anlage 2a_Letztverbrauch'!$A$2788:$C$2795,3,0))</f>
        <v>0</v>
      </c>
      <c r="D2056" s="1726">
        <v>0</v>
      </c>
      <c r="E2056" s="88">
        <f t="shared" si="75"/>
        <v>731323.96</v>
      </c>
      <c r="F2056" s="88">
        <f>+SUMIF('Anlage 2b_Korrekturen'!$B$234:$B$693,'Anlage 3a_Zusammenfassung_KWKG'!A2056,'Anlage 2b_Korrekturen'!$E$234:$E$693)</f>
        <v>0</v>
      </c>
      <c r="G2056" s="135">
        <f t="shared" si="76"/>
        <v>731323.96</v>
      </c>
      <c r="H2056" s="133"/>
      <c r="I2056" s="92"/>
      <c r="J2056" s="133" t="s">
        <v>1047</v>
      </c>
    </row>
    <row r="2057" spans="1:10" hidden="1" outlineLevel="1">
      <c r="A2057" s="418" t="s">
        <v>1048</v>
      </c>
      <c r="B2057" s="492">
        <f>+VLOOKUP(A2057,'Anlage 2a_Letztverbrauch'!$A$1084:$I$1336,9,FALSE)</f>
        <v>644785.51</v>
      </c>
      <c r="C2057" s="88">
        <f>+IF(ISNA(VLOOKUP(A2057,'Anlage 2a_Letztverbrauch'!$A$2788:$C$2795,3,0)),0,VLOOKUP(A2057,'Anlage 2a_Letztverbrauch'!$A$2788:$C$2795,3,0))</f>
        <v>0</v>
      </c>
      <c r="D2057" s="1726">
        <v>0</v>
      </c>
      <c r="E2057" s="88">
        <f t="shared" si="75"/>
        <v>644785.51</v>
      </c>
      <c r="F2057" s="88">
        <f>+SUMIF('Anlage 2b_Korrekturen'!$B$234:$B$693,'Anlage 3a_Zusammenfassung_KWKG'!A2057,'Anlage 2b_Korrekturen'!$E$234:$E$693)</f>
        <v>-49587.590000000004</v>
      </c>
      <c r="G2057" s="135">
        <f t="shared" si="76"/>
        <v>595197.92000000004</v>
      </c>
      <c r="H2057" s="133"/>
      <c r="I2057" s="92"/>
      <c r="J2057" s="133" t="s">
        <v>1049</v>
      </c>
    </row>
    <row r="2058" spans="1:10" hidden="1" outlineLevel="1">
      <c r="A2058" s="418" t="s">
        <v>1050</v>
      </c>
      <c r="B2058" s="492">
        <f>+VLOOKUP(A2058,'Anlage 2a_Letztverbrauch'!$A$1084:$I$1336,9,FALSE)</f>
        <v>382787.96</v>
      </c>
      <c r="C2058" s="88">
        <f>+IF(ISNA(VLOOKUP(A2058,'Anlage 2a_Letztverbrauch'!$A$2788:$C$2795,3,0)),0,VLOOKUP(A2058,'Anlage 2a_Letztverbrauch'!$A$2788:$C$2795,3,0))</f>
        <v>0</v>
      </c>
      <c r="D2058" s="1726">
        <v>0</v>
      </c>
      <c r="E2058" s="88">
        <f t="shared" si="75"/>
        <v>382787.96</v>
      </c>
      <c r="F2058" s="88">
        <f>+SUMIF('Anlage 2b_Korrekturen'!$B$234:$B$693,'Anlage 3a_Zusammenfassung_KWKG'!A2058,'Anlage 2b_Korrekturen'!$E$234:$E$693)</f>
        <v>0</v>
      </c>
      <c r="G2058" s="135">
        <f t="shared" si="76"/>
        <v>382787.96</v>
      </c>
      <c r="H2058" s="133"/>
      <c r="I2058" s="92"/>
      <c r="J2058" s="133" t="s">
        <v>1051</v>
      </c>
    </row>
    <row r="2059" spans="1:10" hidden="1" outlineLevel="1">
      <c r="A2059" s="418" t="s">
        <v>1054</v>
      </c>
      <c r="B2059" s="492">
        <f>+VLOOKUP(A2059,'Anlage 2a_Letztverbrauch'!$A$1084:$I$1336,9,FALSE)</f>
        <v>963240.65</v>
      </c>
      <c r="C2059" s="88">
        <f>+IF(ISNA(VLOOKUP(A2059,'Anlage 2a_Letztverbrauch'!$A$2788:$C$2795,3,0)),0,VLOOKUP(A2059,'Anlage 2a_Letztverbrauch'!$A$2788:$C$2795,3,0))</f>
        <v>-5287.43</v>
      </c>
      <c r="D2059" s="1726">
        <v>0</v>
      </c>
      <c r="E2059" s="88">
        <f t="shared" si="75"/>
        <v>957953.22</v>
      </c>
      <c r="F2059" s="88">
        <f>+SUMIF('Anlage 2b_Korrekturen'!$B$234:$B$693,'Anlage 3a_Zusammenfassung_KWKG'!A2059,'Anlage 2b_Korrekturen'!$E$234:$E$693)</f>
        <v>0</v>
      </c>
      <c r="G2059" s="135">
        <f t="shared" si="76"/>
        <v>957953.22</v>
      </c>
      <c r="H2059" s="133"/>
      <c r="I2059" s="92"/>
      <c r="J2059" s="133" t="s">
        <v>1055</v>
      </c>
    </row>
    <row r="2060" spans="1:10" hidden="1" outlineLevel="1">
      <c r="A2060" s="418" t="s">
        <v>1056</v>
      </c>
      <c r="B2060" s="492">
        <f>+VLOOKUP(A2060,'Anlage 2a_Letztverbrauch'!$A$1084:$I$1336,9,FALSE)</f>
        <v>291793.36</v>
      </c>
      <c r="C2060" s="88">
        <f>+IF(ISNA(VLOOKUP(A2060,'Anlage 2a_Letztverbrauch'!$A$2788:$C$2795,3,0)),0,VLOOKUP(A2060,'Anlage 2a_Letztverbrauch'!$A$2788:$C$2795,3,0))</f>
        <v>0</v>
      </c>
      <c r="D2060" s="1726">
        <v>0</v>
      </c>
      <c r="E2060" s="88">
        <f t="shared" si="75"/>
        <v>291793.36</v>
      </c>
      <c r="F2060" s="88">
        <f>+SUMIF('Anlage 2b_Korrekturen'!$B$234:$B$693,'Anlage 3a_Zusammenfassung_KWKG'!A2060,'Anlage 2b_Korrekturen'!$E$234:$E$693)</f>
        <v>0</v>
      </c>
      <c r="G2060" s="135">
        <f t="shared" si="76"/>
        <v>291793.36</v>
      </c>
      <c r="H2060" s="133"/>
      <c r="I2060" s="92"/>
      <c r="J2060" s="133" t="s">
        <v>1057</v>
      </c>
    </row>
    <row r="2061" spans="1:10" hidden="1" outlineLevel="1">
      <c r="A2061" s="418" t="s">
        <v>1058</v>
      </c>
      <c r="B2061" s="492">
        <f>+VLOOKUP(A2061,'Anlage 2a_Letztverbrauch'!$A$1084:$I$1336,9,FALSE)</f>
        <v>1220060.26</v>
      </c>
      <c r="C2061" s="88">
        <f>+IF(ISNA(VLOOKUP(A2061,'Anlage 2a_Letztverbrauch'!$A$2788:$C$2795,3,0)),0,VLOOKUP(A2061,'Anlage 2a_Letztverbrauch'!$A$2788:$C$2795,3,0))</f>
        <v>0</v>
      </c>
      <c r="D2061" s="1726">
        <v>0</v>
      </c>
      <c r="E2061" s="88">
        <f t="shared" si="75"/>
        <v>1220060.26</v>
      </c>
      <c r="F2061" s="88">
        <f>+SUMIF('Anlage 2b_Korrekturen'!$B$234:$B$693,'Anlage 3a_Zusammenfassung_KWKG'!A2061,'Anlage 2b_Korrekturen'!$E$234:$E$693)</f>
        <v>-11351.07</v>
      </c>
      <c r="G2061" s="135">
        <f t="shared" si="76"/>
        <v>1208709.19</v>
      </c>
      <c r="H2061" s="133"/>
      <c r="I2061" s="92"/>
      <c r="J2061" s="133" t="s">
        <v>1059</v>
      </c>
    </row>
    <row r="2062" spans="1:10" hidden="1" outlineLevel="1">
      <c r="A2062" s="418" t="s">
        <v>1060</v>
      </c>
      <c r="B2062" s="492">
        <f>+VLOOKUP(A2062,'Anlage 2a_Letztverbrauch'!$A$1084:$I$1336,9,FALSE)</f>
        <v>8380.92</v>
      </c>
      <c r="C2062" s="88">
        <f>+IF(ISNA(VLOOKUP(A2062,'Anlage 2a_Letztverbrauch'!$A$2788:$C$2795,3,0)),0,VLOOKUP(A2062,'Anlage 2a_Letztverbrauch'!$A$2788:$C$2795,3,0))</f>
        <v>0</v>
      </c>
      <c r="D2062" s="1726">
        <v>0</v>
      </c>
      <c r="E2062" s="88">
        <f t="shared" si="75"/>
        <v>8380.92</v>
      </c>
      <c r="F2062" s="88">
        <f>+SUMIF('Anlage 2b_Korrekturen'!$B$234:$B$693,'Anlage 3a_Zusammenfassung_KWKG'!A2062,'Anlage 2b_Korrekturen'!$E$234:$E$693)</f>
        <v>153.38999999999999</v>
      </c>
      <c r="G2062" s="135">
        <f t="shared" si="76"/>
        <v>8534.31</v>
      </c>
      <c r="H2062" s="133"/>
      <c r="I2062" s="92"/>
      <c r="J2062" s="133" t="s">
        <v>1061</v>
      </c>
    </row>
    <row r="2063" spans="1:10" hidden="1" outlineLevel="1">
      <c r="A2063" s="418" t="s">
        <v>1062</v>
      </c>
      <c r="B2063" s="492">
        <f>+VLOOKUP(A2063,'Anlage 2a_Letztverbrauch'!$A$1084:$I$1336,9,FALSE)</f>
        <v>324374.99</v>
      </c>
      <c r="C2063" s="88">
        <f>+IF(ISNA(VLOOKUP(A2063,'Anlage 2a_Letztverbrauch'!$A$2788:$C$2795,3,0)),0,VLOOKUP(A2063,'Anlage 2a_Letztverbrauch'!$A$2788:$C$2795,3,0))</f>
        <v>0</v>
      </c>
      <c r="D2063" s="1726">
        <v>0</v>
      </c>
      <c r="E2063" s="88">
        <f t="shared" si="75"/>
        <v>324374.99</v>
      </c>
      <c r="F2063" s="88">
        <f>+SUMIF('Anlage 2b_Korrekturen'!$B$234:$B$693,'Anlage 3a_Zusammenfassung_KWKG'!A2063,'Anlage 2b_Korrekturen'!$E$234:$E$693)</f>
        <v>12772.689999999999</v>
      </c>
      <c r="G2063" s="135">
        <f t="shared" si="76"/>
        <v>337147.68</v>
      </c>
      <c r="H2063" s="133"/>
      <c r="I2063" s="92"/>
      <c r="J2063" s="133" t="s">
        <v>1063</v>
      </c>
    </row>
    <row r="2064" spans="1:10" hidden="1" outlineLevel="1">
      <c r="A2064" s="418" t="s">
        <v>1064</v>
      </c>
      <c r="B2064" s="492">
        <f>+VLOOKUP(A2064,'Anlage 2a_Letztverbrauch'!$A$1084:$I$1336,9,FALSE)</f>
        <v>1897250.78</v>
      </c>
      <c r="C2064" s="88">
        <f>+IF(ISNA(VLOOKUP(A2064,'Anlage 2a_Letztverbrauch'!$A$2788:$C$2795,3,0)),0,VLOOKUP(A2064,'Anlage 2a_Letztverbrauch'!$A$2788:$C$2795,3,0))</f>
        <v>0</v>
      </c>
      <c r="D2064" s="1726">
        <v>0</v>
      </c>
      <c r="E2064" s="88">
        <f t="shared" si="75"/>
        <v>1897250.78</v>
      </c>
      <c r="F2064" s="88">
        <f>+SUMIF('Anlage 2b_Korrekturen'!$B$234:$B$693,'Anlage 3a_Zusammenfassung_KWKG'!A2064,'Anlage 2b_Korrekturen'!$E$234:$E$693)</f>
        <v>27096.42</v>
      </c>
      <c r="G2064" s="135">
        <f t="shared" si="76"/>
        <v>1924347.2</v>
      </c>
      <c r="H2064" s="133"/>
      <c r="I2064" s="92"/>
      <c r="J2064" s="133" t="s">
        <v>1065</v>
      </c>
    </row>
    <row r="2065" spans="1:10" hidden="1" outlineLevel="1">
      <c r="A2065" s="418" t="s">
        <v>1066</v>
      </c>
      <c r="B2065" s="492">
        <f>+VLOOKUP(A2065,'Anlage 2a_Letztverbrauch'!$A$1084:$I$1336,9,FALSE)</f>
        <v>29756.51</v>
      </c>
      <c r="C2065" s="88">
        <f>+IF(ISNA(VLOOKUP(A2065,'Anlage 2a_Letztverbrauch'!$A$2788:$C$2795,3,0)),0,VLOOKUP(A2065,'Anlage 2a_Letztverbrauch'!$A$2788:$C$2795,3,0))</f>
        <v>0</v>
      </c>
      <c r="D2065" s="1726">
        <v>0</v>
      </c>
      <c r="E2065" s="88">
        <f t="shared" si="75"/>
        <v>29756.51</v>
      </c>
      <c r="F2065" s="88">
        <f>+SUMIF('Anlage 2b_Korrekturen'!$B$234:$B$693,'Anlage 3a_Zusammenfassung_KWKG'!A2065,'Anlage 2b_Korrekturen'!$E$234:$E$693)</f>
        <v>-44.77</v>
      </c>
      <c r="G2065" s="135">
        <f t="shared" si="76"/>
        <v>29711.739999999998</v>
      </c>
      <c r="H2065" s="133"/>
      <c r="I2065" s="92"/>
      <c r="J2065" s="133" t="s">
        <v>1067</v>
      </c>
    </row>
    <row r="2066" spans="1:10" hidden="1" outlineLevel="1">
      <c r="A2066" s="418" t="s">
        <v>1068</v>
      </c>
      <c r="B2066" s="492">
        <f>+VLOOKUP(A2066,'Anlage 2a_Letztverbrauch'!$A$1084:$I$1336,9,FALSE)</f>
        <v>1357244.55</v>
      </c>
      <c r="C2066" s="88">
        <f>+IF(ISNA(VLOOKUP(A2066,'Anlage 2a_Letztverbrauch'!$A$2788:$C$2795,3,0)),0,VLOOKUP(A2066,'Anlage 2a_Letztverbrauch'!$A$2788:$C$2795,3,0))</f>
        <v>0</v>
      </c>
      <c r="D2066" s="1726">
        <v>0</v>
      </c>
      <c r="E2066" s="88">
        <f t="shared" si="75"/>
        <v>1357244.55</v>
      </c>
      <c r="F2066" s="88">
        <f>+SUMIF('Anlage 2b_Korrekturen'!$B$234:$B$693,'Anlage 3a_Zusammenfassung_KWKG'!A2066,'Anlage 2b_Korrekturen'!$E$234:$E$693)</f>
        <v>12379.93</v>
      </c>
      <c r="G2066" s="135">
        <f t="shared" si="76"/>
        <v>1369624.48</v>
      </c>
      <c r="H2066" s="133"/>
      <c r="I2066" s="92"/>
      <c r="J2066" s="133" t="s">
        <v>1069</v>
      </c>
    </row>
    <row r="2067" spans="1:10" hidden="1" outlineLevel="1">
      <c r="A2067" s="418" t="s">
        <v>1070</v>
      </c>
      <c r="B2067" s="492">
        <f>+VLOOKUP(A2067,'Anlage 2a_Letztverbrauch'!$A$1084:$I$1336,9,FALSE)</f>
        <v>252348.33</v>
      </c>
      <c r="C2067" s="88">
        <f>+IF(ISNA(VLOOKUP(A2067,'Anlage 2a_Letztverbrauch'!$A$2788:$C$2795,3,0)),0,VLOOKUP(A2067,'Anlage 2a_Letztverbrauch'!$A$2788:$C$2795,3,0))</f>
        <v>0</v>
      </c>
      <c r="D2067" s="1726">
        <v>0</v>
      </c>
      <c r="E2067" s="88">
        <f t="shared" si="75"/>
        <v>252348.33</v>
      </c>
      <c r="F2067" s="88">
        <f>+SUMIF('Anlage 2b_Korrekturen'!$B$234:$B$693,'Anlage 3a_Zusammenfassung_KWKG'!A2067,'Anlage 2b_Korrekturen'!$E$234:$E$693)</f>
        <v>0</v>
      </c>
      <c r="G2067" s="135">
        <f t="shared" si="76"/>
        <v>252348.33</v>
      </c>
      <c r="H2067" s="133"/>
      <c r="I2067" s="92"/>
      <c r="J2067" s="133" t="s">
        <v>1071</v>
      </c>
    </row>
    <row r="2068" spans="1:10" hidden="1" outlineLevel="1">
      <c r="A2068" s="418" t="s">
        <v>1072</v>
      </c>
      <c r="B2068" s="492">
        <f>+VLOOKUP(A2068,'Anlage 2a_Letztverbrauch'!$A$1084:$I$1336,9,FALSE)</f>
        <v>688227.97</v>
      </c>
      <c r="C2068" s="88">
        <f>+IF(ISNA(VLOOKUP(A2068,'Anlage 2a_Letztverbrauch'!$A$2788:$C$2795,3,0)),0,VLOOKUP(A2068,'Anlage 2a_Letztverbrauch'!$A$2788:$C$2795,3,0))</f>
        <v>0</v>
      </c>
      <c r="D2068" s="1726">
        <v>0</v>
      </c>
      <c r="E2068" s="88">
        <f t="shared" ref="E2068:E2150" si="77">B2068+C2068+D2068</f>
        <v>688227.97</v>
      </c>
      <c r="F2068" s="88">
        <f>+SUMIF('Anlage 2b_Korrekturen'!$B$234:$B$693,'Anlage 3a_Zusammenfassung_KWKG'!A2068,'Anlage 2b_Korrekturen'!$E$234:$E$693)</f>
        <v>-43256.66</v>
      </c>
      <c r="G2068" s="135">
        <f t="shared" ref="G2068:G2150" si="78">E2068+F2068</f>
        <v>644971.30999999994</v>
      </c>
      <c r="H2068" s="133"/>
      <c r="I2068" s="92"/>
      <c r="J2068" s="133" t="s">
        <v>1073</v>
      </c>
    </row>
    <row r="2069" spans="1:10" hidden="1" outlineLevel="1">
      <c r="A2069" s="418" t="s">
        <v>1074</v>
      </c>
      <c r="B2069" s="492">
        <f>+VLOOKUP(A2069,'Anlage 2a_Letztverbrauch'!$A$1084:$I$1336,9,FALSE)</f>
        <v>3435017.79</v>
      </c>
      <c r="C2069" s="88">
        <f>+IF(ISNA(VLOOKUP(A2069,'Anlage 2a_Letztverbrauch'!$A$2788:$C$2795,3,0)),0,VLOOKUP(A2069,'Anlage 2a_Letztverbrauch'!$A$2788:$C$2795,3,0))</f>
        <v>0</v>
      </c>
      <c r="D2069" s="1726">
        <v>0</v>
      </c>
      <c r="E2069" s="88">
        <f t="shared" si="77"/>
        <v>3435017.79</v>
      </c>
      <c r="F2069" s="88">
        <f>+SUMIF('Anlage 2b_Korrekturen'!$B$234:$B$693,'Anlage 3a_Zusammenfassung_KWKG'!A2069,'Anlage 2b_Korrekturen'!$E$234:$E$693)</f>
        <v>-38581.21</v>
      </c>
      <c r="G2069" s="135">
        <f t="shared" si="78"/>
        <v>3396436.58</v>
      </c>
      <c r="H2069" s="133"/>
      <c r="I2069" s="92"/>
      <c r="J2069" s="133" t="s">
        <v>1075</v>
      </c>
    </row>
    <row r="2070" spans="1:10" hidden="1" outlineLevel="1">
      <c r="A2070" s="418" t="s">
        <v>1076</v>
      </c>
      <c r="B2070" s="492">
        <f>+VLOOKUP(A2070,'Anlage 2a_Letztverbrauch'!$A$1084:$I$1336,9,FALSE)</f>
        <v>326550.24</v>
      </c>
      <c r="C2070" s="88">
        <f>+IF(ISNA(VLOOKUP(A2070,'Anlage 2a_Letztverbrauch'!$A$2788:$C$2795,3,0)),0,VLOOKUP(A2070,'Anlage 2a_Letztverbrauch'!$A$2788:$C$2795,3,0))</f>
        <v>0</v>
      </c>
      <c r="D2070" s="1726">
        <v>0</v>
      </c>
      <c r="E2070" s="88">
        <f t="shared" si="77"/>
        <v>326550.24</v>
      </c>
      <c r="F2070" s="88">
        <f>+SUMIF('Anlage 2b_Korrekturen'!$B$234:$B$693,'Anlage 3a_Zusammenfassung_KWKG'!A2070,'Anlage 2b_Korrekturen'!$E$234:$E$693)</f>
        <v>-419.81000000000006</v>
      </c>
      <c r="G2070" s="135">
        <f t="shared" si="78"/>
        <v>326130.43</v>
      </c>
      <c r="H2070" s="133"/>
      <c r="I2070" s="92"/>
      <c r="J2070" s="133" t="s">
        <v>1077</v>
      </c>
    </row>
    <row r="2071" spans="1:10" hidden="1" outlineLevel="1">
      <c r="A2071" s="418" t="s">
        <v>1078</v>
      </c>
      <c r="B2071" s="492">
        <f>+VLOOKUP(A2071,'Anlage 2a_Letztverbrauch'!$A$1084:$I$1336,9,FALSE)</f>
        <v>1391342.76</v>
      </c>
      <c r="C2071" s="88">
        <f>+IF(ISNA(VLOOKUP(A2071,'Anlage 2a_Letztverbrauch'!$A$2788:$C$2795,3,0)),0,VLOOKUP(A2071,'Anlage 2a_Letztverbrauch'!$A$2788:$C$2795,3,0))</f>
        <v>0</v>
      </c>
      <c r="D2071" s="1726">
        <v>0</v>
      </c>
      <c r="E2071" s="88">
        <f t="shared" si="77"/>
        <v>1391342.76</v>
      </c>
      <c r="F2071" s="88">
        <f>+SUMIF('Anlage 2b_Korrekturen'!$B$234:$B$693,'Anlage 3a_Zusammenfassung_KWKG'!A2071,'Anlage 2b_Korrekturen'!$E$234:$E$693)</f>
        <v>0</v>
      </c>
      <c r="G2071" s="135">
        <f t="shared" si="78"/>
        <v>1391342.76</v>
      </c>
      <c r="H2071" s="133"/>
      <c r="I2071" s="92"/>
      <c r="J2071" s="133" t="s">
        <v>1079</v>
      </c>
    </row>
    <row r="2072" spans="1:10" hidden="1" outlineLevel="1">
      <c r="A2072" s="418" t="s">
        <v>1080</v>
      </c>
      <c r="B2072" s="492">
        <f>+VLOOKUP(A2072,'Anlage 2a_Letztverbrauch'!$A$1084:$I$1336,9,FALSE)</f>
        <v>84781.43</v>
      </c>
      <c r="C2072" s="88">
        <f>+IF(ISNA(VLOOKUP(A2072,'Anlage 2a_Letztverbrauch'!$A$2788:$C$2795,3,0)),0,VLOOKUP(A2072,'Anlage 2a_Letztverbrauch'!$A$2788:$C$2795,3,0))</f>
        <v>0</v>
      </c>
      <c r="D2072" s="1726">
        <v>0</v>
      </c>
      <c r="E2072" s="88">
        <f t="shared" si="77"/>
        <v>84781.43</v>
      </c>
      <c r="F2072" s="88">
        <f>+SUMIF('Anlage 2b_Korrekturen'!$B$234:$B$693,'Anlage 3a_Zusammenfassung_KWKG'!A2072,'Anlage 2b_Korrekturen'!$E$234:$E$693)</f>
        <v>357.32</v>
      </c>
      <c r="G2072" s="135">
        <f t="shared" si="78"/>
        <v>85138.75</v>
      </c>
      <c r="H2072" s="133"/>
      <c r="I2072" s="92"/>
      <c r="J2072" s="133" t="s">
        <v>1081</v>
      </c>
    </row>
    <row r="2073" spans="1:10" hidden="1" outlineLevel="1">
      <c r="A2073" s="418" t="s">
        <v>1082</v>
      </c>
      <c r="B2073" s="492">
        <f>+VLOOKUP(A2073,'Anlage 2a_Letztverbrauch'!$A$1084:$I$1336,9,FALSE)</f>
        <v>590576.5</v>
      </c>
      <c r="C2073" s="88">
        <f>+IF(ISNA(VLOOKUP(A2073,'Anlage 2a_Letztverbrauch'!$A$2788:$C$2795,3,0)),0,VLOOKUP(A2073,'Anlage 2a_Letztverbrauch'!$A$2788:$C$2795,3,0))</f>
        <v>0</v>
      </c>
      <c r="D2073" s="1726">
        <v>0</v>
      </c>
      <c r="E2073" s="88">
        <f t="shared" si="77"/>
        <v>590576.5</v>
      </c>
      <c r="F2073" s="88">
        <f>+SUMIF('Anlage 2b_Korrekturen'!$B$234:$B$693,'Anlage 3a_Zusammenfassung_KWKG'!A2073,'Anlage 2b_Korrekturen'!$E$234:$E$693)</f>
        <v>10528.23</v>
      </c>
      <c r="G2073" s="135">
        <f t="shared" si="78"/>
        <v>601104.73</v>
      </c>
      <c r="H2073" s="133"/>
      <c r="I2073" s="92"/>
      <c r="J2073" s="133" t="s">
        <v>1083</v>
      </c>
    </row>
    <row r="2074" spans="1:10" hidden="1" outlineLevel="1">
      <c r="A2074" s="418" t="s">
        <v>1084</v>
      </c>
      <c r="B2074" s="492">
        <f>+VLOOKUP(A2074,'Anlage 2a_Letztverbrauch'!$A$1084:$I$1336,9,FALSE)</f>
        <v>472812.47</v>
      </c>
      <c r="C2074" s="88">
        <f>+IF(ISNA(VLOOKUP(A2074,'Anlage 2a_Letztverbrauch'!$A$2788:$C$2795,3,0)),0,VLOOKUP(A2074,'Anlage 2a_Letztverbrauch'!$A$2788:$C$2795,3,0))</f>
        <v>0</v>
      </c>
      <c r="D2074" s="1726">
        <v>0</v>
      </c>
      <c r="E2074" s="88">
        <f t="shared" si="77"/>
        <v>472812.47</v>
      </c>
      <c r="F2074" s="88">
        <f>+SUMIF('Anlage 2b_Korrekturen'!$B$234:$B$693,'Anlage 3a_Zusammenfassung_KWKG'!A2074,'Anlage 2b_Korrekturen'!$E$234:$E$693)</f>
        <v>0</v>
      </c>
      <c r="G2074" s="135">
        <f t="shared" si="78"/>
        <v>472812.47</v>
      </c>
      <c r="H2074" s="133"/>
      <c r="I2074" s="92"/>
      <c r="J2074" s="133" t="s">
        <v>1085</v>
      </c>
    </row>
    <row r="2075" spans="1:10" hidden="1" outlineLevel="1">
      <c r="A2075" s="418" t="s">
        <v>1086</v>
      </c>
      <c r="B2075" s="492">
        <f>+VLOOKUP(A2075,'Anlage 2a_Letztverbrauch'!$A$1084:$I$1336,9,FALSE)</f>
        <v>227252.77</v>
      </c>
      <c r="C2075" s="88">
        <f>+IF(ISNA(VLOOKUP(A2075,'Anlage 2a_Letztverbrauch'!$A$2788:$C$2795,3,0)),0,VLOOKUP(A2075,'Anlage 2a_Letztverbrauch'!$A$2788:$C$2795,3,0))</f>
        <v>0</v>
      </c>
      <c r="D2075" s="1726">
        <v>0</v>
      </c>
      <c r="E2075" s="88">
        <f t="shared" si="77"/>
        <v>227252.77</v>
      </c>
      <c r="F2075" s="88">
        <f>+SUMIF('Anlage 2b_Korrekturen'!$B$234:$B$693,'Anlage 3a_Zusammenfassung_KWKG'!A2075,'Anlage 2b_Korrekturen'!$E$234:$E$693)</f>
        <v>0</v>
      </c>
      <c r="G2075" s="135">
        <f t="shared" si="78"/>
        <v>227252.77</v>
      </c>
      <c r="H2075" s="133"/>
      <c r="I2075" s="92"/>
      <c r="J2075" s="133" t="s">
        <v>1087</v>
      </c>
    </row>
    <row r="2076" spans="1:10" hidden="1" outlineLevel="1">
      <c r="A2076" s="418" t="s">
        <v>1088</v>
      </c>
      <c r="B2076" s="492">
        <f>+VLOOKUP(A2076,'Anlage 2a_Letztverbrauch'!$A$1084:$I$1336,9,FALSE)</f>
        <v>122473.81</v>
      </c>
      <c r="C2076" s="88">
        <f>+IF(ISNA(VLOOKUP(A2076,'Anlage 2a_Letztverbrauch'!$A$2788:$C$2795,3,0)),0,VLOOKUP(A2076,'Anlage 2a_Letztverbrauch'!$A$2788:$C$2795,3,0))</f>
        <v>0</v>
      </c>
      <c r="D2076" s="1726">
        <v>0</v>
      </c>
      <c r="E2076" s="88">
        <f t="shared" si="77"/>
        <v>122473.81</v>
      </c>
      <c r="F2076" s="88">
        <f>+SUMIF('Anlage 2b_Korrekturen'!$B$234:$B$693,'Anlage 3a_Zusammenfassung_KWKG'!A2076,'Anlage 2b_Korrekturen'!$E$234:$E$693)</f>
        <v>0</v>
      </c>
      <c r="G2076" s="135">
        <f t="shared" si="78"/>
        <v>122473.81</v>
      </c>
      <c r="H2076" s="133"/>
      <c r="I2076" s="92"/>
      <c r="J2076" s="133" t="s">
        <v>1089</v>
      </c>
    </row>
    <row r="2077" spans="1:10" hidden="1" outlineLevel="1">
      <c r="A2077" s="418" t="s">
        <v>1090</v>
      </c>
      <c r="B2077" s="492">
        <f>+VLOOKUP(A2077,'Anlage 2a_Letztverbrauch'!$A$1084:$I$1336,9,FALSE)</f>
        <v>802111.11</v>
      </c>
      <c r="C2077" s="88">
        <f>+IF(ISNA(VLOOKUP(A2077,'Anlage 2a_Letztverbrauch'!$A$2788:$C$2795,3,0)),0,VLOOKUP(A2077,'Anlage 2a_Letztverbrauch'!$A$2788:$C$2795,3,0))</f>
        <v>0</v>
      </c>
      <c r="D2077" s="1726">
        <v>0</v>
      </c>
      <c r="E2077" s="88">
        <f t="shared" si="77"/>
        <v>802111.11</v>
      </c>
      <c r="F2077" s="88">
        <f>+SUMIF('Anlage 2b_Korrekturen'!$B$234:$B$693,'Anlage 3a_Zusammenfassung_KWKG'!A2077,'Anlage 2b_Korrekturen'!$E$234:$E$693)</f>
        <v>-3894.03</v>
      </c>
      <c r="G2077" s="135">
        <f t="shared" si="78"/>
        <v>798217.08</v>
      </c>
      <c r="H2077" s="133"/>
      <c r="I2077" s="92"/>
      <c r="J2077" s="133" t="s">
        <v>1091</v>
      </c>
    </row>
    <row r="2078" spans="1:10" hidden="1" outlineLevel="1">
      <c r="A2078" s="418" t="s">
        <v>1092</v>
      </c>
      <c r="B2078" s="492">
        <f>+VLOOKUP(A2078,'Anlage 2a_Letztverbrauch'!$A$1084:$I$1336,9,FALSE)</f>
        <v>1039167.55</v>
      </c>
      <c r="C2078" s="88">
        <f>+IF(ISNA(VLOOKUP(A2078,'Anlage 2a_Letztverbrauch'!$A$2788:$C$2795,3,0)),0,VLOOKUP(A2078,'Anlage 2a_Letztverbrauch'!$A$2788:$C$2795,3,0))</f>
        <v>0</v>
      </c>
      <c r="D2078" s="1726">
        <v>0</v>
      </c>
      <c r="E2078" s="88">
        <f t="shared" si="77"/>
        <v>1039167.55</v>
      </c>
      <c r="F2078" s="88">
        <f>+SUMIF('Anlage 2b_Korrekturen'!$B$234:$B$693,'Anlage 3a_Zusammenfassung_KWKG'!A2078,'Anlage 2b_Korrekturen'!$E$234:$E$693)</f>
        <v>-12884.02</v>
      </c>
      <c r="G2078" s="135">
        <f t="shared" si="78"/>
        <v>1026283.53</v>
      </c>
      <c r="H2078" s="133"/>
      <c r="I2078" s="92"/>
      <c r="J2078" s="133" t="s">
        <v>1093</v>
      </c>
    </row>
    <row r="2079" spans="1:10" hidden="1" outlineLevel="1">
      <c r="A2079" s="418" t="s">
        <v>1094</v>
      </c>
      <c r="B2079" s="492">
        <f>+VLOOKUP(A2079,'Anlage 2a_Letztverbrauch'!$A$1084:$I$1336,9,FALSE)</f>
        <v>79328.98</v>
      </c>
      <c r="C2079" s="88">
        <f>+IF(ISNA(VLOOKUP(A2079,'Anlage 2a_Letztverbrauch'!$A$2788:$C$2795,3,0)),0,VLOOKUP(A2079,'Anlage 2a_Letztverbrauch'!$A$2788:$C$2795,3,0))</f>
        <v>0</v>
      </c>
      <c r="D2079" s="1726">
        <v>0</v>
      </c>
      <c r="E2079" s="88">
        <f t="shared" si="77"/>
        <v>79328.98</v>
      </c>
      <c r="F2079" s="88">
        <f>+SUMIF('Anlage 2b_Korrekturen'!$B$234:$B$693,'Anlage 3a_Zusammenfassung_KWKG'!A2079,'Anlage 2b_Korrekturen'!$E$234:$E$693)</f>
        <v>-1517</v>
      </c>
      <c r="G2079" s="135">
        <f t="shared" si="78"/>
        <v>77811.98</v>
      </c>
      <c r="H2079" s="133"/>
      <c r="I2079" s="92"/>
      <c r="J2079" s="133" t="s">
        <v>1095</v>
      </c>
    </row>
    <row r="2080" spans="1:10" hidden="1" outlineLevel="1">
      <c r="A2080" s="418" t="s">
        <v>1096</v>
      </c>
      <c r="B2080" s="492">
        <f>+VLOOKUP(A2080,'Anlage 2a_Letztverbrauch'!$A$1084:$I$1336,9,FALSE)</f>
        <v>315789.87</v>
      </c>
      <c r="C2080" s="88">
        <f>+IF(ISNA(VLOOKUP(A2080,'Anlage 2a_Letztverbrauch'!$A$2788:$C$2795,3,0)),0,VLOOKUP(A2080,'Anlage 2a_Letztverbrauch'!$A$2788:$C$2795,3,0))</f>
        <v>0</v>
      </c>
      <c r="D2080" s="1726">
        <v>0</v>
      </c>
      <c r="E2080" s="88">
        <f t="shared" si="77"/>
        <v>315789.87</v>
      </c>
      <c r="F2080" s="88">
        <f>+SUMIF('Anlage 2b_Korrekturen'!$B$234:$B$693,'Anlage 3a_Zusammenfassung_KWKG'!A2080,'Anlage 2b_Korrekturen'!$E$234:$E$693)</f>
        <v>14803.849999999999</v>
      </c>
      <c r="G2080" s="135">
        <f t="shared" si="78"/>
        <v>330593.71999999997</v>
      </c>
      <c r="H2080" s="133"/>
      <c r="I2080" s="92"/>
      <c r="J2080" s="133" t="s">
        <v>1097</v>
      </c>
    </row>
    <row r="2081" spans="1:10" hidden="1" outlineLevel="1">
      <c r="A2081" s="418" t="s">
        <v>1098</v>
      </c>
      <c r="B2081" s="492">
        <f>+VLOOKUP(A2081,'Anlage 2a_Letztverbrauch'!$A$1084:$I$1336,9,FALSE)</f>
        <v>25825.85</v>
      </c>
      <c r="C2081" s="88">
        <f>+IF(ISNA(VLOOKUP(A2081,'Anlage 2a_Letztverbrauch'!$A$2788:$C$2795,3,0)),0,VLOOKUP(A2081,'Anlage 2a_Letztverbrauch'!$A$2788:$C$2795,3,0))</f>
        <v>0</v>
      </c>
      <c r="D2081" s="1726">
        <v>0</v>
      </c>
      <c r="E2081" s="88">
        <f t="shared" si="77"/>
        <v>25825.85</v>
      </c>
      <c r="F2081" s="88">
        <f>+SUMIF('Anlage 2b_Korrekturen'!$B$234:$B$693,'Anlage 3a_Zusammenfassung_KWKG'!A2081,'Anlage 2b_Korrekturen'!$E$234:$E$693)</f>
        <v>285.47000000000003</v>
      </c>
      <c r="G2081" s="135">
        <f t="shared" si="78"/>
        <v>26111.32</v>
      </c>
      <c r="H2081" s="133"/>
      <c r="I2081" s="92"/>
      <c r="J2081" s="133" t="s">
        <v>1099</v>
      </c>
    </row>
    <row r="2082" spans="1:10" hidden="1" outlineLevel="1">
      <c r="A2082" s="418" t="s">
        <v>1100</v>
      </c>
      <c r="B2082" s="492">
        <f>+VLOOKUP(A2082,'Anlage 2a_Letztverbrauch'!$A$1084:$I$1336,9,FALSE)</f>
        <v>3311789.01</v>
      </c>
      <c r="C2082" s="88">
        <f>+IF(ISNA(VLOOKUP(A2082,'Anlage 2a_Letztverbrauch'!$A$2788:$C$2795,3,0)),0,VLOOKUP(A2082,'Anlage 2a_Letztverbrauch'!$A$2788:$C$2795,3,0))</f>
        <v>0</v>
      </c>
      <c r="D2082" s="1726">
        <v>0</v>
      </c>
      <c r="E2082" s="88">
        <f t="shared" si="77"/>
        <v>3311789.01</v>
      </c>
      <c r="F2082" s="88">
        <f>+SUMIF('Anlage 2b_Korrekturen'!$B$234:$B$693,'Anlage 3a_Zusammenfassung_KWKG'!A2082,'Anlage 2b_Korrekturen'!$E$234:$E$693)</f>
        <v>70282.740000000005</v>
      </c>
      <c r="G2082" s="135">
        <f t="shared" si="78"/>
        <v>3382071.75</v>
      </c>
      <c r="H2082" s="133"/>
      <c r="I2082" s="92"/>
      <c r="J2082" s="133" t="s">
        <v>1101</v>
      </c>
    </row>
    <row r="2083" spans="1:10" hidden="1" outlineLevel="1">
      <c r="A2083" s="418" t="s">
        <v>1102</v>
      </c>
      <c r="B2083" s="492">
        <f>+VLOOKUP(A2083,'Anlage 2a_Letztverbrauch'!$A$1084:$I$1336,9,FALSE)</f>
        <v>191014.15</v>
      </c>
      <c r="C2083" s="88">
        <f>+IF(ISNA(VLOOKUP(A2083,'Anlage 2a_Letztverbrauch'!$A$2788:$C$2795,3,0)),0,VLOOKUP(A2083,'Anlage 2a_Letztverbrauch'!$A$2788:$C$2795,3,0))</f>
        <v>0</v>
      </c>
      <c r="D2083" s="1726">
        <v>0</v>
      </c>
      <c r="E2083" s="88">
        <f t="shared" si="77"/>
        <v>191014.15</v>
      </c>
      <c r="F2083" s="88">
        <f>+SUMIF('Anlage 2b_Korrekturen'!$B$234:$B$693,'Anlage 3a_Zusammenfassung_KWKG'!A2083,'Anlage 2b_Korrekturen'!$E$234:$E$693)</f>
        <v>2534.09</v>
      </c>
      <c r="G2083" s="135">
        <f t="shared" si="78"/>
        <v>193548.24</v>
      </c>
      <c r="H2083" s="133"/>
      <c r="I2083" s="92"/>
      <c r="J2083" s="133" t="s">
        <v>1103</v>
      </c>
    </row>
    <row r="2084" spans="1:10" hidden="1" outlineLevel="1">
      <c r="A2084" s="418" t="s">
        <v>1104</v>
      </c>
      <c r="B2084" s="492">
        <f>+VLOOKUP(A2084,'Anlage 2a_Letztverbrauch'!$A$1084:$I$1336,9,FALSE)</f>
        <v>221171.41</v>
      </c>
      <c r="C2084" s="88">
        <f>+IF(ISNA(VLOOKUP(A2084,'Anlage 2a_Letztverbrauch'!$A$2788:$C$2795,3,0)),0,VLOOKUP(A2084,'Anlage 2a_Letztverbrauch'!$A$2788:$C$2795,3,0))</f>
        <v>0</v>
      </c>
      <c r="D2084" s="1726">
        <v>0</v>
      </c>
      <c r="E2084" s="88">
        <f t="shared" si="77"/>
        <v>221171.41</v>
      </c>
      <c r="F2084" s="88">
        <f>+SUMIF('Anlage 2b_Korrekturen'!$B$234:$B$693,'Anlage 3a_Zusammenfassung_KWKG'!A2084,'Anlage 2b_Korrekturen'!$E$234:$E$693)</f>
        <v>2923</v>
      </c>
      <c r="G2084" s="135">
        <f t="shared" si="78"/>
        <v>224094.41</v>
      </c>
      <c r="H2084" s="133"/>
      <c r="I2084" s="92"/>
      <c r="J2084" s="133" t="s">
        <v>1105</v>
      </c>
    </row>
    <row r="2085" spans="1:10" hidden="1" outlineLevel="1">
      <c r="A2085" s="418" t="s">
        <v>1106</v>
      </c>
      <c r="B2085" s="492">
        <f>+VLOOKUP(A2085,'Anlage 2a_Letztverbrauch'!$A$1084:$I$1336,9,FALSE)</f>
        <v>66527.289999999994</v>
      </c>
      <c r="C2085" s="88">
        <f>+IF(ISNA(VLOOKUP(A2085,'Anlage 2a_Letztverbrauch'!$A$2788:$C$2795,3,0)),0,VLOOKUP(A2085,'Anlage 2a_Letztverbrauch'!$A$2788:$C$2795,3,0))</f>
        <v>0</v>
      </c>
      <c r="D2085" s="1726">
        <v>0</v>
      </c>
      <c r="E2085" s="88">
        <f t="shared" si="77"/>
        <v>66527.289999999994</v>
      </c>
      <c r="F2085" s="88">
        <f>+SUMIF('Anlage 2b_Korrekturen'!$B$234:$B$693,'Anlage 3a_Zusammenfassung_KWKG'!A2085,'Anlage 2b_Korrekturen'!$E$234:$E$693)</f>
        <v>0</v>
      </c>
      <c r="G2085" s="135">
        <f t="shared" si="78"/>
        <v>66527.289999999994</v>
      </c>
      <c r="H2085" s="133"/>
      <c r="I2085" s="92"/>
      <c r="J2085" s="133" t="s">
        <v>1107</v>
      </c>
    </row>
    <row r="2086" spans="1:10" hidden="1" outlineLevel="1">
      <c r="A2086" s="418" t="s">
        <v>1108</v>
      </c>
      <c r="B2086" s="492">
        <f>+VLOOKUP(A2086,'Anlage 2a_Letztverbrauch'!$A$1084:$I$1336,9,FALSE)</f>
        <v>941929.17</v>
      </c>
      <c r="C2086" s="88">
        <f>+IF(ISNA(VLOOKUP(A2086,'Anlage 2a_Letztverbrauch'!$A$2788:$C$2795,3,0)),0,VLOOKUP(A2086,'Anlage 2a_Letztverbrauch'!$A$2788:$C$2795,3,0))</f>
        <v>0</v>
      </c>
      <c r="D2086" s="1726">
        <v>0</v>
      </c>
      <c r="E2086" s="88">
        <f t="shared" si="77"/>
        <v>941929.17</v>
      </c>
      <c r="F2086" s="88">
        <f>+SUMIF('Anlage 2b_Korrekturen'!$B$234:$B$693,'Anlage 3a_Zusammenfassung_KWKG'!A2086,'Anlage 2b_Korrekturen'!$E$234:$E$693)</f>
        <v>0</v>
      </c>
      <c r="G2086" s="135">
        <f t="shared" si="78"/>
        <v>941929.17</v>
      </c>
      <c r="H2086" s="133"/>
      <c r="I2086" s="92"/>
      <c r="J2086" s="133" t="s">
        <v>1109</v>
      </c>
    </row>
    <row r="2087" spans="1:10" hidden="1" outlineLevel="1">
      <c r="A2087" s="418" t="s">
        <v>1110</v>
      </c>
      <c r="B2087" s="492">
        <f>+VLOOKUP(A2087,'Anlage 2a_Letztverbrauch'!$A$1084:$I$1336,9,FALSE)</f>
        <v>254763.87</v>
      </c>
      <c r="C2087" s="88">
        <f>+IF(ISNA(VLOOKUP(A2087,'Anlage 2a_Letztverbrauch'!$A$2788:$C$2795,3,0)),0,VLOOKUP(A2087,'Anlage 2a_Letztverbrauch'!$A$2788:$C$2795,3,0))</f>
        <v>0</v>
      </c>
      <c r="D2087" s="1726">
        <v>0</v>
      </c>
      <c r="E2087" s="88">
        <f t="shared" si="77"/>
        <v>254763.87</v>
      </c>
      <c r="F2087" s="88">
        <f>+SUMIF('Anlage 2b_Korrekturen'!$B$234:$B$693,'Anlage 3a_Zusammenfassung_KWKG'!A2087,'Anlage 2b_Korrekturen'!$E$234:$E$693)</f>
        <v>-182.95999999999998</v>
      </c>
      <c r="G2087" s="135">
        <f t="shared" si="78"/>
        <v>254580.91</v>
      </c>
      <c r="H2087" s="133"/>
      <c r="I2087" s="92"/>
      <c r="J2087" s="133" t="s">
        <v>1111</v>
      </c>
    </row>
    <row r="2088" spans="1:10" hidden="1" outlineLevel="1">
      <c r="A2088" s="418" t="s">
        <v>1112</v>
      </c>
      <c r="B2088" s="492">
        <f>+VLOOKUP(A2088,'Anlage 2a_Letztverbrauch'!$A$1084:$I$1336,9,FALSE)</f>
        <v>2635891.87</v>
      </c>
      <c r="C2088" s="88">
        <f>+IF(ISNA(VLOOKUP(A2088,'Anlage 2a_Letztverbrauch'!$A$2788:$C$2795,3,0)),0,VLOOKUP(A2088,'Anlage 2a_Letztverbrauch'!$A$2788:$C$2795,3,0))</f>
        <v>0</v>
      </c>
      <c r="D2088" s="1726">
        <v>0</v>
      </c>
      <c r="E2088" s="88">
        <f t="shared" si="77"/>
        <v>2635891.87</v>
      </c>
      <c r="F2088" s="88">
        <f>+SUMIF('Anlage 2b_Korrekturen'!$B$234:$B$693,'Anlage 3a_Zusammenfassung_KWKG'!A2088,'Anlage 2b_Korrekturen'!$E$234:$E$693)</f>
        <v>0</v>
      </c>
      <c r="G2088" s="135">
        <f t="shared" si="78"/>
        <v>2635891.87</v>
      </c>
      <c r="H2088" s="133"/>
      <c r="I2088" s="92"/>
      <c r="J2088" s="133" t="s">
        <v>1113</v>
      </c>
    </row>
    <row r="2089" spans="1:10" hidden="1" outlineLevel="1">
      <c r="A2089" s="418" t="s">
        <v>1114</v>
      </c>
      <c r="B2089" s="492">
        <f>+VLOOKUP(A2089,'Anlage 2a_Letztverbrauch'!$A$1084:$I$1336,9,FALSE)</f>
        <v>124378.6</v>
      </c>
      <c r="C2089" s="88">
        <f>+IF(ISNA(VLOOKUP(A2089,'Anlage 2a_Letztverbrauch'!$A$2788:$C$2795,3,0)),0,VLOOKUP(A2089,'Anlage 2a_Letztverbrauch'!$A$2788:$C$2795,3,0))</f>
        <v>0</v>
      </c>
      <c r="D2089" s="1726">
        <v>0</v>
      </c>
      <c r="E2089" s="88">
        <f t="shared" si="77"/>
        <v>124378.6</v>
      </c>
      <c r="F2089" s="88">
        <f>+SUMIF('Anlage 2b_Korrekturen'!$B$234:$B$693,'Anlage 3a_Zusammenfassung_KWKG'!A2089,'Anlage 2b_Korrekturen'!$E$234:$E$693)</f>
        <v>-371.8</v>
      </c>
      <c r="G2089" s="135">
        <f t="shared" si="78"/>
        <v>124006.8</v>
      </c>
      <c r="H2089" s="133"/>
      <c r="I2089" s="92"/>
      <c r="J2089" s="133" t="s">
        <v>1115</v>
      </c>
    </row>
    <row r="2090" spans="1:10" hidden="1" outlineLevel="1">
      <c r="A2090" s="418" t="s">
        <v>1116</v>
      </c>
      <c r="B2090" s="492">
        <f>+VLOOKUP(A2090,'Anlage 2a_Letztverbrauch'!$A$1084:$I$1336,9,FALSE)</f>
        <v>344661.34</v>
      </c>
      <c r="C2090" s="88">
        <f>+IF(ISNA(VLOOKUP(A2090,'Anlage 2a_Letztverbrauch'!$A$2788:$C$2795,3,0)),0,VLOOKUP(A2090,'Anlage 2a_Letztverbrauch'!$A$2788:$C$2795,3,0))</f>
        <v>0</v>
      </c>
      <c r="D2090" s="1726">
        <v>0</v>
      </c>
      <c r="E2090" s="88">
        <f t="shared" si="77"/>
        <v>344661.34</v>
      </c>
      <c r="F2090" s="88">
        <f>+SUMIF('Anlage 2b_Korrekturen'!$B$234:$B$693,'Anlage 3a_Zusammenfassung_KWKG'!A2090,'Anlage 2b_Korrekturen'!$E$234:$E$693)</f>
        <v>-3967.4700000000003</v>
      </c>
      <c r="G2090" s="135">
        <f t="shared" si="78"/>
        <v>340693.87000000005</v>
      </c>
      <c r="H2090" s="133"/>
      <c r="I2090" s="92"/>
      <c r="J2090" s="133" t="s">
        <v>1117</v>
      </c>
    </row>
    <row r="2091" spans="1:10" hidden="1" outlineLevel="1">
      <c r="A2091" s="418" t="s">
        <v>1118</v>
      </c>
      <c r="B2091" s="492">
        <f>+VLOOKUP(A2091,'Anlage 2a_Letztverbrauch'!$A$1084:$I$1336,9,FALSE)</f>
        <v>3247483.88</v>
      </c>
      <c r="C2091" s="88">
        <f>+IF(ISNA(VLOOKUP(A2091,'Anlage 2a_Letztverbrauch'!$A$2788:$C$2795,3,0)),0,VLOOKUP(A2091,'Anlage 2a_Letztverbrauch'!$A$2788:$C$2795,3,0))</f>
        <v>0</v>
      </c>
      <c r="D2091" s="1726">
        <v>0</v>
      </c>
      <c r="E2091" s="88">
        <f t="shared" si="77"/>
        <v>3247483.88</v>
      </c>
      <c r="F2091" s="88">
        <f>+SUMIF('Anlage 2b_Korrekturen'!$B$234:$B$693,'Anlage 3a_Zusammenfassung_KWKG'!A2091,'Anlage 2b_Korrekturen'!$E$234:$E$693)</f>
        <v>-6489.62</v>
      </c>
      <c r="G2091" s="135">
        <f t="shared" si="78"/>
        <v>3240994.26</v>
      </c>
      <c r="H2091" s="133"/>
      <c r="I2091" s="92"/>
      <c r="J2091" s="133" t="s">
        <v>1119</v>
      </c>
    </row>
    <row r="2092" spans="1:10" hidden="1" outlineLevel="1">
      <c r="A2092" s="418" t="s">
        <v>1120</v>
      </c>
      <c r="B2092" s="492">
        <f>+VLOOKUP(A2092,'Anlage 2a_Letztverbrauch'!$A$1084:$I$1336,9,FALSE)</f>
        <v>8087128.4100000001</v>
      </c>
      <c r="C2092" s="88">
        <f>+IF(ISNA(VLOOKUP(A2092,'Anlage 2a_Letztverbrauch'!$A$2788:$C$2795,3,0)),0,VLOOKUP(A2092,'Anlage 2a_Letztverbrauch'!$A$2788:$C$2795,3,0))</f>
        <v>-6043404.6699999999</v>
      </c>
      <c r="D2092" s="1726">
        <v>0</v>
      </c>
      <c r="E2092" s="88">
        <f t="shared" si="77"/>
        <v>2043723.7400000002</v>
      </c>
      <c r="F2092" s="88">
        <f>+SUMIF('Anlage 2b_Korrekturen'!$B$234:$B$693,'Anlage 3a_Zusammenfassung_KWKG'!A2092,'Anlage 2b_Korrekturen'!$E$234:$E$693)</f>
        <v>0</v>
      </c>
      <c r="G2092" s="135">
        <f t="shared" si="78"/>
        <v>2043723.7400000002</v>
      </c>
      <c r="H2092" s="133"/>
      <c r="I2092" s="92"/>
      <c r="J2092" s="133" t="s">
        <v>1121</v>
      </c>
    </row>
    <row r="2093" spans="1:10" hidden="1" outlineLevel="1">
      <c r="A2093" s="418" t="s">
        <v>1122</v>
      </c>
      <c r="B2093" s="1646">
        <v>549820.56000000006</v>
      </c>
      <c r="C2093" s="88">
        <f>+IF(ISNA(VLOOKUP(A2093,'Anlage 2a_Letztverbrauch'!$A$2788:$C$2795,3,0)),0,VLOOKUP(A2093,'Anlage 2a_Letztverbrauch'!$A$2788:$C$2795,3,0))</f>
        <v>0</v>
      </c>
      <c r="D2093" s="1726">
        <v>0</v>
      </c>
      <c r="E2093" s="88">
        <f t="shared" si="77"/>
        <v>549820.56000000006</v>
      </c>
      <c r="F2093" s="1647">
        <v>42210.82</v>
      </c>
      <c r="G2093" s="135">
        <f t="shared" si="78"/>
        <v>592031.38</v>
      </c>
      <c r="H2093" s="133"/>
      <c r="I2093" s="92"/>
      <c r="J2093" s="133" t="s">
        <v>1123</v>
      </c>
    </row>
    <row r="2094" spans="1:10" hidden="1" outlineLevel="1">
      <c r="A2094" s="418" t="s">
        <v>1122</v>
      </c>
      <c r="B2094" s="1646">
        <v>441285.62</v>
      </c>
      <c r="C2094" s="88">
        <f>+IF(ISNA(VLOOKUP(A2094,'Anlage 2a_Letztverbrauch'!$A$2788:$C$2795,3,0)),0,VLOOKUP(A2094,'Anlage 2a_Letztverbrauch'!$A$2788:$C$2795,3,0))</f>
        <v>0</v>
      </c>
      <c r="D2094" s="1726">
        <v>0</v>
      </c>
      <c r="E2094" s="88">
        <f t="shared" si="77"/>
        <v>441285.62</v>
      </c>
      <c r="F2094" s="1647">
        <v>7745.5</v>
      </c>
      <c r="G2094" s="135">
        <f t="shared" si="78"/>
        <v>449031.12</v>
      </c>
      <c r="H2094" s="133"/>
      <c r="I2094" s="92"/>
      <c r="J2094" s="133" t="s">
        <v>1123</v>
      </c>
    </row>
    <row r="2095" spans="1:10" hidden="1" outlineLevel="1">
      <c r="A2095" s="418" t="s">
        <v>1124</v>
      </c>
      <c r="B2095" s="492">
        <f>+VLOOKUP(A2095,'Anlage 2a_Letztverbrauch'!$A$1084:$I$1336,9,FALSE)</f>
        <v>13738.78</v>
      </c>
      <c r="C2095" s="88">
        <f>+IF(ISNA(VLOOKUP(A2095,'Anlage 2a_Letztverbrauch'!$A$2788:$C$2795,3,0)),0,VLOOKUP(A2095,'Anlage 2a_Letztverbrauch'!$A$2788:$C$2795,3,0))</f>
        <v>0</v>
      </c>
      <c r="D2095" s="1726">
        <v>0</v>
      </c>
      <c r="E2095" s="88">
        <f t="shared" si="77"/>
        <v>13738.78</v>
      </c>
      <c r="F2095" s="88">
        <f>+SUMIF('Anlage 2b_Korrekturen'!$B$234:$B$693,'Anlage 3a_Zusammenfassung_KWKG'!A2095,'Anlage 2b_Korrekturen'!$E$234:$E$693)</f>
        <v>1387.84</v>
      </c>
      <c r="G2095" s="135">
        <f t="shared" si="78"/>
        <v>15126.62</v>
      </c>
      <c r="H2095" s="133"/>
      <c r="I2095" s="92"/>
      <c r="J2095" s="133" t="s">
        <v>1125</v>
      </c>
    </row>
    <row r="2096" spans="1:10" hidden="1" outlineLevel="1">
      <c r="A2096" s="418" t="s">
        <v>1126</v>
      </c>
      <c r="B2096" s="492">
        <f>+VLOOKUP(A2096,'Anlage 2a_Letztverbrauch'!$A$1084:$I$1336,9,FALSE)</f>
        <v>269215.56</v>
      </c>
      <c r="C2096" s="88">
        <f>+IF(ISNA(VLOOKUP(A2096,'Anlage 2a_Letztverbrauch'!$A$2788:$C$2795,3,0)),0,VLOOKUP(A2096,'Anlage 2a_Letztverbrauch'!$A$2788:$C$2795,3,0))</f>
        <v>0</v>
      </c>
      <c r="D2096" s="1726">
        <v>0</v>
      </c>
      <c r="E2096" s="88">
        <f t="shared" si="77"/>
        <v>269215.56</v>
      </c>
      <c r="F2096" s="88">
        <f>+SUMIF('Anlage 2b_Korrekturen'!$B$234:$B$693,'Anlage 3a_Zusammenfassung_KWKG'!A2096,'Anlage 2b_Korrekturen'!$E$234:$E$693)</f>
        <v>672.05</v>
      </c>
      <c r="G2096" s="135">
        <f t="shared" si="78"/>
        <v>269887.61</v>
      </c>
      <c r="H2096" s="133"/>
      <c r="I2096" s="92"/>
      <c r="J2096" s="133" t="s">
        <v>1127</v>
      </c>
    </row>
    <row r="2097" spans="1:10" hidden="1" outlineLevel="1">
      <c r="A2097" s="418" t="s">
        <v>1128</v>
      </c>
      <c r="B2097" s="492">
        <f>+VLOOKUP(A2097,'Anlage 2a_Letztverbrauch'!$A$1084:$I$1336,9,FALSE)</f>
        <v>2538305.9900000002</v>
      </c>
      <c r="C2097" s="88">
        <f>+IF(ISNA(VLOOKUP(A2097,'Anlage 2a_Letztverbrauch'!$A$2788:$C$2795,3,0)),0,VLOOKUP(A2097,'Anlage 2a_Letztverbrauch'!$A$2788:$C$2795,3,0))</f>
        <v>0</v>
      </c>
      <c r="D2097" s="1726">
        <v>0</v>
      </c>
      <c r="E2097" s="88">
        <f t="shared" si="77"/>
        <v>2538305.9900000002</v>
      </c>
      <c r="F2097" s="88">
        <f>+SUMIF('Anlage 2b_Korrekturen'!$B$234:$B$693,'Anlage 3a_Zusammenfassung_KWKG'!A2097,'Anlage 2b_Korrekturen'!$E$234:$E$693)</f>
        <v>0</v>
      </c>
      <c r="G2097" s="135">
        <f t="shared" si="78"/>
        <v>2538305.9900000002</v>
      </c>
      <c r="H2097" s="133"/>
      <c r="I2097" s="92"/>
      <c r="J2097" s="133" t="s">
        <v>1129</v>
      </c>
    </row>
    <row r="2098" spans="1:10" hidden="1" outlineLevel="1">
      <c r="A2098" s="418" t="s">
        <v>1130</v>
      </c>
      <c r="B2098" s="492">
        <f>+VLOOKUP(A2098,'Anlage 2a_Letztverbrauch'!$A$1084:$I$1336,9,FALSE)</f>
        <v>259298.55</v>
      </c>
      <c r="C2098" s="88">
        <f>+IF(ISNA(VLOOKUP(A2098,'Anlage 2a_Letztverbrauch'!$A$2788:$C$2795,3,0)),0,VLOOKUP(A2098,'Anlage 2a_Letztverbrauch'!$A$2788:$C$2795,3,0))</f>
        <v>0</v>
      </c>
      <c r="D2098" s="1726">
        <v>0</v>
      </c>
      <c r="E2098" s="88">
        <f t="shared" si="77"/>
        <v>259298.55</v>
      </c>
      <c r="F2098" s="88">
        <f>+SUMIF('Anlage 2b_Korrekturen'!$B$234:$B$693,'Anlage 3a_Zusammenfassung_KWKG'!A2098,'Anlage 2b_Korrekturen'!$E$234:$E$693)</f>
        <v>0</v>
      </c>
      <c r="G2098" s="135">
        <f t="shared" si="78"/>
        <v>259298.55</v>
      </c>
      <c r="H2098" s="133"/>
      <c r="I2098" s="92"/>
      <c r="J2098" s="133" t="s">
        <v>1131</v>
      </c>
    </row>
    <row r="2099" spans="1:10" hidden="1" outlineLevel="1">
      <c r="A2099" s="418" t="s">
        <v>1132</v>
      </c>
      <c r="B2099" s="492">
        <f>+VLOOKUP(A2099,'Anlage 2a_Letztverbrauch'!$A$1084:$I$1336,9,FALSE)</f>
        <v>135483.97</v>
      </c>
      <c r="C2099" s="88">
        <f>+IF(ISNA(VLOOKUP(A2099,'Anlage 2a_Letztverbrauch'!$A$2788:$C$2795,3,0)),0,VLOOKUP(A2099,'Anlage 2a_Letztverbrauch'!$A$2788:$C$2795,3,0))</f>
        <v>0</v>
      </c>
      <c r="D2099" s="1726">
        <v>0</v>
      </c>
      <c r="E2099" s="88">
        <f t="shared" si="77"/>
        <v>135483.97</v>
      </c>
      <c r="F2099" s="88">
        <f>+SUMIF('Anlage 2b_Korrekturen'!$B$234:$B$693,'Anlage 3a_Zusammenfassung_KWKG'!A2099,'Anlage 2b_Korrekturen'!$E$234:$E$693)</f>
        <v>0</v>
      </c>
      <c r="G2099" s="135">
        <f t="shared" si="78"/>
        <v>135483.97</v>
      </c>
      <c r="H2099" s="133"/>
      <c r="I2099" s="92"/>
      <c r="J2099" s="133" t="s">
        <v>1133</v>
      </c>
    </row>
    <row r="2100" spans="1:10" hidden="1" outlineLevel="1">
      <c r="A2100" s="418" t="s">
        <v>1134</v>
      </c>
      <c r="B2100" s="492">
        <f>+VLOOKUP(A2100,'Anlage 2a_Letztverbrauch'!$A$1084:$I$1336,9,FALSE)</f>
        <v>158092.47</v>
      </c>
      <c r="C2100" s="88">
        <f>+IF(ISNA(VLOOKUP(A2100,'Anlage 2a_Letztverbrauch'!$A$2788:$C$2795,3,0)),0,VLOOKUP(A2100,'Anlage 2a_Letztverbrauch'!$A$2788:$C$2795,3,0))</f>
        <v>0</v>
      </c>
      <c r="D2100" s="1726">
        <v>0</v>
      </c>
      <c r="E2100" s="88">
        <f t="shared" si="77"/>
        <v>158092.47</v>
      </c>
      <c r="F2100" s="88">
        <f>+SUMIF('Anlage 2b_Korrekturen'!$B$234:$B$693,'Anlage 3a_Zusammenfassung_KWKG'!A2100,'Anlage 2b_Korrekturen'!$E$234:$E$693)</f>
        <v>5561.8</v>
      </c>
      <c r="G2100" s="135">
        <f t="shared" si="78"/>
        <v>163654.26999999999</v>
      </c>
      <c r="H2100" s="133"/>
      <c r="I2100" s="92"/>
      <c r="J2100" s="133" t="s">
        <v>1135</v>
      </c>
    </row>
    <row r="2101" spans="1:10" hidden="1" outlineLevel="1">
      <c r="A2101" s="418" t="s">
        <v>1136</v>
      </c>
      <c r="B2101" s="492">
        <f>+VLOOKUP(A2101,'Anlage 2a_Letztverbrauch'!$A$1084:$I$1336,9,FALSE)</f>
        <v>297293.14</v>
      </c>
      <c r="C2101" s="88">
        <f>+IF(ISNA(VLOOKUP(A2101,'Anlage 2a_Letztverbrauch'!$A$2788:$C$2795,3,0)),0,VLOOKUP(A2101,'Anlage 2a_Letztverbrauch'!$A$2788:$C$2795,3,0))</f>
        <v>0</v>
      </c>
      <c r="D2101" s="1726">
        <v>0</v>
      </c>
      <c r="E2101" s="88">
        <f t="shared" si="77"/>
        <v>297293.14</v>
      </c>
      <c r="F2101" s="88">
        <f>+SUMIF('Anlage 2b_Korrekturen'!$B$234:$B$693,'Anlage 3a_Zusammenfassung_KWKG'!A2101,'Anlage 2b_Korrekturen'!$E$234:$E$693)</f>
        <v>0</v>
      </c>
      <c r="G2101" s="135">
        <f t="shared" si="78"/>
        <v>297293.14</v>
      </c>
      <c r="H2101" s="133"/>
      <c r="I2101" s="92"/>
      <c r="J2101" s="133" t="s">
        <v>1137</v>
      </c>
    </row>
    <row r="2102" spans="1:10" hidden="1" outlineLevel="1">
      <c r="A2102" s="418" t="s">
        <v>1138</v>
      </c>
      <c r="B2102" s="492">
        <f>+VLOOKUP(A2102,'Anlage 2a_Letztverbrauch'!$A$1084:$I$1336,9,FALSE)</f>
        <v>4043234.66</v>
      </c>
      <c r="C2102" s="88">
        <f>+IF(ISNA(VLOOKUP(A2102,'Anlage 2a_Letztverbrauch'!$A$2788:$C$2795,3,0)),0,VLOOKUP(A2102,'Anlage 2a_Letztverbrauch'!$A$2788:$C$2795,3,0))</f>
        <v>0</v>
      </c>
      <c r="D2102" s="1726">
        <v>0</v>
      </c>
      <c r="E2102" s="88">
        <f t="shared" si="77"/>
        <v>4043234.66</v>
      </c>
      <c r="F2102" s="88">
        <f>+SUMIF('Anlage 2b_Korrekturen'!$B$234:$B$693,'Anlage 3a_Zusammenfassung_KWKG'!A2102,'Anlage 2b_Korrekturen'!$E$234:$E$693)</f>
        <v>50852.240000000013</v>
      </c>
      <c r="G2102" s="135">
        <f t="shared" si="78"/>
        <v>4094086.9000000004</v>
      </c>
      <c r="H2102" s="133"/>
      <c r="I2102" s="92"/>
      <c r="J2102" s="133" t="s">
        <v>1139</v>
      </c>
    </row>
    <row r="2103" spans="1:10" hidden="1" outlineLevel="1">
      <c r="A2103" s="418" t="s">
        <v>726</v>
      </c>
      <c r="B2103" s="492">
        <f>+VLOOKUP(A2103,'Anlage 2a_Letztverbrauch'!$A$1084:$I$1336,9,FALSE)</f>
        <v>2173.06</v>
      </c>
      <c r="C2103" s="88">
        <f>+IF(ISNA(VLOOKUP(A2103,'Anlage 2a_Letztverbrauch'!$A$2788:$C$2795,3,0)),0,VLOOKUP(A2103,'Anlage 2a_Letztverbrauch'!$A$2788:$C$2795,3,0))</f>
        <v>0</v>
      </c>
      <c r="D2103" s="1726">
        <v>0</v>
      </c>
      <c r="E2103" s="88">
        <f t="shared" si="77"/>
        <v>2173.06</v>
      </c>
      <c r="F2103" s="88">
        <f>+SUMIF('Anlage 2b_Korrekturen'!$B$234:$B$693,'Anlage 3a_Zusammenfassung_KWKG'!A2103,'Anlage 2b_Korrekturen'!$E$234:$E$693)</f>
        <v>1689.38</v>
      </c>
      <c r="G2103" s="135">
        <f t="shared" si="78"/>
        <v>3862.44</v>
      </c>
      <c r="H2103" s="133"/>
      <c r="I2103" s="92"/>
      <c r="J2103" s="133" t="s">
        <v>727</v>
      </c>
    </row>
    <row r="2104" spans="1:10" hidden="1" outlineLevel="1">
      <c r="A2104" s="418" t="s">
        <v>1140</v>
      </c>
      <c r="B2104" s="492">
        <f>+VLOOKUP(A2104,'Anlage 2a_Letztverbrauch'!$A$1084:$I$1336,9,FALSE)</f>
        <v>3087880.86</v>
      </c>
      <c r="C2104" s="88">
        <f>+IF(ISNA(VLOOKUP(A2104,'Anlage 2a_Letztverbrauch'!$A$2788:$C$2795,3,0)),0,VLOOKUP(A2104,'Anlage 2a_Letztverbrauch'!$A$2788:$C$2795,3,0))</f>
        <v>0</v>
      </c>
      <c r="D2104" s="1726">
        <v>0</v>
      </c>
      <c r="E2104" s="88">
        <f t="shared" si="77"/>
        <v>3087880.86</v>
      </c>
      <c r="F2104" s="88">
        <f>+SUMIF('Anlage 2b_Korrekturen'!$B$234:$B$693,'Anlage 3a_Zusammenfassung_KWKG'!A2104,'Anlage 2b_Korrekturen'!$E$234:$E$693)</f>
        <v>-32024.78</v>
      </c>
      <c r="G2104" s="135">
        <f t="shared" si="78"/>
        <v>3055856.08</v>
      </c>
      <c r="H2104" s="133"/>
      <c r="I2104" s="92"/>
      <c r="J2104" s="133" t="s">
        <v>1141</v>
      </c>
    </row>
    <row r="2105" spans="1:10" hidden="1" outlineLevel="1">
      <c r="A2105" s="418" t="s">
        <v>1142</v>
      </c>
      <c r="B2105" s="492">
        <f>+VLOOKUP(A2105,'Anlage 2a_Letztverbrauch'!$A$1084:$I$1336,9,FALSE)</f>
        <v>5047508.67</v>
      </c>
      <c r="C2105" s="88">
        <f>+IF(ISNA(VLOOKUP(A2105,'Anlage 2a_Letztverbrauch'!$A$2788:$C$2795,3,0)),0,VLOOKUP(A2105,'Anlage 2a_Letztverbrauch'!$A$2788:$C$2795,3,0))</f>
        <v>0</v>
      </c>
      <c r="D2105" s="1726">
        <v>0</v>
      </c>
      <c r="E2105" s="88">
        <f t="shared" si="77"/>
        <v>5047508.67</v>
      </c>
      <c r="F2105" s="88">
        <f>+SUMIF('Anlage 2b_Korrekturen'!$B$234:$B$693,'Anlage 3a_Zusammenfassung_KWKG'!A2105,'Anlage 2b_Korrekturen'!$E$234:$E$693)</f>
        <v>32619.1</v>
      </c>
      <c r="G2105" s="135">
        <f t="shared" si="78"/>
        <v>5080127.7699999996</v>
      </c>
      <c r="H2105" s="133"/>
      <c r="I2105" s="92"/>
      <c r="J2105" s="133" t="s">
        <v>1143</v>
      </c>
    </row>
    <row r="2106" spans="1:10" hidden="1" outlineLevel="1">
      <c r="A2106" s="418" t="s">
        <v>730</v>
      </c>
      <c r="B2106" s="492">
        <f>+VLOOKUP(A2106,'Anlage 2a_Letztverbrauch'!$A$1084:$I$1336,9,FALSE)</f>
        <v>24846.31</v>
      </c>
      <c r="C2106" s="88">
        <f>+IF(ISNA(VLOOKUP(A2106,'Anlage 2a_Letztverbrauch'!$A$2788:$C$2795,3,0)),0,VLOOKUP(A2106,'Anlage 2a_Letztverbrauch'!$A$2788:$C$2795,3,0))</f>
        <v>0</v>
      </c>
      <c r="D2106" s="1726">
        <v>0</v>
      </c>
      <c r="E2106" s="88">
        <f t="shared" si="77"/>
        <v>24846.31</v>
      </c>
      <c r="F2106" s="88">
        <f>+SUMIF('Anlage 2b_Korrekturen'!$B$234:$B$693,'Anlage 3a_Zusammenfassung_KWKG'!A2106,'Anlage 2b_Korrekturen'!$E$234:$E$693)</f>
        <v>4837.6099999999997</v>
      </c>
      <c r="G2106" s="135">
        <f t="shared" si="78"/>
        <v>29683.920000000002</v>
      </c>
      <c r="H2106" s="133"/>
      <c r="I2106" s="92"/>
      <c r="J2106" s="133" t="s">
        <v>731</v>
      </c>
    </row>
    <row r="2107" spans="1:10" hidden="1" outlineLevel="1">
      <c r="A2107" s="418" t="s">
        <v>1144</v>
      </c>
      <c r="B2107" s="492">
        <f>+VLOOKUP(A2107,'Anlage 2a_Letztverbrauch'!$A$1084:$I$1336,9,FALSE)</f>
        <v>329075.13</v>
      </c>
      <c r="C2107" s="88">
        <f>+IF(ISNA(VLOOKUP(A2107,'Anlage 2a_Letztverbrauch'!$A$2788:$C$2795,3,0)),0,VLOOKUP(A2107,'Anlage 2a_Letztverbrauch'!$A$2788:$C$2795,3,0))</f>
        <v>0</v>
      </c>
      <c r="D2107" s="1726">
        <v>0</v>
      </c>
      <c r="E2107" s="88">
        <f t="shared" si="77"/>
        <v>329075.13</v>
      </c>
      <c r="F2107" s="88">
        <f>+SUMIF('Anlage 2b_Korrekturen'!$B$234:$B$693,'Anlage 3a_Zusammenfassung_KWKG'!A2107,'Anlage 2b_Korrekturen'!$E$234:$E$693)</f>
        <v>5583.2800000000007</v>
      </c>
      <c r="G2107" s="135">
        <f t="shared" si="78"/>
        <v>334658.41000000003</v>
      </c>
      <c r="H2107" s="133"/>
      <c r="I2107" s="92"/>
      <c r="J2107" s="133" t="s">
        <v>1145</v>
      </c>
    </row>
    <row r="2108" spans="1:10" hidden="1" outlineLevel="1">
      <c r="A2108" s="418" t="s">
        <v>1146</v>
      </c>
      <c r="B2108" s="492">
        <f>+VLOOKUP(A2108,'Anlage 2a_Letztverbrauch'!$A$1084:$I$1336,9,FALSE)</f>
        <v>583287.22</v>
      </c>
      <c r="C2108" s="88">
        <f>+IF(ISNA(VLOOKUP(A2108,'Anlage 2a_Letztverbrauch'!$A$2788:$C$2795,3,0)),0,VLOOKUP(A2108,'Anlage 2a_Letztverbrauch'!$A$2788:$C$2795,3,0))</f>
        <v>0</v>
      </c>
      <c r="D2108" s="1726">
        <v>0</v>
      </c>
      <c r="E2108" s="88">
        <f t="shared" si="77"/>
        <v>583287.22</v>
      </c>
      <c r="F2108" s="88">
        <f>+SUMIF('Anlage 2b_Korrekturen'!$B$234:$B$693,'Anlage 3a_Zusammenfassung_KWKG'!A2108,'Anlage 2b_Korrekturen'!$E$234:$E$693)</f>
        <v>-1910.72</v>
      </c>
      <c r="G2108" s="135">
        <f t="shared" si="78"/>
        <v>581376.5</v>
      </c>
      <c r="H2108" s="133"/>
      <c r="I2108" s="92"/>
      <c r="J2108" s="133" t="s">
        <v>1147</v>
      </c>
    </row>
    <row r="2109" spans="1:10" hidden="1" outlineLevel="1">
      <c r="A2109" s="418" t="s">
        <v>1148</v>
      </c>
      <c r="B2109" s="492">
        <f>+VLOOKUP(A2109,'Anlage 2a_Letztverbrauch'!$A$1084:$I$1336,9,FALSE)</f>
        <v>176278.64</v>
      </c>
      <c r="C2109" s="88">
        <f>+IF(ISNA(VLOOKUP(A2109,'Anlage 2a_Letztverbrauch'!$A$2788:$C$2795,3,0)),0,VLOOKUP(A2109,'Anlage 2a_Letztverbrauch'!$A$2788:$C$2795,3,0))</f>
        <v>0</v>
      </c>
      <c r="D2109" s="1726">
        <v>0</v>
      </c>
      <c r="E2109" s="88">
        <f t="shared" si="77"/>
        <v>176278.64</v>
      </c>
      <c r="F2109" s="88">
        <f>+SUMIF('Anlage 2b_Korrekturen'!$B$234:$B$693,'Anlage 3a_Zusammenfassung_KWKG'!A2109,'Anlage 2b_Korrekturen'!$E$234:$E$693)</f>
        <v>26204.289999999997</v>
      </c>
      <c r="G2109" s="135">
        <f t="shared" si="78"/>
        <v>202482.93000000002</v>
      </c>
      <c r="H2109" s="133"/>
      <c r="I2109" s="92"/>
      <c r="J2109" s="133" t="s">
        <v>1149</v>
      </c>
    </row>
    <row r="2110" spans="1:10" hidden="1" outlineLevel="1">
      <c r="A2110" s="418" t="s">
        <v>1150</v>
      </c>
      <c r="B2110" s="492">
        <f>+VLOOKUP(A2110,'Anlage 2a_Letztverbrauch'!$A$1084:$I$1336,9,FALSE)</f>
        <v>1195409.3999999999</v>
      </c>
      <c r="C2110" s="88">
        <f>+IF(ISNA(VLOOKUP(A2110,'Anlage 2a_Letztverbrauch'!$A$2788:$C$2795,3,0)),0,VLOOKUP(A2110,'Anlage 2a_Letztverbrauch'!$A$2788:$C$2795,3,0))</f>
        <v>0</v>
      </c>
      <c r="D2110" s="1726">
        <v>0</v>
      </c>
      <c r="E2110" s="88">
        <f t="shared" si="77"/>
        <v>1195409.3999999999</v>
      </c>
      <c r="F2110" s="88">
        <f>+SUMIF('Anlage 2b_Korrekturen'!$B$234:$B$693,'Anlage 3a_Zusammenfassung_KWKG'!A2110,'Anlage 2b_Korrekturen'!$E$234:$E$693)</f>
        <v>-14676.16</v>
      </c>
      <c r="G2110" s="135">
        <f t="shared" si="78"/>
        <v>1180733.24</v>
      </c>
      <c r="H2110" s="133"/>
      <c r="I2110" s="92"/>
      <c r="J2110" s="133" t="s">
        <v>1151</v>
      </c>
    </row>
    <row r="2111" spans="1:10" hidden="1" outlineLevel="1">
      <c r="A2111" s="418" t="s">
        <v>1152</v>
      </c>
      <c r="B2111" s="492">
        <f>+VLOOKUP(A2111,'Anlage 2a_Letztverbrauch'!$A$1084:$I$1336,9,FALSE)</f>
        <v>375592.1</v>
      </c>
      <c r="C2111" s="88">
        <f>+IF(ISNA(VLOOKUP(A2111,'Anlage 2a_Letztverbrauch'!$A$2788:$C$2795,3,0)),0,VLOOKUP(A2111,'Anlage 2a_Letztverbrauch'!$A$2788:$C$2795,3,0))</f>
        <v>0</v>
      </c>
      <c r="D2111" s="1726">
        <v>0</v>
      </c>
      <c r="E2111" s="88">
        <f t="shared" si="77"/>
        <v>375592.1</v>
      </c>
      <c r="F2111" s="88">
        <f>+SUMIF('Anlage 2b_Korrekturen'!$B$234:$B$693,'Anlage 3a_Zusammenfassung_KWKG'!A2111,'Anlage 2b_Korrekturen'!$E$234:$E$693)</f>
        <v>-12366.94</v>
      </c>
      <c r="G2111" s="135">
        <f t="shared" si="78"/>
        <v>363225.16</v>
      </c>
      <c r="H2111" s="133"/>
      <c r="I2111" s="92"/>
      <c r="J2111" s="133" t="s">
        <v>1153</v>
      </c>
    </row>
    <row r="2112" spans="1:10" hidden="1" outlineLevel="1">
      <c r="A2112" s="418" t="s">
        <v>1154</v>
      </c>
      <c r="B2112" s="492">
        <f>+VLOOKUP(A2112,'Anlage 2a_Letztverbrauch'!$A$1084:$I$1336,9,FALSE)</f>
        <v>5000.32</v>
      </c>
      <c r="C2112" s="88">
        <f>+IF(ISNA(VLOOKUP(A2112,'Anlage 2a_Letztverbrauch'!$A$2788:$C$2795,3,0)),0,VLOOKUP(A2112,'Anlage 2a_Letztverbrauch'!$A$2788:$C$2795,3,0))</f>
        <v>0</v>
      </c>
      <c r="D2112" s="1726">
        <v>0</v>
      </c>
      <c r="E2112" s="88">
        <f t="shared" si="77"/>
        <v>5000.32</v>
      </c>
      <c r="F2112" s="88">
        <f>+SUMIF('Anlage 2b_Korrekturen'!$B$234:$B$693,'Anlage 3a_Zusammenfassung_KWKG'!A2112,'Anlage 2b_Korrekturen'!$E$234:$E$693)</f>
        <v>-11.369999999999997</v>
      </c>
      <c r="G2112" s="135">
        <f t="shared" si="78"/>
        <v>4988.95</v>
      </c>
      <c r="H2112" s="133"/>
      <c r="I2112" s="92"/>
      <c r="J2112" s="133" t="s">
        <v>1155</v>
      </c>
    </row>
    <row r="2113" spans="1:10" hidden="1" outlineLevel="1">
      <c r="A2113" s="418" t="s">
        <v>1156</v>
      </c>
      <c r="B2113" s="492">
        <f>+VLOOKUP(A2113,'Anlage 2a_Letztverbrauch'!$A$1084:$I$1336,9,FALSE)</f>
        <v>267529.28000000003</v>
      </c>
      <c r="C2113" s="88">
        <f>+IF(ISNA(VLOOKUP(A2113,'Anlage 2a_Letztverbrauch'!$A$2788:$C$2795,3,0)),0,VLOOKUP(A2113,'Anlage 2a_Letztverbrauch'!$A$2788:$C$2795,3,0))</f>
        <v>0</v>
      </c>
      <c r="D2113" s="1726">
        <v>0</v>
      </c>
      <c r="E2113" s="88">
        <f t="shared" si="77"/>
        <v>267529.28000000003</v>
      </c>
      <c r="F2113" s="88">
        <f>+SUMIF('Anlage 2b_Korrekturen'!$B$234:$B$693,'Anlage 3a_Zusammenfassung_KWKG'!A2113,'Anlage 2b_Korrekturen'!$E$234:$E$693)</f>
        <v>-60.289999999999964</v>
      </c>
      <c r="G2113" s="135">
        <f t="shared" si="78"/>
        <v>267468.99000000005</v>
      </c>
      <c r="H2113" s="133"/>
      <c r="I2113" s="92"/>
      <c r="J2113" s="133" t="s">
        <v>1157</v>
      </c>
    </row>
    <row r="2114" spans="1:10" hidden="1" outlineLevel="1">
      <c r="A2114" s="418" t="s">
        <v>1158</v>
      </c>
      <c r="B2114" s="492">
        <f>+VLOOKUP(A2114,'Anlage 2a_Letztverbrauch'!$A$1084:$I$1336,9,FALSE)</f>
        <v>391105.87</v>
      </c>
      <c r="C2114" s="88">
        <f>+IF(ISNA(VLOOKUP(A2114,'Anlage 2a_Letztverbrauch'!$A$2788:$C$2795,3,0)),0,VLOOKUP(A2114,'Anlage 2a_Letztverbrauch'!$A$2788:$C$2795,3,0))</f>
        <v>0</v>
      </c>
      <c r="D2114" s="1726">
        <v>0</v>
      </c>
      <c r="E2114" s="88">
        <f t="shared" si="77"/>
        <v>391105.87</v>
      </c>
      <c r="F2114" s="88">
        <f>+SUMIF('Anlage 2b_Korrekturen'!$B$234:$B$693,'Anlage 3a_Zusammenfassung_KWKG'!A2114,'Anlage 2b_Korrekturen'!$E$234:$E$693)</f>
        <v>17431.95</v>
      </c>
      <c r="G2114" s="135">
        <f t="shared" si="78"/>
        <v>408537.82</v>
      </c>
      <c r="H2114" s="133"/>
      <c r="I2114" s="92"/>
      <c r="J2114" s="133" t="s">
        <v>1159</v>
      </c>
    </row>
    <row r="2115" spans="1:10" hidden="1" outlineLevel="1">
      <c r="A2115" s="418" t="s">
        <v>1160</v>
      </c>
      <c r="B2115" s="492">
        <f>+VLOOKUP(A2115,'Anlage 2a_Letztverbrauch'!$A$1084:$I$1336,9,FALSE)</f>
        <v>413411.28</v>
      </c>
      <c r="C2115" s="88">
        <f>+IF(ISNA(VLOOKUP(A2115,'Anlage 2a_Letztverbrauch'!$A$2788:$C$2795,3,0)),0,VLOOKUP(A2115,'Anlage 2a_Letztverbrauch'!$A$2788:$C$2795,3,0))</f>
        <v>0</v>
      </c>
      <c r="D2115" s="1726">
        <v>0</v>
      </c>
      <c r="E2115" s="88">
        <f t="shared" si="77"/>
        <v>413411.28</v>
      </c>
      <c r="F2115" s="88">
        <f>+SUMIF('Anlage 2b_Korrekturen'!$B$234:$B$693,'Anlage 3a_Zusammenfassung_KWKG'!A2115,'Anlage 2b_Korrekturen'!$E$234:$E$693)</f>
        <v>-1167.31</v>
      </c>
      <c r="G2115" s="135">
        <f t="shared" si="78"/>
        <v>412243.97000000003</v>
      </c>
      <c r="H2115" s="133"/>
      <c r="I2115" s="92"/>
      <c r="J2115" s="133" t="s">
        <v>1161</v>
      </c>
    </row>
    <row r="2116" spans="1:10" hidden="1" outlineLevel="1">
      <c r="A2116" s="418" t="s">
        <v>1162</v>
      </c>
      <c r="B2116" s="492">
        <f>+VLOOKUP(A2116,'Anlage 2a_Letztverbrauch'!$A$1084:$I$1336,9,FALSE)</f>
        <v>100130.43</v>
      </c>
      <c r="C2116" s="88">
        <f>+IF(ISNA(VLOOKUP(A2116,'Anlage 2a_Letztverbrauch'!$A$2788:$C$2795,3,0)),0,VLOOKUP(A2116,'Anlage 2a_Letztverbrauch'!$A$2788:$C$2795,3,0))</f>
        <v>0</v>
      </c>
      <c r="D2116" s="1726">
        <v>0</v>
      </c>
      <c r="E2116" s="88">
        <f t="shared" si="77"/>
        <v>100130.43</v>
      </c>
      <c r="F2116" s="88">
        <f>+SUMIF('Anlage 2b_Korrekturen'!$B$234:$B$693,'Anlage 3a_Zusammenfassung_KWKG'!A2116,'Anlage 2b_Korrekturen'!$E$234:$E$693)</f>
        <v>-63.95</v>
      </c>
      <c r="G2116" s="135">
        <f t="shared" si="78"/>
        <v>100066.48</v>
      </c>
      <c r="H2116" s="133"/>
      <c r="I2116" s="92"/>
      <c r="J2116" s="133" t="s">
        <v>1163</v>
      </c>
    </row>
    <row r="2117" spans="1:10" hidden="1" outlineLevel="1">
      <c r="A2117" s="418" t="s">
        <v>1164</v>
      </c>
      <c r="B2117" s="492">
        <f>+VLOOKUP(A2117,'Anlage 2a_Letztverbrauch'!$A$1084:$I$1336,9,FALSE)</f>
        <v>47219.54</v>
      </c>
      <c r="C2117" s="88">
        <f>+IF(ISNA(VLOOKUP(A2117,'Anlage 2a_Letztverbrauch'!$A$2788:$C$2795,3,0)),0,VLOOKUP(A2117,'Anlage 2a_Letztverbrauch'!$A$2788:$C$2795,3,0))</f>
        <v>0</v>
      </c>
      <c r="D2117" s="1726">
        <v>0</v>
      </c>
      <c r="E2117" s="88">
        <f t="shared" si="77"/>
        <v>47219.54</v>
      </c>
      <c r="F2117" s="88">
        <f>+SUMIF('Anlage 2b_Korrekturen'!$B$234:$B$693,'Anlage 3a_Zusammenfassung_KWKG'!A2117,'Anlage 2b_Korrekturen'!$E$234:$E$693)</f>
        <v>0</v>
      </c>
      <c r="G2117" s="135">
        <f t="shared" si="78"/>
        <v>47219.54</v>
      </c>
      <c r="H2117" s="133"/>
      <c r="I2117" s="92"/>
      <c r="J2117" s="133" t="s">
        <v>1165</v>
      </c>
    </row>
    <row r="2118" spans="1:10" hidden="1" outlineLevel="1">
      <c r="A2118" s="418" t="s">
        <v>1166</v>
      </c>
      <c r="B2118" s="492">
        <f>+VLOOKUP(A2118,'Anlage 2a_Letztverbrauch'!$A$1084:$I$1336,9,FALSE)</f>
        <v>62885.37</v>
      </c>
      <c r="C2118" s="88">
        <f>+IF(ISNA(VLOOKUP(A2118,'Anlage 2a_Letztverbrauch'!$A$2788:$C$2795,3,0)),0,VLOOKUP(A2118,'Anlage 2a_Letztverbrauch'!$A$2788:$C$2795,3,0))</f>
        <v>0</v>
      </c>
      <c r="D2118" s="1726">
        <v>0</v>
      </c>
      <c r="E2118" s="88">
        <f t="shared" si="77"/>
        <v>62885.37</v>
      </c>
      <c r="F2118" s="88">
        <f>+SUMIF('Anlage 2b_Korrekturen'!$B$234:$B$693,'Anlage 3a_Zusammenfassung_KWKG'!A2118,'Anlage 2b_Korrekturen'!$E$234:$E$693)</f>
        <v>44.26</v>
      </c>
      <c r="G2118" s="135">
        <f t="shared" si="78"/>
        <v>62929.630000000005</v>
      </c>
      <c r="H2118" s="133"/>
      <c r="I2118" s="92"/>
      <c r="J2118" s="133" t="s">
        <v>1167</v>
      </c>
    </row>
    <row r="2119" spans="1:10" hidden="1" outlineLevel="1">
      <c r="A2119" s="418" t="s">
        <v>1168</v>
      </c>
      <c r="B2119" s="492">
        <f>+VLOOKUP(A2119,'Anlage 2a_Letztverbrauch'!$A$1084:$I$1336,9,FALSE)</f>
        <v>150784.29</v>
      </c>
      <c r="C2119" s="88">
        <f>+IF(ISNA(VLOOKUP(A2119,'Anlage 2a_Letztverbrauch'!$A$2788:$C$2795,3,0)),0,VLOOKUP(A2119,'Anlage 2a_Letztverbrauch'!$A$2788:$C$2795,3,0))</f>
        <v>0</v>
      </c>
      <c r="D2119" s="1726">
        <v>0</v>
      </c>
      <c r="E2119" s="88">
        <f t="shared" si="77"/>
        <v>150784.29</v>
      </c>
      <c r="F2119" s="88">
        <f>+SUMIF('Anlage 2b_Korrekturen'!$B$234:$B$693,'Anlage 3a_Zusammenfassung_KWKG'!A2119,'Anlage 2b_Korrekturen'!$E$234:$E$693)</f>
        <v>0</v>
      </c>
      <c r="G2119" s="135">
        <f t="shared" si="78"/>
        <v>150784.29</v>
      </c>
      <c r="H2119" s="133"/>
      <c r="I2119" s="92"/>
      <c r="J2119" s="133" t="s">
        <v>1169</v>
      </c>
    </row>
    <row r="2120" spans="1:10" hidden="1" outlineLevel="1">
      <c r="A2120" s="418" t="s">
        <v>1170</v>
      </c>
      <c r="B2120" s="492">
        <f>+VLOOKUP(A2120,'Anlage 2a_Letztverbrauch'!$A$1084:$I$1336,9,FALSE)</f>
        <v>680773.07</v>
      </c>
      <c r="C2120" s="88">
        <f>+IF(ISNA(VLOOKUP(A2120,'Anlage 2a_Letztverbrauch'!$A$2788:$C$2795,3,0)),0,VLOOKUP(A2120,'Anlage 2a_Letztverbrauch'!$A$2788:$C$2795,3,0))</f>
        <v>0</v>
      </c>
      <c r="D2120" s="1726">
        <v>0</v>
      </c>
      <c r="E2120" s="88">
        <f t="shared" ref="E2120:E2149" si="79">B2120+C2120+D2120</f>
        <v>680773.07</v>
      </c>
      <c r="F2120" s="88">
        <f>+SUMIF('Anlage 2b_Korrekturen'!$B$234:$B$693,'Anlage 3a_Zusammenfassung_KWKG'!A2120,'Anlage 2b_Korrekturen'!$E$234:$E$693)</f>
        <v>-7989.9299999999994</v>
      </c>
      <c r="G2120" s="135">
        <f t="shared" ref="G2120:G2149" si="80">E2120+F2120</f>
        <v>672783.1399999999</v>
      </c>
      <c r="H2120" s="133"/>
      <c r="I2120" s="92"/>
      <c r="J2120" s="133" t="s">
        <v>1171</v>
      </c>
    </row>
    <row r="2121" spans="1:10" hidden="1" outlineLevel="1">
      <c r="A2121" s="418" t="s">
        <v>1172</v>
      </c>
      <c r="B2121" s="492">
        <f>+VLOOKUP(A2121,'Anlage 2a_Letztverbrauch'!$A$1084:$I$1336,9,FALSE)</f>
        <v>389557.64</v>
      </c>
      <c r="C2121" s="88">
        <f>+IF(ISNA(VLOOKUP(A2121,'Anlage 2a_Letztverbrauch'!$A$2788:$C$2795,3,0)),0,VLOOKUP(A2121,'Anlage 2a_Letztverbrauch'!$A$2788:$C$2795,3,0))</f>
        <v>0</v>
      </c>
      <c r="D2121" s="1726">
        <v>0</v>
      </c>
      <c r="E2121" s="88">
        <f t="shared" si="79"/>
        <v>389557.64</v>
      </c>
      <c r="F2121" s="88">
        <f>+SUMIF('Anlage 2b_Korrekturen'!$B$234:$B$693,'Anlage 3a_Zusammenfassung_KWKG'!A2121,'Anlage 2b_Korrekturen'!$E$234:$E$693)</f>
        <v>778.57999999999993</v>
      </c>
      <c r="G2121" s="135">
        <f t="shared" si="80"/>
        <v>390336.22000000003</v>
      </c>
      <c r="H2121" s="133"/>
      <c r="I2121" s="92"/>
      <c r="J2121" s="133" t="s">
        <v>1173</v>
      </c>
    </row>
    <row r="2122" spans="1:10" hidden="1" outlineLevel="1">
      <c r="A2122" s="418" t="s">
        <v>1174</v>
      </c>
      <c r="B2122" s="492">
        <f>+VLOOKUP(A2122,'Anlage 2a_Letztverbrauch'!$A$1084:$I$1336,9,FALSE)</f>
        <v>2273544.79</v>
      </c>
      <c r="C2122" s="88">
        <f>+IF(ISNA(VLOOKUP(A2122,'Anlage 2a_Letztverbrauch'!$A$2788:$C$2795,3,0)),0,VLOOKUP(A2122,'Anlage 2a_Letztverbrauch'!$A$2788:$C$2795,3,0))</f>
        <v>0</v>
      </c>
      <c r="D2122" s="1726">
        <v>0</v>
      </c>
      <c r="E2122" s="88">
        <f t="shared" si="79"/>
        <v>2273544.79</v>
      </c>
      <c r="F2122" s="88">
        <f>+SUMIF('Anlage 2b_Korrekturen'!$B$234:$B$693,'Anlage 3a_Zusammenfassung_KWKG'!A2122,'Anlage 2b_Korrekturen'!$E$234:$E$693)</f>
        <v>-22651.239999999998</v>
      </c>
      <c r="G2122" s="135">
        <f t="shared" si="80"/>
        <v>2250893.5499999998</v>
      </c>
      <c r="H2122" s="133"/>
      <c r="I2122" s="92"/>
      <c r="J2122" s="133" t="s">
        <v>1175</v>
      </c>
    </row>
    <row r="2123" spans="1:10" hidden="1" outlineLevel="1">
      <c r="A2123" s="418" t="s">
        <v>1176</v>
      </c>
      <c r="B2123" s="492">
        <f>+VLOOKUP(A2123,'Anlage 2a_Letztverbrauch'!$A$1084:$I$1336,9,FALSE)</f>
        <v>540362.37</v>
      </c>
      <c r="C2123" s="88">
        <f>+IF(ISNA(VLOOKUP(A2123,'Anlage 2a_Letztverbrauch'!$A$2788:$C$2795,3,0)),0,VLOOKUP(A2123,'Anlage 2a_Letztverbrauch'!$A$2788:$C$2795,3,0))</f>
        <v>0</v>
      </c>
      <c r="D2123" s="1726">
        <v>0</v>
      </c>
      <c r="E2123" s="88">
        <f t="shared" si="79"/>
        <v>540362.37</v>
      </c>
      <c r="F2123" s="88">
        <f>+SUMIF('Anlage 2b_Korrekturen'!$B$234:$B$693,'Anlage 3a_Zusammenfassung_KWKG'!A2123,'Anlage 2b_Korrekturen'!$E$234:$E$693)</f>
        <v>9454.1899999999987</v>
      </c>
      <c r="G2123" s="135">
        <f t="shared" si="80"/>
        <v>549816.55999999994</v>
      </c>
      <c r="H2123" s="133"/>
      <c r="I2123" s="92"/>
      <c r="J2123" s="133" t="s">
        <v>1177</v>
      </c>
    </row>
    <row r="2124" spans="1:10" hidden="1" outlineLevel="1">
      <c r="A2124" s="418" t="s">
        <v>1178</v>
      </c>
      <c r="B2124" s="492">
        <f>+VLOOKUP(A2124,'Anlage 2a_Letztverbrauch'!$A$1084:$I$1336,9,FALSE)</f>
        <v>89037.6</v>
      </c>
      <c r="C2124" s="88">
        <f>+IF(ISNA(VLOOKUP(A2124,'Anlage 2a_Letztverbrauch'!$A$2788:$C$2795,3,0)),0,VLOOKUP(A2124,'Anlage 2a_Letztverbrauch'!$A$2788:$C$2795,3,0))</f>
        <v>0</v>
      </c>
      <c r="D2124" s="1726">
        <v>0</v>
      </c>
      <c r="E2124" s="88">
        <f t="shared" si="79"/>
        <v>89037.6</v>
      </c>
      <c r="F2124" s="88">
        <f>+SUMIF('Anlage 2b_Korrekturen'!$B$234:$B$693,'Anlage 3a_Zusammenfassung_KWKG'!A2124,'Anlage 2b_Korrekturen'!$E$234:$E$693)</f>
        <v>0</v>
      </c>
      <c r="G2124" s="135">
        <f t="shared" si="80"/>
        <v>89037.6</v>
      </c>
      <c r="H2124" s="133"/>
      <c r="I2124" s="92"/>
      <c r="J2124" s="133" t="s">
        <v>1179</v>
      </c>
    </row>
    <row r="2125" spans="1:10" hidden="1" outlineLevel="1">
      <c r="A2125" s="418" t="s">
        <v>1180</v>
      </c>
      <c r="B2125" s="492">
        <f>+VLOOKUP(A2125,'Anlage 2a_Letztverbrauch'!$A$1084:$I$1336,9,FALSE)</f>
        <v>226879.28</v>
      </c>
      <c r="C2125" s="88">
        <f>+IF(ISNA(VLOOKUP(A2125,'Anlage 2a_Letztverbrauch'!$A$2788:$C$2795,3,0)),0,VLOOKUP(A2125,'Anlage 2a_Letztverbrauch'!$A$2788:$C$2795,3,0))</f>
        <v>0</v>
      </c>
      <c r="D2125" s="1726">
        <v>0</v>
      </c>
      <c r="E2125" s="88">
        <f t="shared" si="79"/>
        <v>226879.28</v>
      </c>
      <c r="F2125" s="88">
        <f>+SUMIF('Anlage 2b_Korrekturen'!$B$234:$B$693,'Anlage 3a_Zusammenfassung_KWKG'!A2125,'Anlage 2b_Korrekturen'!$E$234:$E$693)</f>
        <v>0</v>
      </c>
      <c r="G2125" s="135">
        <f t="shared" si="80"/>
        <v>226879.28</v>
      </c>
      <c r="H2125" s="133"/>
      <c r="I2125" s="92"/>
      <c r="J2125" s="133" t="s">
        <v>1181</v>
      </c>
    </row>
    <row r="2126" spans="1:10" hidden="1" outlineLevel="1">
      <c r="A2126" s="418" t="s">
        <v>1182</v>
      </c>
      <c r="B2126" s="492">
        <f>+VLOOKUP(A2126,'Anlage 2a_Letztverbrauch'!$A$1084:$I$1336,9,FALSE)</f>
        <v>435061.94</v>
      </c>
      <c r="C2126" s="88">
        <f>+IF(ISNA(VLOOKUP(A2126,'Anlage 2a_Letztverbrauch'!$A$2788:$C$2795,3,0)),0,VLOOKUP(A2126,'Anlage 2a_Letztverbrauch'!$A$2788:$C$2795,3,0))</f>
        <v>0</v>
      </c>
      <c r="D2126" s="1726">
        <v>0</v>
      </c>
      <c r="E2126" s="88">
        <f t="shared" si="79"/>
        <v>435061.94</v>
      </c>
      <c r="F2126" s="88">
        <f>+SUMIF('Anlage 2b_Korrekturen'!$B$234:$B$693,'Anlage 3a_Zusammenfassung_KWKG'!A2126,'Anlage 2b_Korrekturen'!$E$234:$E$693)</f>
        <v>472.76000000000005</v>
      </c>
      <c r="G2126" s="135">
        <f t="shared" si="80"/>
        <v>435534.7</v>
      </c>
      <c r="H2126" s="133"/>
      <c r="I2126" s="92"/>
      <c r="J2126" s="133" t="s">
        <v>1183</v>
      </c>
    </row>
    <row r="2127" spans="1:10" hidden="1" outlineLevel="1">
      <c r="A2127" s="418" t="s">
        <v>1184</v>
      </c>
      <c r="B2127" s="492">
        <f>+VLOOKUP(A2127,'Anlage 2a_Letztverbrauch'!$A$1084:$I$1336,9,FALSE)</f>
        <v>27255.68</v>
      </c>
      <c r="C2127" s="88">
        <f>+IF(ISNA(VLOOKUP(A2127,'Anlage 2a_Letztverbrauch'!$A$2788:$C$2795,3,0)),0,VLOOKUP(A2127,'Anlage 2a_Letztverbrauch'!$A$2788:$C$2795,3,0))</f>
        <v>0</v>
      </c>
      <c r="D2127" s="1726">
        <v>0</v>
      </c>
      <c r="E2127" s="88">
        <f t="shared" si="79"/>
        <v>27255.68</v>
      </c>
      <c r="F2127" s="88">
        <f>+SUMIF('Anlage 2b_Korrekturen'!$B$234:$B$693,'Anlage 3a_Zusammenfassung_KWKG'!A2127,'Anlage 2b_Korrekturen'!$E$234:$E$693)</f>
        <v>0</v>
      </c>
      <c r="G2127" s="135">
        <f t="shared" si="80"/>
        <v>27255.68</v>
      </c>
      <c r="H2127" s="133"/>
      <c r="I2127" s="92"/>
      <c r="J2127" s="133" t="s">
        <v>1185</v>
      </c>
    </row>
    <row r="2128" spans="1:10" hidden="1" outlineLevel="1">
      <c r="A2128" s="418" t="s">
        <v>1186</v>
      </c>
      <c r="B2128" s="492">
        <f>+VLOOKUP(A2128,'Anlage 2a_Letztverbrauch'!$A$1084:$I$1336,9,FALSE)</f>
        <v>180906.15</v>
      </c>
      <c r="C2128" s="88">
        <f>+IF(ISNA(VLOOKUP(A2128,'Anlage 2a_Letztverbrauch'!$A$2788:$C$2795,3,0)),0,VLOOKUP(A2128,'Anlage 2a_Letztverbrauch'!$A$2788:$C$2795,3,0))</f>
        <v>0</v>
      </c>
      <c r="D2128" s="1726">
        <v>0</v>
      </c>
      <c r="E2128" s="88">
        <f t="shared" si="79"/>
        <v>180906.15</v>
      </c>
      <c r="F2128" s="88">
        <f>+SUMIF('Anlage 2b_Korrekturen'!$B$234:$B$693,'Anlage 3a_Zusammenfassung_KWKG'!A2128,'Anlage 2b_Korrekturen'!$E$234:$E$693)</f>
        <v>9533.2000000000007</v>
      </c>
      <c r="G2128" s="135">
        <f t="shared" si="80"/>
        <v>190439.35</v>
      </c>
      <c r="H2128" s="133"/>
      <c r="I2128" s="92"/>
      <c r="J2128" s="133" t="s">
        <v>1187</v>
      </c>
    </row>
    <row r="2129" spans="1:10" hidden="1" outlineLevel="1">
      <c r="A2129" s="418" t="s">
        <v>1186</v>
      </c>
      <c r="B2129" s="1646">
        <v>30813.96</v>
      </c>
      <c r="C2129" s="88">
        <f>+IF(ISNA(VLOOKUP(A2129,'Anlage 2a_Letztverbrauch'!$A$2788:$C$2795,3,0)),0,VLOOKUP(A2129,'Anlage 2a_Letztverbrauch'!$A$2788:$C$2795,3,0))</f>
        <v>0</v>
      </c>
      <c r="D2129" s="1726">
        <v>0</v>
      </c>
      <c r="E2129" s="88">
        <f t="shared" si="79"/>
        <v>30813.96</v>
      </c>
      <c r="F2129" s="1647">
        <v>0</v>
      </c>
      <c r="G2129" s="135">
        <f t="shared" si="80"/>
        <v>30813.96</v>
      </c>
      <c r="H2129" s="133"/>
      <c r="I2129" s="92"/>
      <c r="J2129" s="133" t="s">
        <v>1187</v>
      </c>
    </row>
    <row r="2130" spans="1:10" hidden="1" outlineLevel="1">
      <c r="A2130" s="418" t="s">
        <v>1186</v>
      </c>
      <c r="B2130" s="1646">
        <v>144431.05000000002</v>
      </c>
      <c r="C2130" s="88">
        <f>+IF(ISNA(VLOOKUP(A2130,'Anlage 2a_Letztverbrauch'!$A$2788:$C$2795,3,0)),0,VLOOKUP(A2130,'Anlage 2a_Letztverbrauch'!$A$2788:$C$2795,3,0))</f>
        <v>0</v>
      </c>
      <c r="D2130" s="1726">
        <v>0</v>
      </c>
      <c r="E2130" s="88">
        <f t="shared" si="79"/>
        <v>144431.05000000002</v>
      </c>
      <c r="F2130" s="1647">
        <v>0</v>
      </c>
      <c r="G2130" s="135">
        <f t="shared" si="80"/>
        <v>144431.05000000002</v>
      </c>
      <c r="H2130" s="133"/>
      <c r="I2130" s="92"/>
      <c r="J2130" s="133" t="s">
        <v>1187</v>
      </c>
    </row>
    <row r="2131" spans="1:10" hidden="1" outlineLevel="1">
      <c r="A2131" s="418" t="s">
        <v>1188</v>
      </c>
      <c r="B2131" s="492">
        <f>+VLOOKUP(A2131,'Anlage 2a_Letztverbrauch'!$A$1084:$I$1336,9,FALSE)</f>
        <v>53990.25</v>
      </c>
      <c r="C2131" s="88">
        <f>+IF(ISNA(VLOOKUP(A2131,'Anlage 2a_Letztverbrauch'!$A$2788:$C$2795,3,0)),0,VLOOKUP(A2131,'Anlage 2a_Letztverbrauch'!$A$2788:$C$2795,3,0))</f>
        <v>0</v>
      </c>
      <c r="D2131" s="1726">
        <v>0</v>
      </c>
      <c r="E2131" s="88">
        <f t="shared" si="79"/>
        <v>53990.25</v>
      </c>
      <c r="F2131" s="88">
        <f>+SUMIF('Anlage 2b_Korrekturen'!$B$234:$B$693,'Anlage 3a_Zusammenfassung_KWKG'!A2131,'Anlage 2b_Korrekturen'!$E$234:$E$693)</f>
        <v>-244.46</v>
      </c>
      <c r="G2131" s="135">
        <f t="shared" si="80"/>
        <v>53745.79</v>
      </c>
      <c r="H2131" s="133"/>
      <c r="I2131" s="92"/>
      <c r="J2131" s="133" t="s">
        <v>1189</v>
      </c>
    </row>
    <row r="2132" spans="1:10" hidden="1" outlineLevel="1">
      <c r="A2132" s="418" t="s">
        <v>1190</v>
      </c>
      <c r="B2132" s="492">
        <f>+VLOOKUP(A2132,'Anlage 2a_Letztverbrauch'!$A$1084:$I$1336,9,FALSE)</f>
        <v>188148.7</v>
      </c>
      <c r="C2132" s="88">
        <f>+IF(ISNA(VLOOKUP(A2132,'Anlage 2a_Letztverbrauch'!$A$2788:$C$2795,3,0)),0,VLOOKUP(A2132,'Anlage 2a_Letztverbrauch'!$A$2788:$C$2795,3,0))</f>
        <v>0</v>
      </c>
      <c r="D2132" s="1726">
        <v>0</v>
      </c>
      <c r="E2132" s="88">
        <f t="shared" si="79"/>
        <v>188148.7</v>
      </c>
      <c r="F2132" s="88">
        <f>+SUMIF('Anlage 2b_Korrekturen'!$B$234:$B$693,'Anlage 3a_Zusammenfassung_KWKG'!A2132,'Anlage 2b_Korrekturen'!$E$234:$E$693)</f>
        <v>4171.93</v>
      </c>
      <c r="G2132" s="135">
        <f t="shared" si="80"/>
        <v>192320.63</v>
      </c>
      <c r="H2132" s="133"/>
      <c r="I2132" s="92"/>
      <c r="J2132" s="133" t="s">
        <v>1191</v>
      </c>
    </row>
    <row r="2133" spans="1:10" hidden="1" outlineLevel="1">
      <c r="A2133" s="418" t="s">
        <v>1192</v>
      </c>
      <c r="B2133" s="492">
        <f>+VLOOKUP(A2133,'Anlage 2a_Letztverbrauch'!$A$1084:$I$1336,9,FALSE)</f>
        <v>90955.56</v>
      </c>
      <c r="C2133" s="88">
        <f>+IF(ISNA(VLOOKUP(A2133,'Anlage 2a_Letztverbrauch'!$A$2788:$C$2795,3,0)),0,VLOOKUP(A2133,'Anlage 2a_Letztverbrauch'!$A$2788:$C$2795,3,0))</f>
        <v>0</v>
      </c>
      <c r="D2133" s="1726">
        <v>0</v>
      </c>
      <c r="E2133" s="88">
        <f t="shared" si="79"/>
        <v>90955.56</v>
      </c>
      <c r="F2133" s="88">
        <f>+SUMIF('Anlage 2b_Korrekturen'!$B$234:$B$693,'Anlage 3a_Zusammenfassung_KWKG'!A2133,'Anlage 2b_Korrekturen'!$E$234:$E$693)</f>
        <v>-1002.27</v>
      </c>
      <c r="G2133" s="135">
        <f t="shared" si="80"/>
        <v>89953.29</v>
      </c>
      <c r="H2133" s="133"/>
      <c r="I2133" s="92"/>
      <c r="J2133" s="133" t="s">
        <v>1193</v>
      </c>
    </row>
    <row r="2134" spans="1:10" hidden="1" outlineLevel="1">
      <c r="A2134" s="418" t="s">
        <v>1194</v>
      </c>
      <c r="B2134" s="492">
        <f>+VLOOKUP(A2134,'Anlage 2a_Letztverbrauch'!$A$1084:$I$1336,9,FALSE)</f>
        <v>103928.13</v>
      </c>
      <c r="C2134" s="88">
        <f>+IF(ISNA(VLOOKUP(A2134,'Anlage 2a_Letztverbrauch'!$A$2788:$C$2795,3,0)),0,VLOOKUP(A2134,'Anlage 2a_Letztverbrauch'!$A$2788:$C$2795,3,0))</f>
        <v>0</v>
      </c>
      <c r="D2134" s="1726">
        <v>0</v>
      </c>
      <c r="E2134" s="88">
        <f t="shared" si="79"/>
        <v>103928.13</v>
      </c>
      <c r="F2134" s="88">
        <f>+SUMIF('Anlage 2b_Korrekturen'!$B$234:$B$693,'Anlage 3a_Zusammenfassung_KWKG'!A2134,'Anlage 2b_Korrekturen'!$E$234:$E$693)</f>
        <v>1121.25</v>
      </c>
      <c r="G2134" s="135">
        <f t="shared" si="80"/>
        <v>105049.38</v>
      </c>
      <c r="H2134" s="133"/>
      <c r="I2134" s="92"/>
      <c r="J2134" s="133" t="s">
        <v>1195</v>
      </c>
    </row>
    <row r="2135" spans="1:10" hidden="1" outlineLevel="1">
      <c r="A2135" s="418" t="s">
        <v>1196</v>
      </c>
      <c r="B2135" s="1646">
        <v>3361993.9</v>
      </c>
      <c r="C2135" s="88">
        <f>+IF(ISNA(VLOOKUP(A2135,'Anlage 2a_Letztverbrauch'!$A$2788:$C$2795,3,0)),0,VLOOKUP(A2135,'Anlage 2a_Letztverbrauch'!$A$2788:$C$2795,3,0))</f>
        <v>0</v>
      </c>
      <c r="D2135" s="1726">
        <v>0</v>
      </c>
      <c r="E2135" s="88">
        <f t="shared" si="79"/>
        <v>3361993.9</v>
      </c>
      <c r="F2135" s="88">
        <f>+SUMIF('Anlage 2b_Korrekturen'!$B$234:$B$693,'Anlage 3a_Zusammenfassung_KWKG'!A2135,'Anlage 2b_Korrekturen'!$E$234:$E$693)</f>
        <v>0</v>
      </c>
      <c r="G2135" s="135">
        <f t="shared" si="80"/>
        <v>3361993.9</v>
      </c>
      <c r="H2135" s="133"/>
      <c r="I2135" s="92"/>
      <c r="J2135" s="133" t="s">
        <v>1197</v>
      </c>
    </row>
    <row r="2136" spans="1:10" hidden="1" outlineLevel="1">
      <c r="A2136" s="418" t="s">
        <v>1198</v>
      </c>
      <c r="B2136" s="492">
        <f>+VLOOKUP(A2136,'Anlage 2a_Letztverbrauch'!$A$1084:$I$1336,9,FALSE)</f>
        <v>257280.55</v>
      </c>
      <c r="C2136" s="88">
        <f>+IF(ISNA(VLOOKUP(A2136,'Anlage 2a_Letztverbrauch'!$A$2788:$C$2795,3,0)),0,VLOOKUP(A2136,'Anlage 2a_Letztverbrauch'!$A$2788:$C$2795,3,0))</f>
        <v>0</v>
      </c>
      <c r="D2136" s="1726">
        <v>0</v>
      </c>
      <c r="E2136" s="88">
        <f t="shared" si="79"/>
        <v>257280.55</v>
      </c>
      <c r="F2136" s="88">
        <f>+SUMIF('Anlage 2b_Korrekturen'!$B$234:$B$693,'Anlage 3a_Zusammenfassung_KWKG'!A2136,'Anlage 2b_Korrekturen'!$E$234:$E$693)</f>
        <v>5253.74</v>
      </c>
      <c r="G2136" s="135">
        <f t="shared" si="80"/>
        <v>262534.28999999998</v>
      </c>
      <c r="H2136" s="133"/>
      <c r="I2136" s="92"/>
      <c r="J2136" s="133" t="s">
        <v>1199</v>
      </c>
    </row>
    <row r="2137" spans="1:10" hidden="1" outlineLevel="1">
      <c r="A2137" s="418" t="s">
        <v>1200</v>
      </c>
      <c r="B2137" s="492">
        <f>+VLOOKUP(A2137,'Anlage 2a_Letztverbrauch'!$A$1084:$I$1336,9,FALSE)</f>
        <v>1163467.05</v>
      </c>
      <c r="C2137" s="88">
        <f>+IF(ISNA(VLOOKUP(A2137,'Anlage 2a_Letztverbrauch'!$A$2788:$C$2795,3,0)),0,VLOOKUP(A2137,'Anlage 2a_Letztverbrauch'!$A$2788:$C$2795,3,0))</f>
        <v>0</v>
      </c>
      <c r="D2137" s="1726">
        <v>0</v>
      </c>
      <c r="E2137" s="88">
        <f t="shared" si="79"/>
        <v>1163467.05</v>
      </c>
      <c r="F2137" s="88">
        <f>+SUMIF('Anlage 2b_Korrekturen'!$B$234:$B$693,'Anlage 3a_Zusammenfassung_KWKG'!A2137,'Anlage 2b_Korrekturen'!$E$234:$E$693)</f>
        <v>-15889.41</v>
      </c>
      <c r="G2137" s="135">
        <f t="shared" si="80"/>
        <v>1147577.6400000001</v>
      </c>
      <c r="H2137" s="133"/>
      <c r="I2137" s="92"/>
      <c r="J2137" s="133" t="s">
        <v>1201</v>
      </c>
    </row>
    <row r="2138" spans="1:10" hidden="1" outlineLevel="1">
      <c r="A2138" s="418" t="s">
        <v>1202</v>
      </c>
      <c r="B2138" s="492">
        <f>+VLOOKUP(A2138,'Anlage 2a_Letztverbrauch'!$A$1084:$I$1336,9,FALSE)</f>
        <v>111022.98</v>
      </c>
      <c r="C2138" s="88">
        <f>+IF(ISNA(VLOOKUP(A2138,'Anlage 2a_Letztverbrauch'!$A$2788:$C$2795,3,0)),0,VLOOKUP(A2138,'Anlage 2a_Letztverbrauch'!$A$2788:$C$2795,3,0))</f>
        <v>0</v>
      </c>
      <c r="D2138" s="1726">
        <v>0</v>
      </c>
      <c r="E2138" s="88">
        <f t="shared" si="79"/>
        <v>111022.98</v>
      </c>
      <c r="F2138" s="88">
        <f>+SUMIF('Anlage 2b_Korrekturen'!$B$234:$B$693,'Anlage 3a_Zusammenfassung_KWKG'!A2138,'Anlage 2b_Korrekturen'!$E$234:$E$693)</f>
        <v>0</v>
      </c>
      <c r="G2138" s="135">
        <f t="shared" si="80"/>
        <v>111022.98</v>
      </c>
      <c r="H2138" s="133"/>
      <c r="I2138" s="92"/>
      <c r="J2138" s="133" t="s">
        <v>1203</v>
      </c>
    </row>
    <row r="2139" spans="1:10" hidden="1" outlineLevel="1">
      <c r="A2139" s="418" t="s">
        <v>1202</v>
      </c>
      <c r="B2139" s="1646">
        <v>13857.66</v>
      </c>
      <c r="C2139" s="88">
        <f>+IF(ISNA(VLOOKUP(A2139,'Anlage 2a_Letztverbrauch'!$A$2788:$C$2795,3,0)),0,VLOOKUP(A2139,'Anlage 2a_Letztverbrauch'!$A$2788:$C$2795,3,0))</f>
        <v>0</v>
      </c>
      <c r="D2139" s="1726">
        <v>0</v>
      </c>
      <c r="E2139" s="88">
        <f t="shared" si="79"/>
        <v>13857.66</v>
      </c>
      <c r="F2139" s="88">
        <f>+SUMIF('Anlage 2b_Korrekturen'!$B$234:$B$693,'Anlage 3a_Zusammenfassung_KWKG'!A2139,'Anlage 2b_Korrekturen'!$E$234:$E$693)</f>
        <v>0</v>
      </c>
      <c r="G2139" s="135">
        <f t="shared" si="80"/>
        <v>13857.66</v>
      </c>
      <c r="H2139" s="133"/>
      <c r="I2139" s="92"/>
      <c r="J2139" s="133" t="s">
        <v>1203</v>
      </c>
    </row>
    <row r="2140" spans="1:10" hidden="1" outlineLevel="1">
      <c r="A2140" s="418" t="s">
        <v>1202</v>
      </c>
      <c r="B2140" s="1646">
        <v>68973.67</v>
      </c>
      <c r="C2140" s="88">
        <f>+IF(ISNA(VLOOKUP(A2140,'Anlage 2a_Letztverbrauch'!$A$2788:$C$2795,3,0)),0,VLOOKUP(A2140,'Anlage 2a_Letztverbrauch'!$A$2788:$C$2795,3,0))</f>
        <v>0</v>
      </c>
      <c r="D2140" s="1726">
        <v>0</v>
      </c>
      <c r="E2140" s="88">
        <f t="shared" si="79"/>
        <v>68973.67</v>
      </c>
      <c r="F2140" s="88">
        <f>+SUMIF('Anlage 2b_Korrekturen'!$B$234:$B$693,'Anlage 3a_Zusammenfassung_KWKG'!A2140,'Anlage 2b_Korrekturen'!$E$234:$E$693)</f>
        <v>0</v>
      </c>
      <c r="G2140" s="135">
        <f t="shared" si="80"/>
        <v>68973.67</v>
      </c>
      <c r="H2140" s="133"/>
      <c r="I2140" s="92"/>
      <c r="J2140" s="133" t="s">
        <v>1203</v>
      </c>
    </row>
    <row r="2141" spans="1:10" hidden="1" outlineLevel="1">
      <c r="A2141" s="418" t="s">
        <v>1204</v>
      </c>
      <c r="B2141" s="492">
        <f>+VLOOKUP(A2141,'Anlage 2a_Letztverbrauch'!$A$1084:$I$1336,9,FALSE)</f>
        <v>11003.09</v>
      </c>
      <c r="C2141" s="88">
        <f>+IF(ISNA(VLOOKUP(A2141,'Anlage 2a_Letztverbrauch'!$A$2788:$C$2795,3,0)),0,VLOOKUP(A2141,'Anlage 2a_Letztverbrauch'!$A$2788:$C$2795,3,0))</f>
        <v>0</v>
      </c>
      <c r="D2141" s="1726">
        <v>0</v>
      </c>
      <c r="E2141" s="88">
        <f t="shared" si="79"/>
        <v>11003.09</v>
      </c>
      <c r="F2141" s="88">
        <f>+SUMIF('Anlage 2b_Korrekturen'!$B$234:$B$693,'Anlage 3a_Zusammenfassung_KWKG'!A2141,'Anlage 2b_Korrekturen'!$E$234:$E$693)</f>
        <v>0</v>
      </c>
      <c r="G2141" s="135">
        <f t="shared" si="80"/>
        <v>11003.09</v>
      </c>
      <c r="H2141" s="133"/>
      <c r="I2141" s="92"/>
      <c r="J2141" s="133" t="s">
        <v>1205</v>
      </c>
    </row>
    <row r="2142" spans="1:10" hidden="1" outlineLevel="1">
      <c r="A2142" s="418" t="s">
        <v>1206</v>
      </c>
      <c r="B2142" s="492">
        <f>+VLOOKUP(A2142,'Anlage 2a_Letztverbrauch'!$A$1084:$I$1336,9,FALSE)</f>
        <v>142405.32999999999</v>
      </c>
      <c r="C2142" s="88">
        <f>+IF(ISNA(VLOOKUP(A2142,'Anlage 2a_Letztverbrauch'!$A$2788:$C$2795,3,0)),0,VLOOKUP(A2142,'Anlage 2a_Letztverbrauch'!$A$2788:$C$2795,3,0))</f>
        <v>0</v>
      </c>
      <c r="D2142" s="1726">
        <v>0</v>
      </c>
      <c r="E2142" s="88">
        <f t="shared" si="79"/>
        <v>142405.32999999999</v>
      </c>
      <c r="F2142" s="88">
        <f>+SUMIF('Anlage 2b_Korrekturen'!$B$234:$B$693,'Anlage 3a_Zusammenfassung_KWKG'!A2142,'Anlage 2b_Korrekturen'!$E$234:$E$693)</f>
        <v>-259.21999999999997</v>
      </c>
      <c r="G2142" s="135">
        <f t="shared" si="80"/>
        <v>142146.10999999999</v>
      </c>
      <c r="H2142" s="133"/>
      <c r="I2142" s="92"/>
      <c r="J2142" s="133" t="s">
        <v>1207</v>
      </c>
    </row>
    <row r="2143" spans="1:10" hidden="1" outlineLevel="1">
      <c r="A2143" s="418" t="s">
        <v>1208</v>
      </c>
      <c r="B2143" s="492">
        <f>+VLOOKUP(A2143,'Anlage 2a_Letztverbrauch'!$A$1084:$I$1336,9,FALSE)</f>
        <v>168571.91</v>
      </c>
      <c r="C2143" s="88">
        <f>+IF(ISNA(VLOOKUP(A2143,'Anlage 2a_Letztverbrauch'!$A$2788:$C$2795,3,0)),0,VLOOKUP(A2143,'Anlage 2a_Letztverbrauch'!$A$2788:$C$2795,3,0))</f>
        <v>0</v>
      </c>
      <c r="D2143" s="1726">
        <v>0</v>
      </c>
      <c r="E2143" s="88">
        <f t="shared" si="79"/>
        <v>168571.91</v>
      </c>
      <c r="F2143" s="88">
        <f>+SUMIF('Anlage 2b_Korrekturen'!$B$234:$B$693,'Anlage 3a_Zusammenfassung_KWKG'!A2143,'Anlage 2b_Korrekturen'!$E$234:$E$693)</f>
        <v>0</v>
      </c>
      <c r="G2143" s="135">
        <f t="shared" si="80"/>
        <v>168571.91</v>
      </c>
      <c r="H2143" s="133"/>
      <c r="I2143" s="92"/>
      <c r="J2143" s="133" t="s">
        <v>1209</v>
      </c>
    </row>
    <row r="2144" spans="1:10" hidden="1" outlineLevel="1">
      <c r="A2144" s="418" t="s">
        <v>1210</v>
      </c>
      <c r="B2144" s="492">
        <f>+VLOOKUP(A2144,'Anlage 2a_Letztverbrauch'!$A$1084:$I$1336,9,FALSE)</f>
        <v>1768718.91</v>
      </c>
      <c r="C2144" s="88">
        <f>+IF(ISNA(VLOOKUP(A2144,'Anlage 2a_Letztverbrauch'!$A$2788:$C$2795,3,0)),0,VLOOKUP(A2144,'Anlage 2a_Letztverbrauch'!$A$2788:$C$2795,3,0))</f>
        <v>0</v>
      </c>
      <c r="D2144" s="1726">
        <v>0</v>
      </c>
      <c r="E2144" s="88">
        <f t="shared" si="79"/>
        <v>1768718.91</v>
      </c>
      <c r="F2144" s="88">
        <f>+SUMIF('Anlage 2b_Korrekturen'!$B$234:$B$693,'Anlage 3a_Zusammenfassung_KWKG'!A2144,'Anlage 2b_Korrekturen'!$E$234:$E$693)</f>
        <v>0</v>
      </c>
      <c r="G2144" s="135">
        <f t="shared" si="80"/>
        <v>1768718.91</v>
      </c>
      <c r="H2144" s="133"/>
      <c r="I2144" s="92"/>
      <c r="J2144" s="133" t="s">
        <v>1211</v>
      </c>
    </row>
    <row r="2145" spans="1:10" hidden="1" outlineLevel="1">
      <c r="A2145" s="418" t="s">
        <v>1212</v>
      </c>
      <c r="B2145" s="492">
        <f>+VLOOKUP(A2145,'Anlage 2a_Letztverbrauch'!$A$1084:$I$1336,9,FALSE)</f>
        <v>128796.23</v>
      </c>
      <c r="C2145" s="88">
        <f>+IF(ISNA(VLOOKUP(A2145,'Anlage 2a_Letztverbrauch'!$A$2788:$C$2795,3,0)),0,VLOOKUP(A2145,'Anlage 2a_Letztverbrauch'!$A$2788:$C$2795,3,0))</f>
        <v>0</v>
      </c>
      <c r="D2145" s="1726">
        <v>0</v>
      </c>
      <c r="E2145" s="88">
        <f t="shared" si="79"/>
        <v>128796.23</v>
      </c>
      <c r="F2145" s="88">
        <f>+SUMIF('Anlage 2b_Korrekturen'!$B$234:$B$693,'Anlage 3a_Zusammenfassung_KWKG'!A2145,'Anlage 2b_Korrekturen'!$E$234:$E$693)</f>
        <v>0</v>
      </c>
      <c r="G2145" s="135">
        <f t="shared" si="80"/>
        <v>128796.23</v>
      </c>
      <c r="H2145" s="133"/>
      <c r="I2145" s="92"/>
      <c r="J2145" s="133" t="s">
        <v>1213</v>
      </c>
    </row>
    <row r="2146" spans="1:10" hidden="1" outlineLevel="1">
      <c r="A2146" s="418" t="s">
        <v>1214</v>
      </c>
      <c r="B2146" s="492">
        <f>+VLOOKUP(A2146,'Anlage 2a_Letztverbrauch'!$A$1084:$I$1336,9,FALSE)</f>
        <v>322317.33</v>
      </c>
      <c r="C2146" s="88">
        <f>+IF(ISNA(VLOOKUP(A2146,'Anlage 2a_Letztverbrauch'!$A$2788:$C$2795,3,0)),0,VLOOKUP(A2146,'Anlage 2a_Letztverbrauch'!$A$2788:$C$2795,3,0))</f>
        <v>0</v>
      </c>
      <c r="D2146" s="1726">
        <v>0</v>
      </c>
      <c r="E2146" s="88">
        <f t="shared" si="79"/>
        <v>322317.33</v>
      </c>
      <c r="F2146" s="88">
        <f>+SUMIF('Anlage 2b_Korrekturen'!$B$234:$B$693,'Anlage 3a_Zusammenfassung_KWKG'!A2146,'Anlage 2b_Korrekturen'!$E$234:$E$693)</f>
        <v>0</v>
      </c>
      <c r="G2146" s="135">
        <f t="shared" si="80"/>
        <v>322317.33</v>
      </c>
      <c r="H2146" s="133"/>
      <c r="I2146" s="92"/>
      <c r="J2146" s="133" t="s">
        <v>1215</v>
      </c>
    </row>
    <row r="2147" spans="1:10" hidden="1" outlineLevel="1">
      <c r="A2147" s="418" t="s">
        <v>768</v>
      </c>
      <c r="B2147" s="492">
        <f>+VLOOKUP(A2147,'Anlage 2a_Letztverbrauch'!$A$1084:$I$1336,9,FALSE)</f>
        <v>76353.62</v>
      </c>
      <c r="C2147" s="88">
        <f>+IF(ISNA(VLOOKUP(A2147,'Anlage 2a_Letztverbrauch'!$A$2788:$C$2795,3,0)),0,VLOOKUP(A2147,'Anlage 2a_Letztverbrauch'!$A$2788:$C$2795,3,0))</f>
        <v>0</v>
      </c>
      <c r="D2147" s="1726">
        <v>0</v>
      </c>
      <c r="E2147" s="88">
        <f t="shared" si="79"/>
        <v>76353.62</v>
      </c>
      <c r="F2147" s="88">
        <f>+SUMIF('Anlage 2b_Korrekturen'!$B$234:$B$693,'Anlage 3a_Zusammenfassung_KWKG'!A2147,'Anlage 2b_Korrekturen'!$E$234:$E$693)</f>
        <v>-303.33</v>
      </c>
      <c r="G2147" s="135">
        <f t="shared" si="80"/>
        <v>76050.289999999994</v>
      </c>
      <c r="H2147" s="133"/>
      <c r="I2147" s="92"/>
      <c r="J2147" s="133" t="s">
        <v>769</v>
      </c>
    </row>
    <row r="2148" spans="1:10" hidden="1" outlineLevel="1">
      <c r="A2148" s="418" t="s">
        <v>1216</v>
      </c>
      <c r="B2148" s="492">
        <f>+VLOOKUP(A2148,'Anlage 2a_Letztverbrauch'!$A$1084:$I$1336,9,FALSE)</f>
        <v>34664.19</v>
      </c>
      <c r="C2148" s="88">
        <f>+IF(ISNA(VLOOKUP(A2148,'Anlage 2a_Letztverbrauch'!$A$2788:$C$2795,3,0)),0,VLOOKUP(A2148,'Anlage 2a_Letztverbrauch'!$A$2788:$C$2795,3,0))</f>
        <v>0</v>
      </c>
      <c r="D2148" s="1726">
        <v>0</v>
      </c>
      <c r="E2148" s="88">
        <f t="shared" si="79"/>
        <v>34664.19</v>
      </c>
      <c r="F2148" s="88">
        <f>+SUMIF('Anlage 2b_Korrekturen'!$B$234:$B$693,'Anlage 3a_Zusammenfassung_KWKG'!A2148,'Anlage 2b_Korrekturen'!$E$234:$E$693)</f>
        <v>243.6</v>
      </c>
      <c r="G2148" s="135">
        <f t="shared" si="80"/>
        <v>34907.79</v>
      </c>
      <c r="H2148" s="133"/>
      <c r="I2148" s="92"/>
      <c r="J2148" s="133" t="s">
        <v>1217</v>
      </c>
    </row>
    <row r="2149" spans="1:10" hidden="1" outlineLevel="1">
      <c r="A2149" s="418" t="s">
        <v>1218</v>
      </c>
      <c r="B2149" s="492">
        <f>+VLOOKUP(A2149,'Anlage 2a_Letztverbrauch'!$A$1084:$I$1336,9,FALSE)</f>
        <v>403345.76</v>
      </c>
      <c r="C2149" s="88">
        <f>+IF(ISNA(VLOOKUP(A2149,'Anlage 2a_Letztverbrauch'!$A$2788:$C$2795,3,0)),0,VLOOKUP(A2149,'Anlage 2a_Letztverbrauch'!$A$2788:$C$2795,3,0))</f>
        <v>0</v>
      </c>
      <c r="D2149" s="1726">
        <v>0</v>
      </c>
      <c r="E2149" s="88">
        <f t="shared" si="79"/>
        <v>403345.76</v>
      </c>
      <c r="F2149" s="88">
        <f>+SUMIF('Anlage 2b_Korrekturen'!$B$234:$B$693,'Anlage 3a_Zusammenfassung_KWKG'!A2149,'Anlage 2b_Korrekturen'!$E$234:$E$693)</f>
        <v>0</v>
      </c>
      <c r="G2149" s="135">
        <f t="shared" si="80"/>
        <v>403345.76</v>
      </c>
      <c r="H2149" s="133"/>
      <c r="I2149" s="92"/>
      <c r="J2149" s="133" t="s">
        <v>1219</v>
      </c>
    </row>
    <row r="2150" spans="1:10" hidden="1" outlineLevel="1">
      <c r="A2150" s="418" t="s">
        <v>2074</v>
      </c>
      <c r="B2150" s="492">
        <v>0</v>
      </c>
      <c r="C2150" s="88">
        <v>0</v>
      </c>
      <c r="D2150" s="1726">
        <v>0</v>
      </c>
      <c r="E2150" s="88">
        <f t="shared" si="77"/>
        <v>0</v>
      </c>
      <c r="F2150" s="88">
        <f>+SUMIF('Anlage 2b_Korrekturen'!$B$234:$B$693,'Anlage 3a_Zusammenfassung_KWKG'!A2150,'Anlage 2b_Korrekturen'!$E$234:$E$693)</f>
        <v>30931.63</v>
      </c>
      <c r="G2150" s="135">
        <f t="shared" si="78"/>
        <v>30931.63</v>
      </c>
      <c r="H2150" s="133"/>
      <c r="I2150" s="92"/>
      <c r="J2150" s="133" t="s">
        <v>2075</v>
      </c>
    </row>
    <row r="2151" spans="1:10" collapsed="1">
      <c r="A2151" s="418" t="str">
        <f>A403</f>
        <v>Regelzone TenneT (gesamt)</v>
      </c>
      <c r="B2151" s="1725">
        <f>SUM(B2152:B2518)</f>
        <v>281149056.73863006</v>
      </c>
      <c r="C2151" s="1726">
        <f>SUM(C2152:C2518)</f>
        <v>-4529921.5299999993</v>
      </c>
      <c r="D2151" s="1726">
        <f>SUM(D2152:D2518)</f>
        <v>28.59</v>
      </c>
      <c r="E2151" s="1726">
        <f t="shared" ref="E2151:E2196" si="81">B2151+C2151+D2151</f>
        <v>276619163.79863006</v>
      </c>
      <c r="F2151" s="1726">
        <f>SUM(F2152:F2520)</f>
        <v>-86465.055237039909</v>
      </c>
      <c r="G2151" s="135">
        <f t="shared" ref="G2151:G2196" si="82">E2151+F2151</f>
        <v>276532698.743393</v>
      </c>
      <c r="H2151" s="133"/>
    </row>
    <row r="2152" spans="1:10" hidden="1" outlineLevel="1">
      <c r="A2152" s="418" t="s">
        <v>2193</v>
      </c>
      <c r="B2152" s="1574">
        <f>+VLOOKUP(A2152,'Anlage 2a_Letztverbrauch'!$A$1338:$I$1704,9,FALSE)</f>
        <v>16342.85</v>
      </c>
      <c r="C2152" s="88">
        <f>IFERROR(+VLOOKUP(A2152,'Anlage 2a_Letztverbrauch'!$A$2797:$I$2816,3,FALSE),0)</f>
        <v>0</v>
      </c>
      <c r="D2152" s="1576">
        <v>0</v>
      </c>
      <c r="E2152" s="1575">
        <f t="shared" si="81"/>
        <v>16342.85</v>
      </c>
      <c r="F2152" s="88">
        <f>+SUMIF('Anlage 2b_Korrekturen'!$B$700:$B$1160,A2152,'Anlage 2b_Korrekturen'!$E$700:$E$1160)</f>
        <v>0</v>
      </c>
      <c r="G2152" s="925">
        <f t="shared" si="82"/>
        <v>16342.85</v>
      </c>
      <c r="H2152" s="133" t="s">
        <v>2194</v>
      </c>
    </row>
    <row r="2153" spans="1:10" hidden="1" outlineLevel="1">
      <c r="A2153" s="418" t="s">
        <v>1738</v>
      </c>
      <c r="B2153" s="1574">
        <f>+VLOOKUP(A2153,'Anlage 2a_Letztverbrauch'!$A$1338:$I$1704,9,FALSE)</f>
        <v>53923.56</v>
      </c>
      <c r="C2153" s="88">
        <f>IFERROR(+VLOOKUP(A2153,'Anlage 2a_Letztverbrauch'!$A$2797:$I$2816,3,FALSE),0)</f>
        <v>0</v>
      </c>
      <c r="D2153" s="88">
        <v>0</v>
      </c>
      <c r="E2153" s="88">
        <f t="shared" si="81"/>
        <v>53923.56</v>
      </c>
      <c r="F2153" s="88">
        <f>+SUMIF('Anlage 2b_Korrekturen'!$B$700:$B$1160,A2153,'Anlage 2b_Korrekturen'!$E$700:$E$1160)</f>
        <v>0</v>
      </c>
      <c r="G2153" s="135">
        <f t="shared" si="82"/>
        <v>53923.56</v>
      </c>
      <c r="H2153" s="133" t="s">
        <v>1739</v>
      </c>
    </row>
    <row r="2154" spans="1:10" hidden="1" outlineLevel="1">
      <c r="A2154" s="418" t="s">
        <v>1812</v>
      </c>
      <c r="B2154" s="1574">
        <f>+VLOOKUP(A2154,'Anlage 2a_Letztverbrauch'!$A$1338:$I$1704,9,FALSE)</f>
        <v>87483.04</v>
      </c>
      <c r="C2154" s="88">
        <f>IFERROR(+VLOOKUP(A2154,'Anlage 2a_Letztverbrauch'!$A$2797:$I$2816,3,FALSE),0)</f>
        <v>0</v>
      </c>
      <c r="D2154" s="88">
        <v>0</v>
      </c>
      <c r="E2154" s="88">
        <f t="shared" si="81"/>
        <v>87483.04</v>
      </c>
      <c r="F2154" s="88">
        <f>+SUMIF('Anlage 2b_Korrekturen'!$B$700:$B$1160,A2154,'Anlage 2b_Korrekturen'!$E$700:$E$1160)</f>
        <v>280.07</v>
      </c>
      <c r="G2154" s="135">
        <f t="shared" si="82"/>
        <v>87763.11</v>
      </c>
      <c r="H2154" s="133" t="s">
        <v>1813</v>
      </c>
    </row>
    <row r="2155" spans="1:10" hidden="1" outlineLevel="1">
      <c r="A2155" s="418" t="s">
        <v>1246</v>
      </c>
      <c r="B2155" s="1574">
        <f>+VLOOKUP(A2155,'Anlage 2a_Letztverbrauch'!$A$1338:$I$1704,9,FALSE)</f>
        <v>66052.5</v>
      </c>
      <c r="C2155" s="88">
        <f>IFERROR(+VLOOKUP(A2155,'Anlage 2a_Letztverbrauch'!$A$2797:$I$2816,3,FALSE),0)</f>
        <v>0</v>
      </c>
      <c r="D2155" s="88">
        <v>0</v>
      </c>
      <c r="E2155" s="88">
        <f t="shared" si="81"/>
        <v>66052.5</v>
      </c>
      <c r="F2155" s="88">
        <f>+SUMIF('Anlage 2b_Korrekturen'!$B$700:$B$1160,A2155,'Anlage 2b_Korrekturen'!$E$700:$E$1160)</f>
        <v>-314.20000000000005</v>
      </c>
      <c r="G2155" s="135">
        <f t="shared" si="82"/>
        <v>65738.3</v>
      </c>
      <c r="H2155" s="133" t="s">
        <v>1247</v>
      </c>
    </row>
    <row r="2156" spans="1:10" hidden="1" outlineLevel="1">
      <c r="A2156" s="418" t="s">
        <v>1582</v>
      </c>
      <c r="B2156" s="1574">
        <f>+VLOOKUP(A2156,'Anlage 2a_Letztverbrauch'!$A$1338:$I$1704,9,FALSE)</f>
        <v>112200.27</v>
      </c>
      <c r="C2156" s="88">
        <f>IFERROR(+VLOOKUP(A2156,'Anlage 2a_Letztverbrauch'!$A$2797:$I$2816,3,FALSE),0)</f>
        <v>0</v>
      </c>
      <c r="D2156" s="88">
        <v>0</v>
      </c>
      <c r="E2156" s="88">
        <f t="shared" si="81"/>
        <v>112200.27</v>
      </c>
      <c r="F2156" s="88">
        <f>+SUMIF('Anlage 2b_Korrekturen'!$B$700:$B$1160,A2156,'Anlage 2b_Korrekturen'!$E$700:$E$1160)</f>
        <v>2127.87</v>
      </c>
      <c r="G2156" s="135">
        <f t="shared" si="82"/>
        <v>114328.14</v>
      </c>
      <c r="H2156" s="133" t="s">
        <v>1583</v>
      </c>
    </row>
    <row r="2157" spans="1:10" hidden="1" outlineLevel="1">
      <c r="A2157" s="418" t="s">
        <v>1518</v>
      </c>
      <c r="B2157" s="1574">
        <f>+VLOOKUP(A2157,'Anlage 2a_Letztverbrauch'!$A$1338:$I$1704,9,FALSE)</f>
        <v>222590.31</v>
      </c>
      <c r="C2157" s="88">
        <f>IFERROR(+VLOOKUP(A2157,'Anlage 2a_Letztverbrauch'!$A$2797:$I$2816,3,FALSE),0)</f>
        <v>0</v>
      </c>
      <c r="D2157" s="88">
        <v>0</v>
      </c>
      <c r="E2157" s="88">
        <f t="shared" si="81"/>
        <v>222590.31</v>
      </c>
      <c r="F2157" s="88">
        <f>+SUMIF('Anlage 2b_Korrekturen'!$B$700:$B$1160,A2157,'Anlage 2b_Korrekturen'!$E$700:$E$1160)</f>
        <v>0</v>
      </c>
      <c r="G2157" s="135">
        <f t="shared" si="82"/>
        <v>222590.31</v>
      </c>
      <c r="H2157" s="133" t="s">
        <v>1519</v>
      </c>
    </row>
    <row r="2158" spans="1:10" hidden="1" outlineLevel="1">
      <c r="A2158" s="418" t="s">
        <v>1570</v>
      </c>
      <c r="B2158" s="1574">
        <f>+VLOOKUP(A2158,'Anlage 2a_Letztverbrauch'!$A$1338:$I$1704,9,FALSE)</f>
        <v>459464.6</v>
      </c>
      <c r="C2158" s="88">
        <f>IFERROR(+VLOOKUP(A2158,'Anlage 2a_Letztverbrauch'!$A$2797:$I$2816,3,FALSE),0)</f>
        <v>0</v>
      </c>
      <c r="D2158" s="88">
        <v>0</v>
      </c>
      <c r="E2158" s="88">
        <f t="shared" si="81"/>
        <v>459464.6</v>
      </c>
      <c r="F2158" s="88">
        <f>+SUMIF('Anlage 2b_Korrekturen'!$B$700:$B$1160,A2158,'Anlage 2b_Korrekturen'!$E$700:$E$1160)</f>
        <v>0</v>
      </c>
      <c r="G2158" s="135">
        <f t="shared" si="82"/>
        <v>459464.6</v>
      </c>
      <c r="H2158" s="133" t="s">
        <v>1571</v>
      </c>
    </row>
    <row r="2159" spans="1:10" hidden="1" outlineLevel="1">
      <c r="A2159" s="418" t="s">
        <v>1386</v>
      </c>
      <c r="B2159" s="1574">
        <f>+VLOOKUP(A2159,'Anlage 2a_Letztverbrauch'!$A$1338:$I$1704,9,FALSE)</f>
        <v>68926.17</v>
      </c>
      <c r="C2159" s="88">
        <f>IFERROR(+VLOOKUP(A2159,'Anlage 2a_Letztverbrauch'!$A$2797:$I$2816,3,FALSE),0)</f>
        <v>0</v>
      </c>
      <c r="D2159" s="88">
        <v>0</v>
      </c>
      <c r="E2159" s="88">
        <f t="shared" si="81"/>
        <v>68926.17</v>
      </c>
      <c r="F2159" s="88">
        <f>+SUMIF('Anlage 2b_Korrekturen'!$B$700:$B$1160,A2159,'Anlage 2b_Korrekturen'!$E$700:$E$1160)</f>
        <v>0</v>
      </c>
      <c r="G2159" s="135">
        <f t="shared" si="82"/>
        <v>68926.17</v>
      </c>
      <c r="H2159" s="133" t="s">
        <v>1387</v>
      </c>
    </row>
    <row r="2160" spans="1:10" hidden="1" outlineLevel="1">
      <c r="A2160" s="418" t="s">
        <v>1320</v>
      </c>
      <c r="B2160" s="1574">
        <f>+VLOOKUP(A2160,'Anlage 2a_Letztverbrauch'!$A$1338:$I$1704,9,FALSE)</f>
        <v>1069686.71</v>
      </c>
      <c r="C2160" s="88">
        <f>IFERROR(+VLOOKUP(A2160,'Anlage 2a_Letztverbrauch'!$A$2797:$I$2816,3,FALSE),0)</f>
        <v>0</v>
      </c>
      <c r="D2160" s="88">
        <v>0</v>
      </c>
      <c r="E2160" s="88">
        <f t="shared" si="81"/>
        <v>1069686.71</v>
      </c>
      <c r="F2160" s="88">
        <f>+SUMIF('Anlage 2b_Korrekturen'!$B$700:$B$1160,A2160,'Anlage 2b_Korrekturen'!$E$700:$E$1160)</f>
        <v>0</v>
      </c>
      <c r="G2160" s="135">
        <f t="shared" si="82"/>
        <v>1069686.71</v>
      </c>
      <c r="H2160" s="133" t="s">
        <v>1321</v>
      </c>
    </row>
    <row r="2161" spans="1:8" hidden="1" outlineLevel="1">
      <c r="A2161" s="418" t="s">
        <v>1458</v>
      </c>
      <c r="B2161" s="1574">
        <f>+VLOOKUP(A2161,'Anlage 2a_Letztverbrauch'!$A$1338:$I$1704,9,FALSE)</f>
        <v>77507.789999999994</v>
      </c>
      <c r="C2161" s="88">
        <f>IFERROR(+VLOOKUP(A2161,'Anlage 2a_Letztverbrauch'!$A$2797:$I$2816,3,FALSE),0)</f>
        <v>0</v>
      </c>
      <c r="D2161" s="88">
        <v>0</v>
      </c>
      <c r="E2161" s="88">
        <f t="shared" si="81"/>
        <v>77507.789999999994</v>
      </c>
      <c r="F2161" s="88">
        <f>+SUMIF('Anlage 2b_Korrekturen'!$B$700:$B$1160,A2161,'Anlage 2b_Korrekturen'!$E$700:$E$1160)</f>
        <v>-16.059999999999999</v>
      </c>
      <c r="G2161" s="135">
        <f t="shared" si="82"/>
        <v>77491.73</v>
      </c>
      <c r="H2161" s="133" t="s">
        <v>1459</v>
      </c>
    </row>
    <row r="2162" spans="1:8" hidden="1" outlineLevel="1">
      <c r="A2162" s="418" t="s">
        <v>1225</v>
      </c>
      <c r="B2162" s="1574">
        <f>+VLOOKUP(A2162,'Anlage 2a_Letztverbrauch'!$A$1338:$I$1704,9,FALSE)</f>
        <v>78131.820000000007</v>
      </c>
      <c r="C2162" s="88">
        <f>IFERROR(+VLOOKUP(A2162,'Anlage 2a_Letztverbrauch'!$A$2797:$I$2816,3,FALSE),0)</f>
        <v>0</v>
      </c>
      <c r="D2162" s="88">
        <v>0</v>
      </c>
      <c r="E2162" s="88">
        <f t="shared" si="81"/>
        <v>78131.820000000007</v>
      </c>
      <c r="F2162" s="88">
        <f>+SUMIF('Anlage 2b_Korrekturen'!$B$700:$B$1160,A2162,'Anlage 2b_Korrekturen'!$E$700:$E$1160)</f>
        <v>0</v>
      </c>
      <c r="G2162" s="135">
        <f t="shared" si="82"/>
        <v>78131.820000000007</v>
      </c>
      <c r="H2162" s="133" t="s">
        <v>1226</v>
      </c>
    </row>
    <row r="2163" spans="1:8" hidden="1" outlineLevel="1">
      <c r="A2163" s="418" t="s">
        <v>692</v>
      </c>
      <c r="B2163" s="1574">
        <f>+VLOOKUP(A2163,'Anlage 2a_Letztverbrauch'!$A$1338:$I$1704,9,FALSE)</f>
        <v>114383.82</v>
      </c>
      <c r="C2163" s="88">
        <f>IFERROR(+VLOOKUP(A2163,'Anlage 2a_Letztverbrauch'!$A$2797:$I$2816,3,FALSE),0)</f>
        <v>0</v>
      </c>
      <c r="D2163" s="88">
        <v>0</v>
      </c>
      <c r="E2163" s="88">
        <f t="shared" si="81"/>
        <v>114383.82</v>
      </c>
      <c r="F2163" s="88">
        <f>+SUMIF('Anlage 2b_Korrekturen'!$B$700:$B$1160,A2163,'Anlage 2b_Korrekturen'!$E$700:$E$1160)</f>
        <v>0</v>
      </c>
      <c r="G2163" s="135">
        <f t="shared" si="82"/>
        <v>114383.82</v>
      </c>
      <c r="H2163" s="133" t="s">
        <v>1668</v>
      </c>
    </row>
    <row r="2164" spans="1:8" hidden="1" outlineLevel="1">
      <c r="A2164" s="418" t="s">
        <v>1484</v>
      </c>
      <c r="B2164" s="1574">
        <f>+VLOOKUP(A2164,'Anlage 2a_Letztverbrauch'!$A$1338:$I$1704,9,FALSE)</f>
        <v>146938.99</v>
      </c>
      <c r="C2164" s="88">
        <f>IFERROR(+VLOOKUP(A2164,'Anlage 2a_Letztverbrauch'!$A$2797:$I$2816,3,FALSE),0)</f>
        <v>0</v>
      </c>
      <c r="D2164" s="88">
        <v>0</v>
      </c>
      <c r="E2164" s="88">
        <f t="shared" si="81"/>
        <v>146938.99</v>
      </c>
      <c r="F2164" s="88">
        <f>+SUMIF('Anlage 2b_Korrekturen'!$B$700:$B$1160,A2164,'Anlage 2b_Korrekturen'!$E$700:$E$1160)</f>
        <v>332.33</v>
      </c>
      <c r="G2164" s="135">
        <f t="shared" si="82"/>
        <v>147271.31999999998</v>
      </c>
      <c r="H2164" s="133" t="s">
        <v>1485</v>
      </c>
    </row>
    <row r="2165" spans="1:8" hidden="1" outlineLevel="1">
      <c r="A2165" s="418" t="s">
        <v>1283</v>
      </c>
      <c r="B2165" s="1574">
        <f>+VLOOKUP(A2165,'Anlage 2a_Letztverbrauch'!$A$1338:$I$1704,9,FALSE)</f>
        <v>494029.75</v>
      </c>
      <c r="C2165" s="88">
        <f>IFERROR(+VLOOKUP(A2165,'Anlage 2a_Letztverbrauch'!$A$2797:$I$2816,3,FALSE),0)</f>
        <v>0</v>
      </c>
      <c r="D2165" s="88">
        <v>0</v>
      </c>
      <c r="E2165" s="88">
        <f t="shared" si="81"/>
        <v>494029.75</v>
      </c>
      <c r="F2165" s="88">
        <f>+SUMIF('Anlage 2b_Korrekturen'!$B$700:$B$1160,A2165,'Anlage 2b_Korrekturen'!$E$700:$E$1160)</f>
        <v>1532.65</v>
      </c>
      <c r="G2165" s="135">
        <f t="shared" si="82"/>
        <v>495562.4</v>
      </c>
      <c r="H2165" s="133" t="s">
        <v>1284</v>
      </c>
    </row>
    <row r="2166" spans="1:8" hidden="1" outlineLevel="1">
      <c r="A2166" s="418" t="s">
        <v>1227</v>
      </c>
      <c r="B2166" s="1574">
        <f>+VLOOKUP(A2166,'Anlage 2a_Letztverbrauch'!$A$1338:$I$1704,9,FALSE)</f>
        <v>544454.78</v>
      </c>
      <c r="C2166" s="88">
        <f>IFERROR(+VLOOKUP(A2166,'Anlage 2a_Letztverbrauch'!$A$2797:$I$2816,3,FALSE),0)</f>
        <v>0</v>
      </c>
      <c r="D2166" s="88">
        <v>0</v>
      </c>
      <c r="E2166" s="88">
        <f t="shared" si="81"/>
        <v>544454.78</v>
      </c>
      <c r="F2166" s="88">
        <f>+SUMIF('Anlage 2b_Korrekturen'!$B$700:$B$1160,A2166,'Anlage 2b_Korrekturen'!$E$700:$E$1160)</f>
        <v>20.619999999999976</v>
      </c>
      <c r="G2166" s="135">
        <f t="shared" si="82"/>
        <v>544475.4</v>
      </c>
      <c r="H2166" s="133" t="s">
        <v>1228</v>
      </c>
    </row>
    <row r="2167" spans="1:8" hidden="1" outlineLevel="1">
      <c r="A2167" s="418" t="s">
        <v>1644</v>
      </c>
      <c r="B2167" s="1574">
        <f>+VLOOKUP(A2167,'Anlage 2a_Letztverbrauch'!$A$1338:$I$1704,9,FALSE)</f>
        <v>167416.45000000001</v>
      </c>
      <c r="C2167" s="88">
        <f>IFERROR(+VLOOKUP(A2167,'Anlage 2a_Letztverbrauch'!$A$2797:$I$2816,3,FALSE),0)</f>
        <v>0</v>
      </c>
      <c r="D2167" s="88">
        <v>0</v>
      </c>
      <c r="E2167" s="88">
        <f t="shared" si="81"/>
        <v>167416.45000000001</v>
      </c>
      <c r="F2167" s="88">
        <f>+SUMIF('Anlage 2b_Korrekturen'!$B$700:$B$1160,A2167,'Anlage 2b_Korrekturen'!$E$700:$E$1160)</f>
        <v>0</v>
      </c>
      <c r="G2167" s="135">
        <f t="shared" si="82"/>
        <v>167416.45000000001</v>
      </c>
      <c r="H2167" s="133" t="s">
        <v>1645</v>
      </c>
    </row>
    <row r="2168" spans="1:8" hidden="1" outlineLevel="1">
      <c r="A2168" s="418" t="s">
        <v>1598</v>
      </c>
      <c r="B2168" s="1574">
        <f>+VLOOKUP(A2168,'Anlage 2a_Letztverbrauch'!$A$1338:$I$1704,9,FALSE)</f>
        <v>107550.03</v>
      </c>
      <c r="C2168" s="88">
        <f>IFERROR(+VLOOKUP(A2168,'Anlage 2a_Letztverbrauch'!$A$2797:$I$2816,3,FALSE),0)</f>
        <v>0</v>
      </c>
      <c r="D2168" s="88">
        <v>0</v>
      </c>
      <c r="E2168" s="88">
        <f t="shared" si="81"/>
        <v>107550.03</v>
      </c>
      <c r="F2168" s="88">
        <f>+SUMIF('Anlage 2b_Korrekturen'!$B$700:$B$1160,A2168,'Anlage 2b_Korrekturen'!$E$700:$E$1160)</f>
        <v>0</v>
      </c>
      <c r="G2168" s="135">
        <f t="shared" si="82"/>
        <v>107550.03</v>
      </c>
      <c r="H2168" s="133" t="s">
        <v>1599</v>
      </c>
    </row>
    <row r="2169" spans="1:8" hidden="1" outlineLevel="1">
      <c r="A2169" s="418" t="s">
        <v>1556</v>
      </c>
      <c r="B2169" s="1574">
        <f>+VLOOKUP(A2169,'Anlage 2a_Letztverbrauch'!$A$1338:$I$1704,9,FALSE)</f>
        <v>518378.32</v>
      </c>
      <c r="C2169" s="88">
        <f>IFERROR(+VLOOKUP(A2169,'Anlage 2a_Letztverbrauch'!$A$2797:$I$2816,3,FALSE),0)</f>
        <v>0</v>
      </c>
      <c r="D2169" s="88">
        <v>0</v>
      </c>
      <c r="E2169" s="88">
        <f t="shared" si="81"/>
        <v>518378.32</v>
      </c>
      <c r="F2169" s="88">
        <f>+SUMIF('Anlage 2b_Korrekturen'!$B$700:$B$1160,A2169,'Anlage 2b_Korrekturen'!$E$700:$E$1160)</f>
        <v>612.21999999999991</v>
      </c>
      <c r="G2169" s="135">
        <f t="shared" si="82"/>
        <v>518990.54</v>
      </c>
      <c r="H2169" s="133" t="s">
        <v>1557</v>
      </c>
    </row>
    <row r="2170" spans="1:8" hidden="1" outlineLevel="1">
      <c r="A2170" s="418" t="s">
        <v>1626</v>
      </c>
      <c r="B2170" s="1574">
        <f>+VLOOKUP(A2170,'Anlage 2a_Letztverbrauch'!$A$1338:$I$1704,9,FALSE)</f>
        <v>19504.04</v>
      </c>
      <c r="C2170" s="88">
        <f>IFERROR(+VLOOKUP(A2170,'Anlage 2a_Letztverbrauch'!$A$2797:$I$2816,3,FALSE),0)</f>
        <v>0</v>
      </c>
      <c r="D2170" s="88">
        <v>0</v>
      </c>
      <c r="E2170" s="88">
        <f t="shared" si="81"/>
        <v>19504.04</v>
      </c>
      <c r="F2170" s="88">
        <f>+SUMIF('Anlage 2b_Korrekturen'!$B$700:$B$1160,A2170,'Anlage 2b_Korrekturen'!$E$700:$E$1160)</f>
        <v>31.189999999999998</v>
      </c>
      <c r="G2170" s="135">
        <f t="shared" si="82"/>
        <v>19535.23</v>
      </c>
      <c r="H2170" s="133" t="s">
        <v>1627</v>
      </c>
    </row>
    <row r="2171" spans="1:8" hidden="1" outlineLevel="1">
      <c r="A2171" s="418" t="s">
        <v>1669</v>
      </c>
      <c r="B2171" s="1574">
        <f>+VLOOKUP(A2171,'Anlage 2a_Letztverbrauch'!$A$1338:$I$1704,9,FALSE)</f>
        <v>280854.98</v>
      </c>
      <c r="C2171" s="88">
        <f>IFERROR(+VLOOKUP(A2171,'Anlage 2a_Letztverbrauch'!$A$2797:$I$2816,3,FALSE),0)</f>
        <v>0</v>
      </c>
      <c r="D2171" s="88">
        <v>0</v>
      </c>
      <c r="E2171" s="88">
        <f t="shared" si="81"/>
        <v>280854.98</v>
      </c>
      <c r="F2171" s="88">
        <f>+SUMIF('Anlage 2b_Korrekturen'!$B$700:$B$1160,A2171,'Anlage 2b_Korrekturen'!$E$700:$E$1160)</f>
        <v>0</v>
      </c>
      <c r="G2171" s="135">
        <f t="shared" si="82"/>
        <v>280854.98</v>
      </c>
      <c r="H2171" s="133" t="s">
        <v>1670</v>
      </c>
    </row>
    <row r="2172" spans="1:8" hidden="1" outlineLevel="1">
      <c r="A2172" s="418" t="s">
        <v>1758</v>
      </c>
      <c r="B2172" s="1574">
        <f>+VLOOKUP(A2172,'Anlage 2a_Letztverbrauch'!$A$1338:$I$1704,9,FALSE)</f>
        <v>355317.75</v>
      </c>
      <c r="C2172" s="88">
        <f>IFERROR(+VLOOKUP(A2172,'Anlage 2a_Letztverbrauch'!$A$2797:$I$2816,3,FALSE),0)</f>
        <v>0</v>
      </c>
      <c r="D2172" s="88">
        <v>0</v>
      </c>
      <c r="E2172" s="88">
        <f t="shared" si="81"/>
        <v>355317.75</v>
      </c>
      <c r="F2172" s="88">
        <f>+SUMIF('Anlage 2b_Korrekturen'!$B$700:$B$1160,A2172,'Anlage 2b_Korrekturen'!$E$700:$E$1160)</f>
        <v>22006.32</v>
      </c>
      <c r="G2172" s="135">
        <f t="shared" si="82"/>
        <v>377324.07</v>
      </c>
      <c r="H2172" s="133" t="s">
        <v>1759</v>
      </c>
    </row>
    <row r="2173" spans="1:8" hidden="1" outlineLevel="1">
      <c r="A2173" s="418" t="s">
        <v>2195</v>
      </c>
      <c r="B2173" s="1574">
        <f>+VLOOKUP(A2173,'Anlage 2a_Letztverbrauch'!$A$1338:$I$1704,9,FALSE)</f>
        <v>78083.95</v>
      </c>
      <c r="C2173" s="88">
        <f>IFERROR(+VLOOKUP(A2173,'Anlage 2a_Letztverbrauch'!$A$2797:$I$2816,3,FALSE),0)</f>
        <v>0</v>
      </c>
      <c r="D2173" s="88">
        <v>0</v>
      </c>
      <c r="E2173" s="88">
        <f t="shared" si="81"/>
        <v>78083.95</v>
      </c>
      <c r="F2173" s="88">
        <f>+SUMIF('Anlage 2b_Korrekturen'!$B$700:$B$1160,A2173,'Anlage 2b_Korrekturen'!$E$700:$E$1160)</f>
        <v>-236.74999999999997</v>
      </c>
      <c r="G2173" s="135">
        <f t="shared" si="82"/>
        <v>77847.199999999997</v>
      </c>
      <c r="H2173" s="133" t="s">
        <v>2196</v>
      </c>
    </row>
    <row r="2174" spans="1:8" hidden="1" outlineLevel="1">
      <c r="A2174" s="418" t="s">
        <v>1722</v>
      </c>
      <c r="B2174" s="1574">
        <f>+VLOOKUP(A2174,'Anlage 2a_Letztverbrauch'!$A$1338:$I$1704,9,FALSE)</f>
        <v>129043.83</v>
      </c>
      <c r="C2174" s="88">
        <f>IFERROR(+VLOOKUP(A2174,'Anlage 2a_Letztverbrauch'!$A$2797:$I$2816,3,FALSE),0)</f>
        <v>0</v>
      </c>
      <c r="D2174" s="88">
        <v>0</v>
      </c>
      <c r="E2174" s="88">
        <f t="shared" si="81"/>
        <v>129043.83</v>
      </c>
      <c r="F2174" s="88">
        <f>+SUMIF('Anlage 2b_Korrekturen'!$B$700:$B$1160,A2174,'Anlage 2b_Korrekturen'!$E$700:$E$1160)</f>
        <v>0</v>
      </c>
      <c r="G2174" s="135">
        <f t="shared" si="82"/>
        <v>129043.83</v>
      </c>
      <c r="H2174" s="133" t="s">
        <v>1723</v>
      </c>
    </row>
    <row r="2175" spans="1:8" hidden="1" outlineLevel="1">
      <c r="A2175" s="418" t="s">
        <v>1496</v>
      </c>
      <c r="B2175" s="1574">
        <f>+VLOOKUP(A2175,'Anlage 2a_Letztverbrauch'!$A$1338:$I$1704,9,FALSE)</f>
        <v>490238.52999999997</v>
      </c>
      <c r="C2175" s="88">
        <f>IFERROR(+VLOOKUP(A2175,'Anlage 2a_Letztverbrauch'!$A$2797:$I$2816,3,FALSE),0)</f>
        <v>0</v>
      </c>
      <c r="D2175" s="88">
        <v>0</v>
      </c>
      <c r="E2175" s="88">
        <f t="shared" si="81"/>
        <v>490238.52999999997</v>
      </c>
      <c r="F2175" s="88">
        <f>+SUMIF('Anlage 2b_Korrekturen'!$B$700:$B$1160,A2175,'Anlage 2b_Korrekturen'!$E$700:$E$1160)</f>
        <v>0</v>
      </c>
      <c r="G2175" s="135">
        <f t="shared" si="82"/>
        <v>490238.52999999997</v>
      </c>
      <c r="H2175" s="133" t="s">
        <v>1497</v>
      </c>
    </row>
    <row r="2176" spans="1:8" hidden="1" outlineLevel="1">
      <c r="A2176" s="418" t="s">
        <v>1236</v>
      </c>
      <c r="B2176" s="1574">
        <f>+VLOOKUP(A2176,'Anlage 2a_Letztverbrauch'!$A$1338:$I$1704,9,FALSE)</f>
        <v>515601.97</v>
      </c>
      <c r="C2176" s="88">
        <f>IFERROR(+VLOOKUP(A2176,'Anlage 2a_Letztverbrauch'!$A$2797:$I$2816,3,FALSE),0)</f>
        <v>0</v>
      </c>
      <c r="D2176" s="88">
        <v>0</v>
      </c>
      <c r="E2176" s="88">
        <f t="shared" si="81"/>
        <v>515601.97</v>
      </c>
      <c r="F2176" s="88">
        <f>+SUMIF('Anlage 2b_Korrekturen'!$B$700:$B$1160,A2176,'Anlage 2b_Korrekturen'!$E$700:$E$1160)</f>
        <v>2005.07</v>
      </c>
      <c r="G2176" s="135">
        <f t="shared" si="82"/>
        <v>517607.04</v>
      </c>
      <c r="H2176" s="133" t="s">
        <v>1237</v>
      </c>
    </row>
    <row r="2177" spans="1:8" hidden="1" outlineLevel="1">
      <c r="A2177" s="418" t="s">
        <v>1348</v>
      </c>
      <c r="B2177" s="1574">
        <f>+VLOOKUP(A2177,'Anlage 2a_Letztverbrauch'!$A$1338:$I$1704,9,FALSE)</f>
        <v>196240.89</v>
      </c>
      <c r="C2177" s="88">
        <f>IFERROR(+VLOOKUP(A2177,'Anlage 2a_Letztverbrauch'!$A$2797:$I$2816,3,FALSE),0)</f>
        <v>0</v>
      </c>
      <c r="D2177" s="88">
        <v>0</v>
      </c>
      <c r="E2177" s="88">
        <f t="shared" si="81"/>
        <v>196240.89</v>
      </c>
      <c r="F2177" s="88">
        <f>+SUMIF('Anlage 2b_Korrekturen'!$B$700:$B$1160,A2177,'Anlage 2b_Korrekturen'!$E$700:$E$1160)</f>
        <v>0</v>
      </c>
      <c r="G2177" s="135">
        <f t="shared" si="82"/>
        <v>196240.89</v>
      </c>
      <c r="H2177" s="133" t="s">
        <v>1349</v>
      </c>
    </row>
    <row r="2178" spans="1:8" hidden="1" outlineLevel="1">
      <c r="A2178" s="418" t="s">
        <v>1814</v>
      </c>
      <c r="B2178" s="1574">
        <f>+VLOOKUP(A2178,'Anlage 2a_Letztverbrauch'!$A$1338:$I$1704,9,FALSE)</f>
        <v>401703.81</v>
      </c>
      <c r="C2178" s="88">
        <f>IFERROR(+VLOOKUP(A2178,'Anlage 2a_Letztverbrauch'!$A$2797:$I$2816,3,FALSE),0)</f>
        <v>0</v>
      </c>
      <c r="D2178" s="88">
        <v>0</v>
      </c>
      <c r="E2178" s="88">
        <f t="shared" si="81"/>
        <v>401703.81</v>
      </c>
      <c r="F2178" s="88">
        <f>+SUMIF('Anlage 2b_Korrekturen'!$B$700:$B$1160,A2178,'Anlage 2b_Korrekturen'!$E$700:$E$1160)</f>
        <v>0</v>
      </c>
      <c r="G2178" s="135">
        <f t="shared" si="82"/>
        <v>401703.81</v>
      </c>
      <c r="H2178" s="133" t="s">
        <v>1815</v>
      </c>
    </row>
    <row r="2179" spans="1:8" hidden="1" outlineLevel="1">
      <c r="A2179" s="418" t="s">
        <v>1240</v>
      </c>
      <c r="B2179" s="1574">
        <f>+VLOOKUP(A2179,'Anlage 2a_Letztverbrauch'!$A$1338:$I$1704,9,FALSE)</f>
        <v>1239011.9800000002</v>
      </c>
      <c r="C2179" s="88">
        <f>IFERROR(+VLOOKUP(A2179,'Anlage 2a_Letztverbrauch'!$A$2797:$I$2816,3,FALSE),0)</f>
        <v>0</v>
      </c>
      <c r="D2179" s="88">
        <v>0</v>
      </c>
      <c r="E2179" s="88">
        <f t="shared" si="81"/>
        <v>1239011.9800000002</v>
      </c>
      <c r="F2179" s="88">
        <f>+SUMIF('Anlage 2b_Korrekturen'!$B$700:$B$1160,A2179,'Anlage 2b_Korrekturen'!$E$700:$E$1160)</f>
        <v>-27194.019999999997</v>
      </c>
      <c r="G2179" s="135">
        <f t="shared" si="82"/>
        <v>1211817.9600000002</v>
      </c>
      <c r="H2179" s="133" t="s">
        <v>1241</v>
      </c>
    </row>
    <row r="2180" spans="1:8" hidden="1" outlineLevel="1">
      <c r="A2180" s="418" t="s">
        <v>1404</v>
      </c>
      <c r="B2180" s="1574">
        <f>+VLOOKUP(A2180,'Anlage 2a_Letztverbrauch'!$A$1338:$I$1704,9,FALSE)</f>
        <v>45151.519999999997</v>
      </c>
      <c r="C2180" s="88">
        <f>IFERROR(+VLOOKUP(A2180,'Anlage 2a_Letztverbrauch'!$A$2797:$I$2816,3,FALSE),0)</f>
        <v>0</v>
      </c>
      <c r="D2180" s="88">
        <v>0</v>
      </c>
      <c r="E2180" s="88">
        <f t="shared" si="81"/>
        <v>45151.519999999997</v>
      </c>
      <c r="F2180" s="88">
        <f>+SUMIF('Anlage 2b_Korrekturen'!$B$700:$B$1160,A2180,'Anlage 2b_Korrekturen'!$E$700:$E$1160)</f>
        <v>773.26</v>
      </c>
      <c r="G2180" s="135">
        <f t="shared" si="82"/>
        <v>45924.78</v>
      </c>
      <c r="H2180" s="133" t="s">
        <v>1405</v>
      </c>
    </row>
    <row r="2181" spans="1:8" hidden="1" outlineLevel="1">
      <c r="A2181" s="418" t="s">
        <v>1584</v>
      </c>
      <c r="B2181" s="1574">
        <f>+VLOOKUP(A2181,'Anlage 2a_Letztverbrauch'!$A$1338:$I$1704,9,FALSE)</f>
        <v>317629.61</v>
      </c>
      <c r="C2181" s="88">
        <f>IFERROR(+VLOOKUP(A2181,'Anlage 2a_Letztverbrauch'!$A$2797:$I$2816,3,FALSE),0)</f>
        <v>0</v>
      </c>
      <c r="D2181" s="88">
        <v>0</v>
      </c>
      <c r="E2181" s="88">
        <f t="shared" si="81"/>
        <v>317629.61</v>
      </c>
      <c r="F2181" s="88">
        <f>+SUMIF('Anlage 2b_Korrekturen'!$B$700:$B$1160,A2181,'Anlage 2b_Korrekturen'!$E$700:$E$1160)</f>
        <v>0</v>
      </c>
      <c r="G2181" s="135">
        <f t="shared" si="82"/>
        <v>317629.61</v>
      </c>
      <c r="H2181" s="133" t="s">
        <v>1585</v>
      </c>
    </row>
    <row r="2182" spans="1:8" hidden="1" outlineLevel="1">
      <c r="A2182" s="418" t="s">
        <v>1420</v>
      </c>
      <c r="B2182" s="1574">
        <f>+VLOOKUP(A2182,'Anlage 2a_Letztverbrauch'!$A$1338:$I$1704,9,FALSE)</f>
        <v>38498.879999999997</v>
      </c>
      <c r="C2182" s="88">
        <f>IFERROR(+VLOOKUP(A2182,'Anlage 2a_Letztverbrauch'!$A$2797:$I$2816,3,FALSE),0)</f>
        <v>0</v>
      </c>
      <c r="D2182" s="88">
        <v>0</v>
      </c>
      <c r="E2182" s="88">
        <f t="shared" si="81"/>
        <v>38498.879999999997</v>
      </c>
      <c r="F2182" s="88">
        <f>+SUMIF('Anlage 2b_Korrekturen'!$B$700:$B$1160,A2182,'Anlage 2b_Korrekturen'!$E$700:$E$1160)</f>
        <v>0</v>
      </c>
      <c r="G2182" s="135">
        <f t="shared" si="82"/>
        <v>38498.879999999997</v>
      </c>
      <c r="H2182" s="133" t="s">
        <v>1421</v>
      </c>
    </row>
    <row r="2183" spans="1:8" hidden="1" outlineLevel="1">
      <c r="A2183" s="418" t="s">
        <v>1438</v>
      </c>
      <c r="B2183" s="1574">
        <f>+VLOOKUP(A2183,'Anlage 2a_Letztverbrauch'!$A$1338:$I$1704,9,FALSE)</f>
        <v>384981.88</v>
      </c>
      <c r="C2183" s="88">
        <f>IFERROR(+VLOOKUP(A2183,'Anlage 2a_Letztverbrauch'!$A$2797:$I$2816,3,FALSE),0)</f>
        <v>0</v>
      </c>
      <c r="D2183" s="88">
        <v>0</v>
      </c>
      <c r="E2183" s="88">
        <f t="shared" si="81"/>
        <v>384981.88</v>
      </c>
      <c r="F2183" s="88">
        <f>+SUMIF('Anlage 2b_Korrekturen'!$B$700:$B$1160,A2183,'Anlage 2b_Korrekturen'!$E$700:$E$1160)</f>
        <v>0</v>
      </c>
      <c r="G2183" s="135">
        <f t="shared" si="82"/>
        <v>384981.88</v>
      </c>
      <c r="H2183" s="133" t="s">
        <v>1439</v>
      </c>
    </row>
    <row r="2184" spans="1:8" hidden="1" outlineLevel="1">
      <c r="A2184" s="418" t="s">
        <v>1504</v>
      </c>
      <c r="B2184" s="1574">
        <f>+VLOOKUP(A2184,'Anlage 2a_Letztverbrauch'!$A$1338:$I$1704,9,FALSE)</f>
        <v>1260816.5784799999</v>
      </c>
      <c r="C2184" s="88">
        <f>IFERROR(+VLOOKUP(A2184,'Anlage 2a_Letztverbrauch'!$A$2797:$I$2816,3,FALSE),0)</f>
        <v>-15176.19</v>
      </c>
      <c r="D2184" s="88">
        <v>0</v>
      </c>
      <c r="E2184" s="88">
        <f t="shared" si="81"/>
        <v>1245640.38848</v>
      </c>
      <c r="F2184" s="88">
        <f>+SUMIF('Anlage 2b_Korrekturen'!$B$700:$B$1160,A2184,'Anlage 2b_Korrekturen'!$E$700:$E$1160)</f>
        <v>0</v>
      </c>
      <c r="G2184" s="135">
        <f t="shared" si="82"/>
        <v>1245640.38848</v>
      </c>
      <c r="H2184" s="133" t="s">
        <v>1505</v>
      </c>
    </row>
    <row r="2185" spans="1:8" hidden="1" outlineLevel="1">
      <c r="A2185" s="418" t="s">
        <v>1275</v>
      </c>
      <c r="B2185" s="1574">
        <f>+VLOOKUP(A2185,'Anlage 2a_Letztverbrauch'!$A$1338:$I$1704,9,FALSE)</f>
        <v>29868.04</v>
      </c>
      <c r="C2185" s="88">
        <f>IFERROR(+VLOOKUP(A2185,'Anlage 2a_Letztverbrauch'!$A$2797:$I$2816,3,FALSE),0)</f>
        <v>0</v>
      </c>
      <c r="D2185" s="88">
        <v>0</v>
      </c>
      <c r="E2185" s="88">
        <f t="shared" si="81"/>
        <v>29868.04</v>
      </c>
      <c r="F2185" s="88">
        <f>+SUMIF('Anlage 2b_Korrekturen'!$B$700:$B$1160,A2185,'Anlage 2b_Korrekturen'!$E$700:$E$1160)</f>
        <v>0</v>
      </c>
      <c r="G2185" s="135">
        <f t="shared" si="82"/>
        <v>29868.04</v>
      </c>
      <c r="H2185" s="133" t="s">
        <v>1276</v>
      </c>
    </row>
    <row r="2186" spans="1:8" hidden="1" outlineLevel="1">
      <c r="A2186" s="418" t="s">
        <v>1562</v>
      </c>
      <c r="B2186" s="1574">
        <f>+VLOOKUP(A2186,'Anlage 2a_Letztverbrauch'!$A$1338:$I$1704,9,FALSE)</f>
        <v>6511.87</v>
      </c>
      <c r="C2186" s="88">
        <f>IFERROR(+VLOOKUP(A2186,'Anlage 2a_Letztverbrauch'!$A$2797:$I$2816,3,FALSE),0)</f>
        <v>0</v>
      </c>
      <c r="D2186" s="88">
        <v>0</v>
      </c>
      <c r="E2186" s="88">
        <f t="shared" si="81"/>
        <v>6511.87</v>
      </c>
      <c r="F2186" s="88">
        <f>+SUMIF('Anlage 2b_Korrekturen'!$B$700:$B$1160,A2186,'Anlage 2b_Korrekturen'!$E$700:$E$1160)</f>
        <v>0</v>
      </c>
      <c r="G2186" s="135">
        <f t="shared" si="82"/>
        <v>6511.87</v>
      </c>
      <c r="H2186" s="133" t="s">
        <v>1563</v>
      </c>
    </row>
    <row r="2187" spans="1:8" hidden="1" outlineLevel="1">
      <c r="A2187" s="418" t="s">
        <v>2197</v>
      </c>
      <c r="B2187" s="1574">
        <f>+VLOOKUP(A2187,'Anlage 2a_Letztverbrauch'!$A$1338:$I$1704,9,FALSE)</f>
        <v>15987.17</v>
      </c>
      <c r="C2187" s="88">
        <f>IFERROR(+VLOOKUP(A2187,'Anlage 2a_Letztverbrauch'!$A$2797:$I$2816,3,FALSE),0)</f>
        <v>0</v>
      </c>
      <c r="D2187" s="88">
        <v>0</v>
      </c>
      <c r="E2187" s="88">
        <f t="shared" si="81"/>
        <v>15987.17</v>
      </c>
      <c r="F2187" s="88">
        <f>+SUMIF('Anlage 2b_Korrekturen'!$B$700:$B$1160,A2187,'Anlage 2b_Korrekturen'!$E$700:$E$1160)</f>
        <v>0</v>
      </c>
      <c r="G2187" s="135">
        <f t="shared" si="82"/>
        <v>15987.17</v>
      </c>
      <c r="H2187" s="133" t="s">
        <v>2198</v>
      </c>
    </row>
    <row r="2188" spans="1:8" hidden="1" outlineLevel="1">
      <c r="A2188" s="418" t="s">
        <v>1706</v>
      </c>
      <c r="B2188" s="1574">
        <f>+VLOOKUP(A2188,'Anlage 2a_Letztverbrauch'!$A$1338:$I$1704,9,FALSE)</f>
        <v>622278.59</v>
      </c>
      <c r="C2188" s="88">
        <f>IFERROR(+VLOOKUP(A2188,'Anlage 2a_Letztverbrauch'!$A$2797:$I$2816,3,FALSE),0)</f>
        <v>0</v>
      </c>
      <c r="D2188" s="88">
        <v>0</v>
      </c>
      <c r="E2188" s="88">
        <f t="shared" si="81"/>
        <v>622278.59</v>
      </c>
      <c r="F2188" s="88">
        <f>+SUMIF('Anlage 2b_Korrekturen'!$B$700:$B$1160,A2188,'Anlage 2b_Korrekturen'!$E$700:$E$1160)</f>
        <v>-4644.37</v>
      </c>
      <c r="G2188" s="135">
        <f t="shared" si="82"/>
        <v>617634.22</v>
      </c>
      <c r="H2188" s="133" t="s">
        <v>1707</v>
      </c>
    </row>
    <row r="2189" spans="1:8" hidden="1" outlineLevel="1">
      <c r="A2189" s="418" t="s">
        <v>1454</v>
      </c>
      <c r="B2189" s="1574">
        <f>+VLOOKUP(A2189,'Anlage 2a_Letztverbrauch'!$A$1338:$I$1704,9,FALSE)</f>
        <v>277271.61</v>
      </c>
      <c r="C2189" s="88">
        <f>IFERROR(+VLOOKUP(A2189,'Anlage 2a_Letztverbrauch'!$A$2797:$I$2816,3,FALSE),0)</f>
        <v>0</v>
      </c>
      <c r="D2189" s="88">
        <v>0</v>
      </c>
      <c r="E2189" s="88">
        <f t="shared" si="81"/>
        <v>277271.61</v>
      </c>
      <c r="F2189" s="88">
        <f>+SUMIF('Anlage 2b_Korrekturen'!$B$700:$B$1160,A2189,'Anlage 2b_Korrekturen'!$E$700:$E$1160)</f>
        <v>187.42</v>
      </c>
      <c r="G2189" s="135">
        <f t="shared" si="82"/>
        <v>277459.02999999997</v>
      </c>
      <c r="H2189" s="133" t="s">
        <v>1455</v>
      </c>
    </row>
    <row r="2190" spans="1:8" hidden="1" outlineLevel="1">
      <c r="A2190" s="418" t="s">
        <v>1412</v>
      </c>
      <c r="B2190" s="1574">
        <f>+VLOOKUP(A2190,'Anlage 2a_Letztverbrauch'!$A$1338:$I$1704,9,FALSE)</f>
        <v>568292.91</v>
      </c>
      <c r="C2190" s="88">
        <f>IFERROR(+VLOOKUP(A2190,'Anlage 2a_Letztverbrauch'!$A$2797:$I$2816,3,FALSE),0)</f>
        <v>0</v>
      </c>
      <c r="D2190" s="88">
        <v>0</v>
      </c>
      <c r="E2190" s="88">
        <f t="shared" si="81"/>
        <v>568292.91</v>
      </c>
      <c r="F2190" s="88">
        <f>+SUMIF('Anlage 2b_Korrekturen'!$B$700:$B$1160,A2190,'Anlage 2b_Korrekturen'!$E$700:$E$1160)</f>
        <v>0</v>
      </c>
      <c r="G2190" s="135">
        <f t="shared" si="82"/>
        <v>568292.91</v>
      </c>
      <c r="H2190" s="133" t="s">
        <v>1413</v>
      </c>
    </row>
    <row r="2191" spans="1:8" hidden="1" outlineLevel="1">
      <c r="A2191" s="418" t="s">
        <v>1548</v>
      </c>
      <c r="B2191" s="1574">
        <f>+VLOOKUP(A2191,'Anlage 2a_Letztverbrauch'!$A$1338:$I$1704,9,FALSE)</f>
        <v>59522.01</v>
      </c>
      <c r="C2191" s="88">
        <f>IFERROR(+VLOOKUP(A2191,'Anlage 2a_Letztverbrauch'!$A$2797:$I$2816,3,FALSE),0)</f>
        <v>0</v>
      </c>
      <c r="D2191" s="88">
        <v>0</v>
      </c>
      <c r="E2191" s="88">
        <f t="shared" si="81"/>
        <v>59522.01</v>
      </c>
      <c r="F2191" s="88">
        <f>+SUMIF('Anlage 2b_Korrekturen'!$B$700:$B$1160,A2191,'Anlage 2b_Korrekturen'!$E$700:$E$1160)</f>
        <v>-349.83</v>
      </c>
      <c r="G2191" s="135">
        <f t="shared" si="82"/>
        <v>59172.18</v>
      </c>
      <c r="H2191" s="133" t="s">
        <v>1549</v>
      </c>
    </row>
    <row r="2192" spans="1:8" hidden="1" outlineLevel="1">
      <c r="A2192" s="418" t="s">
        <v>1656</v>
      </c>
      <c r="B2192" s="1574">
        <f>+VLOOKUP(A2192,'Anlage 2a_Letztverbrauch'!$A$1338:$I$1704,9,FALSE)</f>
        <v>3958866.48</v>
      </c>
      <c r="C2192" s="88">
        <f>IFERROR(+VLOOKUP(A2192,'Anlage 2a_Letztverbrauch'!$A$2797:$I$2816,3,FALSE),0)</f>
        <v>-3550657.98</v>
      </c>
      <c r="D2192" s="88">
        <v>0</v>
      </c>
      <c r="E2192" s="88">
        <f t="shared" si="81"/>
        <v>408208.5</v>
      </c>
      <c r="F2192" s="88">
        <f>+SUMIF('Anlage 2b_Korrekturen'!$B$700:$B$1160,A2192,'Anlage 2b_Korrekturen'!$E$700:$E$1160)</f>
        <v>16943.169999999998</v>
      </c>
      <c r="G2192" s="135">
        <f t="shared" si="82"/>
        <v>425151.67</v>
      </c>
      <c r="H2192" s="133" t="s">
        <v>1657</v>
      </c>
    </row>
    <row r="2193" spans="1:8" hidden="1" outlineLevel="1">
      <c r="A2193" s="418" t="s">
        <v>1221</v>
      </c>
      <c r="B2193" s="1574">
        <f>+VLOOKUP(A2193,'Anlage 2a_Letztverbrauch'!$A$1338:$I$1704,9,FALSE)</f>
        <v>1586744.55</v>
      </c>
      <c r="C2193" s="88">
        <f>IFERROR(+VLOOKUP(A2193,'Anlage 2a_Letztverbrauch'!$A$2797:$I$2816,3,FALSE),0)</f>
        <v>0</v>
      </c>
      <c r="D2193" s="88">
        <v>0</v>
      </c>
      <c r="E2193" s="88">
        <f t="shared" si="81"/>
        <v>1586744.55</v>
      </c>
      <c r="F2193" s="88">
        <f>+SUMIF('Anlage 2b_Korrekturen'!$B$700:$B$1160,A2193,'Anlage 2b_Korrekturen'!$E$700:$E$1160)</f>
        <v>-31617.260000000002</v>
      </c>
      <c r="G2193" s="135">
        <f t="shared" si="82"/>
        <v>1555127.29</v>
      </c>
      <c r="H2193" s="133" t="s">
        <v>1222</v>
      </c>
    </row>
    <row r="2194" spans="1:8" hidden="1" outlineLevel="1">
      <c r="A2194" s="418" t="s">
        <v>1366</v>
      </c>
      <c r="B2194" s="1574">
        <f>+VLOOKUP(A2194,'Anlage 2a_Letztverbrauch'!$A$1338:$I$1704,9,FALSE)</f>
        <v>92621.83</v>
      </c>
      <c r="C2194" s="88">
        <f>IFERROR(+VLOOKUP(A2194,'Anlage 2a_Letztverbrauch'!$A$2797:$I$2816,3,FALSE),0)</f>
        <v>0</v>
      </c>
      <c r="D2194" s="88">
        <v>0</v>
      </c>
      <c r="E2194" s="88">
        <f t="shared" si="81"/>
        <v>92621.83</v>
      </c>
      <c r="F2194" s="88">
        <f>+SUMIF('Anlage 2b_Korrekturen'!$B$700:$B$1160,A2194,'Anlage 2b_Korrekturen'!$E$700:$E$1160)</f>
        <v>22.96</v>
      </c>
      <c r="G2194" s="135">
        <f t="shared" si="82"/>
        <v>92644.790000000008</v>
      </c>
      <c r="H2194" s="133" t="s">
        <v>1367</v>
      </c>
    </row>
    <row r="2195" spans="1:8" hidden="1" outlineLevel="1">
      <c r="A2195" s="418" t="s">
        <v>1610</v>
      </c>
      <c r="B2195" s="1574">
        <f>+VLOOKUP(A2195,'Anlage 2a_Letztverbrauch'!$A$1338:$I$1704,9,FALSE)</f>
        <v>130947.07</v>
      </c>
      <c r="C2195" s="88">
        <f>IFERROR(+VLOOKUP(A2195,'Anlage 2a_Letztverbrauch'!$A$2797:$I$2816,3,FALSE),0)</f>
        <v>0</v>
      </c>
      <c r="D2195" s="88">
        <v>0</v>
      </c>
      <c r="E2195" s="88">
        <f t="shared" si="81"/>
        <v>130947.07</v>
      </c>
      <c r="F2195" s="88">
        <f>+SUMIF('Anlage 2b_Korrekturen'!$B$700:$B$1160,A2195,'Anlage 2b_Korrekturen'!$E$700:$E$1160)</f>
        <v>0</v>
      </c>
      <c r="G2195" s="135">
        <f t="shared" si="82"/>
        <v>130947.07</v>
      </c>
      <c r="H2195" s="133" t="s">
        <v>1611</v>
      </c>
    </row>
    <row r="2196" spans="1:8" hidden="1" outlineLevel="1">
      <c r="A2196" s="418" t="s">
        <v>1474</v>
      </c>
      <c r="B2196" s="1574">
        <f>+VLOOKUP(A2196,'Anlage 2a_Letztverbrauch'!$A$1338:$I$1704,9,FALSE)</f>
        <v>41683.769999999997</v>
      </c>
      <c r="C2196" s="88">
        <f>IFERROR(+VLOOKUP(A2196,'Anlage 2a_Letztverbrauch'!$A$2797:$I$2816,3,FALSE),0)</f>
        <v>0</v>
      </c>
      <c r="D2196" s="88">
        <v>0</v>
      </c>
      <c r="E2196" s="88">
        <f t="shared" si="81"/>
        <v>41683.769999999997</v>
      </c>
      <c r="F2196" s="88">
        <f>+SUMIF('Anlage 2b_Korrekturen'!$B$700:$B$1160,A2196,'Anlage 2b_Korrekturen'!$E$700:$E$1160)</f>
        <v>0</v>
      </c>
      <c r="G2196" s="135">
        <f t="shared" si="82"/>
        <v>41683.769999999997</v>
      </c>
      <c r="H2196" s="133" t="s">
        <v>1475</v>
      </c>
    </row>
    <row r="2197" spans="1:8" hidden="1" outlineLevel="1">
      <c r="A2197" s="418" t="s">
        <v>580</v>
      </c>
      <c r="B2197" s="1574">
        <f>+VLOOKUP(A2197,'Anlage 2a_Letztverbrauch'!$A$1338:$I$1704,9,FALSE)</f>
        <v>746410.82</v>
      </c>
      <c r="C2197" s="88">
        <f>IFERROR(+VLOOKUP(A2197,'Anlage 2a_Letztverbrauch'!$A$2797:$I$2816,3,FALSE),0)</f>
        <v>0</v>
      </c>
      <c r="D2197" s="88">
        <v>0</v>
      </c>
      <c r="E2197" s="88">
        <f t="shared" ref="E2197:E2260" si="83">B2197+C2197+D2197</f>
        <v>746410.82</v>
      </c>
      <c r="F2197" s="88">
        <f>+SUMIF('Anlage 2b_Korrekturen'!$B$700:$B$1160,A2197,'Anlage 2b_Korrekturen'!$E$700:$E$1160)</f>
        <v>-601.64</v>
      </c>
      <c r="G2197" s="135">
        <f t="shared" ref="G2197:G2260" si="84">E2197+F2197</f>
        <v>745809.17999999993</v>
      </c>
      <c r="H2197" s="133" t="s">
        <v>581</v>
      </c>
    </row>
    <row r="2198" spans="1:8" hidden="1" outlineLevel="1">
      <c r="A2198" s="418" t="s">
        <v>1592</v>
      </c>
      <c r="B2198" s="1574">
        <f>+VLOOKUP(A2198,'Anlage 2a_Letztverbrauch'!$A$1338:$I$1704,9,FALSE)</f>
        <v>328892.46999999997</v>
      </c>
      <c r="C2198" s="88">
        <f>IFERROR(+VLOOKUP(A2198,'Anlage 2a_Letztverbrauch'!$A$2797:$I$2816,3,FALSE),0)</f>
        <v>0</v>
      </c>
      <c r="D2198" s="88">
        <v>0</v>
      </c>
      <c r="E2198" s="88">
        <f t="shared" si="83"/>
        <v>328892.46999999997</v>
      </c>
      <c r="F2198" s="88">
        <f>+SUMIF('Anlage 2b_Korrekturen'!$B$700:$B$1160,A2198,'Anlage 2b_Korrekturen'!$E$700:$E$1160)</f>
        <v>1026.73</v>
      </c>
      <c r="G2198" s="135">
        <f t="shared" si="84"/>
        <v>329919.19999999995</v>
      </c>
      <c r="H2198" s="133" t="s">
        <v>1593</v>
      </c>
    </row>
    <row r="2199" spans="1:8" hidden="1" outlineLevel="1">
      <c r="A2199" s="418" t="s">
        <v>1792</v>
      </c>
      <c r="B2199" s="1574">
        <f>+VLOOKUP(A2199,'Anlage 2a_Letztverbrauch'!$A$1338:$I$1704,9,FALSE)</f>
        <v>98213.63</v>
      </c>
      <c r="C2199" s="88">
        <f>IFERROR(+VLOOKUP(A2199,'Anlage 2a_Letztverbrauch'!$A$2797:$I$2816,3,FALSE),0)</f>
        <v>0</v>
      </c>
      <c r="D2199" s="88">
        <v>0</v>
      </c>
      <c r="E2199" s="88">
        <f t="shared" si="83"/>
        <v>98213.63</v>
      </c>
      <c r="F2199" s="88">
        <f>+SUMIF('Anlage 2b_Korrekturen'!$B$700:$B$1160,A2199,'Anlage 2b_Korrekturen'!$E$700:$E$1160)</f>
        <v>0</v>
      </c>
      <c r="G2199" s="135">
        <f t="shared" si="84"/>
        <v>98213.63</v>
      </c>
      <c r="H2199" s="133" t="s">
        <v>1793</v>
      </c>
    </row>
    <row r="2200" spans="1:8" hidden="1" outlineLevel="1">
      <c r="A2200" s="418" t="s">
        <v>1322</v>
      </c>
      <c r="B2200" s="1574">
        <f>+VLOOKUP(A2200,'Anlage 2a_Letztverbrauch'!$A$1338:$I$1704,9,FALSE)</f>
        <v>30765.64</v>
      </c>
      <c r="C2200" s="88">
        <f>IFERROR(+VLOOKUP(A2200,'Anlage 2a_Letztverbrauch'!$A$2797:$I$2816,3,FALSE),0)</f>
        <v>0</v>
      </c>
      <c r="D2200" s="88">
        <v>0</v>
      </c>
      <c r="E2200" s="88">
        <f t="shared" si="83"/>
        <v>30765.64</v>
      </c>
      <c r="F2200" s="88">
        <f>+SUMIF('Anlage 2b_Korrekturen'!$B$700:$B$1160,A2200,'Anlage 2b_Korrekturen'!$E$700:$E$1160)</f>
        <v>15.61</v>
      </c>
      <c r="G2200" s="135">
        <f t="shared" si="84"/>
        <v>30781.25</v>
      </c>
      <c r="H2200" s="133" t="s">
        <v>1323</v>
      </c>
    </row>
    <row r="2201" spans="1:8" hidden="1" outlineLevel="1">
      <c r="A2201" s="418" t="s">
        <v>1618</v>
      </c>
      <c r="B2201" s="1574">
        <f>+VLOOKUP(A2201,'Anlage 2a_Letztverbrauch'!$A$1338:$I$1704,9,FALSE)</f>
        <v>66037.740000000005</v>
      </c>
      <c r="C2201" s="88">
        <f>IFERROR(+VLOOKUP(A2201,'Anlage 2a_Letztverbrauch'!$A$2797:$I$2816,3,FALSE),0)</f>
        <v>0</v>
      </c>
      <c r="D2201" s="88">
        <v>0</v>
      </c>
      <c r="E2201" s="88">
        <f t="shared" si="83"/>
        <v>66037.740000000005</v>
      </c>
      <c r="F2201" s="88">
        <f>+SUMIF('Anlage 2b_Korrekturen'!$B$700:$B$1160,A2201,'Anlage 2b_Korrekturen'!$E$700:$E$1160)</f>
        <v>-1135.1500000000001</v>
      </c>
      <c r="G2201" s="135">
        <f t="shared" si="84"/>
        <v>64902.590000000004</v>
      </c>
      <c r="H2201" s="133" t="s">
        <v>1619</v>
      </c>
    </row>
    <row r="2202" spans="1:8" hidden="1" outlineLevel="1">
      <c r="A2202" s="418" t="s">
        <v>1806</v>
      </c>
      <c r="B2202" s="1574">
        <f>+VLOOKUP(A2202,'Anlage 2a_Letztverbrauch'!$A$1338:$I$1704,9,FALSE)</f>
        <v>170970.9</v>
      </c>
      <c r="C2202" s="88">
        <f>IFERROR(+VLOOKUP(A2202,'Anlage 2a_Letztverbrauch'!$A$2797:$I$2816,3,FALSE),0)</f>
        <v>0</v>
      </c>
      <c r="D2202" s="88">
        <v>0</v>
      </c>
      <c r="E2202" s="88">
        <f t="shared" si="83"/>
        <v>170970.9</v>
      </c>
      <c r="F2202" s="88">
        <f>+SUMIF('Anlage 2b_Korrekturen'!$B$700:$B$1160,A2202,'Anlage 2b_Korrekturen'!$E$700:$E$1160)</f>
        <v>0</v>
      </c>
      <c r="G2202" s="135">
        <f t="shared" si="84"/>
        <v>170970.9</v>
      </c>
      <c r="H2202" s="133" t="s">
        <v>2199</v>
      </c>
    </row>
    <row r="2203" spans="1:8" hidden="1" outlineLevel="1">
      <c r="A2203" s="418" t="s">
        <v>1342</v>
      </c>
      <c r="B2203" s="1574">
        <f>+VLOOKUP(A2203,'Anlage 2a_Letztverbrauch'!$A$1338:$I$1704,9,FALSE)</f>
        <v>350283.48</v>
      </c>
      <c r="C2203" s="88">
        <f>IFERROR(+VLOOKUP(A2203,'Anlage 2a_Letztverbrauch'!$A$2797:$I$2816,3,FALSE),0)</f>
        <v>0</v>
      </c>
      <c r="D2203" s="88">
        <v>0</v>
      </c>
      <c r="E2203" s="88">
        <f t="shared" si="83"/>
        <v>350283.48</v>
      </c>
      <c r="F2203" s="88">
        <f>+SUMIF('Anlage 2b_Korrekturen'!$B$700:$B$1160,A2203,'Anlage 2b_Korrekturen'!$E$700:$E$1160)</f>
        <v>0</v>
      </c>
      <c r="G2203" s="135">
        <f t="shared" si="84"/>
        <v>350283.48</v>
      </c>
      <c r="H2203" s="133" t="s">
        <v>1343</v>
      </c>
    </row>
    <row r="2204" spans="1:8" hidden="1" outlineLevel="1">
      <c r="A2204" s="418" t="s">
        <v>1340</v>
      </c>
      <c r="B2204" s="1574">
        <f>+VLOOKUP(A2204,'Anlage 2a_Letztverbrauch'!$A$1338:$I$1704,9,FALSE)</f>
        <v>99113.14</v>
      </c>
      <c r="C2204" s="88">
        <f>IFERROR(+VLOOKUP(A2204,'Anlage 2a_Letztverbrauch'!$A$2797:$I$2816,3,FALSE),0)</f>
        <v>0</v>
      </c>
      <c r="D2204" s="88">
        <v>0</v>
      </c>
      <c r="E2204" s="88">
        <f t="shared" si="83"/>
        <v>99113.14</v>
      </c>
      <c r="F2204" s="88">
        <f>+SUMIF('Anlage 2b_Korrekturen'!$B$700:$B$1160,A2204,'Anlage 2b_Korrekturen'!$E$700:$E$1160)</f>
        <v>0</v>
      </c>
      <c r="G2204" s="135">
        <f t="shared" si="84"/>
        <v>99113.14</v>
      </c>
      <c r="H2204" s="133" t="s">
        <v>1341</v>
      </c>
    </row>
    <row r="2205" spans="1:8" hidden="1" outlineLevel="1">
      <c r="A2205" s="418" t="s">
        <v>1326</v>
      </c>
      <c r="B2205" s="1574">
        <f>+VLOOKUP(A2205,'Anlage 2a_Letztverbrauch'!$A$1338:$I$1704,9,FALSE)</f>
        <v>269474.5</v>
      </c>
      <c r="C2205" s="88">
        <f>IFERROR(+VLOOKUP(A2205,'Anlage 2a_Letztverbrauch'!$A$2797:$I$2816,3,FALSE),0)</f>
        <v>0</v>
      </c>
      <c r="D2205" s="88">
        <v>0</v>
      </c>
      <c r="E2205" s="88">
        <f t="shared" si="83"/>
        <v>269474.5</v>
      </c>
      <c r="F2205" s="88">
        <f>+SUMIF('Anlage 2b_Korrekturen'!$B$700:$B$1160,A2205,'Anlage 2b_Korrekturen'!$E$700:$E$1160)</f>
        <v>-830.46</v>
      </c>
      <c r="G2205" s="135">
        <f t="shared" si="84"/>
        <v>268644.03999999998</v>
      </c>
      <c r="H2205" s="133" t="s">
        <v>1327</v>
      </c>
    </row>
    <row r="2206" spans="1:8" hidden="1" outlineLevel="1">
      <c r="A2206" s="418" t="s">
        <v>1376</v>
      </c>
      <c r="B2206" s="1574">
        <f>+VLOOKUP(A2206,'Anlage 2a_Letztverbrauch'!$A$1338:$I$1704,9,FALSE)</f>
        <v>306305.49</v>
      </c>
      <c r="C2206" s="88">
        <f>IFERROR(+VLOOKUP(A2206,'Anlage 2a_Letztverbrauch'!$A$2797:$I$2816,3,FALSE),0)</f>
        <v>0</v>
      </c>
      <c r="D2206" s="88">
        <v>0</v>
      </c>
      <c r="E2206" s="88">
        <f t="shared" si="83"/>
        <v>306305.49</v>
      </c>
      <c r="F2206" s="88">
        <f>+SUMIF('Anlage 2b_Korrekturen'!$B$700:$B$1160,A2206,'Anlage 2b_Korrekturen'!$E$700:$E$1160)</f>
        <v>0</v>
      </c>
      <c r="G2206" s="135">
        <f t="shared" si="84"/>
        <v>306305.49</v>
      </c>
      <c r="H2206" s="133" t="s">
        <v>1377</v>
      </c>
    </row>
    <row r="2207" spans="1:8" hidden="1" outlineLevel="1">
      <c r="A2207" s="418" t="s">
        <v>1628</v>
      </c>
      <c r="B2207" s="1574">
        <f>+VLOOKUP(A2207,'Anlage 2a_Letztverbrauch'!$A$1338:$I$1704,9,FALSE)</f>
        <v>364820.94</v>
      </c>
      <c r="C2207" s="88">
        <f>IFERROR(+VLOOKUP(A2207,'Anlage 2a_Letztverbrauch'!$A$2797:$I$2816,3,FALSE),0)</f>
        <v>0</v>
      </c>
      <c r="D2207" s="88">
        <v>0</v>
      </c>
      <c r="E2207" s="88">
        <f t="shared" si="83"/>
        <v>364820.94</v>
      </c>
      <c r="F2207" s="88">
        <f>+SUMIF('Anlage 2b_Korrekturen'!$B$700:$B$1160,A2207,'Anlage 2b_Korrekturen'!$E$700:$E$1160)</f>
        <v>4107.79</v>
      </c>
      <c r="G2207" s="135">
        <f t="shared" si="84"/>
        <v>368928.73</v>
      </c>
      <c r="H2207" s="133" t="s">
        <v>1629</v>
      </c>
    </row>
    <row r="2208" spans="1:8" hidden="1" outlineLevel="1">
      <c r="A2208" s="418" t="s">
        <v>2200</v>
      </c>
      <c r="B2208" s="1574">
        <f>+VLOOKUP(A2208,'Anlage 2a_Letztverbrauch'!$A$1338:$I$1704,9,FALSE)</f>
        <v>14251.49</v>
      </c>
      <c r="C2208" s="88">
        <f>IFERROR(+VLOOKUP(A2208,'Anlage 2a_Letztverbrauch'!$A$2797:$I$2816,3,FALSE),0)</f>
        <v>0</v>
      </c>
      <c r="D2208" s="88">
        <v>0</v>
      </c>
      <c r="E2208" s="88">
        <f t="shared" si="83"/>
        <v>14251.49</v>
      </c>
      <c r="F2208" s="88">
        <f>+SUMIF('Anlage 2b_Korrekturen'!$B$700:$B$1160,A2208,'Anlage 2b_Korrekturen'!$E$700:$E$1160)</f>
        <v>0</v>
      </c>
      <c r="G2208" s="135">
        <f t="shared" si="84"/>
        <v>14251.49</v>
      </c>
      <c r="H2208" s="133" t="s">
        <v>2201</v>
      </c>
    </row>
    <row r="2209" spans="1:8" hidden="1" outlineLevel="1">
      <c r="A2209" s="418" t="s">
        <v>1293</v>
      </c>
      <c r="B2209" s="1574">
        <f>+VLOOKUP(A2209,'Anlage 2a_Letztverbrauch'!$A$1338:$I$1704,9,FALSE)</f>
        <v>723820.89</v>
      </c>
      <c r="C2209" s="88">
        <f>IFERROR(+VLOOKUP(A2209,'Anlage 2a_Letztverbrauch'!$A$2797:$I$2816,3,FALSE),0)</f>
        <v>-1099.98</v>
      </c>
      <c r="D2209" s="88">
        <v>0</v>
      </c>
      <c r="E2209" s="88">
        <f t="shared" si="83"/>
        <v>722720.91</v>
      </c>
      <c r="F2209" s="88">
        <f>+SUMIF('Anlage 2b_Korrekturen'!$B$700:$B$1160,A2209,'Anlage 2b_Korrekturen'!$E$700:$E$1160)</f>
        <v>0</v>
      </c>
      <c r="G2209" s="135">
        <f t="shared" si="84"/>
        <v>722720.91</v>
      </c>
      <c r="H2209" s="133" t="s">
        <v>1294</v>
      </c>
    </row>
    <row r="2210" spans="1:8" hidden="1" outlineLevel="1">
      <c r="A2210" s="418" t="s">
        <v>1590</v>
      </c>
      <c r="B2210" s="1574">
        <f>+VLOOKUP(A2210,'Anlage 2a_Letztverbrauch'!$A$1338:$I$1704,9,FALSE)</f>
        <v>45811.51</v>
      </c>
      <c r="C2210" s="88">
        <f>IFERROR(+VLOOKUP(A2210,'Anlage 2a_Letztverbrauch'!$A$2797:$I$2816,3,FALSE),0)</f>
        <v>0</v>
      </c>
      <c r="D2210" s="88">
        <v>0</v>
      </c>
      <c r="E2210" s="88">
        <f t="shared" si="83"/>
        <v>45811.51</v>
      </c>
      <c r="F2210" s="88">
        <f>+SUMIF('Anlage 2b_Korrekturen'!$B$700:$B$1160,A2210,'Anlage 2b_Korrekturen'!$E$700:$E$1160)</f>
        <v>-69.66</v>
      </c>
      <c r="G2210" s="135">
        <f t="shared" si="84"/>
        <v>45741.85</v>
      </c>
      <c r="H2210" s="133" t="s">
        <v>1591</v>
      </c>
    </row>
    <row r="2211" spans="1:8" hidden="1" outlineLevel="1">
      <c r="A2211" s="418" t="s">
        <v>1464</v>
      </c>
      <c r="B2211" s="1574">
        <f>+VLOOKUP(A2211,'Anlage 2a_Letztverbrauch'!$A$1338:$I$1704,9,FALSE)</f>
        <v>126390.33</v>
      </c>
      <c r="C2211" s="88">
        <f>IFERROR(+VLOOKUP(A2211,'Anlage 2a_Letztverbrauch'!$A$2797:$I$2816,3,FALSE),0)</f>
        <v>0</v>
      </c>
      <c r="D2211" s="88">
        <v>0</v>
      </c>
      <c r="E2211" s="88">
        <f t="shared" si="83"/>
        <v>126390.33</v>
      </c>
      <c r="F2211" s="88">
        <f>+SUMIF('Anlage 2b_Korrekturen'!$B$700:$B$1160,A2211,'Anlage 2b_Korrekturen'!$E$700:$E$1160)</f>
        <v>0</v>
      </c>
      <c r="G2211" s="135">
        <f t="shared" si="84"/>
        <v>126390.33</v>
      </c>
      <c r="H2211" s="133" t="s">
        <v>1465</v>
      </c>
    </row>
    <row r="2212" spans="1:8" hidden="1" outlineLevel="1">
      <c r="A2212" s="418" t="s">
        <v>2202</v>
      </c>
      <c r="B2212" s="1574">
        <f>+VLOOKUP(A2212,'Anlage 2a_Letztverbrauch'!$A$1338:$I$1704,9,FALSE)</f>
        <v>17918.509999999998</v>
      </c>
      <c r="C2212" s="88">
        <f>IFERROR(+VLOOKUP(A2212,'Anlage 2a_Letztverbrauch'!$A$2797:$I$2816,3,FALSE),0)</f>
        <v>0</v>
      </c>
      <c r="D2212" s="88">
        <v>0</v>
      </c>
      <c r="E2212" s="88">
        <f t="shared" si="83"/>
        <v>17918.509999999998</v>
      </c>
      <c r="F2212" s="88">
        <f>+SUMIF('Anlage 2b_Korrekturen'!$B$700:$B$1160,A2212,'Anlage 2b_Korrekturen'!$E$700:$E$1160)</f>
        <v>0</v>
      </c>
      <c r="G2212" s="135">
        <f t="shared" si="84"/>
        <v>17918.509999999998</v>
      </c>
      <c r="H2212" s="133" t="s">
        <v>2203</v>
      </c>
    </row>
    <row r="2213" spans="1:8" hidden="1" outlineLevel="1">
      <c r="A2213" s="418" t="s">
        <v>1586</v>
      </c>
      <c r="B2213" s="1574">
        <f>+VLOOKUP(A2213,'Anlage 2a_Letztverbrauch'!$A$1338:$I$1704,9,FALSE)</f>
        <v>72923.539999999994</v>
      </c>
      <c r="C2213" s="88">
        <f>IFERROR(+VLOOKUP(A2213,'Anlage 2a_Letztverbrauch'!$A$2797:$I$2816,3,FALSE),0)</f>
        <v>0</v>
      </c>
      <c r="D2213" s="88">
        <v>0</v>
      </c>
      <c r="E2213" s="88">
        <f t="shared" si="83"/>
        <v>72923.539999999994</v>
      </c>
      <c r="F2213" s="88">
        <f>+SUMIF('Anlage 2b_Korrekturen'!$B$700:$B$1160,A2213,'Anlage 2b_Korrekturen'!$E$700:$E$1160)</f>
        <v>0</v>
      </c>
      <c r="G2213" s="135">
        <f t="shared" si="84"/>
        <v>72923.539999999994</v>
      </c>
      <c r="H2213" s="133" t="s">
        <v>1587</v>
      </c>
    </row>
    <row r="2214" spans="1:8" hidden="1" outlineLevel="1">
      <c r="A2214" s="418" t="s">
        <v>1232</v>
      </c>
      <c r="B2214" s="1574">
        <f>+VLOOKUP(A2214,'Anlage 2a_Letztverbrauch'!$A$1338:$I$1704,9,FALSE)</f>
        <v>1398760.12</v>
      </c>
      <c r="C2214" s="88">
        <f>IFERROR(+VLOOKUP(A2214,'Anlage 2a_Letztverbrauch'!$A$2797:$I$2816,3,FALSE),0)</f>
        <v>0</v>
      </c>
      <c r="D2214" s="88">
        <v>0</v>
      </c>
      <c r="E2214" s="88">
        <f t="shared" si="83"/>
        <v>1398760.12</v>
      </c>
      <c r="F2214" s="88">
        <f>+SUMIF('Anlage 2b_Korrekturen'!$B$700:$B$1160,A2214,'Anlage 2b_Korrekturen'!$E$700:$E$1160)</f>
        <v>0</v>
      </c>
      <c r="G2214" s="135">
        <f t="shared" si="84"/>
        <v>1398760.12</v>
      </c>
      <c r="H2214" s="133" t="s">
        <v>1233</v>
      </c>
    </row>
    <row r="2215" spans="1:8" hidden="1" outlineLevel="1">
      <c r="A2215" s="418" t="s">
        <v>1444</v>
      </c>
      <c r="B2215" s="1574">
        <f>+VLOOKUP(A2215,'Anlage 2a_Letztverbrauch'!$A$1338:$I$1704,9,FALSE)</f>
        <v>2524181.7999999998</v>
      </c>
      <c r="C2215" s="88">
        <f>IFERROR(+VLOOKUP(A2215,'Anlage 2a_Letztverbrauch'!$A$2797:$I$2816,3,FALSE),0)</f>
        <v>-3500.8</v>
      </c>
      <c r="D2215" s="88">
        <v>0</v>
      </c>
      <c r="E2215" s="88">
        <f t="shared" si="83"/>
        <v>2520681</v>
      </c>
      <c r="F2215" s="88">
        <f>+SUMIF('Anlage 2b_Korrekturen'!$B$700:$B$1160,A2215,'Anlage 2b_Korrekturen'!$E$700:$E$1160)</f>
        <v>-12067.34</v>
      </c>
      <c r="G2215" s="135">
        <f t="shared" si="84"/>
        <v>2508613.66</v>
      </c>
      <c r="H2215" s="133" t="s">
        <v>1445</v>
      </c>
    </row>
    <row r="2216" spans="1:8" hidden="1" outlineLevel="1">
      <c r="A2216" s="418" t="s">
        <v>1248</v>
      </c>
      <c r="B2216" s="1574">
        <f>+VLOOKUP(A2216,'Anlage 2a_Letztverbrauch'!$A$1338:$I$1704,9,FALSE)</f>
        <v>301401.48</v>
      </c>
      <c r="C2216" s="88">
        <f>IFERROR(+VLOOKUP(A2216,'Anlage 2a_Letztverbrauch'!$A$2797:$I$2816,3,FALSE),0)</f>
        <v>0</v>
      </c>
      <c r="D2216" s="88">
        <v>0</v>
      </c>
      <c r="E2216" s="88">
        <f t="shared" si="83"/>
        <v>301401.48</v>
      </c>
      <c r="F2216" s="88">
        <f>+SUMIF('Anlage 2b_Korrekturen'!$B$700:$B$1160,A2216,'Anlage 2b_Korrekturen'!$E$700:$E$1160)</f>
        <v>5525.3399999999992</v>
      </c>
      <c r="G2216" s="135">
        <f t="shared" si="84"/>
        <v>306926.82</v>
      </c>
      <c r="H2216" s="133" t="s">
        <v>1249</v>
      </c>
    </row>
    <row r="2217" spans="1:8" hidden="1" outlineLevel="1">
      <c r="A2217" s="418" t="s">
        <v>1675</v>
      </c>
      <c r="B2217" s="1574">
        <f>+VLOOKUP(A2217,'Anlage 2a_Letztverbrauch'!$A$1338:$I$1704,9,FALSE)</f>
        <v>800713.52</v>
      </c>
      <c r="C2217" s="88">
        <f>IFERROR(+VLOOKUP(A2217,'Anlage 2a_Letztverbrauch'!$A$2797:$I$2816,3,FALSE),0)</f>
        <v>0</v>
      </c>
      <c r="D2217" s="88">
        <v>0</v>
      </c>
      <c r="E2217" s="88">
        <f t="shared" si="83"/>
        <v>800713.52</v>
      </c>
      <c r="F2217" s="88">
        <f>+SUMIF('Anlage 2b_Korrekturen'!$B$700:$B$1160,A2217,'Anlage 2b_Korrekturen'!$E$700:$E$1160)</f>
        <v>0</v>
      </c>
      <c r="G2217" s="135">
        <f t="shared" si="84"/>
        <v>800713.52</v>
      </c>
      <c r="H2217" s="133" t="s">
        <v>1676</v>
      </c>
    </row>
    <row r="2218" spans="1:8" hidden="1" outlineLevel="1">
      <c r="A2218" s="418" t="s">
        <v>1536</v>
      </c>
      <c r="B2218" s="1574">
        <f>+VLOOKUP(A2218,'Anlage 2a_Letztverbrauch'!$A$1338:$I$1704,9,FALSE)</f>
        <v>59315.83</v>
      </c>
      <c r="C2218" s="88">
        <f>IFERROR(+VLOOKUP(A2218,'Anlage 2a_Letztverbrauch'!$A$2797:$I$2816,3,FALSE),0)</f>
        <v>0</v>
      </c>
      <c r="D2218" s="88">
        <v>0</v>
      </c>
      <c r="E2218" s="88">
        <f t="shared" si="83"/>
        <v>59315.83</v>
      </c>
      <c r="F2218" s="88">
        <f>+SUMIF('Anlage 2b_Korrekturen'!$B$700:$B$1160,A2218,'Anlage 2b_Korrekturen'!$E$700:$E$1160)</f>
        <v>390.95</v>
      </c>
      <c r="G2218" s="135">
        <f t="shared" si="84"/>
        <v>59706.78</v>
      </c>
      <c r="H2218" s="133" t="s">
        <v>1537</v>
      </c>
    </row>
    <row r="2219" spans="1:8" hidden="1" outlineLevel="1">
      <c r="A2219" s="418" t="s">
        <v>1374</v>
      </c>
      <c r="B2219" s="1574">
        <f>+VLOOKUP(A2219,'Anlage 2a_Letztverbrauch'!$A$1338:$I$1704,9,FALSE)</f>
        <v>225362.52</v>
      </c>
      <c r="C2219" s="88">
        <f>IFERROR(+VLOOKUP(A2219,'Anlage 2a_Letztverbrauch'!$A$2797:$I$2816,3,FALSE),0)</f>
        <v>0</v>
      </c>
      <c r="D2219" s="88">
        <v>0</v>
      </c>
      <c r="E2219" s="88">
        <f t="shared" si="83"/>
        <v>225362.52</v>
      </c>
      <c r="F2219" s="88">
        <f>+SUMIF('Anlage 2b_Korrekturen'!$B$700:$B$1160,A2219,'Anlage 2b_Korrekturen'!$E$700:$E$1160)</f>
        <v>3718.06</v>
      </c>
      <c r="G2219" s="135">
        <f t="shared" si="84"/>
        <v>229080.58</v>
      </c>
      <c r="H2219" s="133" t="s">
        <v>1375</v>
      </c>
    </row>
    <row r="2220" spans="1:8" hidden="1" outlineLevel="1">
      <c r="A2220" s="418" t="s">
        <v>1257</v>
      </c>
      <c r="B2220" s="1574">
        <f>+VLOOKUP(A2220,'Anlage 2a_Letztverbrauch'!$A$1338:$I$1704,9,FALSE)</f>
        <v>126660.39</v>
      </c>
      <c r="C2220" s="88">
        <f>IFERROR(+VLOOKUP(A2220,'Anlage 2a_Letztverbrauch'!$A$2797:$I$2816,3,FALSE),0)</f>
        <v>0</v>
      </c>
      <c r="D2220" s="88">
        <v>0</v>
      </c>
      <c r="E2220" s="88">
        <f t="shared" si="83"/>
        <v>126660.39</v>
      </c>
      <c r="F2220" s="88">
        <f>+SUMIF('Anlage 2b_Korrekturen'!$B$700:$B$1160,A2220,'Anlage 2b_Korrekturen'!$E$700:$E$1160)</f>
        <v>1033.45</v>
      </c>
      <c r="G2220" s="135">
        <f t="shared" si="84"/>
        <v>127693.84</v>
      </c>
      <c r="H2220" s="133" t="s">
        <v>1258</v>
      </c>
    </row>
    <row r="2221" spans="1:8" hidden="1" outlineLevel="1">
      <c r="A2221" s="418" t="s">
        <v>1714</v>
      </c>
      <c r="B2221" s="1574">
        <f>+VLOOKUP(A2221,'Anlage 2a_Letztverbrauch'!$A$1338:$I$1704,9,FALSE)</f>
        <v>486061.46</v>
      </c>
      <c r="C2221" s="88">
        <f>IFERROR(+VLOOKUP(A2221,'Anlage 2a_Letztverbrauch'!$A$2797:$I$2816,3,FALSE),0)</f>
        <v>0</v>
      </c>
      <c r="D2221" s="88">
        <v>0</v>
      </c>
      <c r="E2221" s="88">
        <f t="shared" si="83"/>
        <v>486061.46</v>
      </c>
      <c r="F2221" s="88">
        <f>+SUMIF('Anlage 2b_Korrekturen'!$B$700:$B$1160,A2221,'Anlage 2b_Korrekturen'!$E$700:$E$1160)</f>
        <v>0</v>
      </c>
      <c r="G2221" s="135">
        <f t="shared" si="84"/>
        <v>486061.46</v>
      </c>
      <c r="H2221" s="133" t="s">
        <v>1715</v>
      </c>
    </row>
    <row r="2222" spans="1:8" hidden="1" outlineLevel="1">
      <c r="A2222" s="418" t="s">
        <v>1542</v>
      </c>
      <c r="B2222" s="1574">
        <f>+VLOOKUP(A2222,'Anlage 2a_Letztverbrauch'!$A$1338:$I$1704,9,FALSE)</f>
        <v>111381.95</v>
      </c>
      <c r="C2222" s="88">
        <f>IFERROR(+VLOOKUP(A2222,'Anlage 2a_Letztverbrauch'!$A$2797:$I$2816,3,FALSE),0)</f>
        <v>0</v>
      </c>
      <c r="D2222" s="88">
        <v>0</v>
      </c>
      <c r="E2222" s="88">
        <f t="shared" si="83"/>
        <v>111381.95</v>
      </c>
      <c r="F2222" s="88">
        <f>+SUMIF('Anlage 2b_Korrekturen'!$B$700:$B$1160,A2222,'Anlage 2b_Korrekturen'!$E$700:$E$1160)</f>
        <v>0</v>
      </c>
      <c r="G2222" s="135">
        <f t="shared" si="84"/>
        <v>111381.95</v>
      </c>
      <c r="H2222" s="133" t="s">
        <v>1543</v>
      </c>
    </row>
    <row r="2223" spans="1:8" hidden="1" outlineLevel="1">
      <c r="A2223" s="418" t="s">
        <v>1526</v>
      </c>
      <c r="B2223" s="1574">
        <f>+VLOOKUP(A2223,'Anlage 2a_Letztverbrauch'!$A$1338:$I$1704,9,FALSE)</f>
        <v>138846.68</v>
      </c>
      <c r="C2223" s="88">
        <f>IFERROR(+VLOOKUP(A2223,'Anlage 2a_Letztverbrauch'!$A$2797:$I$2816,3,FALSE),0)</f>
        <v>0</v>
      </c>
      <c r="D2223" s="88">
        <v>0</v>
      </c>
      <c r="E2223" s="88">
        <f t="shared" si="83"/>
        <v>138846.68</v>
      </c>
      <c r="F2223" s="88">
        <f>+SUMIF('Anlage 2b_Korrekturen'!$B$700:$B$1160,A2223,'Anlage 2b_Korrekturen'!$E$700:$E$1160)</f>
        <v>0</v>
      </c>
      <c r="G2223" s="135">
        <f t="shared" si="84"/>
        <v>138846.68</v>
      </c>
      <c r="H2223" s="133" t="s">
        <v>1527</v>
      </c>
    </row>
    <row r="2224" spans="1:8" hidden="1" outlineLevel="1">
      <c r="A2224" s="418" t="s">
        <v>1356</v>
      </c>
      <c r="B2224" s="1574">
        <f>+VLOOKUP(A2224,'Anlage 2a_Letztverbrauch'!$A$1338:$I$1704,9,FALSE)</f>
        <v>105022.43</v>
      </c>
      <c r="C2224" s="88">
        <f>IFERROR(+VLOOKUP(A2224,'Anlage 2a_Letztverbrauch'!$A$2797:$I$2816,3,FALSE),0)</f>
        <v>0</v>
      </c>
      <c r="D2224" s="88">
        <v>0</v>
      </c>
      <c r="E2224" s="88">
        <f t="shared" si="83"/>
        <v>105022.43</v>
      </c>
      <c r="F2224" s="88">
        <f>+SUMIF('Anlage 2b_Korrekturen'!$B$700:$B$1160,A2224,'Anlage 2b_Korrekturen'!$E$700:$E$1160)</f>
        <v>308.89</v>
      </c>
      <c r="G2224" s="135">
        <f t="shared" si="84"/>
        <v>105331.31999999999</v>
      </c>
      <c r="H2224" s="133" t="s">
        <v>1357</v>
      </c>
    </row>
    <row r="2225" spans="1:8" hidden="1" outlineLevel="1">
      <c r="A2225" s="418" t="s">
        <v>1712</v>
      </c>
      <c r="B2225" s="1574">
        <f>+VLOOKUP(A2225,'Anlage 2a_Letztverbrauch'!$A$1338:$I$1704,9,FALSE)</f>
        <v>43352.02</v>
      </c>
      <c r="C2225" s="88">
        <f>IFERROR(+VLOOKUP(A2225,'Anlage 2a_Letztverbrauch'!$A$2797:$I$2816,3,FALSE),0)</f>
        <v>0</v>
      </c>
      <c r="D2225" s="88">
        <v>0</v>
      </c>
      <c r="E2225" s="88">
        <f t="shared" si="83"/>
        <v>43352.02</v>
      </c>
      <c r="F2225" s="88">
        <f>+SUMIF('Anlage 2b_Korrekturen'!$B$700:$B$1160,A2225,'Anlage 2b_Korrekturen'!$E$700:$E$1160)</f>
        <v>0</v>
      </c>
      <c r="G2225" s="135">
        <f t="shared" si="84"/>
        <v>43352.02</v>
      </c>
      <c r="H2225" s="133" t="s">
        <v>1713</v>
      </c>
    </row>
    <row r="2226" spans="1:8" hidden="1" outlineLevel="1">
      <c r="A2226" s="418" t="s">
        <v>1299</v>
      </c>
      <c r="B2226" s="1574">
        <f>+VLOOKUP(A2226,'Anlage 2a_Letztverbrauch'!$A$1338:$I$1704,9,FALSE)</f>
        <v>32658.15</v>
      </c>
      <c r="C2226" s="88">
        <f>IFERROR(+VLOOKUP(A2226,'Anlage 2a_Letztverbrauch'!$A$2797:$I$2816,3,FALSE),0)</f>
        <v>0</v>
      </c>
      <c r="D2226" s="88">
        <v>0</v>
      </c>
      <c r="E2226" s="88">
        <f t="shared" si="83"/>
        <v>32658.15</v>
      </c>
      <c r="F2226" s="88">
        <f>+SUMIF('Anlage 2b_Korrekturen'!$B$700:$B$1160,A2226,'Anlage 2b_Korrekturen'!$E$700:$E$1160)</f>
        <v>-188.35</v>
      </c>
      <c r="G2226" s="135">
        <f t="shared" si="84"/>
        <v>32469.800000000003</v>
      </c>
      <c r="H2226" s="133" t="s">
        <v>1300</v>
      </c>
    </row>
    <row r="2227" spans="1:8" hidden="1" outlineLevel="1">
      <c r="A2227" s="418" t="s">
        <v>1754</v>
      </c>
      <c r="B2227" s="1574">
        <f>+VLOOKUP(A2227,'Anlage 2a_Letztverbrauch'!$A$1338:$I$1704,9,FALSE)</f>
        <v>57867.519999999997</v>
      </c>
      <c r="C2227" s="88">
        <f>IFERROR(+VLOOKUP(A2227,'Anlage 2a_Letztverbrauch'!$A$2797:$I$2816,3,FALSE),0)</f>
        <v>0</v>
      </c>
      <c r="D2227" s="88">
        <v>0</v>
      </c>
      <c r="E2227" s="88">
        <f t="shared" si="83"/>
        <v>57867.519999999997</v>
      </c>
      <c r="F2227" s="88">
        <f>+SUMIF('Anlage 2b_Korrekturen'!$B$700:$B$1160,A2227,'Anlage 2b_Korrekturen'!$E$700:$E$1160)</f>
        <v>-12.62</v>
      </c>
      <c r="G2227" s="135">
        <f t="shared" si="84"/>
        <v>57854.899999999994</v>
      </c>
      <c r="H2227" s="133" t="s">
        <v>1755</v>
      </c>
    </row>
    <row r="2228" spans="1:8" hidden="1" outlineLevel="1">
      <c r="A2228" s="418" t="s">
        <v>1690</v>
      </c>
      <c r="B2228" s="1574">
        <f>+VLOOKUP(A2228,'Anlage 2a_Letztverbrauch'!$A$1338:$I$1704,9,FALSE)</f>
        <v>254219.54</v>
      </c>
      <c r="C2228" s="88">
        <f>IFERROR(+VLOOKUP(A2228,'Anlage 2a_Letztverbrauch'!$A$2797:$I$2816,3,FALSE),0)</f>
        <v>0</v>
      </c>
      <c r="D2228" s="88">
        <v>0</v>
      </c>
      <c r="E2228" s="88">
        <f t="shared" si="83"/>
        <v>254219.54</v>
      </c>
      <c r="F2228" s="88">
        <f>+SUMIF('Anlage 2b_Korrekturen'!$B$700:$B$1160,A2228,'Anlage 2b_Korrekturen'!$E$700:$E$1160)</f>
        <v>212.96000000000004</v>
      </c>
      <c r="G2228" s="135">
        <f t="shared" si="84"/>
        <v>254432.5</v>
      </c>
      <c r="H2228" s="133" t="s">
        <v>1691</v>
      </c>
    </row>
    <row r="2229" spans="1:8" hidden="1" outlineLevel="1">
      <c r="A2229" s="418" t="s">
        <v>1251</v>
      </c>
      <c r="B2229" s="1574">
        <f>+VLOOKUP(A2229,'Anlage 2a_Letztverbrauch'!$A$1338:$I$1704,9,FALSE)</f>
        <v>117760.53</v>
      </c>
      <c r="C2229" s="88">
        <f>IFERROR(+VLOOKUP(A2229,'Anlage 2a_Letztverbrauch'!$A$2797:$I$2816,3,FALSE),0)</f>
        <v>0</v>
      </c>
      <c r="D2229" s="88">
        <v>0</v>
      </c>
      <c r="E2229" s="88">
        <f t="shared" si="83"/>
        <v>117760.53</v>
      </c>
      <c r="F2229" s="88">
        <f>+SUMIF('Anlage 2b_Korrekturen'!$B$700:$B$1160,A2229,'Anlage 2b_Korrekturen'!$E$700:$E$1160)</f>
        <v>0</v>
      </c>
      <c r="G2229" s="135">
        <f t="shared" si="84"/>
        <v>117760.53</v>
      </c>
      <c r="H2229" s="133" t="s">
        <v>1252</v>
      </c>
    </row>
    <row r="2230" spans="1:8" hidden="1" outlineLevel="1">
      <c r="A2230" s="418" t="s">
        <v>1392</v>
      </c>
      <c r="B2230" s="1574">
        <f>+VLOOKUP(A2230,'Anlage 2a_Letztverbrauch'!$A$1338:$I$1704,9,FALSE)</f>
        <v>143388.6</v>
      </c>
      <c r="C2230" s="88">
        <f>IFERROR(+VLOOKUP(A2230,'Anlage 2a_Letztverbrauch'!$A$2797:$I$2816,3,FALSE),0)</f>
        <v>0</v>
      </c>
      <c r="D2230" s="88">
        <v>0</v>
      </c>
      <c r="E2230" s="88">
        <f t="shared" si="83"/>
        <v>143388.6</v>
      </c>
      <c r="F2230" s="88">
        <f>+SUMIF('Anlage 2b_Korrekturen'!$B$700:$B$1160,A2230,'Anlage 2b_Korrekturen'!$E$700:$E$1160)</f>
        <v>-65.760000000000005</v>
      </c>
      <c r="G2230" s="135">
        <f t="shared" si="84"/>
        <v>143322.84</v>
      </c>
      <c r="H2230" s="133" t="s">
        <v>1393</v>
      </c>
    </row>
    <row r="2231" spans="1:8" hidden="1" outlineLevel="1">
      <c r="A2231" s="418" t="s">
        <v>1662</v>
      </c>
      <c r="B2231" s="1574">
        <f>+VLOOKUP(A2231,'Anlage 2a_Letztverbrauch'!$A$1338:$I$1704,9,FALSE)</f>
        <v>39015.31</v>
      </c>
      <c r="C2231" s="88">
        <f>IFERROR(+VLOOKUP(A2231,'Anlage 2a_Letztverbrauch'!$A$2797:$I$2816,3,FALSE),0)</f>
        <v>0</v>
      </c>
      <c r="D2231" s="88">
        <v>0</v>
      </c>
      <c r="E2231" s="88">
        <f t="shared" si="83"/>
        <v>39015.31</v>
      </c>
      <c r="F2231" s="88">
        <f>+SUMIF('Anlage 2b_Korrekturen'!$B$700:$B$1160,A2231,'Anlage 2b_Korrekturen'!$E$700:$E$1160)</f>
        <v>-170.64999999999998</v>
      </c>
      <c r="G2231" s="135">
        <f t="shared" si="84"/>
        <v>38844.659999999996</v>
      </c>
      <c r="H2231" s="133" t="s">
        <v>1663</v>
      </c>
    </row>
    <row r="2232" spans="1:8" hidden="1" outlineLevel="1">
      <c r="A2232" s="418" t="s">
        <v>1660</v>
      </c>
      <c r="B2232" s="1574">
        <f>+VLOOKUP(A2232,'Anlage 2a_Letztverbrauch'!$A$1338:$I$1704,9,FALSE)</f>
        <v>48460.17</v>
      </c>
      <c r="C2232" s="88">
        <f>IFERROR(+VLOOKUP(A2232,'Anlage 2a_Letztverbrauch'!$A$2797:$I$2816,3,FALSE),0)</f>
        <v>0</v>
      </c>
      <c r="D2232" s="88">
        <v>0</v>
      </c>
      <c r="E2232" s="88">
        <f t="shared" si="83"/>
        <v>48460.17</v>
      </c>
      <c r="F2232" s="88">
        <f>+SUMIF('Anlage 2b_Korrekturen'!$B$700:$B$1160,A2232,'Anlage 2b_Korrekturen'!$E$700:$E$1160)</f>
        <v>-27.05</v>
      </c>
      <c r="G2232" s="135">
        <f t="shared" si="84"/>
        <v>48433.119999999995</v>
      </c>
      <c r="H2232" s="133" t="s">
        <v>1661</v>
      </c>
    </row>
    <row r="2233" spans="1:8" hidden="1" outlineLevel="1">
      <c r="A2233" s="418" t="s">
        <v>1564</v>
      </c>
      <c r="B2233" s="1574">
        <f>+VLOOKUP(A2233,'Anlage 2a_Letztverbrauch'!$A$1338:$I$1704,9,FALSE)</f>
        <v>15426.7</v>
      </c>
      <c r="C2233" s="88">
        <f>IFERROR(+VLOOKUP(A2233,'Anlage 2a_Letztverbrauch'!$A$2797:$I$2816,3,FALSE),0)</f>
        <v>0</v>
      </c>
      <c r="D2233" s="88">
        <v>0</v>
      </c>
      <c r="E2233" s="88">
        <f t="shared" si="83"/>
        <v>15426.7</v>
      </c>
      <c r="F2233" s="88">
        <f>+SUMIF('Anlage 2b_Korrekturen'!$B$700:$B$1160,A2233,'Anlage 2b_Korrekturen'!$E$700:$E$1160)</f>
        <v>0</v>
      </c>
      <c r="G2233" s="135">
        <f t="shared" si="84"/>
        <v>15426.7</v>
      </c>
      <c r="H2233" s="133" t="s">
        <v>1565</v>
      </c>
    </row>
    <row r="2234" spans="1:8" hidden="1" outlineLevel="1">
      <c r="A2234" s="418" t="s">
        <v>1612</v>
      </c>
      <c r="B2234" s="1574">
        <f>+VLOOKUP(A2234,'Anlage 2a_Letztverbrauch'!$A$1338:$I$1704,9,FALSE)</f>
        <v>148015.79</v>
      </c>
      <c r="C2234" s="88">
        <f>IFERROR(+VLOOKUP(A2234,'Anlage 2a_Letztverbrauch'!$A$2797:$I$2816,3,FALSE),0)</f>
        <v>0</v>
      </c>
      <c r="D2234" s="88">
        <v>0</v>
      </c>
      <c r="E2234" s="88">
        <f t="shared" si="83"/>
        <v>148015.79</v>
      </c>
      <c r="F2234" s="88">
        <f>+SUMIF('Anlage 2b_Korrekturen'!$B$700:$B$1160,A2234,'Anlage 2b_Korrekturen'!$E$700:$E$1160)</f>
        <v>539.91999999999996</v>
      </c>
      <c r="G2234" s="135">
        <f t="shared" si="84"/>
        <v>148555.71000000002</v>
      </c>
      <c r="H2234" s="133" t="s">
        <v>1613</v>
      </c>
    </row>
    <row r="2235" spans="1:8" hidden="1" outlineLevel="1">
      <c r="A2235" s="418" t="s">
        <v>1544</v>
      </c>
      <c r="B2235" s="1574">
        <f>+VLOOKUP(A2235,'Anlage 2a_Letztverbrauch'!$A$1338:$I$1704,9,FALSE)</f>
        <v>20606.23</v>
      </c>
      <c r="C2235" s="88">
        <f>IFERROR(+VLOOKUP(A2235,'Anlage 2a_Letztverbrauch'!$A$2797:$I$2816,3,FALSE),0)</f>
        <v>0</v>
      </c>
      <c r="D2235" s="88">
        <v>0</v>
      </c>
      <c r="E2235" s="88">
        <f t="shared" si="83"/>
        <v>20606.23</v>
      </c>
      <c r="F2235" s="88">
        <f>+SUMIF('Anlage 2b_Korrekturen'!$B$700:$B$1160,A2235,'Anlage 2b_Korrekturen'!$E$700:$E$1160)</f>
        <v>0</v>
      </c>
      <c r="G2235" s="135">
        <f t="shared" si="84"/>
        <v>20606.23</v>
      </c>
      <c r="H2235" s="133" t="s">
        <v>1545</v>
      </c>
    </row>
    <row r="2236" spans="1:8" hidden="1" outlineLevel="1">
      <c r="A2236" s="418" t="s">
        <v>1530</v>
      </c>
      <c r="B2236" s="1574">
        <f>+VLOOKUP(A2236,'Anlage 2a_Letztverbrauch'!$A$1338:$I$1704,9,FALSE)</f>
        <v>185672.68</v>
      </c>
      <c r="C2236" s="88">
        <f>IFERROR(+VLOOKUP(A2236,'Anlage 2a_Letztverbrauch'!$A$2797:$I$2816,3,FALSE),0)</f>
        <v>0</v>
      </c>
      <c r="D2236" s="88">
        <v>0</v>
      </c>
      <c r="E2236" s="88">
        <f t="shared" si="83"/>
        <v>185672.68</v>
      </c>
      <c r="F2236" s="88">
        <f>+SUMIF('Anlage 2b_Korrekturen'!$B$700:$B$1160,A2236,'Anlage 2b_Korrekturen'!$E$700:$E$1160)</f>
        <v>0</v>
      </c>
      <c r="G2236" s="135">
        <f t="shared" si="84"/>
        <v>185672.68</v>
      </c>
      <c r="H2236" s="133" t="s">
        <v>1531</v>
      </c>
    </row>
    <row r="2237" spans="1:8" hidden="1" outlineLevel="1">
      <c r="A2237" s="418" t="s">
        <v>1452</v>
      </c>
      <c r="B2237" s="1574">
        <f>+VLOOKUP(A2237,'Anlage 2a_Letztverbrauch'!$A$1338:$I$1704,9,FALSE)</f>
        <v>352241.74</v>
      </c>
      <c r="C2237" s="88">
        <f>IFERROR(+VLOOKUP(A2237,'Anlage 2a_Letztverbrauch'!$A$2797:$I$2816,3,FALSE),0)</f>
        <v>0</v>
      </c>
      <c r="D2237" s="88">
        <v>0</v>
      </c>
      <c r="E2237" s="88">
        <f t="shared" si="83"/>
        <v>352241.74</v>
      </c>
      <c r="F2237" s="88">
        <f>+SUMIF('Anlage 2b_Korrekturen'!$B$700:$B$1160,A2237,'Anlage 2b_Korrekturen'!$E$700:$E$1160)</f>
        <v>0</v>
      </c>
      <c r="G2237" s="135">
        <f t="shared" si="84"/>
        <v>352241.74</v>
      </c>
      <c r="H2237" s="133" t="s">
        <v>1453</v>
      </c>
    </row>
    <row r="2238" spans="1:8" hidden="1" outlineLevel="1">
      <c r="A2238" s="418" t="s">
        <v>1774</v>
      </c>
      <c r="B2238" s="1574">
        <f>+VLOOKUP(A2238,'Anlage 2a_Letztverbrauch'!$A$1338:$I$1704,9,FALSE)</f>
        <v>659954.38</v>
      </c>
      <c r="C2238" s="88">
        <f>IFERROR(+VLOOKUP(A2238,'Anlage 2a_Letztverbrauch'!$A$2797:$I$2816,3,FALSE),0)</f>
        <v>-10855</v>
      </c>
      <c r="D2238" s="88">
        <v>0</v>
      </c>
      <c r="E2238" s="88">
        <f t="shared" si="83"/>
        <v>649099.38</v>
      </c>
      <c r="F2238" s="88">
        <f>+SUMIF('Anlage 2b_Korrekturen'!$B$700:$B$1160,A2238,'Anlage 2b_Korrekturen'!$E$700:$E$1160)</f>
        <v>-996.86999999999989</v>
      </c>
      <c r="G2238" s="135">
        <f t="shared" si="84"/>
        <v>648102.51</v>
      </c>
      <c r="H2238" s="133" t="s">
        <v>1775</v>
      </c>
    </row>
    <row r="2239" spans="1:8" hidden="1" outlineLevel="1">
      <c r="A2239" s="418" t="s">
        <v>1402</v>
      </c>
      <c r="B2239" s="1574">
        <f>+VLOOKUP(A2239,'Anlage 2a_Letztverbrauch'!$A$1338:$I$1704,9,FALSE)</f>
        <v>2142899.7399999998</v>
      </c>
      <c r="C2239" s="88">
        <f>IFERROR(+VLOOKUP(A2239,'Anlage 2a_Letztverbrauch'!$A$2797:$I$2816,3,FALSE),0)</f>
        <v>0</v>
      </c>
      <c r="D2239" s="88">
        <v>0</v>
      </c>
      <c r="E2239" s="88">
        <f t="shared" si="83"/>
        <v>2142899.7399999998</v>
      </c>
      <c r="F2239" s="88">
        <f>+SUMIF('Anlage 2b_Korrekturen'!$B$700:$B$1160,A2239,'Anlage 2b_Korrekturen'!$E$700:$E$1160)</f>
        <v>-20476.290000000005</v>
      </c>
      <c r="G2239" s="135">
        <f t="shared" si="84"/>
        <v>2122423.4499999997</v>
      </c>
      <c r="H2239" s="133" t="s">
        <v>1403</v>
      </c>
    </row>
    <row r="2240" spans="1:8" hidden="1" outlineLevel="1">
      <c r="A2240" s="418" t="s">
        <v>1440</v>
      </c>
      <c r="B2240" s="1574">
        <f>+VLOOKUP(A2240,'Anlage 2a_Letztverbrauch'!$A$1338:$I$1704,9,FALSE)</f>
        <v>236892.17</v>
      </c>
      <c r="C2240" s="88">
        <f>IFERROR(+VLOOKUP(A2240,'Anlage 2a_Letztverbrauch'!$A$2797:$I$2816,3,FALSE),0)</f>
        <v>0</v>
      </c>
      <c r="D2240" s="88">
        <v>0</v>
      </c>
      <c r="E2240" s="88">
        <f t="shared" si="83"/>
        <v>236892.17</v>
      </c>
      <c r="F2240" s="88">
        <f>+SUMIF('Anlage 2b_Korrekturen'!$B$700:$B$1160,A2240,'Anlage 2b_Korrekturen'!$E$700:$E$1160)</f>
        <v>0</v>
      </c>
      <c r="G2240" s="135">
        <f t="shared" si="84"/>
        <v>236892.17</v>
      </c>
      <c r="H2240" s="133" t="s">
        <v>1441</v>
      </c>
    </row>
    <row r="2241" spans="1:8" hidden="1" outlineLevel="1">
      <c r="A2241" s="418" t="s">
        <v>1606</v>
      </c>
      <c r="B2241" s="1574">
        <f>+VLOOKUP(A2241,'Anlage 2a_Letztverbrauch'!$A$1338:$I$1704,9,FALSE)</f>
        <v>48406.45</v>
      </c>
      <c r="C2241" s="88">
        <f>IFERROR(+VLOOKUP(A2241,'Anlage 2a_Letztverbrauch'!$A$2797:$I$2816,3,FALSE),0)</f>
        <v>0</v>
      </c>
      <c r="D2241" s="88">
        <v>0</v>
      </c>
      <c r="E2241" s="88">
        <f t="shared" si="83"/>
        <v>48406.45</v>
      </c>
      <c r="F2241" s="88">
        <f>+SUMIF('Anlage 2b_Korrekturen'!$B$700:$B$1160,A2241,'Anlage 2b_Korrekturen'!$E$700:$E$1160)</f>
        <v>0</v>
      </c>
      <c r="G2241" s="135">
        <f t="shared" si="84"/>
        <v>48406.45</v>
      </c>
      <c r="H2241" s="133" t="s">
        <v>1607</v>
      </c>
    </row>
    <row r="2242" spans="1:8" hidden="1" outlineLevel="1">
      <c r="A2242" s="418" t="s">
        <v>1408</v>
      </c>
      <c r="B2242" s="1574">
        <f>+VLOOKUP(A2242,'Anlage 2a_Letztverbrauch'!$A$1338:$I$1704,9,FALSE)</f>
        <v>1690458.89</v>
      </c>
      <c r="C2242" s="88">
        <f>IFERROR(+VLOOKUP(A2242,'Anlage 2a_Letztverbrauch'!$A$2797:$I$2816,3,FALSE),0)</f>
        <v>0</v>
      </c>
      <c r="D2242" s="88">
        <v>0</v>
      </c>
      <c r="E2242" s="88">
        <f t="shared" si="83"/>
        <v>1690458.89</v>
      </c>
      <c r="F2242" s="88">
        <f>+SUMIF('Anlage 2b_Korrekturen'!$B$700:$B$1160,A2242,'Anlage 2b_Korrekturen'!$E$700:$E$1160)</f>
        <v>0</v>
      </c>
      <c r="G2242" s="135">
        <f t="shared" si="84"/>
        <v>1690458.89</v>
      </c>
      <c r="H2242" s="133" t="s">
        <v>1409</v>
      </c>
    </row>
    <row r="2243" spans="1:8" hidden="1" outlineLevel="1">
      <c r="A2243" s="418" t="s">
        <v>1253</v>
      </c>
      <c r="B2243" s="1574">
        <f>+VLOOKUP(A2243,'Anlage 2a_Letztverbrauch'!$A$1338:$I$1704,9,FALSE)</f>
        <v>21370.03</v>
      </c>
      <c r="C2243" s="88">
        <f>IFERROR(+VLOOKUP(A2243,'Anlage 2a_Letztverbrauch'!$A$2797:$I$2816,3,FALSE),0)</f>
        <v>0</v>
      </c>
      <c r="D2243" s="88">
        <v>0</v>
      </c>
      <c r="E2243" s="88">
        <f t="shared" si="83"/>
        <v>21370.03</v>
      </c>
      <c r="F2243" s="88">
        <f>+SUMIF('Anlage 2b_Korrekturen'!$B$700:$B$1160,A2243,'Anlage 2b_Korrekturen'!$E$700:$E$1160)</f>
        <v>-482.23</v>
      </c>
      <c r="G2243" s="135">
        <f t="shared" si="84"/>
        <v>20887.8</v>
      </c>
      <c r="H2243" s="133" t="s">
        <v>1254</v>
      </c>
    </row>
    <row r="2244" spans="1:8" hidden="1" outlineLevel="1">
      <c r="A2244" s="418" t="s">
        <v>1434</v>
      </c>
      <c r="B2244" s="1574">
        <f>+VLOOKUP(A2244,'Anlage 2a_Letztverbrauch'!$A$1338:$I$1704,9,FALSE)</f>
        <v>249478.71</v>
      </c>
      <c r="C2244" s="88">
        <f>IFERROR(+VLOOKUP(A2244,'Anlage 2a_Letztverbrauch'!$A$2797:$I$2816,3,FALSE),0)</f>
        <v>0</v>
      </c>
      <c r="D2244" s="88">
        <v>0</v>
      </c>
      <c r="E2244" s="88">
        <f t="shared" si="83"/>
        <v>249478.71</v>
      </c>
      <c r="F2244" s="88">
        <f>+SUMIF('Anlage 2b_Korrekturen'!$B$700:$B$1160,A2244,'Anlage 2b_Korrekturen'!$E$700:$E$1160)</f>
        <v>0</v>
      </c>
      <c r="G2244" s="135">
        <f t="shared" si="84"/>
        <v>249478.71</v>
      </c>
      <c r="H2244" s="133" t="s">
        <v>1435</v>
      </c>
    </row>
    <row r="2245" spans="1:8" hidden="1" outlineLevel="1">
      <c r="A2245" s="418" t="s">
        <v>1702</v>
      </c>
      <c r="B2245" s="1574">
        <f>+VLOOKUP(A2245,'Anlage 2a_Letztverbrauch'!$A$1338:$I$1704,9,FALSE)</f>
        <v>60587.93</v>
      </c>
      <c r="C2245" s="88">
        <f>IFERROR(+VLOOKUP(A2245,'Anlage 2a_Letztverbrauch'!$A$2797:$I$2816,3,FALSE),0)</f>
        <v>0</v>
      </c>
      <c r="D2245" s="88">
        <v>0</v>
      </c>
      <c r="E2245" s="88">
        <f t="shared" si="83"/>
        <v>60587.93</v>
      </c>
      <c r="F2245" s="88">
        <f>+SUMIF('Anlage 2b_Korrekturen'!$B$700:$B$1160,A2245,'Anlage 2b_Korrekturen'!$E$700:$E$1160)</f>
        <v>0</v>
      </c>
      <c r="G2245" s="135">
        <f t="shared" si="84"/>
        <v>60587.93</v>
      </c>
      <c r="H2245" s="133" t="s">
        <v>1703</v>
      </c>
    </row>
    <row r="2246" spans="1:8" hidden="1" outlineLevel="1">
      <c r="A2246" s="418" t="s">
        <v>1269</v>
      </c>
      <c r="B2246" s="1574">
        <f>+VLOOKUP(A2246,'Anlage 2a_Letztverbrauch'!$A$1338:$I$1704,9,FALSE)</f>
        <v>97176.8</v>
      </c>
      <c r="C2246" s="88">
        <f>IFERROR(+VLOOKUP(A2246,'Anlage 2a_Letztverbrauch'!$A$2797:$I$2816,3,FALSE),0)</f>
        <v>0</v>
      </c>
      <c r="D2246" s="88">
        <v>0</v>
      </c>
      <c r="E2246" s="88">
        <f t="shared" si="83"/>
        <v>97176.8</v>
      </c>
      <c r="F2246" s="88">
        <f>+SUMIF('Anlage 2b_Korrekturen'!$B$700:$B$1160,A2246,'Anlage 2b_Korrekturen'!$E$700:$E$1160)</f>
        <v>0</v>
      </c>
      <c r="G2246" s="135">
        <f t="shared" si="84"/>
        <v>97176.8</v>
      </c>
      <c r="H2246" s="133" t="s">
        <v>1270</v>
      </c>
    </row>
    <row r="2247" spans="1:8" hidden="1" outlineLevel="1">
      <c r="A2247" s="418" t="s">
        <v>1259</v>
      </c>
      <c r="B2247" s="1574">
        <f>+VLOOKUP(A2247,'Anlage 2a_Letztverbrauch'!$A$1338:$I$1704,9,FALSE)</f>
        <v>66997.88</v>
      </c>
      <c r="C2247" s="88">
        <f>IFERROR(+VLOOKUP(A2247,'Anlage 2a_Letztverbrauch'!$A$2797:$I$2816,3,FALSE),0)</f>
        <v>0</v>
      </c>
      <c r="D2247" s="88">
        <v>0</v>
      </c>
      <c r="E2247" s="88">
        <f t="shared" si="83"/>
        <v>66997.88</v>
      </c>
      <c r="F2247" s="88">
        <f>+SUMIF('Anlage 2b_Korrekturen'!$B$700:$B$1160,A2247,'Anlage 2b_Korrekturen'!$E$700:$E$1160)</f>
        <v>0</v>
      </c>
      <c r="G2247" s="135">
        <f t="shared" si="84"/>
        <v>66997.88</v>
      </c>
      <c r="H2247" s="133" t="s">
        <v>1260</v>
      </c>
    </row>
    <row r="2248" spans="1:8" hidden="1" outlineLevel="1">
      <c r="A2248" s="418" t="s">
        <v>1470</v>
      </c>
      <c r="B2248" s="1574">
        <f>+VLOOKUP(A2248,'Anlage 2a_Letztverbrauch'!$A$1338:$I$1704,9,FALSE)</f>
        <v>121620.35</v>
      </c>
      <c r="C2248" s="88">
        <f>IFERROR(+VLOOKUP(A2248,'Anlage 2a_Letztverbrauch'!$A$2797:$I$2816,3,FALSE),0)</f>
        <v>0</v>
      </c>
      <c r="D2248" s="88">
        <v>0</v>
      </c>
      <c r="E2248" s="88">
        <f t="shared" si="83"/>
        <v>121620.35</v>
      </c>
      <c r="F2248" s="88">
        <f>+SUMIF('Anlage 2b_Korrekturen'!$B$700:$B$1160,A2248,'Anlage 2b_Korrekturen'!$E$700:$E$1160)</f>
        <v>0</v>
      </c>
      <c r="G2248" s="135">
        <f t="shared" si="84"/>
        <v>121620.35</v>
      </c>
      <c r="H2248" s="133" t="s">
        <v>1471</v>
      </c>
    </row>
    <row r="2249" spans="1:8" hidden="1" outlineLevel="1">
      <c r="A2249" s="418" t="s">
        <v>1742</v>
      </c>
      <c r="B2249" s="1574">
        <f>+VLOOKUP(A2249,'Anlage 2a_Letztverbrauch'!$A$1338:$I$1704,9,FALSE)</f>
        <v>70517.55</v>
      </c>
      <c r="C2249" s="88">
        <f>IFERROR(+VLOOKUP(A2249,'Anlage 2a_Letztverbrauch'!$A$2797:$I$2816,3,FALSE),0)</f>
        <v>0</v>
      </c>
      <c r="D2249" s="88">
        <v>0</v>
      </c>
      <c r="E2249" s="88">
        <f t="shared" si="83"/>
        <v>70517.55</v>
      </c>
      <c r="F2249" s="88">
        <f>+SUMIF('Anlage 2b_Korrekturen'!$B$700:$B$1160,A2249,'Anlage 2b_Korrekturen'!$E$700:$E$1160)</f>
        <v>0</v>
      </c>
      <c r="G2249" s="135">
        <f t="shared" si="84"/>
        <v>70517.55</v>
      </c>
      <c r="H2249" s="133" t="s">
        <v>1743</v>
      </c>
    </row>
    <row r="2250" spans="1:8" hidden="1" outlineLevel="1">
      <c r="A2250" s="418" t="s">
        <v>1350</v>
      </c>
      <c r="B2250" s="1574">
        <f>+VLOOKUP(A2250,'Anlage 2a_Letztverbrauch'!$A$1338:$I$1704,9,FALSE)</f>
        <v>112876.16</v>
      </c>
      <c r="C2250" s="88">
        <f>IFERROR(+VLOOKUP(A2250,'Anlage 2a_Letztverbrauch'!$A$2797:$I$2816,3,FALSE),0)</f>
        <v>0</v>
      </c>
      <c r="D2250" s="88">
        <v>0</v>
      </c>
      <c r="E2250" s="88">
        <f t="shared" si="83"/>
        <v>112876.16</v>
      </c>
      <c r="F2250" s="88">
        <f>+SUMIF('Anlage 2b_Korrekturen'!$B$700:$B$1160,A2250,'Anlage 2b_Korrekturen'!$E$700:$E$1160)</f>
        <v>0</v>
      </c>
      <c r="G2250" s="135">
        <f t="shared" si="84"/>
        <v>112876.16</v>
      </c>
      <c r="H2250" s="133" t="s">
        <v>1351</v>
      </c>
    </row>
    <row r="2251" spans="1:8" hidden="1" outlineLevel="1">
      <c r="A2251" s="418" t="s">
        <v>1424</v>
      </c>
      <c r="B2251" s="1574">
        <f>+VLOOKUP(A2251,'Anlage 2a_Letztverbrauch'!$A$1338:$I$1704,9,FALSE)</f>
        <v>167611.79999999999</v>
      </c>
      <c r="C2251" s="88">
        <f>IFERROR(+VLOOKUP(A2251,'Anlage 2a_Letztverbrauch'!$A$2797:$I$2816,3,FALSE),0)</f>
        <v>0</v>
      </c>
      <c r="D2251" s="88">
        <v>0</v>
      </c>
      <c r="E2251" s="88">
        <f t="shared" si="83"/>
        <v>167611.79999999999</v>
      </c>
      <c r="F2251" s="88">
        <f>+SUMIF('Anlage 2b_Korrekturen'!$B$700:$B$1160,A2251,'Anlage 2b_Korrekturen'!$E$700:$E$1160)</f>
        <v>0</v>
      </c>
      <c r="G2251" s="135">
        <f t="shared" si="84"/>
        <v>167611.79999999999</v>
      </c>
      <c r="H2251" s="133" t="s">
        <v>1425</v>
      </c>
    </row>
    <row r="2252" spans="1:8" hidden="1" outlineLevel="1">
      <c r="A2252" s="418" t="s">
        <v>1486</v>
      </c>
      <c r="B2252" s="1574">
        <f>+VLOOKUP(A2252,'Anlage 2a_Letztverbrauch'!$A$1338:$I$1704,9,FALSE)</f>
        <v>147163.93</v>
      </c>
      <c r="C2252" s="88">
        <f>IFERROR(+VLOOKUP(A2252,'Anlage 2a_Letztverbrauch'!$A$2797:$I$2816,3,FALSE),0)</f>
        <v>0</v>
      </c>
      <c r="D2252" s="88">
        <v>0</v>
      </c>
      <c r="E2252" s="88">
        <f t="shared" si="83"/>
        <v>147163.93</v>
      </c>
      <c r="F2252" s="88">
        <f>+SUMIF('Anlage 2b_Korrekturen'!$B$700:$B$1160,A2252,'Anlage 2b_Korrekturen'!$E$700:$E$1160)</f>
        <v>547.11</v>
      </c>
      <c r="G2252" s="135">
        <f t="shared" si="84"/>
        <v>147711.03999999998</v>
      </c>
      <c r="H2252" s="133" t="s">
        <v>1487</v>
      </c>
    </row>
    <row r="2253" spans="1:8" hidden="1" outlineLevel="1">
      <c r="A2253" s="418" t="s">
        <v>1532</v>
      </c>
      <c r="B2253" s="1574">
        <f>+VLOOKUP(A2253,'Anlage 2a_Letztverbrauch'!$A$1338:$I$1704,9,FALSE)</f>
        <v>462095.32</v>
      </c>
      <c r="C2253" s="88">
        <f>IFERROR(+VLOOKUP(A2253,'Anlage 2a_Letztverbrauch'!$A$2797:$I$2816,3,FALSE),0)</f>
        <v>0</v>
      </c>
      <c r="D2253" s="88">
        <v>0</v>
      </c>
      <c r="E2253" s="88">
        <f t="shared" si="83"/>
        <v>462095.32</v>
      </c>
      <c r="F2253" s="88">
        <f>+SUMIF('Anlage 2b_Korrekturen'!$B$700:$B$1160,A2253,'Anlage 2b_Korrekturen'!$E$700:$E$1160)</f>
        <v>3829.57</v>
      </c>
      <c r="G2253" s="135">
        <f t="shared" si="84"/>
        <v>465924.89</v>
      </c>
      <c r="H2253" s="133" t="s">
        <v>1533</v>
      </c>
    </row>
    <row r="2254" spans="1:8" hidden="1" outlineLevel="1">
      <c r="A2254" s="418" t="s">
        <v>1406</v>
      </c>
      <c r="B2254" s="1574">
        <f>+VLOOKUP(A2254,'Anlage 2a_Letztverbrauch'!$A$1338:$I$1704,9,FALSE)</f>
        <v>69207.61</v>
      </c>
      <c r="C2254" s="88">
        <f>IFERROR(+VLOOKUP(A2254,'Anlage 2a_Letztverbrauch'!$A$2797:$I$2816,3,FALSE),0)</f>
        <v>0</v>
      </c>
      <c r="D2254" s="88">
        <v>0</v>
      </c>
      <c r="E2254" s="88">
        <f t="shared" si="83"/>
        <v>69207.61</v>
      </c>
      <c r="F2254" s="88">
        <f>+SUMIF('Anlage 2b_Korrekturen'!$B$700:$B$1160,A2254,'Anlage 2b_Korrekturen'!$E$700:$E$1160)</f>
        <v>0</v>
      </c>
      <c r="G2254" s="135">
        <f t="shared" si="84"/>
        <v>69207.61</v>
      </c>
      <c r="H2254" s="133" t="s">
        <v>1407</v>
      </c>
    </row>
    <row r="2255" spans="1:8" hidden="1" outlineLevel="1">
      <c r="A2255" s="418" t="s">
        <v>1820</v>
      </c>
      <c r="B2255" s="1574">
        <f>+VLOOKUP(A2255,'Anlage 2a_Letztverbrauch'!$A$1338:$I$1704,9,FALSE)</f>
        <v>472561.76</v>
      </c>
      <c r="C2255" s="88">
        <f>IFERROR(+VLOOKUP(A2255,'Anlage 2a_Letztverbrauch'!$A$2797:$I$2816,3,FALSE),0)</f>
        <v>0</v>
      </c>
      <c r="D2255" s="88">
        <v>0</v>
      </c>
      <c r="E2255" s="88">
        <f t="shared" si="83"/>
        <v>472561.76</v>
      </c>
      <c r="F2255" s="88">
        <f>+SUMIF('Anlage 2b_Korrekturen'!$B$700:$B$1160,A2255,'Anlage 2b_Korrekturen'!$E$700:$E$1160)</f>
        <v>-410.4799999999999</v>
      </c>
      <c r="G2255" s="135">
        <f t="shared" si="84"/>
        <v>472151.28</v>
      </c>
      <c r="H2255" s="133" t="s">
        <v>1821</v>
      </c>
    </row>
    <row r="2256" spans="1:8" hidden="1" outlineLevel="1">
      <c r="A2256" s="418" t="s">
        <v>1673</v>
      </c>
      <c r="B2256" s="1574">
        <f>+VLOOKUP(A2256,'Anlage 2a_Letztverbrauch'!$A$1338:$I$1704,9,FALSE)</f>
        <v>313144.5</v>
      </c>
      <c r="C2256" s="88">
        <f>IFERROR(+VLOOKUP(A2256,'Anlage 2a_Letztverbrauch'!$A$2797:$I$2816,3,FALSE),0)</f>
        <v>0</v>
      </c>
      <c r="D2256" s="88">
        <v>0</v>
      </c>
      <c r="E2256" s="88">
        <f t="shared" si="83"/>
        <v>313144.5</v>
      </c>
      <c r="F2256" s="88">
        <f>+SUMIF('Anlage 2b_Korrekturen'!$B$700:$B$1160,A2256,'Anlage 2b_Korrekturen'!$E$700:$E$1160)</f>
        <v>0</v>
      </c>
      <c r="G2256" s="135">
        <f t="shared" si="84"/>
        <v>313144.5</v>
      </c>
      <c r="H2256" s="133" t="s">
        <v>1674</v>
      </c>
    </row>
    <row r="2257" spans="1:8" hidden="1" outlineLevel="1">
      <c r="A2257" s="418" t="s">
        <v>1580</v>
      </c>
      <c r="B2257" s="1574">
        <f>+VLOOKUP(A2257,'Anlage 2a_Letztverbrauch'!$A$1338:$I$1704,9,FALSE)</f>
        <v>204005.77</v>
      </c>
      <c r="C2257" s="88">
        <f>IFERROR(+VLOOKUP(A2257,'Anlage 2a_Letztverbrauch'!$A$2797:$I$2816,3,FALSE),0)</f>
        <v>0</v>
      </c>
      <c r="D2257" s="88">
        <v>0</v>
      </c>
      <c r="E2257" s="88">
        <f t="shared" si="83"/>
        <v>204005.77</v>
      </c>
      <c r="F2257" s="88">
        <f>+SUMIF('Anlage 2b_Korrekturen'!$B$700:$B$1160,A2257,'Anlage 2b_Korrekturen'!$E$700:$E$1160)</f>
        <v>4611.58</v>
      </c>
      <c r="G2257" s="135">
        <f t="shared" si="84"/>
        <v>208617.34999999998</v>
      </c>
      <c r="H2257" s="133" t="s">
        <v>1581</v>
      </c>
    </row>
    <row r="2258" spans="1:8" hidden="1" outlineLevel="1">
      <c r="A2258" s="418" t="s">
        <v>1588</v>
      </c>
      <c r="B2258" s="1574">
        <f>+VLOOKUP(A2258,'Anlage 2a_Letztverbrauch'!$A$1338:$I$1704,9,FALSE)</f>
        <v>393450.95</v>
      </c>
      <c r="C2258" s="88">
        <f>IFERROR(+VLOOKUP(A2258,'Anlage 2a_Letztverbrauch'!$A$2797:$I$2816,3,FALSE),0)</f>
        <v>0</v>
      </c>
      <c r="D2258" s="88">
        <v>0</v>
      </c>
      <c r="E2258" s="88">
        <f t="shared" si="83"/>
        <v>393450.95</v>
      </c>
      <c r="F2258" s="88">
        <f>+SUMIF('Anlage 2b_Korrekturen'!$B$700:$B$1160,A2258,'Anlage 2b_Korrekturen'!$E$700:$E$1160)</f>
        <v>-851.54000000000008</v>
      </c>
      <c r="G2258" s="135">
        <f t="shared" si="84"/>
        <v>392599.41000000003</v>
      </c>
      <c r="H2258" s="133" t="s">
        <v>1589</v>
      </c>
    </row>
    <row r="2259" spans="1:8" hidden="1" outlineLevel="1">
      <c r="A2259" s="418" t="s">
        <v>1568</v>
      </c>
      <c r="B2259" s="1574">
        <f>+VLOOKUP(A2259,'Anlage 2a_Letztverbrauch'!$A$1338:$I$1704,9,FALSE)</f>
        <v>23256.880000000001</v>
      </c>
      <c r="C2259" s="88">
        <f>IFERROR(+VLOOKUP(A2259,'Anlage 2a_Letztverbrauch'!$A$2797:$I$2816,3,FALSE),0)</f>
        <v>0</v>
      </c>
      <c r="D2259" s="88">
        <v>0</v>
      </c>
      <c r="E2259" s="88">
        <f t="shared" si="83"/>
        <v>23256.880000000001</v>
      </c>
      <c r="F2259" s="88">
        <f>+SUMIF('Anlage 2b_Korrekturen'!$B$700:$B$1160,A2259,'Anlage 2b_Korrekturen'!$E$700:$E$1160)</f>
        <v>652.26</v>
      </c>
      <c r="G2259" s="135">
        <f t="shared" si="84"/>
        <v>23909.14</v>
      </c>
      <c r="H2259" s="133" t="s">
        <v>1569</v>
      </c>
    </row>
    <row r="2260" spans="1:8" hidden="1" outlineLevel="1">
      <c r="A2260" s="418" t="s">
        <v>1482</v>
      </c>
      <c r="B2260" s="1574">
        <f>+VLOOKUP(A2260,'Anlage 2a_Letztverbrauch'!$A$1338:$I$1704,9,FALSE)</f>
        <v>320371.83</v>
      </c>
      <c r="C2260" s="88">
        <f>IFERROR(+VLOOKUP(A2260,'Anlage 2a_Letztverbrauch'!$A$2797:$I$2816,3,FALSE),0)</f>
        <v>0</v>
      </c>
      <c r="D2260" s="88">
        <v>0</v>
      </c>
      <c r="E2260" s="88">
        <f t="shared" si="83"/>
        <v>320371.83</v>
      </c>
      <c r="F2260" s="88">
        <f>+SUMIF('Anlage 2b_Korrekturen'!$B$700:$B$1160,A2260,'Anlage 2b_Korrekturen'!$E$700:$E$1160)</f>
        <v>0</v>
      </c>
      <c r="G2260" s="135">
        <f t="shared" si="84"/>
        <v>320371.83</v>
      </c>
      <c r="H2260" s="133" t="s">
        <v>1483</v>
      </c>
    </row>
    <row r="2261" spans="1:8" hidden="1" outlineLevel="1">
      <c r="A2261" s="418" t="s">
        <v>1506</v>
      </c>
      <c r="B2261" s="1574">
        <f>+VLOOKUP(A2261,'Anlage 2a_Letztverbrauch'!$A$1338:$I$1704,9,FALSE)</f>
        <v>207983.1</v>
      </c>
      <c r="C2261" s="88">
        <f>IFERROR(+VLOOKUP(A2261,'Anlage 2a_Letztverbrauch'!$A$2797:$I$2816,3,FALSE),0)</f>
        <v>0</v>
      </c>
      <c r="D2261" s="88">
        <v>0</v>
      </c>
      <c r="E2261" s="88">
        <f t="shared" ref="E2261:E2324" si="85">B2261+C2261+D2261</f>
        <v>207983.1</v>
      </c>
      <c r="F2261" s="88">
        <f>+SUMIF('Anlage 2b_Korrekturen'!$B$700:$B$1160,A2261,'Anlage 2b_Korrekturen'!$E$700:$E$1160)</f>
        <v>-345.37</v>
      </c>
      <c r="G2261" s="135">
        <f t="shared" ref="G2261:G2324" si="86">E2261+F2261</f>
        <v>207637.73</v>
      </c>
      <c r="H2261" s="133" t="s">
        <v>1507</v>
      </c>
    </row>
    <row r="2262" spans="1:8" hidden="1" outlineLevel="1">
      <c r="A2262" s="418" t="s">
        <v>1596</v>
      </c>
      <c r="B2262" s="1574">
        <f>+VLOOKUP(A2262,'Anlage 2a_Letztverbrauch'!$A$1338:$I$1704,9,FALSE)</f>
        <v>154964.41</v>
      </c>
      <c r="C2262" s="88">
        <f>IFERROR(+VLOOKUP(A2262,'Anlage 2a_Letztverbrauch'!$A$2797:$I$2816,3,FALSE),0)</f>
        <v>0</v>
      </c>
      <c r="D2262" s="88">
        <v>0</v>
      </c>
      <c r="E2262" s="88">
        <f t="shared" si="85"/>
        <v>154964.41</v>
      </c>
      <c r="F2262" s="88">
        <f>+SUMIF('Anlage 2b_Korrekturen'!$B$700:$B$1160,A2262,'Anlage 2b_Korrekturen'!$E$700:$E$1160)</f>
        <v>0</v>
      </c>
      <c r="G2262" s="135">
        <f t="shared" si="86"/>
        <v>154964.41</v>
      </c>
      <c r="H2262" s="133" t="s">
        <v>1597</v>
      </c>
    </row>
    <row r="2263" spans="1:8" hidden="1" outlineLevel="1">
      <c r="A2263" s="418" t="s">
        <v>1330</v>
      </c>
      <c r="B2263" s="1574">
        <f>+VLOOKUP(A2263,'Anlage 2a_Letztverbrauch'!$A$1338:$I$1704,9,FALSE)</f>
        <v>634912.98</v>
      </c>
      <c r="C2263" s="88">
        <f>IFERROR(+VLOOKUP(A2263,'Anlage 2a_Letztverbrauch'!$A$2797:$I$2816,3,FALSE),0)</f>
        <v>0</v>
      </c>
      <c r="D2263" s="88">
        <v>0</v>
      </c>
      <c r="E2263" s="88">
        <f t="shared" si="85"/>
        <v>634912.98</v>
      </c>
      <c r="F2263" s="88">
        <f>+SUMIF('Anlage 2b_Korrekturen'!$B$700:$B$1160,A2263,'Anlage 2b_Korrekturen'!$E$700:$E$1160)</f>
        <v>4311.8999999999996</v>
      </c>
      <c r="G2263" s="135">
        <f t="shared" si="86"/>
        <v>639224.88</v>
      </c>
      <c r="H2263" s="133" t="s">
        <v>1331</v>
      </c>
    </row>
    <row r="2264" spans="1:8" hidden="1" outlineLevel="1">
      <c r="A2264" s="418" t="s">
        <v>1746</v>
      </c>
      <c r="B2264" s="1574">
        <f>+VLOOKUP(A2264,'Anlage 2a_Letztverbrauch'!$A$1338:$I$1704,9,FALSE)</f>
        <v>126991.45</v>
      </c>
      <c r="C2264" s="88">
        <f>IFERROR(+VLOOKUP(A2264,'Anlage 2a_Letztverbrauch'!$A$2797:$I$2816,3,FALSE),0)</f>
        <v>0</v>
      </c>
      <c r="D2264" s="88">
        <v>0</v>
      </c>
      <c r="E2264" s="88">
        <f t="shared" si="85"/>
        <v>126991.45</v>
      </c>
      <c r="F2264" s="88">
        <f>+SUMIF('Anlage 2b_Korrekturen'!$B$700:$B$1160,A2264,'Anlage 2b_Korrekturen'!$E$700:$E$1160)</f>
        <v>0</v>
      </c>
      <c r="G2264" s="135">
        <f t="shared" si="86"/>
        <v>126991.45</v>
      </c>
      <c r="H2264" s="133" t="s">
        <v>1747</v>
      </c>
    </row>
    <row r="2265" spans="1:8" hidden="1" outlineLevel="1">
      <c r="A2265" s="418" t="s">
        <v>1390</v>
      </c>
      <c r="B2265" s="1574">
        <f>+VLOOKUP(A2265,'Anlage 2a_Letztverbrauch'!$A$1338:$I$1704,9,FALSE)</f>
        <v>165766.23000000001</v>
      </c>
      <c r="C2265" s="88">
        <v>-173.08</v>
      </c>
      <c r="D2265" s="88">
        <v>0</v>
      </c>
      <c r="E2265" s="88">
        <f t="shared" si="85"/>
        <v>165593.15000000002</v>
      </c>
      <c r="F2265" s="88">
        <f>+SUMIF('Anlage 2b_Korrekturen'!$B$700:$B$1160,A2265,'Anlage 2b_Korrekturen'!$E$700:$E$1160)</f>
        <v>2666.08</v>
      </c>
      <c r="G2265" s="135">
        <f t="shared" si="86"/>
        <v>168259.23</v>
      </c>
      <c r="H2265" s="133" t="s">
        <v>1391</v>
      </c>
    </row>
    <row r="2266" spans="1:8" hidden="1" outlineLevel="1">
      <c r="A2266" s="418" t="s">
        <v>1642</v>
      </c>
      <c r="B2266" s="1574">
        <f>+VLOOKUP(A2266,'Anlage 2a_Letztverbrauch'!$A$1338:$I$1704,9,FALSE)</f>
        <v>313496.63</v>
      </c>
      <c r="C2266" s="88">
        <f>IFERROR(+VLOOKUP(A2266,'Anlage 2a_Letztverbrauch'!$A$2797:$I$2816,3,FALSE),0)</f>
        <v>0</v>
      </c>
      <c r="D2266" s="88">
        <v>0</v>
      </c>
      <c r="E2266" s="88">
        <f t="shared" si="85"/>
        <v>313496.63</v>
      </c>
      <c r="F2266" s="88">
        <f>+SUMIF('Anlage 2b_Korrekturen'!$B$700:$B$1160,A2266,'Anlage 2b_Korrekturen'!$E$700:$E$1160)</f>
        <v>0</v>
      </c>
      <c r="G2266" s="135">
        <f t="shared" si="86"/>
        <v>313496.63</v>
      </c>
      <c r="H2266" s="133" t="s">
        <v>1643</v>
      </c>
    </row>
    <row r="2267" spans="1:8" hidden="1" outlineLevel="1">
      <c r="A2267" s="418" t="s">
        <v>1574</v>
      </c>
      <c r="B2267" s="1574">
        <f>+VLOOKUP(A2267,'Anlage 2a_Letztverbrauch'!$A$1338:$I$1704,9,FALSE)</f>
        <v>112502.47</v>
      </c>
      <c r="C2267" s="88">
        <f>IFERROR(+VLOOKUP(A2267,'Anlage 2a_Letztverbrauch'!$A$2797:$I$2816,3,FALSE),0)</f>
        <v>0</v>
      </c>
      <c r="D2267" s="88">
        <v>0</v>
      </c>
      <c r="E2267" s="88">
        <f t="shared" si="85"/>
        <v>112502.47</v>
      </c>
      <c r="F2267" s="88">
        <f>+SUMIF('Anlage 2b_Korrekturen'!$B$700:$B$1160,A2267,'Anlage 2b_Korrekturen'!$E$700:$E$1160)</f>
        <v>0</v>
      </c>
      <c r="G2267" s="135">
        <f t="shared" si="86"/>
        <v>112502.47</v>
      </c>
      <c r="H2267" s="133" t="s">
        <v>1575</v>
      </c>
    </row>
    <row r="2268" spans="1:8" hidden="1" outlineLevel="1">
      <c r="A2268" s="418" t="s">
        <v>1229</v>
      </c>
      <c r="B2268" s="1574">
        <f>+VLOOKUP(A2268,'Anlage 2a_Letztverbrauch'!$A$1338:$I$1704,9,FALSE)</f>
        <v>199075.97</v>
      </c>
      <c r="C2268" s="88">
        <f>IFERROR(+VLOOKUP(A2268,'Anlage 2a_Letztverbrauch'!$A$2797:$I$2816,3,FALSE),0)</f>
        <v>0</v>
      </c>
      <c r="D2268" s="88">
        <v>0</v>
      </c>
      <c r="E2268" s="88">
        <f t="shared" si="85"/>
        <v>199075.97</v>
      </c>
      <c r="F2268" s="88">
        <f>+SUMIF('Anlage 2b_Korrekturen'!$B$700:$B$1160,A2268,'Anlage 2b_Korrekturen'!$E$700:$E$1160)</f>
        <v>-375.29</v>
      </c>
      <c r="G2268" s="135">
        <f t="shared" si="86"/>
        <v>198700.68</v>
      </c>
      <c r="H2268" s="133" t="s">
        <v>1230</v>
      </c>
    </row>
    <row r="2269" spans="1:8" hidden="1" outlineLevel="1">
      <c r="A2269" s="418" t="s">
        <v>1572</v>
      </c>
      <c r="B2269" s="1574">
        <f>+VLOOKUP(A2269,'Anlage 2a_Letztverbrauch'!$A$1338:$I$1704,9,FALSE)</f>
        <v>266473.5</v>
      </c>
      <c r="C2269" s="88">
        <f>IFERROR(+VLOOKUP(A2269,'Anlage 2a_Letztverbrauch'!$A$2797:$I$2816,3,FALSE),0)</f>
        <v>0</v>
      </c>
      <c r="D2269" s="88">
        <v>0</v>
      </c>
      <c r="E2269" s="88">
        <f t="shared" si="85"/>
        <v>266473.5</v>
      </c>
      <c r="F2269" s="88">
        <f>+SUMIF('Anlage 2b_Korrekturen'!$B$700:$B$1160,A2269,'Anlage 2b_Korrekturen'!$E$700:$E$1160)</f>
        <v>1719.07</v>
      </c>
      <c r="G2269" s="135">
        <f t="shared" si="86"/>
        <v>268192.57</v>
      </c>
      <c r="H2269" s="133" t="s">
        <v>1573</v>
      </c>
    </row>
    <row r="2270" spans="1:8" hidden="1" outlineLevel="1">
      <c r="A2270" s="418" t="s">
        <v>1436</v>
      </c>
      <c r="B2270" s="1574">
        <f>+VLOOKUP(A2270,'Anlage 2a_Letztverbrauch'!$A$1338:$I$1704,9,FALSE)</f>
        <v>294287.58</v>
      </c>
      <c r="C2270" s="88">
        <f>IFERROR(+VLOOKUP(A2270,'Anlage 2a_Letztverbrauch'!$A$2797:$I$2816,3,FALSE),0)</f>
        <v>0</v>
      </c>
      <c r="D2270" s="88">
        <v>0</v>
      </c>
      <c r="E2270" s="88">
        <f t="shared" si="85"/>
        <v>294287.58</v>
      </c>
      <c r="F2270" s="88">
        <f>+SUMIF('Anlage 2b_Korrekturen'!$B$700:$B$1160,A2270,'Anlage 2b_Korrekturen'!$E$700:$E$1160)</f>
        <v>0</v>
      </c>
      <c r="G2270" s="135">
        <f t="shared" si="86"/>
        <v>294287.58</v>
      </c>
      <c r="H2270" s="133" t="s">
        <v>1437</v>
      </c>
    </row>
    <row r="2271" spans="1:8" hidden="1" outlineLevel="1">
      <c r="A2271" s="418" t="s">
        <v>1600</v>
      </c>
      <c r="B2271" s="1574">
        <f>+VLOOKUP(A2271,'Anlage 2a_Letztverbrauch'!$A$1338:$I$1704,9,FALSE)</f>
        <v>167444.46</v>
      </c>
      <c r="C2271" s="88">
        <f>IFERROR(+VLOOKUP(A2271,'Anlage 2a_Letztverbrauch'!$A$2797:$I$2816,3,FALSE),0)</f>
        <v>0</v>
      </c>
      <c r="D2271" s="88">
        <v>0</v>
      </c>
      <c r="E2271" s="88">
        <f t="shared" si="85"/>
        <v>167444.46</v>
      </c>
      <c r="F2271" s="88">
        <f>+SUMIF('Anlage 2b_Korrekturen'!$B$700:$B$1160,A2271,'Anlage 2b_Korrekturen'!$E$700:$E$1160)</f>
        <v>0</v>
      </c>
      <c r="G2271" s="135">
        <f t="shared" si="86"/>
        <v>167444.46</v>
      </c>
      <c r="H2271" s="133" t="s">
        <v>1601</v>
      </c>
    </row>
    <row r="2272" spans="1:8" hidden="1" outlineLevel="1">
      <c r="A2272" s="418" t="s">
        <v>1698</v>
      </c>
      <c r="B2272" s="1574">
        <f>+VLOOKUP(A2272,'Anlage 2a_Letztverbrauch'!$A$1338:$I$1704,9,FALSE)</f>
        <v>257708.64</v>
      </c>
      <c r="C2272" s="88">
        <f>IFERROR(+VLOOKUP(A2272,'Anlage 2a_Letztverbrauch'!$A$2797:$I$2816,3,FALSE),0)</f>
        <v>0</v>
      </c>
      <c r="D2272" s="88">
        <v>0</v>
      </c>
      <c r="E2272" s="88">
        <f t="shared" si="85"/>
        <v>257708.64</v>
      </c>
      <c r="F2272" s="88">
        <f>+SUMIF('Anlage 2b_Korrekturen'!$B$700:$B$1160,A2272,'Anlage 2b_Korrekturen'!$E$700:$E$1160)</f>
        <v>1234.8800000000001</v>
      </c>
      <c r="G2272" s="135">
        <f t="shared" si="86"/>
        <v>258943.52000000002</v>
      </c>
      <c r="H2272" s="133" t="s">
        <v>1699</v>
      </c>
    </row>
    <row r="2273" spans="1:8" hidden="1" outlineLevel="1">
      <c r="A2273" s="418" t="s">
        <v>1616</v>
      </c>
      <c r="B2273" s="1574">
        <f>+VLOOKUP(A2273,'Anlage 2a_Letztverbrauch'!$A$1338:$I$1704,9,FALSE)</f>
        <v>323712.68</v>
      </c>
      <c r="C2273" s="88">
        <f>IFERROR(+VLOOKUP(A2273,'Anlage 2a_Letztverbrauch'!$A$2797:$I$2816,3,FALSE),0)</f>
        <v>0</v>
      </c>
      <c r="D2273" s="88">
        <v>0</v>
      </c>
      <c r="E2273" s="88">
        <f t="shared" si="85"/>
        <v>323712.68</v>
      </c>
      <c r="F2273" s="88">
        <f>+SUMIF('Anlage 2b_Korrekturen'!$B$700:$B$1160,A2273,'Anlage 2b_Korrekturen'!$E$700:$E$1160)</f>
        <v>23332.489999999998</v>
      </c>
      <c r="G2273" s="135">
        <f t="shared" si="86"/>
        <v>347045.17</v>
      </c>
      <c r="H2273" s="133" t="s">
        <v>1617</v>
      </c>
    </row>
    <row r="2274" spans="1:8" hidden="1" outlineLevel="1">
      <c r="A2274" s="418" t="s">
        <v>1604</v>
      </c>
      <c r="B2274" s="1574">
        <f>+VLOOKUP(A2274,'Anlage 2a_Letztverbrauch'!$A$1338:$I$1704,9,FALSE)</f>
        <v>197035.49</v>
      </c>
      <c r="C2274" s="88">
        <f>IFERROR(+VLOOKUP(A2274,'Anlage 2a_Letztverbrauch'!$A$2797:$I$2816,3,FALSE),0)</f>
        <v>-30085.29</v>
      </c>
      <c r="D2274" s="88">
        <v>0</v>
      </c>
      <c r="E2274" s="88">
        <f t="shared" si="85"/>
        <v>166950.19999999998</v>
      </c>
      <c r="F2274" s="88">
        <f>+SUMIF('Anlage 2b_Korrekturen'!$B$700:$B$1160,A2274,'Anlage 2b_Korrekturen'!$E$700:$E$1160)</f>
        <v>0</v>
      </c>
      <c r="G2274" s="135">
        <f t="shared" si="86"/>
        <v>166950.19999999998</v>
      </c>
      <c r="H2274" s="133" t="s">
        <v>1605</v>
      </c>
    </row>
    <row r="2275" spans="1:8" hidden="1" outlineLevel="1">
      <c r="A2275" s="418" t="s">
        <v>1554</v>
      </c>
      <c r="B2275" s="1574">
        <f>+VLOOKUP(A2275,'Anlage 2a_Letztverbrauch'!$A$1338:$I$1704,9,FALSE)</f>
        <v>80067.14</v>
      </c>
      <c r="C2275" s="88">
        <f>IFERROR(+VLOOKUP(A2275,'Anlage 2a_Letztverbrauch'!$A$2797:$I$2816,3,FALSE),0)</f>
        <v>0</v>
      </c>
      <c r="D2275" s="88">
        <v>0</v>
      </c>
      <c r="E2275" s="88">
        <f t="shared" si="85"/>
        <v>80067.14</v>
      </c>
      <c r="F2275" s="88">
        <f>+SUMIF('Anlage 2b_Korrekturen'!$B$700:$B$1160,A2275,'Anlage 2b_Korrekturen'!$E$700:$E$1160)</f>
        <v>431.37</v>
      </c>
      <c r="G2275" s="135">
        <f t="shared" si="86"/>
        <v>80498.509999999995</v>
      </c>
      <c r="H2275" s="133" t="s">
        <v>1555</v>
      </c>
    </row>
    <row r="2276" spans="1:8" hidden="1" outlineLevel="1">
      <c r="A2276" s="418" t="s">
        <v>1679</v>
      </c>
      <c r="B2276" s="1574">
        <f>+VLOOKUP(A2276,'Anlage 2a_Letztverbrauch'!$A$1338:$I$1704,9,FALSE)</f>
        <v>65109.77</v>
      </c>
      <c r="C2276" s="88">
        <f>IFERROR(+VLOOKUP(A2276,'Anlage 2a_Letztverbrauch'!$A$2797:$I$2816,3,FALSE),0)</f>
        <v>0</v>
      </c>
      <c r="D2276" s="88">
        <v>0</v>
      </c>
      <c r="E2276" s="88">
        <f t="shared" si="85"/>
        <v>65109.77</v>
      </c>
      <c r="F2276" s="88">
        <f>+SUMIF('Anlage 2b_Korrekturen'!$B$700:$B$1160,A2276,'Anlage 2b_Korrekturen'!$E$700:$E$1160)</f>
        <v>0</v>
      </c>
      <c r="G2276" s="135">
        <f t="shared" si="86"/>
        <v>65109.77</v>
      </c>
      <c r="H2276" s="133" t="s">
        <v>1680</v>
      </c>
    </row>
    <row r="2277" spans="1:8" hidden="1" outlineLevel="1">
      <c r="A2277" s="418" t="s">
        <v>1756</v>
      </c>
      <c r="B2277" s="1574">
        <f>+VLOOKUP(A2277,'Anlage 2a_Letztverbrauch'!$A$1338:$I$1704,9,FALSE)</f>
        <v>2656362.58</v>
      </c>
      <c r="C2277" s="88">
        <f>IFERROR(+VLOOKUP(A2277,'Anlage 2a_Letztverbrauch'!$A$2797:$I$2816,3,FALSE),0)</f>
        <v>0</v>
      </c>
      <c r="D2277" s="88">
        <v>0</v>
      </c>
      <c r="E2277" s="88">
        <f t="shared" si="85"/>
        <v>2656362.58</v>
      </c>
      <c r="F2277" s="88">
        <f>+SUMIF('Anlage 2b_Korrekturen'!$B$700:$B$1160,A2277,'Anlage 2b_Korrekturen'!$E$700:$E$1160)</f>
        <v>447121.75999999995</v>
      </c>
      <c r="G2277" s="135">
        <f t="shared" si="86"/>
        <v>3103484.34</v>
      </c>
      <c r="H2277" s="133" t="s">
        <v>1757</v>
      </c>
    </row>
    <row r="2278" spans="1:8" hidden="1" outlineLevel="1">
      <c r="A2278" s="418" t="s">
        <v>891</v>
      </c>
      <c r="B2278" s="1574">
        <f>+VLOOKUP(A2278,'Anlage 2a_Letztverbrauch'!$A$1338:$I$1704,9,FALSE)</f>
        <v>57465.56</v>
      </c>
      <c r="C2278" s="88">
        <f>IFERROR(+VLOOKUP(A2278,'Anlage 2a_Letztverbrauch'!$A$2797:$I$2816,3,FALSE),0)</f>
        <v>0</v>
      </c>
      <c r="D2278" s="88">
        <v>0</v>
      </c>
      <c r="E2278" s="88">
        <f t="shared" si="85"/>
        <v>57465.56</v>
      </c>
      <c r="F2278" s="88">
        <f>+SUMIF('Anlage 2b_Korrekturen'!$B$700:$B$1160,A2278,'Anlage 2b_Korrekturen'!$E$700:$E$1160)</f>
        <v>0</v>
      </c>
      <c r="G2278" s="135">
        <f t="shared" si="86"/>
        <v>57465.56</v>
      </c>
      <c r="H2278" s="133" t="s">
        <v>892</v>
      </c>
    </row>
    <row r="2279" spans="1:8" hidden="1" outlineLevel="1">
      <c r="A2279" s="418" t="s">
        <v>1336</v>
      </c>
      <c r="B2279" s="1574">
        <f>+VLOOKUP(A2279,'Anlage 2a_Letztverbrauch'!$A$1338:$I$1704,9,FALSE)</f>
        <v>99949.35</v>
      </c>
      <c r="C2279" s="88">
        <f>IFERROR(+VLOOKUP(A2279,'Anlage 2a_Letztverbrauch'!$A$2797:$I$2816,3,FALSE),0)</f>
        <v>0</v>
      </c>
      <c r="D2279" s="88">
        <v>0</v>
      </c>
      <c r="E2279" s="88">
        <f t="shared" si="85"/>
        <v>99949.35</v>
      </c>
      <c r="F2279" s="88">
        <f>+SUMIF('Anlage 2b_Korrekturen'!$B$700:$B$1160,A2279,'Anlage 2b_Korrekturen'!$E$700:$E$1160)</f>
        <v>-516.37</v>
      </c>
      <c r="G2279" s="135">
        <f t="shared" si="86"/>
        <v>99432.98000000001</v>
      </c>
      <c r="H2279" s="133" t="s">
        <v>1337</v>
      </c>
    </row>
    <row r="2280" spans="1:8" hidden="1" outlineLevel="1">
      <c r="A2280" s="418" t="s">
        <v>1550</v>
      </c>
      <c r="B2280" s="1574">
        <f>+VLOOKUP(A2280,'Anlage 2a_Letztverbrauch'!$A$1338:$I$1704,9,FALSE)</f>
        <v>91116.79</v>
      </c>
      <c r="C2280" s="88">
        <f>IFERROR(+VLOOKUP(A2280,'Anlage 2a_Letztverbrauch'!$A$2797:$I$2816,3,FALSE),0)</f>
        <v>0</v>
      </c>
      <c r="D2280" s="88">
        <v>0</v>
      </c>
      <c r="E2280" s="88">
        <f t="shared" si="85"/>
        <v>91116.79</v>
      </c>
      <c r="F2280" s="88">
        <f>+SUMIF('Anlage 2b_Korrekturen'!$B$700:$B$1160,A2280,'Anlage 2b_Korrekturen'!$E$700:$E$1160)</f>
        <v>0</v>
      </c>
      <c r="G2280" s="135">
        <f t="shared" si="86"/>
        <v>91116.79</v>
      </c>
      <c r="H2280" s="133" t="s">
        <v>1551</v>
      </c>
    </row>
    <row r="2281" spans="1:8" hidden="1" outlineLevel="1">
      <c r="A2281" s="418" t="s">
        <v>1528</v>
      </c>
      <c r="B2281" s="1574">
        <f>+VLOOKUP(A2281,'Anlage 2a_Letztverbrauch'!$A$1338:$I$1704,9,FALSE)</f>
        <v>221996.22</v>
      </c>
      <c r="C2281" s="88">
        <f>IFERROR(+VLOOKUP(A2281,'Anlage 2a_Letztverbrauch'!$A$2797:$I$2816,3,FALSE),0)</f>
        <v>0</v>
      </c>
      <c r="D2281" s="88">
        <v>0</v>
      </c>
      <c r="E2281" s="88">
        <f t="shared" si="85"/>
        <v>221996.22</v>
      </c>
      <c r="F2281" s="88">
        <f>+SUMIF('Anlage 2b_Korrekturen'!$B$700:$B$1160,A2281,'Anlage 2b_Korrekturen'!$E$700:$E$1160)</f>
        <v>1704.96</v>
      </c>
      <c r="G2281" s="135">
        <f t="shared" si="86"/>
        <v>223701.18</v>
      </c>
      <c r="H2281" s="133" t="s">
        <v>1529</v>
      </c>
    </row>
    <row r="2282" spans="1:8" hidden="1" outlineLevel="1">
      <c r="A2282" s="418" t="s">
        <v>1360</v>
      </c>
      <c r="B2282" s="1574">
        <f>+VLOOKUP(A2282,'Anlage 2a_Letztverbrauch'!$A$1338:$I$1704,9,FALSE)</f>
        <v>113197.67</v>
      </c>
      <c r="C2282" s="88">
        <f>IFERROR(+VLOOKUP(A2282,'Anlage 2a_Letztverbrauch'!$A$2797:$I$2816,3,FALSE),0)</f>
        <v>0</v>
      </c>
      <c r="D2282" s="88">
        <v>0</v>
      </c>
      <c r="E2282" s="88">
        <f t="shared" si="85"/>
        <v>113197.67</v>
      </c>
      <c r="F2282" s="88">
        <f>+SUMIF('Anlage 2b_Korrekturen'!$B$700:$B$1160,A2282,'Anlage 2b_Korrekturen'!$E$700:$E$1160)</f>
        <v>0</v>
      </c>
      <c r="G2282" s="135">
        <f t="shared" si="86"/>
        <v>113197.67</v>
      </c>
      <c r="H2282" s="133" t="s">
        <v>1361</v>
      </c>
    </row>
    <row r="2283" spans="1:8" hidden="1" outlineLevel="1">
      <c r="A2283" s="418" t="s">
        <v>1648</v>
      </c>
      <c r="B2283" s="1574">
        <f>+VLOOKUP(A2283,'Anlage 2a_Letztverbrauch'!$A$1338:$I$1704,9,FALSE)</f>
        <v>326044.92</v>
      </c>
      <c r="C2283" s="88">
        <f>IFERROR(+VLOOKUP(A2283,'Anlage 2a_Letztverbrauch'!$A$2797:$I$2816,3,FALSE),0)</f>
        <v>0</v>
      </c>
      <c r="D2283" s="88">
        <v>0</v>
      </c>
      <c r="E2283" s="88">
        <f t="shared" si="85"/>
        <v>326044.92</v>
      </c>
      <c r="F2283" s="88">
        <f>+SUMIF('Anlage 2b_Korrekturen'!$B$700:$B$1160,A2283,'Anlage 2b_Korrekturen'!$E$700:$E$1160)</f>
        <v>-967.2299999999999</v>
      </c>
      <c r="G2283" s="135">
        <f t="shared" si="86"/>
        <v>325077.69</v>
      </c>
      <c r="H2283" s="133" t="s">
        <v>1649</v>
      </c>
    </row>
    <row r="2284" spans="1:8" hidden="1" outlineLevel="1">
      <c r="A2284" s="418" t="s">
        <v>1494</v>
      </c>
      <c r="B2284" s="1574">
        <f>+VLOOKUP(A2284,'Anlage 2a_Letztverbrauch'!$A$1338:$I$1704,9,FALSE)</f>
        <v>210800.11</v>
      </c>
      <c r="C2284" s="88">
        <f>IFERROR(+VLOOKUP(A2284,'Anlage 2a_Letztverbrauch'!$A$2797:$I$2816,3,FALSE),0)</f>
        <v>0</v>
      </c>
      <c r="D2284" s="88">
        <v>0</v>
      </c>
      <c r="E2284" s="88">
        <f t="shared" si="85"/>
        <v>210800.11</v>
      </c>
      <c r="F2284" s="88">
        <f>+SUMIF('Anlage 2b_Korrekturen'!$B$700:$B$1160,A2284,'Anlage 2b_Korrekturen'!$E$700:$E$1160)</f>
        <v>0</v>
      </c>
      <c r="G2284" s="135">
        <f t="shared" si="86"/>
        <v>210800.11</v>
      </c>
      <c r="H2284" s="133" t="s">
        <v>1495</v>
      </c>
    </row>
    <row r="2285" spans="1:8" hidden="1" outlineLevel="1">
      <c r="A2285" s="418" t="s">
        <v>1566</v>
      </c>
      <c r="B2285" s="1574">
        <f>+VLOOKUP(A2285,'Anlage 2a_Letztverbrauch'!$A$1338:$I$1704,9,FALSE)</f>
        <v>163404.63</v>
      </c>
      <c r="C2285" s="88">
        <f>IFERROR(+VLOOKUP(A2285,'Anlage 2a_Letztverbrauch'!$A$2797:$I$2816,3,FALSE),0)</f>
        <v>0</v>
      </c>
      <c r="D2285" s="88">
        <v>0</v>
      </c>
      <c r="E2285" s="88">
        <f t="shared" si="85"/>
        <v>163404.63</v>
      </c>
      <c r="F2285" s="88">
        <f>+SUMIF('Anlage 2b_Korrekturen'!$B$700:$B$1160,A2285,'Anlage 2b_Korrekturen'!$E$700:$E$1160)</f>
        <v>-119.23</v>
      </c>
      <c r="G2285" s="135">
        <f t="shared" si="86"/>
        <v>163285.4</v>
      </c>
      <c r="H2285" s="133" t="s">
        <v>1567</v>
      </c>
    </row>
    <row r="2286" spans="1:8" hidden="1" outlineLevel="1">
      <c r="A2286" s="418" t="s">
        <v>1466</v>
      </c>
      <c r="B2286" s="1574">
        <f>+VLOOKUP(A2286,'Anlage 2a_Letztverbrauch'!$A$1338:$I$1704,9,FALSE)</f>
        <v>395231.88</v>
      </c>
      <c r="C2286" s="88">
        <f>IFERROR(+VLOOKUP(A2286,'Anlage 2a_Letztverbrauch'!$A$2797:$I$2816,3,FALSE),0)</f>
        <v>0</v>
      </c>
      <c r="D2286" s="88">
        <v>0</v>
      </c>
      <c r="E2286" s="88">
        <f t="shared" si="85"/>
        <v>395231.88</v>
      </c>
      <c r="F2286" s="88">
        <f>+SUMIF('Anlage 2b_Korrekturen'!$B$700:$B$1160,A2286,'Anlage 2b_Korrekturen'!$E$700:$E$1160)</f>
        <v>0</v>
      </c>
      <c r="G2286" s="135">
        <f t="shared" si="86"/>
        <v>395231.88</v>
      </c>
      <c r="H2286" s="133" t="s">
        <v>1467</v>
      </c>
    </row>
    <row r="2287" spans="1:8" hidden="1" outlineLevel="1">
      <c r="A2287" s="418" t="s">
        <v>1772</v>
      </c>
      <c r="B2287" s="1574">
        <f>+VLOOKUP(A2287,'Anlage 2a_Letztverbrauch'!$A$1338:$I$1704,9,FALSE)</f>
        <v>43681.15</v>
      </c>
      <c r="C2287" s="88">
        <f>IFERROR(+VLOOKUP(A2287,'Anlage 2a_Letztverbrauch'!$A$2797:$I$2816,3,FALSE),0)</f>
        <v>0</v>
      </c>
      <c r="D2287" s="88">
        <v>0</v>
      </c>
      <c r="E2287" s="88">
        <f t="shared" si="85"/>
        <v>43681.15</v>
      </c>
      <c r="F2287" s="88">
        <f>+SUMIF('Anlage 2b_Korrekturen'!$B$700:$B$1160,A2287,'Anlage 2b_Korrekturen'!$E$700:$E$1160)</f>
        <v>0</v>
      </c>
      <c r="G2287" s="135">
        <f t="shared" si="86"/>
        <v>43681.15</v>
      </c>
      <c r="H2287" s="133" t="s">
        <v>1773</v>
      </c>
    </row>
    <row r="2288" spans="1:8" hidden="1" outlineLevel="1">
      <c r="A2288" s="418" t="s">
        <v>1666</v>
      </c>
      <c r="B2288" s="1574">
        <f>+VLOOKUP(A2288,'Anlage 2a_Letztverbrauch'!$A$1338:$I$1704,9,FALSE)</f>
        <v>6813234.5099999998</v>
      </c>
      <c r="C2288" s="88">
        <f>IFERROR(+VLOOKUP(A2288,'Anlage 2a_Letztverbrauch'!$A$2797:$I$2816,3,FALSE),0)</f>
        <v>-28897.51</v>
      </c>
      <c r="D2288" s="88">
        <v>0</v>
      </c>
      <c r="E2288" s="88">
        <f t="shared" si="85"/>
        <v>6784337</v>
      </c>
      <c r="F2288" s="88">
        <f>+SUMIF('Anlage 2b_Korrekturen'!$B$700:$B$1160,A2288,'Anlage 2b_Korrekturen'!$E$700:$E$1160)</f>
        <v>-2475</v>
      </c>
      <c r="G2288" s="135">
        <f t="shared" si="86"/>
        <v>6781862</v>
      </c>
      <c r="H2288" s="133" t="s">
        <v>1667</v>
      </c>
    </row>
    <row r="2289" spans="1:8" hidden="1" outlineLevel="1">
      <c r="A2289" s="418" t="s">
        <v>1720</v>
      </c>
      <c r="B2289" s="1574">
        <f>+VLOOKUP(A2289,'Anlage 2a_Letztverbrauch'!$A$1338:$I$1704,9,FALSE)</f>
        <v>708762.84</v>
      </c>
      <c r="C2289" s="88">
        <f>IFERROR(+VLOOKUP(A2289,'Anlage 2a_Letztverbrauch'!$A$2797:$I$2816,3,FALSE),0)</f>
        <v>0</v>
      </c>
      <c r="D2289" s="88">
        <v>0</v>
      </c>
      <c r="E2289" s="88">
        <f t="shared" si="85"/>
        <v>708762.84</v>
      </c>
      <c r="F2289" s="88">
        <f>+SUMIF('Anlage 2b_Korrekturen'!$B$700:$B$1160,A2289,'Anlage 2b_Korrekturen'!$E$700:$E$1160)</f>
        <v>0</v>
      </c>
      <c r="G2289" s="135">
        <f t="shared" si="86"/>
        <v>708762.84</v>
      </c>
      <c r="H2289" s="133" t="s">
        <v>1721</v>
      </c>
    </row>
    <row r="2290" spans="1:8" hidden="1" outlineLevel="1">
      <c r="A2290" s="418" t="s">
        <v>2204</v>
      </c>
      <c r="B2290" s="1574">
        <f>+VLOOKUP(A2290,'Anlage 2a_Letztverbrauch'!$A$1338:$I$1704,9,FALSE)</f>
        <v>6402.77</v>
      </c>
      <c r="C2290" s="88">
        <f>IFERROR(+VLOOKUP(A2290,'Anlage 2a_Letztverbrauch'!$A$2797:$I$2816,3,FALSE),0)</f>
        <v>0</v>
      </c>
      <c r="D2290" s="88">
        <v>0</v>
      </c>
      <c r="E2290" s="88">
        <f t="shared" si="85"/>
        <v>6402.77</v>
      </c>
      <c r="F2290" s="88">
        <f>+SUMIF('Anlage 2b_Korrekturen'!$B$700:$B$1160,A2290,'Anlage 2b_Korrekturen'!$E$700:$E$1160)</f>
        <v>0</v>
      </c>
      <c r="G2290" s="135">
        <f t="shared" si="86"/>
        <v>6402.77</v>
      </c>
      <c r="H2290" s="133" t="s">
        <v>2205</v>
      </c>
    </row>
    <row r="2291" spans="1:8" hidden="1" outlineLevel="1">
      <c r="A2291" s="418" t="s">
        <v>1372</v>
      </c>
      <c r="B2291" s="1574">
        <f>+VLOOKUP(A2291,'Anlage 2a_Letztverbrauch'!$A$1338:$I$1704,9,FALSE)</f>
        <v>104456.01</v>
      </c>
      <c r="C2291" s="88">
        <f>IFERROR(+VLOOKUP(A2291,'Anlage 2a_Letztverbrauch'!$A$2797:$I$2816,3,FALSE),0)</f>
        <v>0</v>
      </c>
      <c r="D2291" s="88">
        <v>0</v>
      </c>
      <c r="E2291" s="88">
        <f t="shared" si="85"/>
        <v>104456.01</v>
      </c>
      <c r="F2291" s="88">
        <f>+SUMIF('Anlage 2b_Korrekturen'!$B$700:$B$1160,A2291,'Anlage 2b_Korrekturen'!$E$700:$E$1160)</f>
        <v>0</v>
      </c>
      <c r="G2291" s="135">
        <f t="shared" si="86"/>
        <v>104456.01</v>
      </c>
      <c r="H2291" s="133" t="s">
        <v>1373</v>
      </c>
    </row>
    <row r="2292" spans="1:8" hidden="1" outlineLevel="1">
      <c r="A2292" s="418" t="s">
        <v>1677</v>
      </c>
      <c r="B2292" s="1574">
        <f>+VLOOKUP(A2292,'Anlage 2a_Letztverbrauch'!$A$1338:$I$1704,9,FALSE)</f>
        <v>301457.37</v>
      </c>
      <c r="C2292" s="88">
        <f>IFERROR(+VLOOKUP(A2292,'Anlage 2a_Letztverbrauch'!$A$2797:$I$2816,3,FALSE),0)</f>
        <v>0</v>
      </c>
      <c r="D2292" s="88">
        <v>0</v>
      </c>
      <c r="E2292" s="88">
        <f t="shared" si="85"/>
        <v>301457.37</v>
      </c>
      <c r="F2292" s="88">
        <f>+SUMIF('Anlage 2b_Korrekturen'!$B$700:$B$1160,A2292,'Anlage 2b_Korrekturen'!$E$700:$E$1160)</f>
        <v>0</v>
      </c>
      <c r="G2292" s="135">
        <f t="shared" si="86"/>
        <v>301457.37</v>
      </c>
      <c r="H2292" s="133" t="s">
        <v>1678</v>
      </c>
    </row>
    <row r="2293" spans="1:8" hidden="1" outlineLevel="1">
      <c r="A2293" s="418" t="s">
        <v>1456</v>
      </c>
      <c r="B2293" s="1574">
        <f>+VLOOKUP(A2293,'Anlage 2a_Letztverbrauch'!$A$1338:$I$1704,9,FALSE)</f>
        <v>74354.66</v>
      </c>
      <c r="C2293" s="88">
        <f>IFERROR(+VLOOKUP(A2293,'Anlage 2a_Letztverbrauch'!$A$2797:$I$2816,3,FALSE),0)</f>
        <v>0</v>
      </c>
      <c r="D2293" s="88">
        <v>0</v>
      </c>
      <c r="E2293" s="88">
        <f t="shared" si="85"/>
        <v>74354.66</v>
      </c>
      <c r="F2293" s="88">
        <f>+SUMIF('Anlage 2b_Korrekturen'!$B$700:$B$1160,A2293,'Anlage 2b_Korrekturen'!$E$700:$E$1160)</f>
        <v>0</v>
      </c>
      <c r="G2293" s="135">
        <f t="shared" si="86"/>
        <v>74354.66</v>
      </c>
      <c r="H2293" s="133" t="s">
        <v>1457</v>
      </c>
    </row>
    <row r="2294" spans="1:8" hidden="1" outlineLevel="1">
      <c r="A2294" s="418" t="s">
        <v>1614</v>
      </c>
      <c r="B2294" s="1574">
        <f>+VLOOKUP(A2294,'Anlage 2a_Letztverbrauch'!$A$1338:$I$1704,9,FALSE)</f>
        <v>350030.04</v>
      </c>
      <c r="C2294" s="88">
        <f>IFERROR(+VLOOKUP(A2294,'Anlage 2a_Letztverbrauch'!$A$2797:$I$2816,3,FALSE),0)</f>
        <v>0</v>
      </c>
      <c r="D2294" s="88">
        <v>0</v>
      </c>
      <c r="E2294" s="88">
        <f t="shared" si="85"/>
        <v>350030.04</v>
      </c>
      <c r="F2294" s="88">
        <f>+SUMIF('Anlage 2b_Korrekturen'!$B$700:$B$1160,A2294,'Anlage 2b_Korrekturen'!$E$700:$E$1160)</f>
        <v>8738.77</v>
      </c>
      <c r="G2294" s="135">
        <f t="shared" si="86"/>
        <v>358768.81</v>
      </c>
      <c r="H2294" s="133" t="s">
        <v>1615</v>
      </c>
    </row>
    <row r="2295" spans="1:8" hidden="1" outlineLevel="1">
      <c r="A2295" s="418" t="s">
        <v>1314</v>
      </c>
      <c r="B2295" s="1574">
        <f>+VLOOKUP(A2295,'Anlage 2a_Letztverbrauch'!$A$1338:$I$1704,9,FALSE)</f>
        <v>48497.760000000002</v>
      </c>
      <c r="C2295" s="88">
        <f>IFERROR(+VLOOKUP(A2295,'Anlage 2a_Letztverbrauch'!$A$2797:$I$2816,3,FALSE),0)</f>
        <v>0</v>
      </c>
      <c r="D2295" s="88">
        <v>0</v>
      </c>
      <c r="E2295" s="88">
        <f t="shared" si="85"/>
        <v>48497.760000000002</v>
      </c>
      <c r="F2295" s="88">
        <f>+SUMIF('Anlage 2b_Korrekturen'!$B$700:$B$1160,A2295,'Anlage 2b_Korrekturen'!$E$700:$E$1160)</f>
        <v>377.27</v>
      </c>
      <c r="G2295" s="135">
        <f t="shared" si="86"/>
        <v>48875.03</v>
      </c>
      <c r="H2295" s="133" t="s">
        <v>1315</v>
      </c>
    </row>
    <row r="2296" spans="1:8" hidden="1" outlineLevel="1">
      <c r="A2296" s="418" t="s">
        <v>1291</v>
      </c>
      <c r="B2296" s="1574">
        <f>+VLOOKUP(A2296,'Anlage 2a_Letztverbrauch'!$A$1338:$I$1704,9,FALSE)</f>
        <v>217133.91</v>
      </c>
      <c r="C2296" s="88">
        <f>IFERROR(+VLOOKUP(A2296,'Anlage 2a_Letztverbrauch'!$A$2797:$I$2816,3,FALSE),0)</f>
        <v>0</v>
      </c>
      <c r="D2296" s="88">
        <v>0</v>
      </c>
      <c r="E2296" s="88">
        <f t="shared" si="85"/>
        <v>217133.91</v>
      </c>
      <c r="F2296" s="88">
        <f>+SUMIF('Anlage 2b_Korrekturen'!$B$700:$B$1160,A2296,'Anlage 2b_Korrekturen'!$E$700:$E$1160)</f>
        <v>-347.44</v>
      </c>
      <c r="G2296" s="135">
        <f t="shared" si="86"/>
        <v>216786.47</v>
      </c>
      <c r="H2296" s="133" t="s">
        <v>1292</v>
      </c>
    </row>
    <row r="2297" spans="1:8" hidden="1" outlineLevel="1">
      <c r="A2297" s="418" t="s">
        <v>1279</v>
      </c>
      <c r="B2297" s="1574">
        <f>+VLOOKUP(A2297,'Anlage 2a_Letztverbrauch'!$A$1338:$I$1704,9,FALSE)</f>
        <v>45029.93</v>
      </c>
      <c r="C2297" s="88">
        <f>IFERROR(+VLOOKUP(A2297,'Anlage 2a_Letztverbrauch'!$A$2797:$I$2816,3,FALSE),0)</f>
        <v>0</v>
      </c>
      <c r="D2297" s="88">
        <v>0</v>
      </c>
      <c r="E2297" s="88">
        <f t="shared" si="85"/>
        <v>45029.93</v>
      </c>
      <c r="F2297" s="88">
        <f>+SUMIF('Anlage 2b_Korrekturen'!$B$700:$B$1160,A2297,'Anlage 2b_Korrekturen'!$E$700:$E$1160)</f>
        <v>0</v>
      </c>
      <c r="G2297" s="135">
        <f t="shared" si="86"/>
        <v>45029.93</v>
      </c>
      <c r="H2297" s="133" t="s">
        <v>1280</v>
      </c>
    </row>
    <row r="2298" spans="1:8" hidden="1" outlineLevel="1">
      <c r="A2298" s="418" t="s">
        <v>1716</v>
      </c>
      <c r="B2298" s="1574">
        <f>+VLOOKUP(A2298,'Anlage 2a_Letztverbrauch'!$A$1338:$I$1704,9,FALSE)</f>
        <v>28437.26</v>
      </c>
      <c r="C2298" s="88">
        <f>IFERROR(+VLOOKUP(A2298,'Anlage 2a_Letztverbrauch'!$A$2797:$I$2816,3,FALSE),0)</f>
        <v>0</v>
      </c>
      <c r="D2298" s="88">
        <v>0</v>
      </c>
      <c r="E2298" s="88">
        <f t="shared" si="85"/>
        <v>28437.26</v>
      </c>
      <c r="F2298" s="88">
        <f>+SUMIF('Anlage 2b_Korrekturen'!$B$700:$B$1160,A2298,'Anlage 2b_Korrekturen'!$E$700:$E$1160)</f>
        <v>-299.07</v>
      </c>
      <c r="G2298" s="135">
        <f t="shared" si="86"/>
        <v>28138.19</v>
      </c>
      <c r="H2298" s="133" t="s">
        <v>1717</v>
      </c>
    </row>
    <row r="2299" spans="1:8" hidden="1" outlineLevel="1">
      <c r="A2299" s="418" t="s">
        <v>1694</v>
      </c>
      <c r="B2299" s="1574">
        <f>+VLOOKUP(A2299,'Anlage 2a_Letztverbrauch'!$A$1338:$I$1704,9,FALSE)</f>
        <v>481545.92</v>
      </c>
      <c r="C2299" s="88">
        <f>IFERROR(+VLOOKUP(A2299,'Anlage 2a_Letztverbrauch'!$A$2797:$I$2816,3,FALSE),0)</f>
        <v>0</v>
      </c>
      <c r="D2299" s="88">
        <v>0</v>
      </c>
      <c r="E2299" s="88">
        <f t="shared" si="85"/>
        <v>481545.92</v>
      </c>
      <c r="F2299" s="88">
        <f>+SUMIF('Anlage 2b_Korrekturen'!$B$700:$B$1160,A2299,'Anlage 2b_Korrekturen'!$E$700:$E$1160)</f>
        <v>0</v>
      </c>
      <c r="G2299" s="135">
        <f t="shared" si="86"/>
        <v>481545.92</v>
      </c>
      <c r="H2299" s="133" t="s">
        <v>1695</v>
      </c>
    </row>
    <row r="2300" spans="1:8" hidden="1" outlineLevel="1">
      <c r="A2300" s="418" t="s">
        <v>1324</v>
      </c>
      <c r="B2300" s="1574">
        <f>+VLOOKUP(A2300,'Anlage 2a_Letztverbrauch'!$A$1338:$I$1704,9,FALSE)</f>
        <v>81056.960000000006</v>
      </c>
      <c r="C2300" s="88">
        <f>IFERROR(+VLOOKUP(A2300,'Anlage 2a_Letztverbrauch'!$A$2797:$I$2816,3,FALSE),0)</f>
        <v>0</v>
      </c>
      <c r="D2300" s="88">
        <v>0</v>
      </c>
      <c r="E2300" s="88">
        <f t="shared" si="85"/>
        <v>81056.960000000006</v>
      </c>
      <c r="F2300" s="88">
        <f>+SUMIF('Anlage 2b_Korrekturen'!$B$700:$B$1160,A2300,'Anlage 2b_Korrekturen'!$E$700:$E$1160)</f>
        <v>-136.68</v>
      </c>
      <c r="G2300" s="135">
        <f t="shared" si="86"/>
        <v>80920.280000000013</v>
      </c>
      <c r="H2300" s="133" t="s">
        <v>1325</v>
      </c>
    </row>
    <row r="2301" spans="1:8" hidden="1" outlineLevel="1">
      <c r="A2301" s="418" t="s">
        <v>1730</v>
      </c>
      <c r="B2301" s="1574">
        <f>+VLOOKUP(A2301,'Anlage 2a_Letztverbrauch'!$A$1338:$I$1704,9,FALSE)</f>
        <v>93045.21</v>
      </c>
      <c r="C2301" s="88">
        <f>IFERROR(+VLOOKUP(A2301,'Anlage 2a_Letztverbrauch'!$A$2797:$I$2816,3,FALSE),0)</f>
        <v>0</v>
      </c>
      <c r="D2301" s="88">
        <v>0</v>
      </c>
      <c r="E2301" s="88">
        <f t="shared" si="85"/>
        <v>93045.21</v>
      </c>
      <c r="F2301" s="88">
        <f>+SUMIF('Anlage 2b_Korrekturen'!$B$700:$B$1160,A2301,'Anlage 2b_Korrekturen'!$E$700:$E$1160)</f>
        <v>0</v>
      </c>
      <c r="G2301" s="135">
        <f t="shared" si="86"/>
        <v>93045.21</v>
      </c>
      <c r="H2301" s="133" t="s">
        <v>1731</v>
      </c>
    </row>
    <row r="2302" spans="1:8" hidden="1" outlineLevel="1">
      <c r="A2302" s="418" t="s">
        <v>1696</v>
      </c>
      <c r="B2302" s="1574">
        <f>+VLOOKUP(A2302,'Anlage 2a_Letztverbrauch'!$A$1338:$I$1704,9,FALSE)</f>
        <v>17012.939999999999</v>
      </c>
      <c r="C2302" s="88">
        <f>IFERROR(+VLOOKUP(A2302,'Anlage 2a_Letztverbrauch'!$A$2797:$I$2816,3,FALSE),0)</f>
        <v>0</v>
      </c>
      <c r="D2302" s="88">
        <v>0</v>
      </c>
      <c r="E2302" s="88">
        <f t="shared" si="85"/>
        <v>17012.939999999999</v>
      </c>
      <c r="F2302" s="88">
        <f>+SUMIF('Anlage 2b_Korrekturen'!$B$700:$B$1160,A2302,'Anlage 2b_Korrekturen'!$E$700:$E$1160)</f>
        <v>-8.64</v>
      </c>
      <c r="G2302" s="135">
        <f t="shared" si="86"/>
        <v>17004.3</v>
      </c>
      <c r="H2302" s="133" t="s">
        <v>1697</v>
      </c>
    </row>
    <row r="2303" spans="1:8" hidden="1" outlineLevel="1">
      <c r="A2303" s="418" t="s">
        <v>1726</v>
      </c>
      <c r="B2303" s="1574">
        <f>+VLOOKUP(A2303,'Anlage 2a_Letztverbrauch'!$A$1338:$I$1704,9,FALSE)</f>
        <v>92372.800000000003</v>
      </c>
      <c r="C2303" s="88">
        <f>IFERROR(+VLOOKUP(A2303,'Anlage 2a_Letztverbrauch'!$A$2797:$I$2816,3,FALSE),0)</f>
        <v>0</v>
      </c>
      <c r="D2303" s="88">
        <v>0</v>
      </c>
      <c r="E2303" s="88">
        <f t="shared" si="85"/>
        <v>92372.800000000003</v>
      </c>
      <c r="F2303" s="88">
        <f>+SUMIF('Anlage 2b_Korrekturen'!$B$700:$B$1160,A2303,'Anlage 2b_Korrekturen'!$E$700:$E$1160)</f>
        <v>426.01000000000005</v>
      </c>
      <c r="G2303" s="135">
        <f t="shared" si="86"/>
        <v>92798.81</v>
      </c>
      <c r="H2303" s="133" t="s">
        <v>1727</v>
      </c>
    </row>
    <row r="2304" spans="1:8" hidden="1" outlineLevel="1">
      <c r="A2304" s="418" t="s">
        <v>1281</v>
      </c>
      <c r="B2304" s="1574">
        <f>+VLOOKUP(A2304,'Anlage 2a_Letztverbrauch'!$A$1338:$I$1704,9,FALSE)</f>
        <v>44560.9</v>
      </c>
      <c r="C2304" s="88">
        <f>IFERROR(+VLOOKUP(A2304,'Anlage 2a_Letztverbrauch'!$A$2797:$I$2816,3,FALSE),0)</f>
        <v>0</v>
      </c>
      <c r="D2304" s="88">
        <v>0</v>
      </c>
      <c r="E2304" s="88">
        <f t="shared" si="85"/>
        <v>44560.9</v>
      </c>
      <c r="F2304" s="88">
        <f>+SUMIF('Anlage 2b_Korrekturen'!$B$700:$B$1160,A2304,'Anlage 2b_Korrekturen'!$E$700:$E$1160)</f>
        <v>0</v>
      </c>
      <c r="G2304" s="135">
        <f t="shared" si="86"/>
        <v>44560.9</v>
      </c>
      <c r="H2304" s="133" t="s">
        <v>1282</v>
      </c>
    </row>
    <row r="2305" spans="1:8" hidden="1" outlineLevel="1">
      <c r="A2305" s="418" t="s">
        <v>1802</v>
      </c>
      <c r="B2305" s="1574">
        <f>+VLOOKUP(A2305,'Anlage 2a_Letztverbrauch'!$A$1338:$I$1704,9,FALSE)</f>
        <v>23783.55</v>
      </c>
      <c r="C2305" s="88">
        <f>IFERROR(+VLOOKUP(A2305,'Anlage 2a_Letztverbrauch'!$A$2797:$I$2816,3,FALSE),0)</f>
        <v>0</v>
      </c>
      <c r="D2305" s="88">
        <v>0</v>
      </c>
      <c r="E2305" s="88">
        <f t="shared" si="85"/>
        <v>23783.55</v>
      </c>
      <c r="F2305" s="88">
        <f>+SUMIF('Anlage 2b_Korrekturen'!$B$700:$B$1160,A2305,'Anlage 2b_Korrekturen'!$E$700:$E$1160)</f>
        <v>-26.8</v>
      </c>
      <c r="G2305" s="135">
        <f t="shared" si="86"/>
        <v>23756.75</v>
      </c>
      <c r="H2305" s="133" t="s">
        <v>1803</v>
      </c>
    </row>
    <row r="2306" spans="1:8" hidden="1" outlineLevel="1">
      <c r="A2306" s="418" t="s">
        <v>1418</v>
      </c>
      <c r="B2306" s="1574">
        <f>+VLOOKUP(A2306,'Anlage 2a_Letztverbrauch'!$A$1338:$I$1704,9,FALSE)</f>
        <v>77158.41</v>
      </c>
      <c r="C2306" s="88">
        <f>IFERROR(+VLOOKUP(A2306,'Anlage 2a_Letztverbrauch'!$A$2797:$I$2816,3,FALSE),0)</f>
        <v>0</v>
      </c>
      <c r="D2306" s="88">
        <v>0</v>
      </c>
      <c r="E2306" s="88">
        <f t="shared" si="85"/>
        <v>77158.41</v>
      </c>
      <c r="F2306" s="88">
        <f>+SUMIF('Anlage 2b_Korrekturen'!$B$700:$B$1160,A2306,'Anlage 2b_Korrekturen'!$E$700:$E$1160)</f>
        <v>0</v>
      </c>
      <c r="G2306" s="135">
        <f t="shared" si="86"/>
        <v>77158.41</v>
      </c>
      <c r="H2306" s="133" t="s">
        <v>1419</v>
      </c>
    </row>
    <row r="2307" spans="1:8" hidden="1" outlineLevel="1">
      <c r="A2307" s="418" t="s">
        <v>1338</v>
      </c>
      <c r="B2307" s="1574">
        <f>+VLOOKUP(A2307,'Anlage 2a_Letztverbrauch'!$A$1338:$I$1704,9,FALSE)</f>
        <v>58646.43</v>
      </c>
      <c r="C2307" s="88">
        <f>IFERROR(+VLOOKUP(A2307,'Anlage 2a_Letztverbrauch'!$A$2797:$I$2816,3,FALSE),0)</f>
        <v>0</v>
      </c>
      <c r="D2307" s="88">
        <v>0</v>
      </c>
      <c r="E2307" s="88">
        <f t="shared" si="85"/>
        <v>58646.43</v>
      </c>
      <c r="F2307" s="88">
        <f>+SUMIF('Anlage 2b_Korrekturen'!$B$700:$B$1160,A2307,'Anlage 2b_Korrekturen'!$E$700:$E$1160)</f>
        <v>0</v>
      </c>
      <c r="G2307" s="135">
        <f t="shared" si="86"/>
        <v>58646.43</v>
      </c>
      <c r="H2307" s="133" t="s">
        <v>1339</v>
      </c>
    </row>
    <row r="2308" spans="1:8" hidden="1" outlineLevel="1">
      <c r="A2308" s="418" t="s">
        <v>1316</v>
      </c>
      <c r="B2308" s="1574">
        <f>+VLOOKUP(A2308,'Anlage 2a_Letztverbrauch'!$A$1338:$I$1704,9,FALSE)</f>
        <v>1044515.26</v>
      </c>
      <c r="C2308" s="88">
        <f>IFERROR(+VLOOKUP(A2308,'Anlage 2a_Letztverbrauch'!$A$2797:$I$2816,3,FALSE),0)</f>
        <v>0</v>
      </c>
      <c r="D2308" s="88">
        <v>0</v>
      </c>
      <c r="E2308" s="88">
        <f t="shared" si="85"/>
        <v>1044515.26</v>
      </c>
      <c r="F2308" s="88">
        <f>+SUMIF('Anlage 2b_Korrekturen'!$B$700:$B$1160,A2308,'Anlage 2b_Korrekturen'!$E$700:$E$1160)</f>
        <v>-5687.17</v>
      </c>
      <c r="G2308" s="135">
        <f t="shared" si="86"/>
        <v>1038828.09</v>
      </c>
      <c r="H2308" s="133" t="s">
        <v>1317</v>
      </c>
    </row>
    <row r="2309" spans="1:8" hidden="1" outlineLevel="1">
      <c r="A2309" s="418" t="s">
        <v>1289</v>
      </c>
      <c r="B2309" s="1574">
        <f>+VLOOKUP(A2309,'Anlage 2a_Letztverbrauch'!$A$1338:$I$1704,9,FALSE)</f>
        <v>226591.25</v>
      </c>
      <c r="C2309" s="88">
        <f>IFERROR(+VLOOKUP(A2309,'Anlage 2a_Letztverbrauch'!$A$2797:$I$2816,3,FALSE),0)</f>
        <v>0</v>
      </c>
      <c r="D2309" s="88">
        <v>0</v>
      </c>
      <c r="E2309" s="88">
        <f t="shared" si="85"/>
        <v>226591.25</v>
      </c>
      <c r="F2309" s="88">
        <f>+SUMIF('Anlage 2b_Korrekturen'!$B$700:$B$1160,A2309,'Anlage 2b_Korrekturen'!$E$700:$E$1160)</f>
        <v>0</v>
      </c>
      <c r="G2309" s="135">
        <f t="shared" si="86"/>
        <v>226591.25</v>
      </c>
      <c r="H2309" s="133" t="s">
        <v>1290</v>
      </c>
    </row>
    <row r="2310" spans="1:8" hidden="1" outlineLevel="1">
      <c r="A2310" s="418" t="s">
        <v>1476</v>
      </c>
      <c r="B2310" s="1574">
        <f>+VLOOKUP(A2310,'Anlage 2a_Letztverbrauch'!$A$1338:$I$1704,9,FALSE)</f>
        <v>364991.63</v>
      </c>
      <c r="C2310" s="88">
        <f>IFERROR(+VLOOKUP(A2310,'Anlage 2a_Letztverbrauch'!$A$2797:$I$2816,3,FALSE),0)</f>
        <v>0</v>
      </c>
      <c r="D2310" s="88">
        <v>0</v>
      </c>
      <c r="E2310" s="88">
        <f t="shared" si="85"/>
        <v>364991.63</v>
      </c>
      <c r="F2310" s="88">
        <f>+SUMIF('Anlage 2b_Korrekturen'!$B$700:$B$1160,A2310,'Anlage 2b_Korrekturen'!$E$700:$E$1160)</f>
        <v>-1797.07</v>
      </c>
      <c r="G2310" s="135">
        <f t="shared" si="86"/>
        <v>363194.56</v>
      </c>
      <c r="H2310" s="133" t="s">
        <v>1477</v>
      </c>
    </row>
    <row r="2311" spans="1:8" hidden="1" outlineLevel="1">
      <c r="A2311" s="418" t="s">
        <v>2206</v>
      </c>
      <c r="B2311" s="1574">
        <f>+VLOOKUP(A2311,'Anlage 2a_Letztverbrauch'!$A$1338:$I$1704,9,FALSE)</f>
        <v>8923.8700000000008</v>
      </c>
      <c r="C2311" s="88">
        <f>IFERROR(+VLOOKUP(A2311,'Anlage 2a_Letztverbrauch'!$A$2797:$I$2816,3,FALSE),0)</f>
        <v>0</v>
      </c>
      <c r="D2311" s="88">
        <v>0</v>
      </c>
      <c r="E2311" s="88">
        <f t="shared" si="85"/>
        <v>8923.8700000000008</v>
      </c>
      <c r="F2311" s="88">
        <f>+SUMIF('Anlage 2b_Korrekturen'!$B$700:$B$1160,A2311,'Anlage 2b_Korrekturen'!$E$700:$E$1160)</f>
        <v>0</v>
      </c>
      <c r="G2311" s="135">
        <f t="shared" si="86"/>
        <v>8923.8700000000008</v>
      </c>
      <c r="H2311" s="133" t="s">
        <v>2207</v>
      </c>
    </row>
    <row r="2312" spans="1:8" hidden="1" outlineLevel="1">
      <c r="A2312" s="418" t="s">
        <v>1708</v>
      </c>
      <c r="B2312" s="1574">
        <f>+VLOOKUP(A2312,'Anlage 2a_Letztverbrauch'!$A$1338:$I$1704,9,FALSE)</f>
        <v>77733.740000000005</v>
      </c>
      <c r="C2312" s="88">
        <f>IFERROR(+VLOOKUP(A2312,'Anlage 2a_Letztverbrauch'!$A$2797:$I$2816,3,FALSE),0)</f>
        <v>0</v>
      </c>
      <c r="D2312" s="88">
        <v>0</v>
      </c>
      <c r="E2312" s="88">
        <f t="shared" si="85"/>
        <v>77733.740000000005</v>
      </c>
      <c r="F2312" s="88">
        <f>+SUMIF('Anlage 2b_Korrekturen'!$B$700:$B$1160,A2312,'Anlage 2b_Korrekturen'!$E$700:$E$1160)</f>
        <v>0</v>
      </c>
      <c r="G2312" s="135">
        <f t="shared" si="86"/>
        <v>77733.740000000005</v>
      </c>
      <c r="H2312" s="133" t="s">
        <v>1709</v>
      </c>
    </row>
    <row r="2313" spans="1:8" hidden="1" outlineLevel="1">
      <c r="A2313" s="418" t="s">
        <v>1638</v>
      </c>
      <c r="B2313" s="1574">
        <f>+VLOOKUP(A2313,'Anlage 2a_Letztverbrauch'!$A$1338:$I$1704,9,FALSE)</f>
        <v>141878.06</v>
      </c>
      <c r="C2313" s="88">
        <f>IFERROR(+VLOOKUP(A2313,'Anlage 2a_Letztverbrauch'!$A$2797:$I$2816,3,FALSE),0)</f>
        <v>0</v>
      </c>
      <c r="D2313" s="88">
        <v>0</v>
      </c>
      <c r="E2313" s="88">
        <f t="shared" si="85"/>
        <v>141878.06</v>
      </c>
      <c r="F2313" s="88">
        <f>+SUMIF('Anlage 2b_Korrekturen'!$B$700:$B$1160,A2313,'Anlage 2b_Korrekturen'!$E$700:$E$1160)</f>
        <v>-143.53</v>
      </c>
      <c r="G2313" s="135">
        <f t="shared" si="86"/>
        <v>141734.53</v>
      </c>
      <c r="H2313" s="133" t="s">
        <v>1639</v>
      </c>
    </row>
    <row r="2314" spans="1:8" hidden="1" outlineLevel="1">
      <c r="A2314" s="418" t="s">
        <v>1624</v>
      </c>
      <c r="B2314" s="1574">
        <f>+VLOOKUP(A2314,'Anlage 2a_Letztverbrauch'!$A$1338:$I$1704,9,FALSE)</f>
        <v>103428.24</v>
      </c>
      <c r="C2314" s="88">
        <f>IFERROR(+VLOOKUP(A2314,'Anlage 2a_Letztverbrauch'!$A$2797:$I$2816,3,FALSE),0)</f>
        <v>0</v>
      </c>
      <c r="D2314" s="88">
        <v>0</v>
      </c>
      <c r="E2314" s="88">
        <f t="shared" si="85"/>
        <v>103428.24</v>
      </c>
      <c r="F2314" s="88">
        <f>+SUMIF('Anlage 2b_Korrekturen'!$B$700:$B$1160,A2314,'Anlage 2b_Korrekturen'!$E$700:$E$1160)</f>
        <v>319.3</v>
      </c>
      <c r="G2314" s="135">
        <f t="shared" si="86"/>
        <v>103747.54000000001</v>
      </c>
      <c r="H2314" s="133" t="s">
        <v>1625</v>
      </c>
    </row>
    <row r="2315" spans="1:8" hidden="1" outlineLevel="1">
      <c r="A2315" s="418" t="s">
        <v>1780</v>
      </c>
      <c r="B2315" s="1574">
        <f>+VLOOKUP(A2315,'Anlage 2a_Letztverbrauch'!$A$1338:$I$1704,9,FALSE)</f>
        <v>907082.07</v>
      </c>
      <c r="C2315" s="88">
        <f>IFERROR(+VLOOKUP(A2315,'Anlage 2a_Letztverbrauch'!$A$2797:$I$2816,3,FALSE),0)</f>
        <v>0</v>
      </c>
      <c r="D2315" s="88">
        <v>0</v>
      </c>
      <c r="E2315" s="88">
        <f t="shared" si="85"/>
        <v>907082.07</v>
      </c>
      <c r="F2315" s="88">
        <f>+SUMIF('Anlage 2b_Korrekturen'!$B$700:$B$1160,A2315,'Anlage 2b_Korrekturen'!$E$700:$E$1160)</f>
        <v>142.43</v>
      </c>
      <c r="G2315" s="135">
        <f t="shared" si="86"/>
        <v>907224.5</v>
      </c>
      <c r="H2315" s="133" t="s">
        <v>1781</v>
      </c>
    </row>
    <row r="2316" spans="1:8" hidden="1" outlineLevel="1">
      <c r="A2316" s="418" t="s">
        <v>1634</v>
      </c>
      <c r="B2316" s="1574">
        <f>+VLOOKUP(A2316,'Anlage 2a_Letztverbrauch'!$A$1338:$I$1704,9,FALSE)</f>
        <v>988283.16</v>
      </c>
      <c r="C2316" s="88">
        <f>IFERROR(+VLOOKUP(A2316,'Anlage 2a_Letztverbrauch'!$A$2797:$I$2816,3,FALSE),0)</f>
        <v>0</v>
      </c>
      <c r="D2316" s="88">
        <v>0</v>
      </c>
      <c r="E2316" s="88">
        <f t="shared" si="85"/>
        <v>988283.16</v>
      </c>
      <c r="F2316" s="88">
        <f>+SUMIF('Anlage 2b_Korrekturen'!$B$700:$B$1160,A2316,'Anlage 2b_Korrekturen'!$E$700:$E$1160)</f>
        <v>-21029.07</v>
      </c>
      <c r="G2316" s="135">
        <f t="shared" si="86"/>
        <v>967254.09000000008</v>
      </c>
      <c r="H2316" s="133" t="s">
        <v>1635</v>
      </c>
    </row>
    <row r="2317" spans="1:8" hidden="1" outlineLevel="1">
      <c r="A2317" s="418" t="s">
        <v>1261</v>
      </c>
      <c r="B2317" s="1574">
        <f>+VLOOKUP(A2317,'Anlage 2a_Letztverbrauch'!$A$1338:$I$1704,9,FALSE)</f>
        <v>49707.67</v>
      </c>
      <c r="C2317" s="88">
        <f>IFERROR(+VLOOKUP(A2317,'Anlage 2a_Letztverbrauch'!$A$2797:$I$2816,3,FALSE),0)</f>
        <v>0</v>
      </c>
      <c r="D2317" s="88">
        <v>0</v>
      </c>
      <c r="E2317" s="88">
        <f t="shared" si="85"/>
        <v>49707.67</v>
      </c>
      <c r="F2317" s="88">
        <f>+SUMIF('Anlage 2b_Korrekturen'!$B$700:$B$1160,A2317,'Anlage 2b_Korrekturen'!$E$700:$E$1160)</f>
        <v>-487.78</v>
      </c>
      <c r="G2317" s="135">
        <f t="shared" si="86"/>
        <v>49219.89</v>
      </c>
      <c r="H2317" s="133" t="s">
        <v>1262</v>
      </c>
    </row>
    <row r="2318" spans="1:8" hidden="1" outlineLevel="1">
      <c r="A2318" s="418" t="s">
        <v>1422</v>
      </c>
      <c r="B2318" s="1574">
        <f>+VLOOKUP(A2318,'Anlage 2a_Letztverbrauch'!$A$1338:$I$1704,9,FALSE)</f>
        <v>45959.48</v>
      </c>
      <c r="C2318" s="88">
        <f>IFERROR(+VLOOKUP(A2318,'Anlage 2a_Letztverbrauch'!$A$2797:$I$2816,3,FALSE),0)</f>
        <v>0</v>
      </c>
      <c r="D2318" s="88">
        <v>0</v>
      </c>
      <c r="E2318" s="88">
        <f t="shared" si="85"/>
        <v>45959.48</v>
      </c>
      <c r="F2318" s="88">
        <f>+SUMIF('Anlage 2b_Korrekturen'!$B$700:$B$1160,A2318,'Anlage 2b_Korrekturen'!$E$700:$E$1160)</f>
        <v>0</v>
      </c>
      <c r="G2318" s="135">
        <f t="shared" si="86"/>
        <v>45959.48</v>
      </c>
      <c r="H2318" s="133" t="s">
        <v>1423</v>
      </c>
    </row>
    <row r="2319" spans="1:8" hidden="1" outlineLevel="1">
      <c r="A2319" s="418" t="s">
        <v>1502</v>
      </c>
      <c r="B2319" s="1574">
        <f>+VLOOKUP(A2319,'Anlage 2a_Letztverbrauch'!$A$1338:$I$1704,9,FALSE)</f>
        <v>57625.42</v>
      </c>
      <c r="C2319" s="88">
        <f>IFERROR(+VLOOKUP(A2319,'Anlage 2a_Letztverbrauch'!$A$2797:$I$2816,3,FALSE),0)</f>
        <v>0</v>
      </c>
      <c r="D2319" s="88">
        <v>0</v>
      </c>
      <c r="E2319" s="88">
        <f t="shared" si="85"/>
        <v>57625.42</v>
      </c>
      <c r="F2319" s="88">
        <f>+SUMIF('Anlage 2b_Korrekturen'!$B$700:$B$1160,A2319,'Anlage 2b_Korrekturen'!$E$700:$E$1160)</f>
        <v>80.95</v>
      </c>
      <c r="G2319" s="135">
        <f t="shared" si="86"/>
        <v>57706.369999999995</v>
      </c>
      <c r="H2319" s="133" t="s">
        <v>1503</v>
      </c>
    </row>
    <row r="2320" spans="1:8" hidden="1" outlineLevel="1">
      <c r="A2320" s="418" t="s">
        <v>1332</v>
      </c>
      <c r="B2320" s="1574">
        <f>+VLOOKUP(A2320,'Anlage 2a_Letztverbrauch'!$A$1338:$I$1704,9,FALSE)</f>
        <v>384092.01</v>
      </c>
      <c r="C2320" s="88">
        <f>IFERROR(+VLOOKUP(A2320,'Anlage 2a_Letztverbrauch'!$A$2797:$I$2816,3,FALSE),0)</f>
        <v>0</v>
      </c>
      <c r="D2320" s="88">
        <v>0</v>
      </c>
      <c r="E2320" s="88">
        <f t="shared" si="85"/>
        <v>384092.01</v>
      </c>
      <c r="F2320" s="88">
        <f>+SUMIF('Anlage 2b_Korrekturen'!$B$700:$B$1160,A2320,'Anlage 2b_Korrekturen'!$E$700:$E$1160)</f>
        <v>0</v>
      </c>
      <c r="G2320" s="135">
        <f t="shared" si="86"/>
        <v>384092.01</v>
      </c>
      <c r="H2320" s="133" t="s">
        <v>1333</v>
      </c>
    </row>
    <row r="2321" spans="1:8" hidden="1" outlineLevel="1">
      <c r="A2321" s="418" t="s">
        <v>1576</v>
      </c>
      <c r="B2321" s="1574">
        <f>+VLOOKUP(A2321,'Anlage 2a_Letztverbrauch'!$A$1338:$I$1704,9,FALSE)</f>
        <v>248674.37</v>
      </c>
      <c r="C2321" s="88">
        <f>IFERROR(+VLOOKUP(A2321,'Anlage 2a_Letztverbrauch'!$A$2797:$I$2816,3,FALSE),0)</f>
        <v>0</v>
      </c>
      <c r="D2321" s="88">
        <v>0</v>
      </c>
      <c r="E2321" s="88">
        <f t="shared" si="85"/>
        <v>248674.37</v>
      </c>
      <c r="F2321" s="88">
        <f>+SUMIF('Anlage 2b_Korrekturen'!$B$700:$B$1160,A2321,'Anlage 2b_Korrekturen'!$E$700:$E$1160)</f>
        <v>2184.88</v>
      </c>
      <c r="G2321" s="135">
        <f t="shared" si="86"/>
        <v>250859.25</v>
      </c>
      <c r="H2321" s="133" t="s">
        <v>1577</v>
      </c>
    </row>
    <row r="2322" spans="1:8" hidden="1" outlineLevel="1">
      <c r="A2322" s="418" t="s">
        <v>1608</v>
      </c>
      <c r="B2322" s="1574">
        <f>+VLOOKUP(A2322,'Anlage 2a_Letztverbrauch'!$A$1338:$I$1704,9,FALSE)</f>
        <v>67990.3</v>
      </c>
      <c r="C2322" s="88">
        <f>IFERROR(+VLOOKUP(A2322,'Anlage 2a_Letztverbrauch'!$A$2797:$I$2816,3,FALSE),0)</f>
        <v>0</v>
      </c>
      <c r="D2322" s="88">
        <v>0</v>
      </c>
      <c r="E2322" s="88">
        <f t="shared" si="85"/>
        <v>67990.3</v>
      </c>
      <c r="F2322" s="88">
        <f>+SUMIF('Anlage 2b_Korrekturen'!$B$700:$B$1160,A2322,'Anlage 2b_Korrekturen'!$E$700:$E$1160)</f>
        <v>0</v>
      </c>
      <c r="G2322" s="135">
        <f t="shared" si="86"/>
        <v>67990.3</v>
      </c>
      <c r="H2322" s="133" t="s">
        <v>1609</v>
      </c>
    </row>
    <row r="2323" spans="1:8" hidden="1" outlineLevel="1">
      <c r="A2323" s="418" t="s">
        <v>1255</v>
      </c>
      <c r="B2323" s="1574">
        <f>+VLOOKUP(A2323,'Anlage 2a_Letztverbrauch'!$A$1338:$I$1704,9,FALSE)</f>
        <v>323693.26</v>
      </c>
      <c r="C2323" s="88">
        <f>IFERROR(+VLOOKUP(A2323,'Anlage 2a_Letztverbrauch'!$A$2797:$I$2816,3,FALSE),0)</f>
        <v>0</v>
      </c>
      <c r="D2323" s="88">
        <v>0</v>
      </c>
      <c r="E2323" s="88">
        <f t="shared" si="85"/>
        <v>323693.26</v>
      </c>
      <c r="F2323" s="88">
        <f>+SUMIF('Anlage 2b_Korrekturen'!$B$700:$B$1160,A2323,'Anlage 2b_Korrekturen'!$E$700:$E$1160)</f>
        <v>0</v>
      </c>
      <c r="G2323" s="135">
        <f t="shared" si="86"/>
        <v>323693.26</v>
      </c>
      <c r="H2323" s="133" t="s">
        <v>1256</v>
      </c>
    </row>
    <row r="2324" spans="1:8" hidden="1" outlineLevel="1">
      <c r="A2324" s="418" t="s">
        <v>1602</v>
      </c>
      <c r="B2324" s="1574">
        <f>+VLOOKUP(A2324,'Anlage 2a_Letztverbrauch'!$A$1338:$I$1704,9,FALSE)</f>
        <v>115049.12</v>
      </c>
      <c r="C2324" s="88">
        <f>IFERROR(+VLOOKUP(A2324,'Anlage 2a_Letztverbrauch'!$A$2797:$I$2816,3,FALSE),0)</f>
        <v>0</v>
      </c>
      <c r="D2324" s="88">
        <v>0</v>
      </c>
      <c r="E2324" s="88">
        <f t="shared" si="85"/>
        <v>115049.12</v>
      </c>
      <c r="F2324" s="88">
        <f>+SUMIF('Anlage 2b_Korrekturen'!$B$700:$B$1160,A2324,'Anlage 2b_Korrekturen'!$E$700:$E$1160)</f>
        <v>5.8000000000000114</v>
      </c>
      <c r="G2324" s="135">
        <f t="shared" si="86"/>
        <v>115054.92</v>
      </c>
      <c r="H2324" s="133" t="s">
        <v>1603</v>
      </c>
    </row>
    <row r="2325" spans="1:8" hidden="1" outlineLevel="1">
      <c r="A2325" s="418" t="s">
        <v>1354</v>
      </c>
      <c r="B2325" s="1574">
        <f>+VLOOKUP(A2325,'Anlage 2a_Letztverbrauch'!$A$1338:$I$1704,9,FALSE)</f>
        <v>273061.92</v>
      </c>
      <c r="C2325" s="88">
        <f>IFERROR(+VLOOKUP(A2325,'Anlage 2a_Letztverbrauch'!$A$2797:$I$2816,3,FALSE),0)</f>
        <v>0</v>
      </c>
      <c r="D2325" s="88">
        <v>0</v>
      </c>
      <c r="E2325" s="88">
        <f t="shared" ref="E2325:E2388" si="87">B2325+C2325+D2325</f>
        <v>273061.92</v>
      </c>
      <c r="F2325" s="88">
        <f>+SUMIF('Anlage 2b_Korrekturen'!$B$700:$B$1160,A2325,'Anlage 2b_Korrekturen'!$E$700:$E$1160)</f>
        <v>-629.96</v>
      </c>
      <c r="G2325" s="135">
        <f t="shared" ref="G2325:G2388" si="88">E2325+F2325</f>
        <v>272431.95999999996</v>
      </c>
      <c r="H2325" s="133" t="s">
        <v>1355</v>
      </c>
    </row>
    <row r="2326" spans="1:8" hidden="1" outlineLevel="1">
      <c r="A2326" s="418" t="s">
        <v>1446</v>
      </c>
      <c r="B2326" s="1574">
        <f>+VLOOKUP(A2326,'Anlage 2a_Letztverbrauch'!$A$1338:$I$1704,9,FALSE)</f>
        <v>5658525.2400000002</v>
      </c>
      <c r="C2326" s="88">
        <f>IFERROR(+VLOOKUP(A2326,'Anlage 2a_Letztverbrauch'!$A$2797:$I$2816,3,FALSE),0)</f>
        <v>0</v>
      </c>
      <c r="D2326" s="88">
        <v>0</v>
      </c>
      <c r="E2326" s="88">
        <f t="shared" si="87"/>
        <v>5658525.2400000002</v>
      </c>
      <c r="F2326" s="88">
        <f>+SUMIF('Anlage 2b_Korrekturen'!$B$700:$B$1160,A2326,'Anlage 2b_Korrekturen'!$E$700:$E$1160)</f>
        <v>0</v>
      </c>
      <c r="G2326" s="135">
        <f t="shared" si="88"/>
        <v>5658525.2400000002</v>
      </c>
      <c r="H2326" s="133" t="s">
        <v>1447</v>
      </c>
    </row>
    <row r="2327" spans="1:8" hidden="1" outlineLevel="1">
      <c r="A2327" s="418" t="s">
        <v>1664</v>
      </c>
      <c r="B2327" s="1574">
        <f>+VLOOKUP(A2327,'Anlage 2a_Letztverbrauch'!$A$1338:$I$1704,9,FALSE)</f>
        <v>593818.29</v>
      </c>
      <c r="C2327" s="88">
        <f>IFERROR(+VLOOKUP(A2327,'Anlage 2a_Letztverbrauch'!$A$2797:$I$2816,3,FALSE),0)</f>
        <v>0</v>
      </c>
      <c r="D2327" s="88">
        <v>0</v>
      </c>
      <c r="E2327" s="88">
        <f t="shared" si="87"/>
        <v>593818.29</v>
      </c>
      <c r="F2327" s="88">
        <f>+SUMIF('Anlage 2b_Korrekturen'!$B$700:$B$1160,A2327,'Anlage 2b_Korrekturen'!$E$700:$E$1160)</f>
        <v>364.07</v>
      </c>
      <c r="G2327" s="135">
        <f t="shared" si="88"/>
        <v>594182.36</v>
      </c>
      <c r="H2327" s="133" t="s">
        <v>1665</v>
      </c>
    </row>
    <row r="2328" spans="1:8" hidden="1" outlineLevel="1">
      <c r="A2328" s="418" t="s">
        <v>1788</v>
      </c>
      <c r="B2328" s="1574">
        <f>+VLOOKUP(A2328,'Anlage 2a_Letztverbrauch'!$A$1338:$I$1704,9,FALSE)</f>
        <v>43201.440000000002</v>
      </c>
      <c r="C2328" s="88">
        <f>IFERROR(+VLOOKUP(A2328,'Anlage 2a_Letztverbrauch'!$A$2797:$I$2816,3,FALSE),0)</f>
        <v>0</v>
      </c>
      <c r="D2328" s="88">
        <v>0</v>
      </c>
      <c r="E2328" s="88">
        <f t="shared" si="87"/>
        <v>43201.440000000002</v>
      </c>
      <c r="F2328" s="88">
        <f>+SUMIF('Anlage 2b_Korrekturen'!$B$700:$B$1160,A2328,'Anlage 2b_Korrekturen'!$E$700:$E$1160)</f>
        <v>0</v>
      </c>
      <c r="G2328" s="135">
        <f t="shared" si="88"/>
        <v>43201.440000000002</v>
      </c>
      <c r="H2328" s="133" t="s">
        <v>1789</v>
      </c>
    </row>
    <row r="2329" spans="1:8" hidden="1" outlineLevel="1">
      <c r="A2329" s="418" t="s">
        <v>1650</v>
      </c>
      <c r="B2329" s="1574">
        <f>+VLOOKUP(A2329,'Anlage 2a_Letztverbrauch'!$A$1338:$I$1704,9,FALSE)</f>
        <v>16981740.59</v>
      </c>
      <c r="C2329" s="88">
        <f>IFERROR(+VLOOKUP(A2329,'Anlage 2a_Letztverbrauch'!$A$2797:$I$2816,3,FALSE),0)</f>
        <v>-14340.29</v>
      </c>
      <c r="D2329" s="88">
        <v>0</v>
      </c>
      <c r="E2329" s="88">
        <f t="shared" si="87"/>
        <v>16967400.300000001</v>
      </c>
      <c r="F2329" s="88">
        <f>+SUMIF('Anlage 2b_Korrekturen'!$B$700:$B$1160,A2329,'Anlage 2b_Korrekturen'!$E$700:$E$1160)</f>
        <v>196726.08999999997</v>
      </c>
      <c r="G2329" s="135">
        <f t="shared" si="88"/>
        <v>17164126.390000001</v>
      </c>
      <c r="H2329" s="133" t="s">
        <v>1651</v>
      </c>
    </row>
    <row r="2330" spans="1:8" hidden="1" outlineLevel="1">
      <c r="A2330" s="418" t="s">
        <v>1632</v>
      </c>
      <c r="B2330" s="1574">
        <f>+VLOOKUP(A2330,'Anlage 2a_Letztverbrauch'!$A$1338:$I$1704,9,FALSE)</f>
        <v>135192.66</v>
      </c>
      <c r="C2330" s="88">
        <f>IFERROR(+VLOOKUP(A2330,'Anlage 2a_Letztverbrauch'!$A$2797:$I$2816,3,FALSE),0)</f>
        <v>0</v>
      </c>
      <c r="D2330" s="88">
        <v>0</v>
      </c>
      <c r="E2330" s="88">
        <f t="shared" si="87"/>
        <v>135192.66</v>
      </c>
      <c r="F2330" s="88">
        <f>+SUMIF('Anlage 2b_Korrekturen'!$B$700:$B$1160,A2330,'Anlage 2b_Korrekturen'!$E$700:$E$1160)</f>
        <v>-8896.1299999999992</v>
      </c>
      <c r="G2330" s="135">
        <f t="shared" si="88"/>
        <v>126296.53</v>
      </c>
      <c r="H2330" s="133" t="s">
        <v>1633</v>
      </c>
    </row>
    <row r="2331" spans="1:8" hidden="1" outlineLevel="1">
      <c r="A2331" s="418" t="s">
        <v>1344</v>
      </c>
      <c r="B2331" s="1574">
        <f>+VLOOKUP(A2331,'Anlage 2a_Letztverbrauch'!$A$1338:$I$1704,9,FALSE)</f>
        <v>2659962.5799999996</v>
      </c>
      <c r="C2331" s="88">
        <f>IFERROR(+VLOOKUP(A2331,'Anlage 2a_Letztverbrauch'!$A$2797:$I$2816,3,FALSE),0)</f>
        <v>0</v>
      </c>
      <c r="D2331" s="88">
        <v>0</v>
      </c>
      <c r="E2331" s="88">
        <f t="shared" si="87"/>
        <v>2659962.5799999996</v>
      </c>
      <c r="F2331" s="88">
        <f>+SUMIF('Anlage 2b_Korrekturen'!$B$700:$B$1160,A2331,'Anlage 2b_Korrekturen'!$E$700:$E$1160)</f>
        <v>0</v>
      </c>
      <c r="G2331" s="135">
        <f t="shared" si="88"/>
        <v>2659962.5799999996</v>
      </c>
      <c r="H2331" s="133" t="s">
        <v>1345</v>
      </c>
    </row>
    <row r="2332" spans="1:8" hidden="1" outlineLevel="1">
      <c r="A2332" s="418" t="s">
        <v>1398</v>
      </c>
      <c r="B2332" s="1574">
        <f>+VLOOKUP(A2332,'Anlage 2a_Letztverbrauch'!$A$1338:$I$1704,9,FALSE)</f>
        <v>71815.23</v>
      </c>
      <c r="C2332" s="88">
        <f>IFERROR(+VLOOKUP(A2332,'Anlage 2a_Letztverbrauch'!$A$2797:$I$2816,3,FALSE),0)</f>
        <v>0</v>
      </c>
      <c r="D2332" s="88">
        <v>0</v>
      </c>
      <c r="E2332" s="88">
        <f t="shared" si="87"/>
        <v>71815.23</v>
      </c>
      <c r="F2332" s="88">
        <f>+SUMIF('Anlage 2b_Korrekturen'!$B$700:$B$1160,A2332,'Anlage 2b_Korrekturen'!$E$700:$E$1160)</f>
        <v>0</v>
      </c>
      <c r="G2332" s="135">
        <f t="shared" si="88"/>
        <v>71815.23</v>
      </c>
      <c r="H2332" s="133" t="s">
        <v>1399</v>
      </c>
    </row>
    <row r="2333" spans="1:8" hidden="1" outlineLevel="1">
      <c r="A2333" s="418" t="s">
        <v>1244</v>
      </c>
      <c r="B2333" s="1574">
        <f>+VLOOKUP(A2333,'Anlage 2a_Letztverbrauch'!$A$1338:$I$1704,9,FALSE)</f>
        <v>102754.24000000001</v>
      </c>
      <c r="C2333" s="88">
        <f>IFERROR(+VLOOKUP(A2333,'Anlage 2a_Letztverbrauch'!$A$2797:$I$2816,3,FALSE),0)</f>
        <v>0</v>
      </c>
      <c r="D2333" s="88">
        <v>0</v>
      </c>
      <c r="E2333" s="88">
        <f t="shared" si="87"/>
        <v>102754.24000000001</v>
      </c>
      <c r="F2333" s="88">
        <f>+SUMIF('Anlage 2b_Korrekturen'!$B$700:$B$1160,A2333,'Anlage 2b_Korrekturen'!$E$700:$E$1160)</f>
        <v>0</v>
      </c>
      <c r="G2333" s="135">
        <f t="shared" si="88"/>
        <v>102754.24000000001</v>
      </c>
      <c r="H2333" s="133" t="s">
        <v>1245</v>
      </c>
    </row>
    <row r="2334" spans="1:8" hidden="1" outlineLevel="1">
      <c r="A2334" s="418" t="s">
        <v>1301</v>
      </c>
      <c r="B2334" s="1574">
        <f>+VLOOKUP(A2334,'Anlage 2a_Letztverbrauch'!$A$1338:$I$1704,9,FALSE)</f>
        <v>161064.6</v>
      </c>
      <c r="C2334" s="88">
        <f>IFERROR(+VLOOKUP(A2334,'Anlage 2a_Letztverbrauch'!$A$2797:$I$2816,3,FALSE),0)</f>
        <v>0</v>
      </c>
      <c r="D2334" s="88">
        <v>0</v>
      </c>
      <c r="E2334" s="88">
        <f t="shared" si="87"/>
        <v>161064.6</v>
      </c>
      <c r="F2334" s="88">
        <f>+SUMIF('Anlage 2b_Korrekturen'!$B$700:$B$1160,A2334,'Anlage 2b_Korrekturen'!$E$700:$E$1160)</f>
        <v>0</v>
      </c>
      <c r="G2334" s="135">
        <f t="shared" si="88"/>
        <v>161064.6</v>
      </c>
      <c r="H2334" s="133" t="s">
        <v>1302</v>
      </c>
    </row>
    <row r="2335" spans="1:8" hidden="1" outlineLevel="1">
      <c r="A2335" s="418" t="s">
        <v>1462</v>
      </c>
      <c r="B2335" s="1574">
        <f>+VLOOKUP(A2335,'Anlage 2a_Letztverbrauch'!$A$1338:$I$1704,9,FALSE)</f>
        <v>176119.49</v>
      </c>
      <c r="C2335" s="88">
        <f>IFERROR(+VLOOKUP(A2335,'Anlage 2a_Letztverbrauch'!$A$2797:$I$2816,3,FALSE),0)</f>
        <v>0</v>
      </c>
      <c r="D2335" s="88">
        <v>0</v>
      </c>
      <c r="E2335" s="88">
        <f t="shared" si="87"/>
        <v>176119.49</v>
      </c>
      <c r="F2335" s="88">
        <f>+SUMIF('Anlage 2b_Korrekturen'!$B$700:$B$1160,A2335,'Anlage 2b_Korrekturen'!$E$700:$E$1160)</f>
        <v>0</v>
      </c>
      <c r="G2335" s="135">
        <f t="shared" si="88"/>
        <v>176119.49</v>
      </c>
      <c r="H2335" s="133" t="s">
        <v>1463</v>
      </c>
    </row>
    <row r="2336" spans="1:8" hidden="1" outlineLevel="1">
      <c r="A2336" s="418" t="s">
        <v>1794</v>
      </c>
      <c r="B2336" s="1574">
        <f>+VLOOKUP(A2336,'Anlage 2a_Letztverbrauch'!$A$1338:$I$1704,9,FALSE)</f>
        <v>655235.02</v>
      </c>
      <c r="C2336" s="88">
        <f>IFERROR(+VLOOKUP(A2336,'Anlage 2a_Letztverbrauch'!$A$2797:$I$2816,3,FALSE),0)</f>
        <v>0</v>
      </c>
      <c r="D2336" s="88">
        <v>0</v>
      </c>
      <c r="E2336" s="88">
        <f t="shared" si="87"/>
        <v>655235.02</v>
      </c>
      <c r="F2336" s="88">
        <f>+SUMIF('Anlage 2b_Korrekturen'!$B$700:$B$1160,A2336,'Anlage 2b_Korrekturen'!$E$700:$E$1160)</f>
        <v>5339.82</v>
      </c>
      <c r="G2336" s="135">
        <f t="shared" si="88"/>
        <v>660574.84</v>
      </c>
      <c r="H2336" s="133" t="s">
        <v>1795</v>
      </c>
    </row>
    <row r="2337" spans="1:8" hidden="1" outlineLevel="1">
      <c r="A2337" s="418" t="s">
        <v>1546</v>
      </c>
      <c r="B2337" s="1574">
        <f>+VLOOKUP(A2337,'Anlage 2a_Letztverbrauch'!$A$1338:$I$1704,9,FALSE)</f>
        <v>81331.47</v>
      </c>
      <c r="C2337" s="88">
        <f>IFERROR(+VLOOKUP(A2337,'Anlage 2a_Letztverbrauch'!$A$2797:$I$2816,3,FALSE),0)</f>
        <v>0</v>
      </c>
      <c r="D2337" s="88">
        <v>0</v>
      </c>
      <c r="E2337" s="88">
        <f t="shared" si="87"/>
        <v>81331.47</v>
      </c>
      <c r="F2337" s="88">
        <f>+SUMIF('Anlage 2b_Korrekturen'!$B$700:$B$1160,A2337,'Anlage 2b_Korrekturen'!$E$700:$E$1160)</f>
        <v>0</v>
      </c>
      <c r="G2337" s="135">
        <f t="shared" si="88"/>
        <v>81331.47</v>
      </c>
      <c r="H2337" s="133" t="s">
        <v>1547</v>
      </c>
    </row>
    <row r="2338" spans="1:8" hidden="1" outlineLevel="1">
      <c r="A2338" s="418" t="s">
        <v>1426</v>
      </c>
      <c r="B2338" s="1574">
        <f>+VLOOKUP(A2338,'Anlage 2a_Letztverbrauch'!$A$1338:$I$1704,9,FALSE)</f>
        <v>148671.54999999999</v>
      </c>
      <c r="C2338" s="88">
        <f>IFERROR(+VLOOKUP(A2338,'Anlage 2a_Letztverbrauch'!$A$2797:$I$2816,3,FALSE),0)</f>
        <v>0</v>
      </c>
      <c r="D2338" s="88">
        <v>0</v>
      </c>
      <c r="E2338" s="88">
        <f t="shared" si="87"/>
        <v>148671.54999999999</v>
      </c>
      <c r="F2338" s="88">
        <f>+SUMIF('Anlage 2b_Korrekturen'!$B$700:$B$1160,A2338,'Anlage 2b_Korrekturen'!$E$700:$E$1160)</f>
        <v>0</v>
      </c>
      <c r="G2338" s="135">
        <f t="shared" si="88"/>
        <v>148671.54999999999</v>
      </c>
      <c r="H2338" s="133" t="s">
        <v>1427</v>
      </c>
    </row>
    <row r="2339" spans="1:8" hidden="1" outlineLevel="1">
      <c r="A2339" s="418" t="s">
        <v>1760</v>
      </c>
      <c r="B2339" s="1574">
        <f>+VLOOKUP(A2339,'Anlage 2a_Letztverbrauch'!$A$1338:$I$1704,9,FALSE)</f>
        <v>163781.9</v>
      </c>
      <c r="C2339" s="88">
        <f>IFERROR(+VLOOKUP(A2339,'Anlage 2a_Letztverbrauch'!$A$2797:$I$2816,3,FALSE),0)</f>
        <v>0</v>
      </c>
      <c r="D2339" s="88">
        <v>0</v>
      </c>
      <c r="E2339" s="88">
        <f t="shared" si="87"/>
        <v>163781.9</v>
      </c>
      <c r="F2339" s="88">
        <f>+SUMIF('Anlage 2b_Korrekturen'!$B$700:$B$1160,A2339,'Anlage 2b_Korrekturen'!$E$700:$E$1160)</f>
        <v>-325.69</v>
      </c>
      <c r="G2339" s="135">
        <f t="shared" si="88"/>
        <v>163456.21</v>
      </c>
      <c r="H2339" s="133" t="s">
        <v>1761</v>
      </c>
    </row>
    <row r="2340" spans="1:8" hidden="1" outlineLevel="1">
      <c r="A2340" s="418" t="s">
        <v>1798</v>
      </c>
      <c r="B2340" s="1574">
        <f>+VLOOKUP(A2340,'Anlage 2a_Letztverbrauch'!$A$1338:$I$1704,9,FALSE)</f>
        <v>402499.81</v>
      </c>
      <c r="C2340" s="88">
        <f>IFERROR(+VLOOKUP(A2340,'Anlage 2a_Letztverbrauch'!$A$2797:$I$2816,3,FALSE),0)</f>
        <v>0</v>
      </c>
      <c r="D2340" s="88">
        <v>0</v>
      </c>
      <c r="E2340" s="88">
        <f t="shared" si="87"/>
        <v>402499.81</v>
      </c>
      <c r="F2340" s="88">
        <f>+SUMIF('Anlage 2b_Korrekturen'!$B$700:$B$1160,A2340,'Anlage 2b_Korrekturen'!$E$700:$E$1160)</f>
        <v>-243.65</v>
      </c>
      <c r="G2340" s="135">
        <f t="shared" si="88"/>
        <v>402256.16</v>
      </c>
      <c r="H2340" s="133" t="s">
        <v>1799</v>
      </c>
    </row>
    <row r="2341" spans="1:8" hidden="1" outlineLevel="1">
      <c r="A2341" s="418" t="s">
        <v>1318</v>
      </c>
      <c r="B2341" s="1574">
        <f>+VLOOKUP(A2341,'Anlage 2a_Letztverbrauch'!$A$1338:$I$1704,9,FALSE)</f>
        <v>117180.71</v>
      </c>
      <c r="C2341" s="88">
        <f>IFERROR(+VLOOKUP(A2341,'Anlage 2a_Letztverbrauch'!$A$2797:$I$2816,3,FALSE),0)</f>
        <v>0</v>
      </c>
      <c r="D2341" s="88">
        <v>0</v>
      </c>
      <c r="E2341" s="88">
        <f t="shared" si="87"/>
        <v>117180.71</v>
      </c>
      <c r="F2341" s="88">
        <f>+SUMIF('Anlage 2b_Korrekturen'!$B$700:$B$1160,A2341,'Anlage 2b_Korrekturen'!$E$700:$E$1160)</f>
        <v>-11868.35</v>
      </c>
      <c r="G2341" s="135">
        <f t="shared" si="88"/>
        <v>105312.36</v>
      </c>
      <c r="H2341" s="133" t="s">
        <v>1319</v>
      </c>
    </row>
    <row r="2342" spans="1:8" hidden="1" outlineLevel="1">
      <c r="A2342" s="418" t="s">
        <v>1764</v>
      </c>
      <c r="B2342" s="1574">
        <f>+VLOOKUP(A2342,'Anlage 2a_Letztverbrauch'!$A$1338:$I$1704,9,FALSE)</f>
        <v>58969.78</v>
      </c>
      <c r="C2342" s="88">
        <f>IFERROR(+VLOOKUP(A2342,'Anlage 2a_Letztverbrauch'!$A$2797:$I$2816,3,FALSE),0)</f>
        <v>0</v>
      </c>
      <c r="D2342" s="88">
        <v>0</v>
      </c>
      <c r="E2342" s="88">
        <f t="shared" si="87"/>
        <v>58969.78</v>
      </c>
      <c r="F2342" s="88">
        <f>+SUMIF('Anlage 2b_Korrekturen'!$B$700:$B$1160,A2342,'Anlage 2b_Korrekturen'!$E$700:$E$1160)</f>
        <v>0</v>
      </c>
      <c r="G2342" s="135">
        <f t="shared" si="88"/>
        <v>58969.78</v>
      </c>
      <c r="H2342" s="133" t="s">
        <v>1765</v>
      </c>
    </row>
    <row r="2343" spans="1:8" hidden="1" outlineLevel="1">
      <c r="A2343" s="418" t="s">
        <v>1540</v>
      </c>
      <c r="B2343" s="1574">
        <f>+VLOOKUP(A2343,'Anlage 2a_Letztverbrauch'!$A$1338:$I$1704,9,FALSE)</f>
        <v>66350.210000000006</v>
      </c>
      <c r="C2343" s="88">
        <f>IFERROR(+VLOOKUP(A2343,'Anlage 2a_Letztverbrauch'!$A$2797:$I$2816,3,FALSE),0)</f>
        <v>0</v>
      </c>
      <c r="D2343" s="88">
        <v>0</v>
      </c>
      <c r="E2343" s="88">
        <f t="shared" si="87"/>
        <v>66350.210000000006</v>
      </c>
      <c r="F2343" s="88">
        <f>+SUMIF('Anlage 2b_Korrekturen'!$B$700:$B$1160,A2343,'Anlage 2b_Korrekturen'!$E$700:$E$1160)</f>
        <v>0</v>
      </c>
      <c r="G2343" s="135">
        <f t="shared" si="88"/>
        <v>66350.210000000006</v>
      </c>
      <c r="H2343" s="133" t="s">
        <v>1541</v>
      </c>
    </row>
    <row r="2344" spans="1:8" hidden="1" outlineLevel="1">
      <c r="A2344" s="418" t="s">
        <v>1396</v>
      </c>
      <c r="B2344" s="1574">
        <f>+VLOOKUP(A2344,'Anlage 2a_Letztverbrauch'!$A$1338:$I$1704,9,FALSE)</f>
        <v>151092.39000000001</v>
      </c>
      <c r="C2344" s="88">
        <f>IFERROR(+VLOOKUP(A2344,'Anlage 2a_Letztverbrauch'!$A$2797:$I$2816,3,FALSE),0)</f>
        <v>0</v>
      </c>
      <c r="D2344" s="88">
        <v>0</v>
      </c>
      <c r="E2344" s="88">
        <f t="shared" si="87"/>
        <v>151092.39000000001</v>
      </c>
      <c r="F2344" s="88">
        <f>+SUMIF('Anlage 2b_Korrekturen'!$B$700:$B$1160,A2344,'Anlage 2b_Korrekturen'!$E$700:$E$1160)</f>
        <v>0</v>
      </c>
      <c r="G2344" s="135">
        <f t="shared" si="88"/>
        <v>151092.39000000001</v>
      </c>
      <c r="H2344" s="133" t="s">
        <v>1397</v>
      </c>
    </row>
    <row r="2345" spans="1:8" hidden="1" outlineLevel="1">
      <c r="A2345" s="418" t="s">
        <v>1681</v>
      </c>
      <c r="B2345" s="1574">
        <f>+VLOOKUP(A2345,'Anlage 2a_Letztverbrauch'!$A$1338:$I$1704,9,FALSE)</f>
        <v>2631484.9900000002</v>
      </c>
      <c r="C2345" s="88">
        <f>IFERROR(+VLOOKUP(A2345,'Anlage 2a_Letztverbrauch'!$A$2797:$I$2816,3,FALSE),0)</f>
        <v>0</v>
      </c>
      <c r="D2345" s="88">
        <v>0</v>
      </c>
      <c r="E2345" s="88">
        <f t="shared" si="87"/>
        <v>2631484.9900000002</v>
      </c>
      <c r="F2345" s="88">
        <f>+SUMIF('Anlage 2b_Korrekturen'!$B$700:$B$1160,A2345,'Anlage 2b_Korrekturen'!$E$700:$E$1160)</f>
        <v>0</v>
      </c>
      <c r="G2345" s="135">
        <f t="shared" si="88"/>
        <v>2631484.9900000002</v>
      </c>
      <c r="H2345" s="133" t="s">
        <v>1682</v>
      </c>
    </row>
    <row r="2346" spans="1:8" hidden="1" outlineLevel="1">
      <c r="A2346" s="418" t="s">
        <v>2208</v>
      </c>
      <c r="B2346" s="1574">
        <f>+VLOOKUP(A2346,'Anlage 2a_Letztverbrauch'!$A$1338:$I$1704,9,FALSE)</f>
        <v>16744.18</v>
      </c>
      <c r="C2346" s="88">
        <f>IFERROR(+VLOOKUP(A2346,'Anlage 2a_Letztverbrauch'!$A$2797:$I$2816,3,FALSE),0)</f>
        <v>0</v>
      </c>
      <c r="D2346" s="88">
        <v>0</v>
      </c>
      <c r="E2346" s="88">
        <f t="shared" si="87"/>
        <v>16744.18</v>
      </c>
      <c r="F2346" s="88">
        <f>+SUMIF('Anlage 2b_Korrekturen'!$B$700:$B$1160,A2346,'Anlage 2b_Korrekturen'!$E$700:$E$1160)</f>
        <v>0</v>
      </c>
      <c r="G2346" s="135">
        <f t="shared" si="88"/>
        <v>16744.18</v>
      </c>
      <c r="H2346" s="133" t="s">
        <v>2209</v>
      </c>
    </row>
    <row r="2347" spans="1:8" hidden="1" outlineLevel="1">
      <c r="A2347" s="418" t="s">
        <v>1766</v>
      </c>
      <c r="B2347" s="1574">
        <f>+VLOOKUP(A2347,'Anlage 2a_Letztverbrauch'!$A$1338:$I$1704,9,FALSE)</f>
        <v>55634.71</v>
      </c>
      <c r="C2347" s="88">
        <f>IFERROR(+VLOOKUP(A2347,'Anlage 2a_Letztverbrauch'!$A$2797:$I$2816,3,FALSE),0)</f>
        <v>0</v>
      </c>
      <c r="D2347" s="88">
        <v>0</v>
      </c>
      <c r="E2347" s="88">
        <f t="shared" si="87"/>
        <v>55634.71</v>
      </c>
      <c r="F2347" s="88">
        <f>+SUMIF('Anlage 2b_Korrekturen'!$B$700:$B$1160,A2347,'Anlage 2b_Korrekturen'!$E$700:$E$1160)</f>
        <v>2020.92</v>
      </c>
      <c r="G2347" s="135">
        <f t="shared" si="88"/>
        <v>57655.63</v>
      </c>
      <c r="H2347" s="133" t="s">
        <v>1767</v>
      </c>
    </row>
    <row r="2348" spans="1:8" hidden="1" outlineLevel="1">
      <c r="A2348" s="418" t="s">
        <v>1448</v>
      </c>
      <c r="B2348" s="1574">
        <f>+VLOOKUP(A2348,'Anlage 2a_Letztverbrauch'!$A$1338:$I$1704,9,FALSE)</f>
        <v>495841.14</v>
      </c>
      <c r="C2348" s="88">
        <f>IFERROR(+VLOOKUP(A2348,'Anlage 2a_Letztverbrauch'!$A$2797:$I$2816,3,FALSE),0)</f>
        <v>0</v>
      </c>
      <c r="D2348" s="88">
        <v>0</v>
      </c>
      <c r="E2348" s="88">
        <f t="shared" si="87"/>
        <v>495841.14</v>
      </c>
      <c r="F2348" s="88">
        <f>+SUMIF('Anlage 2b_Korrekturen'!$B$700:$B$1160,A2348,'Anlage 2b_Korrekturen'!$E$700:$E$1160)</f>
        <v>-18558.8</v>
      </c>
      <c r="G2348" s="135">
        <f t="shared" si="88"/>
        <v>477282.34</v>
      </c>
      <c r="H2348" s="133" t="s">
        <v>1449</v>
      </c>
    </row>
    <row r="2349" spans="1:8" hidden="1" outlineLevel="1">
      <c r="A2349" s="418" t="s">
        <v>1490</v>
      </c>
      <c r="B2349" s="1574">
        <f>+VLOOKUP(A2349,'Anlage 2a_Letztverbrauch'!$A$1338:$I$1704,9,FALSE)</f>
        <v>43962.16</v>
      </c>
      <c r="C2349" s="88">
        <f>IFERROR(+VLOOKUP(A2349,'Anlage 2a_Letztverbrauch'!$A$2797:$I$2816,3,FALSE),0)</f>
        <v>0</v>
      </c>
      <c r="D2349" s="88">
        <v>0</v>
      </c>
      <c r="E2349" s="88">
        <f t="shared" si="87"/>
        <v>43962.16</v>
      </c>
      <c r="F2349" s="88">
        <f>+SUMIF('Anlage 2b_Korrekturen'!$B$700:$B$1160,A2349,'Anlage 2b_Korrekturen'!$E$700:$E$1160)</f>
        <v>0</v>
      </c>
      <c r="G2349" s="135">
        <f t="shared" si="88"/>
        <v>43962.16</v>
      </c>
      <c r="H2349" s="133" t="s">
        <v>1491</v>
      </c>
    </row>
    <row r="2350" spans="1:8" hidden="1" outlineLevel="1">
      <c r="A2350" s="418" t="s">
        <v>1724</v>
      </c>
      <c r="B2350" s="1574">
        <f>+VLOOKUP(A2350,'Anlage 2a_Letztverbrauch'!$A$1338:$I$1704,9,FALSE)</f>
        <v>333229.57</v>
      </c>
      <c r="C2350" s="88">
        <f>IFERROR(+VLOOKUP(A2350,'Anlage 2a_Letztverbrauch'!$A$2797:$I$2816,3,FALSE),0)</f>
        <v>0</v>
      </c>
      <c r="D2350" s="88">
        <v>0</v>
      </c>
      <c r="E2350" s="88">
        <f t="shared" si="87"/>
        <v>333229.57</v>
      </c>
      <c r="F2350" s="88">
        <f>+SUMIF('Anlage 2b_Korrekturen'!$B$700:$B$1160,A2350,'Anlage 2b_Korrekturen'!$E$700:$E$1160)</f>
        <v>537.29999999999995</v>
      </c>
      <c r="G2350" s="135">
        <f t="shared" si="88"/>
        <v>333766.87</v>
      </c>
      <c r="H2350" s="133" t="s">
        <v>1725</v>
      </c>
    </row>
    <row r="2351" spans="1:8" hidden="1" outlineLevel="1">
      <c r="A2351" s="418" t="s">
        <v>1267</v>
      </c>
      <c r="B2351" s="1574">
        <f>+VLOOKUP(A2351,'Anlage 2a_Letztverbrauch'!$A$1338:$I$1704,9,FALSE)</f>
        <v>41731.68</v>
      </c>
      <c r="C2351" s="88">
        <f>IFERROR(+VLOOKUP(A2351,'Anlage 2a_Letztverbrauch'!$A$2797:$I$2816,3,FALSE),0)</f>
        <v>0</v>
      </c>
      <c r="D2351" s="88">
        <v>0</v>
      </c>
      <c r="E2351" s="88">
        <f t="shared" si="87"/>
        <v>41731.68</v>
      </c>
      <c r="F2351" s="88">
        <f>+SUMIF('Anlage 2b_Korrekturen'!$B$700:$B$1160,A2351,'Anlage 2b_Korrekturen'!$E$700:$E$1160)</f>
        <v>0</v>
      </c>
      <c r="G2351" s="135">
        <f t="shared" si="88"/>
        <v>41731.68</v>
      </c>
      <c r="H2351" s="133" t="s">
        <v>1268</v>
      </c>
    </row>
    <row r="2352" spans="1:8" hidden="1" outlineLevel="1">
      <c r="A2352" s="418" t="s">
        <v>1358</v>
      </c>
      <c r="B2352" s="1574">
        <f>+VLOOKUP(A2352,'Anlage 2a_Letztverbrauch'!$A$1338:$I$1704,9,FALSE)</f>
        <v>942798.86</v>
      </c>
      <c r="C2352" s="88">
        <f>IFERROR(+VLOOKUP(A2352,'Anlage 2a_Letztverbrauch'!$A$2797:$I$2816,3,FALSE),0)</f>
        <v>0</v>
      </c>
      <c r="D2352" s="88">
        <v>0</v>
      </c>
      <c r="E2352" s="88">
        <f t="shared" si="87"/>
        <v>942798.86</v>
      </c>
      <c r="F2352" s="88">
        <f>+SUMIF('Anlage 2b_Korrekturen'!$B$700:$B$1160,A2352,'Anlage 2b_Korrekturen'!$E$700:$E$1160)</f>
        <v>0</v>
      </c>
      <c r="G2352" s="135">
        <f t="shared" si="88"/>
        <v>942798.86</v>
      </c>
      <c r="H2352" s="133" t="s">
        <v>1359</v>
      </c>
    </row>
    <row r="2353" spans="1:8" hidden="1" outlineLevel="1">
      <c r="A2353" s="418" t="s">
        <v>1658</v>
      </c>
      <c r="B2353" s="1574">
        <f>+VLOOKUP(A2353,'Anlage 2a_Letztverbrauch'!$A$1338:$I$1704,9,FALSE)</f>
        <v>128297.8</v>
      </c>
      <c r="C2353" s="88">
        <f>IFERROR(+VLOOKUP(A2353,'Anlage 2a_Letztverbrauch'!$A$2797:$I$2816,3,FALSE),0)</f>
        <v>0</v>
      </c>
      <c r="D2353" s="88">
        <v>0</v>
      </c>
      <c r="E2353" s="88">
        <f t="shared" si="87"/>
        <v>128297.8</v>
      </c>
      <c r="F2353" s="88">
        <f>+SUMIF('Anlage 2b_Korrekturen'!$B$700:$B$1160,A2353,'Anlage 2b_Korrekturen'!$E$700:$E$1160)</f>
        <v>0</v>
      </c>
      <c r="G2353" s="135">
        <f t="shared" si="88"/>
        <v>128297.8</v>
      </c>
      <c r="H2353" s="133" t="s">
        <v>1659</v>
      </c>
    </row>
    <row r="2354" spans="1:8" hidden="1" outlineLevel="1">
      <c r="A2354" s="418" t="s">
        <v>1552</v>
      </c>
      <c r="B2354" s="1574">
        <f>+VLOOKUP(A2354,'Anlage 2a_Letztverbrauch'!$A$1338:$I$1704,9,FALSE)</f>
        <v>289276.64</v>
      </c>
      <c r="C2354" s="88">
        <f>IFERROR(+VLOOKUP(A2354,'Anlage 2a_Letztverbrauch'!$A$2797:$I$2816,3,FALSE),0)</f>
        <v>0</v>
      </c>
      <c r="D2354" s="88">
        <v>0</v>
      </c>
      <c r="E2354" s="88">
        <f t="shared" si="87"/>
        <v>289276.64</v>
      </c>
      <c r="F2354" s="88">
        <f>+SUMIF('Anlage 2b_Korrekturen'!$B$700:$B$1160,A2354,'Anlage 2b_Korrekturen'!$E$700:$E$1160)</f>
        <v>-163.09</v>
      </c>
      <c r="G2354" s="135">
        <f t="shared" si="88"/>
        <v>289113.55</v>
      </c>
      <c r="H2354" s="133" t="s">
        <v>1553</v>
      </c>
    </row>
    <row r="2355" spans="1:8" hidden="1" outlineLevel="1">
      <c r="A2355" s="418" t="s">
        <v>1242</v>
      </c>
      <c r="B2355" s="1574">
        <f>+VLOOKUP(A2355,'Anlage 2a_Letztverbrauch'!$A$1338:$I$1704,9,FALSE)</f>
        <v>39105.69</v>
      </c>
      <c r="C2355" s="88">
        <f>IFERROR(+VLOOKUP(A2355,'Anlage 2a_Letztverbrauch'!$A$2797:$I$2816,3,FALSE),0)</f>
        <v>0</v>
      </c>
      <c r="D2355" s="88">
        <v>0</v>
      </c>
      <c r="E2355" s="88">
        <f t="shared" si="87"/>
        <v>39105.69</v>
      </c>
      <c r="F2355" s="88">
        <f>+SUMIF('Anlage 2b_Korrekturen'!$B$700:$B$1160,A2355,'Anlage 2b_Korrekturen'!$E$700:$E$1160)</f>
        <v>-22.259999999999998</v>
      </c>
      <c r="G2355" s="135">
        <f t="shared" si="88"/>
        <v>39083.43</v>
      </c>
      <c r="H2355" s="133" t="s">
        <v>1243</v>
      </c>
    </row>
    <row r="2356" spans="1:8" hidden="1" outlineLevel="1">
      <c r="A2356" s="418" t="s">
        <v>1752</v>
      </c>
      <c r="B2356" s="1574">
        <f>+VLOOKUP(A2356,'Anlage 2a_Letztverbrauch'!$A$1338:$I$1704,9,FALSE)</f>
        <v>47688.65</v>
      </c>
      <c r="C2356" s="88">
        <f>IFERROR(+VLOOKUP(A2356,'Anlage 2a_Letztverbrauch'!$A$2797:$I$2816,3,FALSE),0)</f>
        <v>0</v>
      </c>
      <c r="D2356" s="88">
        <v>0</v>
      </c>
      <c r="E2356" s="88">
        <f t="shared" si="87"/>
        <v>47688.65</v>
      </c>
      <c r="F2356" s="88">
        <f>+SUMIF('Anlage 2b_Korrekturen'!$B$700:$B$1160,A2356,'Anlage 2b_Korrekturen'!$E$700:$E$1160)</f>
        <v>-918.27</v>
      </c>
      <c r="G2356" s="135">
        <f t="shared" si="88"/>
        <v>46770.380000000005</v>
      </c>
      <c r="H2356" s="133" t="s">
        <v>1753</v>
      </c>
    </row>
    <row r="2357" spans="1:8" hidden="1" outlineLevel="1">
      <c r="A2357" s="418" t="s">
        <v>1295</v>
      </c>
      <c r="B2357" s="1574">
        <f>+VLOOKUP(A2357,'Anlage 2a_Letztverbrauch'!$A$1338:$I$1704,9,FALSE)</f>
        <v>3021787.08</v>
      </c>
      <c r="C2357" s="88">
        <f>IFERROR(+VLOOKUP(A2357,'Anlage 2a_Letztverbrauch'!$A$2797:$I$2816,3,FALSE),0)</f>
        <v>0</v>
      </c>
      <c r="D2357" s="88">
        <v>0</v>
      </c>
      <c r="E2357" s="88">
        <f t="shared" si="87"/>
        <v>3021787.08</v>
      </c>
      <c r="F2357" s="88">
        <f>+SUMIF('Anlage 2b_Korrekturen'!$B$700:$B$1160,A2357,'Anlage 2b_Korrekturen'!$E$700:$E$1160)</f>
        <v>0</v>
      </c>
      <c r="G2357" s="135">
        <f t="shared" si="88"/>
        <v>3021787.08</v>
      </c>
      <c r="H2357" s="133" t="s">
        <v>1296</v>
      </c>
    </row>
    <row r="2358" spans="1:8" hidden="1" outlineLevel="1">
      <c r="A2358" s="418" t="s">
        <v>1685</v>
      </c>
      <c r="B2358" s="1574">
        <f>+VLOOKUP(A2358,'Anlage 2a_Letztverbrauch'!$A$1338:$I$1704,9,FALSE)</f>
        <v>424270.79</v>
      </c>
      <c r="C2358" s="88">
        <f>IFERROR(+VLOOKUP(A2358,'Anlage 2a_Letztverbrauch'!$A$2797:$I$2816,3,FALSE),0)</f>
        <v>0</v>
      </c>
      <c r="D2358" s="88">
        <v>0</v>
      </c>
      <c r="E2358" s="88">
        <f t="shared" si="87"/>
        <v>424270.79</v>
      </c>
      <c r="F2358" s="88">
        <f>+SUMIF('Anlage 2b_Korrekturen'!$B$700:$B$1160,A2358,'Anlage 2b_Korrekturen'!$E$700:$E$1160)</f>
        <v>0</v>
      </c>
      <c r="G2358" s="135">
        <f t="shared" si="88"/>
        <v>424270.79</v>
      </c>
      <c r="H2358" s="133" t="s">
        <v>1686</v>
      </c>
    </row>
    <row r="2359" spans="1:8" hidden="1" outlineLevel="1">
      <c r="A2359" s="418" t="s">
        <v>2210</v>
      </c>
      <c r="B2359" s="1574">
        <f>+VLOOKUP(A2359,'Anlage 2a_Letztverbrauch'!$A$1338:$I$1704,9,FALSE)</f>
        <v>4810.7</v>
      </c>
      <c r="C2359" s="88">
        <f>IFERROR(+VLOOKUP(A2359,'Anlage 2a_Letztverbrauch'!$A$2797:$I$2816,3,FALSE),0)</f>
        <v>0</v>
      </c>
      <c r="D2359" s="88">
        <v>0</v>
      </c>
      <c r="E2359" s="88">
        <f t="shared" si="87"/>
        <v>4810.7</v>
      </c>
      <c r="F2359" s="88">
        <f>+SUMIF('Anlage 2b_Korrekturen'!$B$700:$B$1160,A2359,'Anlage 2b_Korrekturen'!$E$700:$E$1160)</f>
        <v>0</v>
      </c>
      <c r="G2359" s="135">
        <f t="shared" si="88"/>
        <v>4810.7</v>
      </c>
      <c r="H2359" s="133" t="s">
        <v>2211</v>
      </c>
    </row>
    <row r="2360" spans="1:8" hidden="1" outlineLevel="1">
      <c r="A2360" s="418" t="s">
        <v>2212</v>
      </c>
      <c r="B2360" s="1574">
        <f>+VLOOKUP(A2360,'Anlage 2a_Letztverbrauch'!$A$1338:$I$1704,9,FALSE)</f>
        <v>58022.68</v>
      </c>
      <c r="C2360" s="88">
        <f>IFERROR(+VLOOKUP(A2360,'Anlage 2a_Letztverbrauch'!$A$2797:$I$2816,3,FALSE),0)</f>
        <v>0</v>
      </c>
      <c r="D2360" s="88">
        <v>0</v>
      </c>
      <c r="E2360" s="88">
        <f t="shared" si="87"/>
        <v>58022.68</v>
      </c>
      <c r="F2360" s="88">
        <f>+SUMIF('Anlage 2b_Korrekturen'!$B$700:$B$1160,A2360,'Anlage 2b_Korrekturen'!$E$700:$E$1160)</f>
        <v>0</v>
      </c>
      <c r="G2360" s="135">
        <f t="shared" si="88"/>
        <v>58022.68</v>
      </c>
      <c r="H2360" s="133" t="s">
        <v>2213</v>
      </c>
    </row>
    <row r="2361" spans="1:8" hidden="1" outlineLevel="1">
      <c r="A2361" s="418" t="s">
        <v>1400</v>
      </c>
      <c r="B2361" s="1574">
        <f>+VLOOKUP(A2361,'Anlage 2a_Letztverbrauch'!$A$1338:$I$1704,9,FALSE)</f>
        <v>55771.72</v>
      </c>
      <c r="C2361" s="88">
        <f>IFERROR(+VLOOKUP(A2361,'Anlage 2a_Letztverbrauch'!$A$2797:$I$2816,3,FALSE),0)</f>
        <v>0</v>
      </c>
      <c r="D2361" s="88">
        <v>0</v>
      </c>
      <c r="E2361" s="88">
        <f t="shared" si="87"/>
        <v>55771.72</v>
      </c>
      <c r="F2361" s="88">
        <f>+SUMIF('Anlage 2b_Korrekturen'!$B$700:$B$1160,A2361,'Anlage 2b_Korrekturen'!$E$700:$E$1160)</f>
        <v>0</v>
      </c>
      <c r="G2361" s="135">
        <f t="shared" si="88"/>
        <v>55771.72</v>
      </c>
      <c r="H2361" s="133" t="s">
        <v>1401</v>
      </c>
    </row>
    <row r="2362" spans="1:8" hidden="1" outlineLevel="1">
      <c r="A2362" s="418" t="s">
        <v>1620</v>
      </c>
      <c r="B2362" s="1574">
        <f>+VLOOKUP(A2362,'Anlage 2a_Letztverbrauch'!$A$1338:$I$1704,9,FALSE)</f>
        <v>241588.76</v>
      </c>
      <c r="C2362" s="88">
        <f>IFERROR(+VLOOKUP(A2362,'Anlage 2a_Letztverbrauch'!$A$2797:$I$2816,3,FALSE),0)</f>
        <v>0</v>
      </c>
      <c r="D2362" s="88">
        <v>0</v>
      </c>
      <c r="E2362" s="88">
        <f t="shared" si="87"/>
        <v>241588.76</v>
      </c>
      <c r="F2362" s="88">
        <f>+SUMIF('Anlage 2b_Korrekturen'!$B$700:$B$1160,A2362,'Anlage 2b_Korrekturen'!$E$700:$E$1160)</f>
        <v>0</v>
      </c>
      <c r="G2362" s="135">
        <f t="shared" si="88"/>
        <v>241588.76</v>
      </c>
      <c r="H2362" s="133" t="s">
        <v>1621</v>
      </c>
    </row>
    <row r="2363" spans="1:8" hidden="1" outlineLevel="1">
      <c r="A2363" s="418" t="s">
        <v>1671</v>
      </c>
      <c r="B2363" s="1574">
        <f>+VLOOKUP(A2363,'Anlage 2a_Letztverbrauch'!$A$1338:$I$1704,9,FALSE)</f>
        <v>204472.79</v>
      </c>
      <c r="C2363" s="88">
        <f>IFERROR(+VLOOKUP(A2363,'Anlage 2a_Letztverbrauch'!$A$2797:$I$2816,3,FALSE),0)</f>
        <v>0</v>
      </c>
      <c r="D2363" s="88">
        <v>0</v>
      </c>
      <c r="E2363" s="88">
        <f t="shared" si="87"/>
        <v>204472.79</v>
      </c>
      <c r="F2363" s="88">
        <f>+SUMIF('Anlage 2b_Korrekturen'!$B$700:$B$1160,A2363,'Anlage 2b_Korrekturen'!$E$700:$E$1160)</f>
        <v>2264.58</v>
      </c>
      <c r="G2363" s="135">
        <f t="shared" si="88"/>
        <v>206737.37</v>
      </c>
      <c r="H2363" s="133" t="s">
        <v>1672</v>
      </c>
    </row>
    <row r="2364" spans="1:8" hidden="1" outlineLevel="1">
      <c r="A2364" s="418" t="s">
        <v>1538</v>
      </c>
      <c r="B2364" s="1574">
        <f>+VLOOKUP(A2364,'Anlage 2a_Letztverbrauch'!$A$1338:$I$1704,9,FALSE)</f>
        <v>2195954.58</v>
      </c>
      <c r="C2364" s="88">
        <f>IFERROR(+VLOOKUP(A2364,'Anlage 2a_Letztverbrauch'!$A$2797:$I$2816,3,FALSE),0)</f>
        <v>0</v>
      </c>
      <c r="D2364" s="88">
        <v>0</v>
      </c>
      <c r="E2364" s="88">
        <f t="shared" si="87"/>
        <v>2195954.58</v>
      </c>
      <c r="F2364" s="88">
        <f>+SUMIF('Anlage 2b_Korrekturen'!$B$700:$B$1160,A2364,'Anlage 2b_Korrekturen'!$E$700:$E$1160)</f>
        <v>0</v>
      </c>
      <c r="G2364" s="135">
        <f t="shared" si="88"/>
        <v>2195954.58</v>
      </c>
      <c r="H2364" s="133" t="s">
        <v>1539</v>
      </c>
    </row>
    <row r="2365" spans="1:8" hidden="1" outlineLevel="1">
      <c r="A2365" s="418" t="s">
        <v>1382</v>
      </c>
      <c r="B2365" s="1574">
        <f>+VLOOKUP(A2365,'Anlage 2a_Letztverbrauch'!$A$1338:$I$1704,9,FALSE)</f>
        <v>183110.84</v>
      </c>
      <c r="C2365" s="88">
        <f>IFERROR(+VLOOKUP(A2365,'Anlage 2a_Letztverbrauch'!$A$2797:$I$2816,3,FALSE),0)</f>
        <v>0</v>
      </c>
      <c r="D2365" s="88">
        <v>0</v>
      </c>
      <c r="E2365" s="88">
        <f t="shared" si="87"/>
        <v>183110.84</v>
      </c>
      <c r="F2365" s="88">
        <f>+SUMIF('Anlage 2b_Korrekturen'!$B$700:$B$1160,A2365,'Anlage 2b_Korrekturen'!$E$700:$E$1160)</f>
        <v>0</v>
      </c>
      <c r="G2365" s="135">
        <f t="shared" si="88"/>
        <v>183110.84</v>
      </c>
      <c r="H2365" s="133" t="s">
        <v>1383</v>
      </c>
    </row>
    <row r="2366" spans="1:8" hidden="1" outlineLevel="1">
      <c r="A2366" s="418" t="s">
        <v>1524</v>
      </c>
      <c r="B2366" s="1574">
        <f>+VLOOKUP(A2366,'Anlage 2a_Letztverbrauch'!$A$1338:$I$1704,9,FALSE)</f>
        <v>96295.97</v>
      </c>
      <c r="C2366" s="88">
        <f>IFERROR(+VLOOKUP(A2366,'Anlage 2a_Letztverbrauch'!$A$2797:$I$2816,3,FALSE),0)</f>
        <v>0</v>
      </c>
      <c r="D2366" s="88">
        <v>0</v>
      </c>
      <c r="E2366" s="88">
        <f t="shared" si="87"/>
        <v>96295.97</v>
      </c>
      <c r="F2366" s="88">
        <f>+SUMIF('Anlage 2b_Korrekturen'!$B$700:$B$1160,A2366,'Anlage 2b_Korrekturen'!$E$700:$E$1160)</f>
        <v>-1014.0300000000001</v>
      </c>
      <c r="G2366" s="135">
        <f t="shared" si="88"/>
        <v>95281.94</v>
      </c>
      <c r="H2366" s="133" t="s">
        <v>1525</v>
      </c>
    </row>
    <row r="2367" spans="1:8" hidden="1" outlineLevel="1">
      <c r="A2367" s="418" t="s">
        <v>1818</v>
      </c>
      <c r="B2367" s="1574">
        <f>+VLOOKUP(A2367,'Anlage 2a_Letztverbrauch'!$A$1338:$I$1704,9,FALSE)</f>
        <v>381519.04</v>
      </c>
      <c r="C2367" s="88">
        <f>IFERROR(+VLOOKUP(A2367,'Anlage 2a_Letztverbrauch'!$A$2797:$I$2816,3,FALSE),0)</f>
        <v>0</v>
      </c>
      <c r="D2367" s="88">
        <v>0</v>
      </c>
      <c r="E2367" s="88">
        <f t="shared" si="87"/>
        <v>381519.04</v>
      </c>
      <c r="F2367" s="88">
        <f>+SUMIF('Anlage 2b_Korrekturen'!$B$700:$B$1160,A2367,'Anlage 2b_Korrekturen'!$E$700:$E$1160)</f>
        <v>-1746.23</v>
      </c>
      <c r="G2367" s="135">
        <f t="shared" si="88"/>
        <v>379772.81</v>
      </c>
      <c r="H2367" s="133" t="s">
        <v>1819</v>
      </c>
    </row>
    <row r="2368" spans="1:8" hidden="1" outlineLevel="1">
      <c r="A2368" s="418" t="s">
        <v>1238</v>
      </c>
      <c r="B2368" s="1574">
        <f>+VLOOKUP(A2368,'Anlage 2a_Letztverbrauch'!$A$1338:$I$1704,9,FALSE)</f>
        <v>189935.82</v>
      </c>
      <c r="C2368" s="88">
        <f>IFERROR(+VLOOKUP(A2368,'Anlage 2a_Letztverbrauch'!$A$2797:$I$2816,3,FALSE),0)</f>
        <v>0</v>
      </c>
      <c r="D2368" s="88">
        <v>0</v>
      </c>
      <c r="E2368" s="88">
        <f t="shared" si="87"/>
        <v>189935.82</v>
      </c>
      <c r="F2368" s="88">
        <f>+SUMIF('Anlage 2b_Korrekturen'!$B$700:$B$1160,A2368,'Anlage 2b_Korrekturen'!$E$700:$E$1160)</f>
        <v>-4922.68</v>
      </c>
      <c r="G2368" s="135">
        <f t="shared" si="88"/>
        <v>185013.14</v>
      </c>
      <c r="H2368" s="133" t="s">
        <v>1239</v>
      </c>
    </row>
    <row r="2369" spans="1:8" hidden="1" outlineLevel="1">
      <c r="A2369" s="418" t="s">
        <v>1800</v>
      </c>
      <c r="B2369" s="1574">
        <f>+VLOOKUP(A2369,'Anlage 2a_Letztverbrauch'!$A$1338:$I$1704,9,FALSE)</f>
        <v>92951.27</v>
      </c>
      <c r="C2369" s="88">
        <f>IFERROR(+VLOOKUP(A2369,'Anlage 2a_Letztverbrauch'!$A$2797:$I$2816,3,FALSE),0)</f>
        <v>0</v>
      </c>
      <c r="D2369" s="88">
        <v>0</v>
      </c>
      <c r="E2369" s="88">
        <f t="shared" si="87"/>
        <v>92951.27</v>
      </c>
      <c r="F2369" s="88">
        <f>+SUMIF('Anlage 2b_Korrekturen'!$B$700:$B$1160,A2369,'Anlage 2b_Korrekturen'!$E$700:$E$1160)</f>
        <v>0</v>
      </c>
      <c r="G2369" s="135">
        <f t="shared" si="88"/>
        <v>92951.27</v>
      </c>
      <c r="H2369" s="133" t="s">
        <v>1801</v>
      </c>
    </row>
    <row r="2370" spans="1:8" hidden="1" outlineLevel="1">
      <c r="A2370" s="418" t="s">
        <v>2214</v>
      </c>
      <c r="B2370" s="1574">
        <f>+VLOOKUP(A2370,'Anlage 2a_Letztverbrauch'!$A$1338:$I$1704,9,FALSE)</f>
        <v>30053.88</v>
      </c>
      <c r="C2370" s="88">
        <f>IFERROR(+VLOOKUP(A2370,'Anlage 2a_Letztverbrauch'!$A$2797:$I$2816,3,FALSE),0)</f>
        <v>0</v>
      </c>
      <c r="D2370" s="88">
        <v>0</v>
      </c>
      <c r="E2370" s="88">
        <f t="shared" si="87"/>
        <v>30053.88</v>
      </c>
      <c r="F2370" s="88">
        <f>+SUMIF('Anlage 2b_Korrekturen'!$B$700:$B$1160,A2370,'Anlage 2b_Korrekturen'!$E$700:$E$1160)</f>
        <v>0</v>
      </c>
      <c r="G2370" s="135">
        <f t="shared" si="88"/>
        <v>30053.88</v>
      </c>
      <c r="H2370" s="133" t="s">
        <v>2215</v>
      </c>
    </row>
    <row r="2371" spans="1:8" hidden="1" outlineLevel="1">
      <c r="A2371" s="418" t="s">
        <v>1704</v>
      </c>
      <c r="B2371" s="1574">
        <f>+VLOOKUP(A2371,'Anlage 2a_Letztverbrauch'!$A$1338:$I$1704,9,FALSE)</f>
        <v>130408.79</v>
      </c>
      <c r="C2371" s="88">
        <f>IFERROR(+VLOOKUP(A2371,'Anlage 2a_Letztverbrauch'!$A$2797:$I$2816,3,FALSE),0)</f>
        <v>0</v>
      </c>
      <c r="D2371" s="88">
        <v>0</v>
      </c>
      <c r="E2371" s="88">
        <f t="shared" si="87"/>
        <v>130408.79</v>
      </c>
      <c r="F2371" s="88">
        <f>+SUMIF('Anlage 2b_Korrekturen'!$B$700:$B$1160,A2371,'Anlage 2b_Korrekturen'!$E$700:$E$1160)</f>
        <v>-744.78</v>
      </c>
      <c r="G2371" s="135">
        <f t="shared" si="88"/>
        <v>129664.01</v>
      </c>
      <c r="H2371" s="133" t="s">
        <v>1705</v>
      </c>
    </row>
    <row r="2372" spans="1:8" hidden="1" outlineLevel="1">
      <c r="A2372" s="418" t="s">
        <v>1312</v>
      </c>
      <c r="B2372" s="1574">
        <f>+VLOOKUP(A2372,'Anlage 2a_Letztverbrauch'!$A$1338:$I$1704,9,FALSE)</f>
        <v>13443470.93</v>
      </c>
      <c r="C2372" s="88">
        <f>IFERROR(+VLOOKUP(A2372,'Anlage 2a_Letztverbrauch'!$A$2797:$I$2816,3,FALSE),0)</f>
        <v>0</v>
      </c>
      <c r="D2372" s="88">
        <v>0</v>
      </c>
      <c r="E2372" s="88">
        <f t="shared" si="87"/>
        <v>13443470.93</v>
      </c>
      <c r="F2372" s="88">
        <f>+SUMIF('Anlage 2b_Korrekturen'!$B$700:$B$1160,A2372,'Anlage 2b_Korrekturen'!$E$700:$E$1160)</f>
        <v>867500.4</v>
      </c>
      <c r="G2372" s="135">
        <f t="shared" si="88"/>
        <v>14310971.33</v>
      </c>
      <c r="H2372" s="133" t="s">
        <v>1313</v>
      </c>
    </row>
    <row r="2373" spans="1:8" hidden="1" outlineLevel="1">
      <c r="A2373" s="418" t="s">
        <v>1468</v>
      </c>
      <c r="B2373" s="1574">
        <f>+VLOOKUP(A2373,'Anlage 2a_Letztverbrauch'!$A$1338:$I$1704,9,FALSE)</f>
        <v>97043.48</v>
      </c>
      <c r="C2373" s="88">
        <f>IFERROR(+VLOOKUP(A2373,'Anlage 2a_Letztverbrauch'!$A$2797:$I$2816,3,FALSE),0)</f>
        <v>0</v>
      </c>
      <c r="D2373" s="88">
        <v>0</v>
      </c>
      <c r="E2373" s="88">
        <f t="shared" si="87"/>
        <v>97043.48</v>
      </c>
      <c r="F2373" s="88">
        <f>+SUMIF('Anlage 2b_Korrekturen'!$B$700:$B$1160,A2373,'Anlage 2b_Korrekturen'!$E$700:$E$1160)</f>
        <v>-120.22000000000003</v>
      </c>
      <c r="G2373" s="135">
        <f t="shared" si="88"/>
        <v>96923.26</v>
      </c>
      <c r="H2373" s="133" t="s">
        <v>1469</v>
      </c>
    </row>
    <row r="2374" spans="1:8" hidden="1" outlineLevel="1">
      <c r="A2374" s="418" t="s">
        <v>1309</v>
      </c>
      <c r="B2374" s="1574">
        <f>+VLOOKUP(A2374,'Anlage 2a_Letztverbrauch'!$A$1338:$I$1704,9,FALSE)</f>
        <v>541576.31999999995</v>
      </c>
      <c r="C2374" s="88">
        <f>IFERROR(+VLOOKUP(A2374,'Anlage 2a_Letztverbrauch'!$A$2797:$I$2816,3,FALSE),0)</f>
        <v>0</v>
      </c>
      <c r="D2374" s="88">
        <v>0</v>
      </c>
      <c r="E2374" s="88">
        <f t="shared" si="87"/>
        <v>541576.31999999995</v>
      </c>
      <c r="F2374" s="88">
        <f>+SUMIF('Anlage 2b_Korrekturen'!$B$700:$B$1160,A2374,'Anlage 2b_Korrekturen'!$E$700:$E$1160)</f>
        <v>-1108.10265</v>
      </c>
      <c r="G2374" s="135">
        <f t="shared" si="88"/>
        <v>540468.21734999993</v>
      </c>
      <c r="H2374" s="133" t="s">
        <v>1310</v>
      </c>
    </row>
    <row r="2375" spans="1:8" hidden="1" outlineLevel="1">
      <c r="A2375" s="418" t="s">
        <v>2216</v>
      </c>
      <c r="B2375" s="1574">
        <f>+VLOOKUP(A2375,'Anlage 2a_Letztverbrauch'!$A$1338:$I$1704,9,FALSE)</f>
        <v>18718.84</v>
      </c>
      <c r="C2375" s="88">
        <f>IFERROR(+VLOOKUP(A2375,'Anlage 2a_Letztverbrauch'!$A$2797:$I$2816,3,FALSE),0)</f>
        <v>0</v>
      </c>
      <c r="D2375" s="88">
        <v>0</v>
      </c>
      <c r="E2375" s="88">
        <f t="shared" si="87"/>
        <v>18718.84</v>
      </c>
      <c r="F2375" s="88">
        <f>+SUMIF('Anlage 2b_Korrekturen'!$B$700:$B$1160,A2375,'Anlage 2b_Korrekturen'!$E$700:$E$1160)</f>
        <v>0</v>
      </c>
      <c r="G2375" s="135">
        <f t="shared" si="88"/>
        <v>18718.84</v>
      </c>
      <c r="H2375" s="133" t="s">
        <v>2217</v>
      </c>
    </row>
    <row r="2376" spans="1:8" hidden="1" outlineLevel="1">
      <c r="A2376" s="418" t="s">
        <v>1558</v>
      </c>
      <c r="B2376" s="1574">
        <f>+VLOOKUP(A2376,'Anlage 2a_Letztverbrauch'!$A$1338:$I$1704,9,FALSE)</f>
        <v>2968174.8099999996</v>
      </c>
      <c r="C2376" s="88">
        <f>IFERROR(+VLOOKUP(A2376,'Anlage 2a_Letztverbrauch'!$A$2797:$I$2816,3,FALSE),0)</f>
        <v>0</v>
      </c>
      <c r="D2376" s="88">
        <v>0</v>
      </c>
      <c r="E2376" s="88">
        <f t="shared" si="87"/>
        <v>2968174.8099999996</v>
      </c>
      <c r="F2376" s="88">
        <f>+SUMIF('Anlage 2b_Korrekturen'!$B$700:$B$1160,A2376,'Anlage 2b_Korrekturen'!$E$700:$E$1160)</f>
        <v>0</v>
      </c>
      <c r="G2376" s="135">
        <f t="shared" si="88"/>
        <v>2968174.8099999996</v>
      </c>
      <c r="H2376" s="133" t="s">
        <v>1559</v>
      </c>
    </row>
    <row r="2377" spans="1:8" hidden="1" outlineLevel="1">
      <c r="A2377" s="418" t="s">
        <v>1762</v>
      </c>
      <c r="B2377" s="1574">
        <f>+VLOOKUP(A2377,'Anlage 2a_Letztverbrauch'!$A$1338:$I$1704,9,FALSE)</f>
        <v>159277.17000000001</v>
      </c>
      <c r="C2377" s="88">
        <f>IFERROR(+VLOOKUP(A2377,'Anlage 2a_Letztverbrauch'!$A$2797:$I$2816,3,FALSE),0)</f>
        <v>0</v>
      </c>
      <c r="D2377" s="88">
        <v>0</v>
      </c>
      <c r="E2377" s="88">
        <f t="shared" si="87"/>
        <v>159277.17000000001</v>
      </c>
      <c r="F2377" s="88">
        <f>+SUMIF('Anlage 2b_Korrekturen'!$B$700:$B$1160,A2377,'Anlage 2b_Korrekturen'!$E$700:$E$1160)</f>
        <v>-332.96292</v>
      </c>
      <c r="G2377" s="135">
        <f t="shared" si="88"/>
        <v>158944.20708000002</v>
      </c>
      <c r="H2377" s="133" t="s">
        <v>1763</v>
      </c>
    </row>
    <row r="2378" spans="1:8" hidden="1" outlineLevel="1">
      <c r="A2378" s="418" t="s">
        <v>1442</v>
      </c>
      <c r="B2378" s="1574">
        <f>+VLOOKUP(A2378,'Anlage 2a_Letztverbrauch'!$A$1338:$I$1704,9,FALSE)</f>
        <v>17089.04</v>
      </c>
      <c r="C2378" s="88">
        <f>IFERROR(+VLOOKUP(A2378,'Anlage 2a_Letztverbrauch'!$A$2797:$I$2816,3,FALSE),0)</f>
        <v>0</v>
      </c>
      <c r="D2378" s="88">
        <v>0</v>
      </c>
      <c r="E2378" s="88">
        <f t="shared" si="87"/>
        <v>17089.04</v>
      </c>
      <c r="F2378" s="88">
        <f>+SUMIF('Anlage 2b_Korrekturen'!$B$700:$B$1160,A2378,'Anlage 2b_Korrekturen'!$E$700:$E$1160)</f>
        <v>0</v>
      </c>
      <c r="G2378" s="135">
        <f t="shared" si="88"/>
        <v>17089.04</v>
      </c>
      <c r="H2378" s="133" t="s">
        <v>1443</v>
      </c>
    </row>
    <row r="2379" spans="1:8" hidden="1" outlineLevel="1">
      <c r="A2379" s="418" t="s">
        <v>1748</v>
      </c>
      <c r="B2379" s="1574">
        <f>+VLOOKUP(A2379,'Anlage 2a_Letztverbrauch'!$A$1338:$I$1704,9,FALSE)</f>
        <v>51942.48</v>
      </c>
      <c r="C2379" s="88">
        <f>IFERROR(+VLOOKUP(A2379,'Anlage 2a_Letztverbrauch'!$A$2797:$I$2816,3,FALSE),0)</f>
        <v>0</v>
      </c>
      <c r="D2379" s="88">
        <v>0</v>
      </c>
      <c r="E2379" s="88">
        <f t="shared" si="87"/>
        <v>51942.48</v>
      </c>
      <c r="F2379" s="88">
        <f>+SUMIF('Anlage 2b_Korrekturen'!$B$700:$B$1160,A2379,'Anlage 2b_Korrekturen'!$E$700:$E$1160)</f>
        <v>41.73</v>
      </c>
      <c r="G2379" s="135">
        <f t="shared" si="88"/>
        <v>51984.210000000006</v>
      </c>
      <c r="H2379" s="133" t="s">
        <v>1749</v>
      </c>
    </row>
    <row r="2380" spans="1:8" hidden="1" outlineLevel="1">
      <c r="A2380" s="418" t="s">
        <v>1790</v>
      </c>
      <c r="B2380" s="1574">
        <f>+VLOOKUP(A2380,'Anlage 2a_Letztverbrauch'!$A$1338:$I$1704,9,FALSE)</f>
        <v>21611.97</v>
      </c>
      <c r="C2380" s="88">
        <f>IFERROR(+VLOOKUP(A2380,'Anlage 2a_Letztverbrauch'!$A$2797:$I$2816,3,FALSE),0)</f>
        <v>0</v>
      </c>
      <c r="D2380" s="88">
        <v>0</v>
      </c>
      <c r="E2380" s="88">
        <f t="shared" si="87"/>
        <v>21611.97</v>
      </c>
      <c r="F2380" s="88">
        <f>+SUMIF('Anlage 2b_Korrekturen'!$B$700:$B$1160,A2380,'Anlage 2b_Korrekturen'!$E$700:$E$1160)</f>
        <v>0</v>
      </c>
      <c r="G2380" s="135">
        <f t="shared" si="88"/>
        <v>21611.97</v>
      </c>
      <c r="H2380" s="133" t="s">
        <v>1791</v>
      </c>
    </row>
    <row r="2381" spans="1:8" hidden="1" outlineLevel="1">
      <c r="A2381" s="418" t="s">
        <v>2218</v>
      </c>
      <c r="B2381" s="1574">
        <f>+VLOOKUP(A2381,'Anlage 2a_Letztverbrauch'!$A$1338:$I$1704,9,FALSE)</f>
        <v>27077.06</v>
      </c>
      <c r="C2381" s="88">
        <f>IFERROR(+VLOOKUP(A2381,'Anlage 2a_Letztverbrauch'!$A$2797:$I$2816,3,FALSE),0)</f>
        <v>0</v>
      </c>
      <c r="D2381" s="88">
        <v>0</v>
      </c>
      <c r="E2381" s="88">
        <f t="shared" si="87"/>
        <v>27077.06</v>
      </c>
      <c r="F2381" s="88">
        <f>+SUMIF('Anlage 2b_Korrekturen'!$B$700:$B$1160,A2381,'Anlage 2b_Korrekturen'!$E$700:$E$1160)</f>
        <v>0</v>
      </c>
      <c r="G2381" s="135">
        <f t="shared" si="88"/>
        <v>27077.06</v>
      </c>
      <c r="H2381" s="133" t="s">
        <v>2219</v>
      </c>
    </row>
    <row r="2382" spans="1:8" hidden="1" outlineLevel="1">
      <c r="A2382" s="418" t="s">
        <v>1334</v>
      </c>
      <c r="B2382" s="1574">
        <f>+VLOOKUP(A2382,'Anlage 2a_Letztverbrauch'!$A$1338:$I$1704,9,FALSE)</f>
        <v>183366.67</v>
      </c>
      <c r="C2382" s="88">
        <f>IFERROR(+VLOOKUP(A2382,'Anlage 2a_Letztverbrauch'!$A$2797:$I$2816,3,FALSE),0)</f>
        <v>0</v>
      </c>
      <c r="D2382" s="88">
        <v>0</v>
      </c>
      <c r="E2382" s="88">
        <f t="shared" si="87"/>
        <v>183366.67</v>
      </c>
      <c r="F2382" s="88">
        <f>+SUMIF('Anlage 2b_Korrekturen'!$B$700:$B$1160,A2382,'Anlage 2b_Korrekturen'!$E$700:$E$1160)</f>
        <v>0</v>
      </c>
      <c r="G2382" s="135">
        <f t="shared" si="88"/>
        <v>183366.67</v>
      </c>
      <c r="H2382" s="133" t="s">
        <v>1335</v>
      </c>
    </row>
    <row r="2383" spans="1:8" hidden="1" outlineLevel="1">
      <c r="A2383" s="418" t="s">
        <v>2220</v>
      </c>
      <c r="B2383" s="1574">
        <f>+VLOOKUP(A2383,'Anlage 2a_Letztverbrauch'!$A$1338:$I$1704,9,FALSE)</f>
        <v>48116.91</v>
      </c>
      <c r="C2383" s="88">
        <f>IFERROR(+VLOOKUP(A2383,'Anlage 2a_Letztverbrauch'!$A$2797:$I$2816,3,FALSE),0)</f>
        <v>0</v>
      </c>
      <c r="D2383" s="88">
        <v>0</v>
      </c>
      <c r="E2383" s="88">
        <f t="shared" si="87"/>
        <v>48116.91</v>
      </c>
      <c r="F2383" s="88">
        <f>+SUMIF('Anlage 2b_Korrekturen'!$B$700:$B$1160,A2383,'Anlage 2b_Korrekturen'!$E$700:$E$1160)</f>
        <v>0</v>
      </c>
      <c r="G2383" s="135">
        <f t="shared" si="88"/>
        <v>48116.91</v>
      </c>
      <c r="H2383" s="133" t="s">
        <v>2221</v>
      </c>
    </row>
    <row r="2384" spans="1:8" hidden="1" outlineLevel="1">
      <c r="A2384" s="418" t="s">
        <v>1263</v>
      </c>
      <c r="B2384" s="1574">
        <f>+VLOOKUP(A2384,'Anlage 2a_Letztverbrauch'!$A$1338:$I$1704,9,FALSE)</f>
        <v>68193.649999999994</v>
      </c>
      <c r="C2384" s="88">
        <f>IFERROR(+VLOOKUP(A2384,'Anlage 2a_Letztverbrauch'!$A$2797:$I$2816,3,FALSE),0)</f>
        <v>0</v>
      </c>
      <c r="D2384" s="88">
        <v>0</v>
      </c>
      <c r="E2384" s="88">
        <f t="shared" si="87"/>
        <v>68193.649999999994</v>
      </c>
      <c r="F2384" s="88">
        <f>+SUMIF('Anlage 2b_Korrekturen'!$B$700:$B$1160,A2384,'Anlage 2b_Korrekturen'!$E$700:$E$1160)</f>
        <v>844.95372999999995</v>
      </c>
      <c r="G2384" s="135">
        <f t="shared" si="88"/>
        <v>69038.603729999988</v>
      </c>
      <c r="H2384" s="133" t="s">
        <v>1264</v>
      </c>
    </row>
    <row r="2385" spans="1:8" hidden="1" outlineLevel="1">
      <c r="A2385" s="418" t="s">
        <v>1388</v>
      </c>
      <c r="B2385" s="1574">
        <f>+VLOOKUP(A2385,'Anlage 2a_Letztverbrauch'!$A$1338:$I$1704,9,FALSE)</f>
        <v>98440.75</v>
      </c>
      <c r="C2385" s="88">
        <f>IFERROR(+VLOOKUP(A2385,'Anlage 2a_Letztverbrauch'!$A$2797:$I$2816,3,FALSE),0)</f>
        <v>0</v>
      </c>
      <c r="D2385" s="88">
        <v>0</v>
      </c>
      <c r="E2385" s="88">
        <f t="shared" si="87"/>
        <v>98440.75</v>
      </c>
      <c r="F2385" s="88">
        <f>+SUMIF('Anlage 2b_Korrekturen'!$B$700:$B$1160,A2385,'Anlage 2b_Korrekturen'!$E$700:$E$1160)</f>
        <v>-193.25399999999999</v>
      </c>
      <c r="G2385" s="135">
        <f t="shared" si="88"/>
        <v>98247.495999999999</v>
      </c>
      <c r="H2385" s="133" t="s">
        <v>1389</v>
      </c>
    </row>
    <row r="2386" spans="1:8" hidden="1" outlineLevel="1">
      <c r="A2386" s="418" t="s">
        <v>1277</v>
      </c>
      <c r="B2386" s="1574">
        <f>+VLOOKUP(A2386,'Anlage 2a_Letztverbrauch'!$A$1338:$I$1704,9,FALSE)</f>
        <v>192650.69</v>
      </c>
      <c r="C2386" s="88">
        <f>IFERROR(+VLOOKUP(A2386,'Anlage 2a_Letztverbrauch'!$A$2797:$I$2816,3,FALSE),0)</f>
        <v>0</v>
      </c>
      <c r="D2386" s="88">
        <v>0</v>
      </c>
      <c r="E2386" s="88">
        <f t="shared" si="87"/>
        <v>192650.69</v>
      </c>
      <c r="F2386" s="88">
        <f>+SUMIF('Anlage 2b_Korrekturen'!$B$700:$B$1160,A2386,'Anlage 2b_Korrekturen'!$E$700:$E$1160)</f>
        <v>-129.97731999999999</v>
      </c>
      <c r="G2386" s="135">
        <f t="shared" si="88"/>
        <v>192520.71268</v>
      </c>
      <c r="H2386" s="133" t="s">
        <v>1278</v>
      </c>
    </row>
    <row r="2387" spans="1:8" hidden="1" outlineLevel="1">
      <c r="A2387" s="418" t="s">
        <v>1736</v>
      </c>
      <c r="B2387" s="1574">
        <f>+VLOOKUP(A2387,'Anlage 2a_Letztverbrauch'!$A$1338:$I$1704,9,FALSE)</f>
        <v>125260.54</v>
      </c>
      <c r="C2387" s="88">
        <f>IFERROR(+VLOOKUP(A2387,'Anlage 2a_Letztverbrauch'!$A$2797:$I$2816,3,FALSE),0)</f>
        <v>0</v>
      </c>
      <c r="D2387" s="88">
        <v>0</v>
      </c>
      <c r="E2387" s="88">
        <f t="shared" si="87"/>
        <v>125260.54</v>
      </c>
      <c r="F2387" s="88">
        <f>+SUMIF('Anlage 2b_Korrekturen'!$B$700:$B$1160,A2387,'Anlage 2b_Korrekturen'!$E$700:$E$1160)</f>
        <v>0</v>
      </c>
      <c r="G2387" s="135">
        <f t="shared" si="88"/>
        <v>125260.54</v>
      </c>
      <c r="H2387" s="133" t="s">
        <v>1737</v>
      </c>
    </row>
    <row r="2388" spans="1:8" hidden="1" outlineLevel="1">
      <c r="A2388" s="418" t="s">
        <v>1297</v>
      </c>
      <c r="B2388" s="1574">
        <f>+VLOOKUP(A2388,'Anlage 2a_Letztverbrauch'!$A$1338:$I$1704,9,FALSE)</f>
        <v>198713.05</v>
      </c>
      <c r="C2388" s="88">
        <f>IFERROR(+VLOOKUP(A2388,'Anlage 2a_Letztverbrauch'!$A$2797:$I$2816,3,FALSE),0)</f>
        <v>0</v>
      </c>
      <c r="D2388" s="88">
        <v>0</v>
      </c>
      <c r="E2388" s="88">
        <f t="shared" si="87"/>
        <v>198713.05</v>
      </c>
      <c r="F2388" s="88">
        <f>+SUMIF('Anlage 2b_Korrekturen'!$B$700:$B$1160,A2388,'Anlage 2b_Korrekturen'!$E$700:$E$1160)</f>
        <v>0</v>
      </c>
      <c r="G2388" s="135">
        <f t="shared" si="88"/>
        <v>198713.05</v>
      </c>
      <c r="H2388" s="133" t="s">
        <v>1298</v>
      </c>
    </row>
    <row r="2389" spans="1:8" hidden="1" outlineLevel="1">
      <c r="A2389" s="418" t="s">
        <v>2222</v>
      </c>
      <c r="B2389" s="1574">
        <f>+VLOOKUP(A2389,'Anlage 2a_Letztverbrauch'!$A$1338:$I$1704,9,FALSE)</f>
        <v>25533.84</v>
      </c>
      <c r="C2389" s="88">
        <f>IFERROR(+VLOOKUP(A2389,'Anlage 2a_Letztverbrauch'!$A$2797:$I$2816,3,FALSE),0)</f>
        <v>0</v>
      </c>
      <c r="D2389" s="88">
        <v>0</v>
      </c>
      <c r="E2389" s="88">
        <f t="shared" ref="E2389:E2452" si="89">B2389+C2389+D2389</f>
        <v>25533.84</v>
      </c>
      <c r="F2389" s="88">
        <f>+SUMIF('Anlage 2b_Korrekturen'!$B$700:$B$1160,A2389,'Anlage 2b_Korrekturen'!$E$700:$E$1160)</f>
        <v>0</v>
      </c>
      <c r="G2389" s="135">
        <f t="shared" ref="G2389:G2452" si="90">E2389+F2389</f>
        <v>25533.84</v>
      </c>
      <c r="H2389" s="133" t="s">
        <v>2223</v>
      </c>
    </row>
    <row r="2390" spans="1:8" hidden="1" outlineLevel="1">
      <c r="A2390" s="418" t="s">
        <v>1750</v>
      </c>
      <c r="B2390" s="1574">
        <f>+VLOOKUP(A2390,'Anlage 2a_Letztverbrauch'!$A$1338:$I$1704,9,FALSE)</f>
        <v>155162.67000000001</v>
      </c>
      <c r="C2390" s="88">
        <f>IFERROR(+VLOOKUP(A2390,'Anlage 2a_Letztverbrauch'!$A$2797:$I$2816,3,FALSE),0)</f>
        <v>0</v>
      </c>
      <c r="D2390" s="88">
        <v>0</v>
      </c>
      <c r="E2390" s="88">
        <f t="shared" si="89"/>
        <v>155162.67000000001</v>
      </c>
      <c r="F2390" s="88">
        <f>+SUMIF('Anlage 2b_Korrekturen'!$B$700:$B$1160,A2390,'Anlage 2b_Korrekturen'!$E$700:$E$1160)</f>
        <v>0</v>
      </c>
      <c r="G2390" s="135">
        <f t="shared" si="90"/>
        <v>155162.67000000001</v>
      </c>
      <c r="H2390" s="133" t="s">
        <v>1751</v>
      </c>
    </row>
    <row r="2391" spans="1:8" hidden="1" outlineLevel="1">
      <c r="A2391" s="418" t="s">
        <v>1514</v>
      </c>
      <c r="B2391" s="1574">
        <f>+VLOOKUP(A2391,'Anlage 2a_Letztverbrauch'!$A$1338:$I$1704,9,FALSE)</f>
        <v>387796.74</v>
      </c>
      <c r="C2391" s="88">
        <f>IFERROR(+VLOOKUP(A2391,'Anlage 2a_Letztverbrauch'!$A$2797:$I$2816,3,FALSE),0)</f>
        <v>0</v>
      </c>
      <c r="D2391" s="88">
        <v>0</v>
      </c>
      <c r="E2391" s="88">
        <f t="shared" si="89"/>
        <v>387796.74</v>
      </c>
      <c r="F2391" s="88">
        <f>+SUMIF('Anlage 2b_Korrekturen'!$B$700:$B$1160,A2391,'Anlage 2b_Korrekturen'!$E$700:$E$1160)</f>
        <v>-389.46674000000002</v>
      </c>
      <c r="G2391" s="135">
        <f t="shared" si="90"/>
        <v>387407.27325999999</v>
      </c>
      <c r="H2391" s="133" t="s">
        <v>1515</v>
      </c>
    </row>
    <row r="2392" spans="1:8" hidden="1" outlineLevel="1">
      <c r="A2392" s="418" t="s">
        <v>1578</v>
      </c>
      <c r="B2392" s="1574">
        <f>+VLOOKUP(A2392,'Anlage 2a_Letztverbrauch'!$A$1338:$I$1704,9,FALSE)</f>
        <v>143340.89000000001</v>
      </c>
      <c r="C2392" s="88">
        <f>IFERROR(+VLOOKUP(A2392,'Anlage 2a_Letztverbrauch'!$A$2797:$I$2816,3,FALSE),0)</f>
        <v>0</v>
      </c>
      <c r="D2392" s="88">
        <v>0</v>
      </c>
      <c r="E2392" s="88">
        <f t="shared" si="89"/>
        <v>143340.89000000001</v>
      </c>
      <c r="F2392" s="88">
        <f>+SUMIF('Anlage 2b_Korrekturen'!$B$700:$B$1160,A2392,'Anlage 2b_Korrekturen'!$E$700:$E$1160)</f>
        <v>5106.9344099999998</v>
      </c>
      <c r="G2392" s="135">
        <f t="shared" si="90"/>
        <v>148447.82441</v>
      </c>
      <c r="H2392" s="133" t="s">
        <v>1579</v>
      </c>
    </row>
    <row r="2393" spans="1:8" hidden="1" outlineLevel="1">
      <c r="A2393" s="418" t="s">
        <v>1776</v>
      </c>
      <c r="B2393" s="1574">
        <f>+VLOOKUP(A2393,'Anlage 2a_Letztverbrauch'!$A$1338:$I$1704,9,FALSE)</f>
        <v>767896.39</v>
      </c>
      <c r="C2393" s="88">
        <f>IFERROR(+VLOOKUP(A2393,'Anlage 2a_Letztverbrauch'!$A$2797:$I$2816,3,FALSE),0)</f>
        <v>0</v>
      </c>
      <c r="D2393" s="88">
        <v>0</v>
      </c>
      <c r="E2393" s="88">
        <f t="shared" si="89"/>
        <v>767896.39</v>
      </c>
      <c r="F2393" s="88">
        <f>+SUMIF('Anlage 2b_Korrekturen'!$B$700:$B$1160,A2393,'Anlage 2b_Korrekturen'!$E$700:$E$1160)</f>
        <v>0</v>
      </c>
      <c r="G2393" s="135">
        <f t="shared" si="90"/>
        <v>767896.39</v>
      </c>
      <c r="H2393" s="133" t="s">
        <v>1777</v>
      </c>
    </row>
    <row r="2394" spans="1:8" hidden="1" outlineLevel="1">
      <c r="A2394" s="418" t="s">
        <v>1710</v>
      </c>
      <c r="B2394" s="1574">
        <f>+VLOOKUP(A2394,'Anlage 2a_Letztverbrauch'!$A$1338:$I$1704,9,FALSE)</f>
        <v>465420.27</v>
      </c>
      <c r="C2394" s="88">
        <f>IFERROR(+VLOOKUP(A2394,'Anlage 2a_Letztverbrauch'!$A$2797:$I$2816,3,FALSE),0)</f>
        <v>0</v>
      </c>
      <c r="D2394" s="88">
        <v>28.59</v>
      </c>
      <c r="E2394" s="88">
        <f t="shared" si="89"/>
        <v>465448.86000000004</v>
      </c>
      <c r="F2394" s="88">
        <f>+SUMIF('Anlage 2b_Korrekturen'!$B$700:$B$1160,A2394,'Anlage 2b_Korrekturen'!$E$700:$E$1160)</f>
        <v>0</v>
      </c>
      <c r="G2394" s="135">
        <f t="shared" si="90"/>
        <v>465448.86000000004</v>
      </c>
      <c r="H2394" s="133" t="s">
        <v>1711</v>
      </c>
    </row>
    <row r="2395" spans="1:8" hidden="1" outlineLevel="1">
      <c r="A2395" s="418" t="s">
        <v>1303</v>
      </c>
      <c r="B2395" s="1574">
        <f>+VLOOKUP(A2395,'Anlage 2a_Letztverbrauch'!$A$1338:$I$1704,9,FALSE)</f>
        <v>908540.13</v>
      </c>
      <c r="C2395" s="88">
        <f>IFERROR(+VLOOKUP(A2395,'Anlage 2a_Letztverbrauch'!$A$2797:$I$2816,3,FALSE),0)</f>
        <v>0</v>
      </c>
      <c r="D2395" s="88">
        <v>0</v>
      </c>
      <c r="E2395" s="88">
        <f t="shared" si="89"/>
        <v>908540.13</v>
      </c>
      <c r="F2395" s="88">
        <f>+SUMIF('Anlage 2b_Korrekturen'!$B$700:$B$1160,A2395,'Anlage 2b_Korrekturen'!$E$700:$E$1160)</f>
        <v>0</v>
      </c>
      <c r="G2395" s="135">
        <f t="shared" si="90"/>
        <v>908540.13</v>
      </c>
      <c r="H2395" s="133" t="s">
        <v>1304</v>
      </c>
    </row>
    <row r="2396" spans="1:8" hidden="1" outlineLevel="1">
      <c r="A2396" s="418" t="s">
        <v>1512</v>
      </c>
      <c r="B2396" s="1574">
        <f>+VLOOKUP(A2396,'Anlage 2a_Letztverbrauch'!$A$1338:$I$1704,9,FALSE)</f>
        <v>36584.57</v>
      </c>
      <c r="C2396" s="88">
        <f>IFERROR(+VLOOKUP(A2396,'Anlage 2a_Letztverbrauch'!$A$2797:$I$2816,3,FALSE),0)</f>
        <v>0</v>
      </c>
      <c r="D2396" s="88">
        <v>0</v>
      </c>
      <c r="E2396" s="88">
        <f t="shared" si="89"/>
        <v>36584.57</v>
      </c>
      <c r="F2396" s="88">
        <f>+SUMIF('Anlage 2b_Korrekturen'!$B$700:$B$1160,A2396,'Anlage 2b_Korrekturen'!$E$700:$E$1160)</f>
        <v>0</v>
      </c>
      <c r="G2396" s="135">
        <f t="shared" si="90"/>
        <v>36584.57</v>
      </c>
      <c r="H2396" s="133" t="s">
        <v>1513</v>
      </c>
    </row>
    <row r="2397" spans="1:8" hidden="1" outlineLevel="1">
      <c r="A2397" s="418" t="s">
        <v>1560</v>
      </c>
      <c r="B2397" s="1574">
        <f>+VLOOKUP(A2397,'Anlage 2a_Letztverbrauch'!$A$1338:$I$1704,9,FALSE)</f>
        <v>39589.839999999997</v>
      </c>
      <c r="C2397" s="88">
        <f>IFERROR(+VLOOKUP(A2397,'Anlage 2a_Letztverbrauch'!$A$2797:$I$2816,3,FALSE),0)</f>
        <v>0</v>
      </c>
      <c r="D2397" s="88">
        <v>0</v>
      </c>
      <c r="E2397" s="88">
        <f t="shared" si="89"/>
        <v>39589.839999999997</v>
      </c>
      <c r="F2397" s="88">
        <f>+SUMIF('Anlage 2b_Korrekturen'!$B$700:$B$1160,A2397,'Anlage 2b_Korrekturen'!$E$700:$E$1160)</f>
        <v>0</v>
      </c>
      <c r="G2397" s="135">
        <f t="shared" si="90"/>
        <v>39589.839999999997</v>
      </c>
      <c r="H2397" s="133" t="s">
        <v>1561</v>
      </c>
    </row>
    <row r="2398" spans="1:8" hidden="1" outlineLevel="1">
      <c r="A2398" s="418" t="s">
        <v>1636</v>
      </c>
      <c r="B2398" s="1574">
        <f>+VLOOKUP(A2398,'Anlage 2a_Letztverbrauch'!$A$1338:$I$1704,9,FALSE)</f>
        <v>160534.51</v>
      </c>
      <c r="C2398" s="88">
        <f>IFERROR(+VLOOKUP(A2398,'Anlage 2a_Letztverbrauch'!$A$2797:$I$2816,3,FALSE),0)</f>
        <v>-7385.15</v>
      </c>
      <c r="D2398" s="88">
        <v>0</v>
      </c>
      <c r="E2398" s="88">
        <f t="shared" si="89"/>
        <v>153149.36000000002</v>
      </c>
      <c r="F2398" s="88">
        <f>+SUMIF('Anlage 2b_Korrekturen'!$B$700:$B$1160,A2398,'Anlage 2b_Korrekturen'!$E$700:$E$1160)</f>
        <v>438.20771999999999</v>
      </c>
      <c r="G2398" s="135">
        <f t="shared" si="90"/>
        <v>153587.56772000002</v>
      </c>
      <c r="H2398" s="133" t="s">
        <v>1637</v>
      </c>
    </row>
    <row r="2399" spans="1:8" hidden="1" outlineLevel="1">
      <c r="A2399" s="418" t="s">
        <v>1646</v>
      </c>
      <c r="B2399" s="1574">
        <f>+VLOOKUP(A2399,'Anlage 2a_Letztverbrauch'!$A$1338:$I$1704,9,FALSE)</f>
        <v>910936.76</v>
      </c>
      <c r="C2399" s="88">
        <f>IFERROR(+VLOOKUP(A2399,'Anlage 2a_Letztverbrauch'!$A$2797:$I$2816,3,FALSE),0)</f>
        <v>0</v>
      </c>
      <c r="D2399" s="88">
        <v>0</v>
      </c>
      <c r="E2399" s="88">
        <f t="shared" si="89"/>
        <v>910936.76</v>
      </c>
      <c r="F2399" s="88">
        <f>+SUMIF('Anlage 2b_Korrekturen'!$B$700:$B$1160,A2399,'Anlage 2b_Korrekturen'!$E$700:$E$1160)</f>
        <v>-5636.7572099999998</v>
      </c>
      <c r="G2399" s="135">
        <f t="shared" si="90"/>
        <v>905300.00279000006</v>
      </c>
      <c r="H2399" s="133" t="s">
        <v>1647</v>
      </c>
    </row>
    <row r="2400" spans="1:8" hidden="1" outlineLevel="1">
      <c r="A2400" s="418" t="s">
        <v>1718</v>
      </c>
      <c r="B2400" s="1574">
        <f>+VLOOKUP(A2400,'Anlage 2a_Letztverbrauch'!$A$1338:$I$1704,9,FALSE)</f>
        <v>2192664.65</v>
      </c>
      <c r="C2400" s="88">
        <f>IFERROR(+VLOOKUP(A2400,'Anlage 2a_Letztverbrauch'!$A$2797:$I$2816,3,FALSE),0)</f>
        <v>0</v>
      </c>
      <c r="D2400" s="88">
        <v>0</v>
      </c>
      <c r="E2400" s="88">
        <f t="shared" si="89"/>
        <v>2192664.65</v>
      </c>
      <c r="F2400" s="88">
        <f>+SUMIF('Anlage 2b_Korrekturen'!$B$700:$B$1160,A2400,'Anlage 2b_Korrekturen'!$E$700:$E$1160)</f>
        <v>0</v>
      </c>
      <c r="G2400" s="135">
        <f t="shared" si="90"/>
        <v>2192664.65</v>
      </c>
      <c r="H2400" s="133" t="s">
        <v>1719</v>
      </c>
    </row>
    <row r="2401" spans="1:8" hidden="1" outlineLevel="1">
      <c r="A2401" s="418" t="s">
        <v>1640</v>
      </c>
      <c r="B2401" s="1574">
        <f>+VLOOKUP(A2401,'Anlage 2a_Letztverbrauch'!$A$1338:$I$1704,9,FALSE)</f>
        <v>1598300.34</v>
      </c>
      <c r="C2401" s="88">
        <f>IFERROR(+VLOOKUP(A2401,'Anlage 2a_Letztverbrauch'!$A$2797:$I$2816,3,FALSE),0)</f>
        <v>0</v>
      </c>
      <c r="D2401" s="88">
        <v>0</v>
      </c>
      <c r="E2401" s="88">
        <f t="shared" si="89"/>
        <v>1598300.34</v>
      </c>
      <c r="F2401" s="88">
        <f>+SUMIF('Anlage 2b_Korrekturen'!$B$700:$B$1160,A2401,'Anlage 2b_Korrekturen'!$E$700:$E$1160)</f>
        <v>0</v>
      </c>
      <c r="G2401" s="135">
        <f t="shared" si="90"/>
        <v>1598300.34</v>
      </c>
      <c r="H2401" s="133" t="s">
        <v>1641</v>
      </c>
    </row>
    <row r="2402" spans="1:8" hidden="1" outlineLevel="1">
      <c r="A2402" s="418" t="s">
        <v>869</v>
      </c>
      <c r="B2402" s="1574">
        <f>+VLOOKUP(A2402,'Anlage 2a_Letztverbrauch'!$A$1338:$I$1704,9,FALSE)</f>
        <v>93501.15</v>
      </c>
      <c r="C2402" s="88">
        <f>IFERROR(+VLOOKUP(A2402,'Anlage 2a_Letztverbrauch'!$A$2797:$I$2816,3,FALSE),0)</f>
        <v>0</v>
      </c>
      <c r="D2402" s="88">
        <v>0</v>
      </c>
      <c r="E2402" s="88">
        <f t="shared" si="89"/>
        <v>93501.15</v>
      </c>
      <c r="F2402" s="88">
        <f>+SUMIF('Anlage 2b_Korrekturen'!$B$700:$B$1160,A2402,'Anlage 2b_Korrekturen'!$E$700:$E$1160)</f>
        <v>-701.77783999999997</v>
      </c>
      <c r="G2402" s="135">
        <f t="shared" si="90"/>
        <v>92799.372159999999</v>
      </c>
      <c r="H2402" s="133" t="s">
        <v>870</v>
      </c>
    </row>
    <row r="2403" spans="1:8" hidden="1" outlineLevel="1">
      <c r="A2403" s="418" t="s">
        <v>1744</v>
      </c>
      <c r="B2403" s="1574">
        <f>+VLOOKUP(A2403,'Anlage 2a_Letztverbrauch'!$A$1338:$I$1704,9,FALSE)</f>
        <v>967114.19</v>
      </c>
      <c r="C2403" s="88">
        <f>IFERROR(+VLOOKUP(A2403,'Anlage 2a_Letztverbrauch'!$A$2797:$I$2816,3,FALSE),0)</f>
        <v>0</v>
      </c>
      <c r="D2403" s="88">
        <v>0</v>
      </c>
      <c r="E2403" s="88">
        <f t="shared" si="89"/>
        <v>967114.19</v>
      </c>
      <c r="F2403" s="88">
        <f>+SUMIF('Anlage 2b_Korrekturen'!$B$700:$B$1160,A2403,'Anlage 2b_Korrekturen'!$E$700:$E$1160)</f>
        <v>2679.4920499999998</v>
      </c>
      <c r="G2403" s="135">
        <f t="shared" si="90"/>
        <v>969793.68204999994</v>
      </c>
      <c r="H2403" s="133" t="s">
        <v>1745</v>
      </c>
    </row>
    <row r="2404" spans="1:8" hidden="1" outlineLevel="1">
      <c r="A2404" s="418" t="s">
        <v>1622</v>
      </c>
      <c r="B2404" s="1574">
        <f>+VLOOKUP(A2404,'Anlage 2a_Letztverbrauch'!$A$1338:$I$1704,9,FALSE)</f>
        <v>180134.98</v>
      </c>
      <c r="C2404" s="88">
        <f>IFERROR(+VLOOKUP(A2404,'Anlage 2a_Letztverbrauch'!$A$2797:$I$2816,3,FALSE),0)</f>
        <v>0</v>
      </c>
      <c r="D2404" s="88">
        <v>0</v>
      </c>
      <c r="E2404" s="88">
        <f t="shared" si="89"/>
        <v>180134.98</v>
      </c>
      <c r="F2404" s="88">
        <f>+SUMIF('Anlage 2b_Korrekturen'!$B$700:$B$1160,A2404,'Anlage 2b_Korrekturen'!$E$700:$E$1160)</f>
        <v>0</v>
      </c>
      <c r="G2404" s="135">
        <f t="shared" si="90"/>
        <v>180134.98</v>
      </c>
      <c r="H2404" s="133" t="s">
        <v>1623</v>
      </c>
    </row>
    <row r="2405" spans="1:8" hidden="1" outlineLevel="1">
      <c r="A2405" s="418" t="s">
        <v>2224</v>
      </c>
      <c r="B2405" s="1574">
        <f>+VLOOKUP(A2405,'Anlage 2a_Letztverbrauch'!$A$1338:$I$1704,9,FALSE)</f>
        <v>31141.83</v>
      </c>
      <c r="C2405" s="88">
        <f>IFERROR(+VLOOKUP(A2405,'Anlage 2a_Letztverbrauch'!$A$2797:$I$2816,3,FALSE),0)</f>
        <v>0</v>
      </c>
      <c r="D2405" s="88">
        <v>0</v>
      </c>
      <c r="E2405" s="88">
        <f t="shared" si="89"/>
        <v>31141.83</v>
      </c>
      <c r="F2405" s="88">
        <f>+SUMIF('Anlage 2b_Korrekturen'!$B$700:$B$1160,A2405,'Anlage 2b_Korrekturen'!$E$700:$E$1160)</f>
        <v>0</v>
      </c>
      <c r="G2405" s="135">
        <f t="shared" si="90"/>
        <v>31141.83</v>
      </c>
      <c r="H2405" s="133" t="s">
        <v>2225</v>
      </c>
    </row>
    <row r="2406" spans="1:8" hidden="1" outlineLevel="1">
      <c r="A2406" s="418" t="s">
        <v>1114</v>
      </c>
      <c r="B2406" s="1574">
        <f>+VLOOKUP(A2406,'Anlage 2a_Letztverbrauch'!$A$1338:$I$1704,9,FALSE)</f>
        <v>172941.89</v>
      </c>
      <c r="C2406" s="88">
        <f>IFERROR(+VLOOKUP(A2406,'Anlage 2a_Letztverbrauch'!$A$2797:$I$2816,3,FALSE),0)</f>
        <v>0</v>
      </c>
      <c r="D2406" s="88">
        <v>0</v>
      </c>
      <c r="E2406" s="88">
        <f t="shared" si="89"/>
        <v>172941.89</v>
      </c>
      <c r="F2406" s="88">
        <f>+SUMIF('Anlage 2b_Korrekturen'!$B$700:$B$1160,A2406,'Anlage 2b_Korrekturen'!$E$700:$E$1160)</f>
        <v>677.69403</v>
      </c>
      <c r="G2406" s="135">
        <f t="shared" si="90"/>
        <v>173619.58403000003</v>
      </c>
      <c r="H2406" s="133" t="s">
        <v>1689</v>
      </c>
    </row>
    <row r="2407" spans="1:8" hidden="1" outlineLevel="1">
      <c r="A2407" s="418" t="s">
        <v>1414</v>
      </c>
      <c r="B2407" s="1574">
        <f>+VLOOKUP(A2407,'Anlage 2a_Letztverbrauch'!$A$1338:$I$1704,9,FALSE)</f>
        <v>103751.3</v>
      </c>
      <c r="C2407" s="88">
        <f>IFERROR(+VLOOKUP(A2407,'Anlage 2a_Letztverbrauch'!$A$2797:$I$2816,3,FALSE),0)</f>
        <v>0</v>
      </c>
      <c r="D2407" s="88">
        <v>0</v>
      </c>
      <c r="E2407" s="88">
        <f t="shared" si="89"/>
        <v>103751.3</v>
      </c>
      <c r="F2407" s="88">
        <f>+SUMIF('Anlage 2b_Korrekturen'!$B$700:$B$1160,A2407,'Anlage 2b_Korrekturen'!$E$700:$E$1160)</f>
        <v>-576.06691999999998</v>
      </c>
      <c r="G2407" s="135">
        <f t="shared" si="90"/>
        <v>103175.23308000001</v>
      </c>
      <c r="H2407" s="133" t="s">
        <v>1415</v>
      </c>
    </row>
    <row r="2408" spans="1:8" hidden="1" outlineLevel="1">
      <c r="A2408" s="418" t="s">
        <v>1652</v>
      </c>
      <c r="B2408" s="1574">
        <f>+VLOOKUP(A2408,'Anlage 2a_Letztverbrauch'!$A$1338:$I$1704,9,FALSE)</f>
        <v>428584.94</v>
      </c>
      <c r="C2408" s="88">
        <f>IFERROR(+VLOOKUP(A2408,'Anlage 2a_Letztverbrauch'!$A$2797:$I$2816,3,FALSE),0)</f>
        <v>0</v>
      </c>
      <c r="D2408" s="88">
        <v>0</v>
      </c>
      <c r="E2408" s="88">
        <f t="shared" si="89"/>
        <v>428584.94</v>
      </c>
      <c r="F2408" s="88">
        <f>+SUMIF('Anlage 2b_Korrekturen'!$B$700:$B$1160,A2408,'Anlage 2b_Korrekturen'!$E$700:$E$1160)</f>
        <v>0</v>
      </c>
      <c r="G2408" s="135">
        <f t="shared" si="90"/>
        <v>428584.94</v>
      </c>
      <c r="H2408" s="133" t="s">
        <v>1653</v>
      </c>
    </row>
    <row r="2409" spans="1:8" hidden="1" outlineLevel="1">
      <c r="A2409" s="418" t="s">
        <v>1428</v>
      </c>
      <c r="B2409" s="1574">
        <f>+VLOOKUP(A2409,'Anlage 2a_Letztverbrauch'!$A$1338:$I$1704,9,FALSE)</f>
        <v>163445.01</v>
      </c>
      <c r="C2409" s="88">
        <f>IFERROR(+VLOOKUP(A2409,'Anlage 2a_Letztverbrauch'!$A$2797:$I$2816,3,FALSE),0)</f>
        <v>0</v>
      </c>
      <c r="D2409" s="88">
        <v>0</v>
      </c>
      <c r="E2409" s="88">
        <f t="shared" si="89"/>
        <v>163445.01</v>
      </c>
      <c r="F2409" s="88">
        <f>+SUMIF('Anlage 2b_Korrekturen'!$B$700:$B$1160,A2409,'Anlage 2b_Korrekturen'!$E$700:$E$1160)</f>
        <v>0</v>
      </c>
      <c r="G2409" s="135">
        <f t="shared" si="90"/>
        <v>163445.01</v>
      </c>
      <c r="H2409" s="133" t="s">
        <v>1429</v>
      </c>
    </row>
    <row r="2410" spans="1:8" hidden="1" outlineLevel="1">
      <c r="A2410" s="418" t="s">
        <v>1700</v>
      </c>
      <c r="B2410" s="1574">
        <f>+VLOOKUP(A2410,'Anlage 2a_Letztverbrauch'!$A$1338:$I$1704,9,FALSE)</f>
        <v>25497.919999999998</v>
      </c>
      <c r="C2410" s="88">
        <f>IFERROR(+VLOOKUP(A2410,'Anlage 2a_Letztverbrauch'!$A$2797:$I$2816,3,FALSE),0)</f>
        <v>0</v>
      </c>
      <c r="D2410" s="88">
        <v>0</v>
      </c>
      <c r="E2410" s="88">
        <f t="shared" si="89"/>
        <v>25497.919999999998</v>
      </c>
      <c r="F2410" s="88">
        <f>+SUMIF('Anlage 2b_Korrekturen'!$B$700:$B$1160,A2410,'Anlage 2b_Korrekturen'!$E$700:$E$1160)</f>
        <v>-22.64</v>
      </c>
      <c r="G2410" s="135">
        <f t="shared" si="90"/>
        <v>25475.279999999999</v>
      </c>
      <c r="H2410" s="133" t="s">
        <v>1701</v>
      </c>
    </row>
    <row r="2411" spans="1:8" hidden="1" outlineLevel="1">
      <c r="A2411" s="418" t="s">
        <v>1734</v>
      </c>
      <c r="B2411" s="1574">
        <f>+VLOOKUP(A2411,'Anlage 2a_Letztverbrauch'!$A$1338:$I$1704,9,FALSE)</f>
        <v>172552.36</v>
      </c>
      <c r="C2411" s="88">
        <f>IFERROR(+VLOOKUP(A2411,'Anlage 2a_Letztverbrauch'!$A$2797:$I$2816,3,FALSE),0)</f>
        <v>0</v>
      </c>
      <c r="D2411" s="88">
        <v>0</v>
      </c>
      <c r="E2411" s="88">
        <f t="shared" si="89"/>
        <v>172552.36</v>
      </c>
      <c r="F2411" s="88">
        <f>+SUMIF('Anlage 2b_Korrekturen'!$B$700:$B$1160,A2411,'Anlage 2b_Korrekturen'!$E$700:$E$1160)</f>
        <v>0</v>
      </c>
      <c r="G2411" s="135">
        <f t="shared" si="90"/>
        <v>172552.36</v>
      </c>
      <c r="H2411" s="133" t="s">
        <v>1735</v>
      </c>
    </row>
    <row r="2412" spans="1:8" hidden="1" outlineLevel="1">
      <c r="A2412" s="418" t="s">
        <v>2226</v>
      </c>
      <c r="B2412" s="1574">
        <f>+VLOOKUP(A2412,'Anlage 2a_Letztverbrauch'!$A$1338:$I$1704,9,FALSE)</f>
        <v>13695.72</v>
      </c>
      <c r="C2412" s="88">
        <f>IFERROR(+VLOOKUP(A2412,'Anlage 2a_Letztverbrauch'!$A$2797:$I$2816,3,FALSE),0)</f>
        <v>0</v>
      </c>
      <c r="D2412" s="88">
        <v>0</v>
      </c>
      <c r="E2412" s="88">
        <f t="shared" si="89"/>
        <v>13695.72</v>
      </c>
      <c r="F2412" s="88">
        <f>+SUMIF('Anlage 2b_Korrekturen'!$B$700:$B$1160,A2412,'Anlage 2b_Korrekturen'!$E$700:$E$1160)</f>
        <v>80.415319999999994</v>
      </c>
      <c r="G2412" s="135">
        <f t="shared" si="90"/>
        <v>13776.135319999999</v>
      </c>
      <c r="H2412" s="133" t="s">
        <v>2227</v>
      </c>
    </row>
    <row r="2413" spans="1:8" hidden="1" outlineLevel="1">
      <c r="A2413" s="418" t="s">
        <v>1824</v>
      </c>
      <c r="B2413" s="1574">
        <f>+VLOOKUP(A2413,'Anlage 2a_Letztverbrauch'!$A$1338:$I$1704,9,FALSE)</f>
        <v>4593.17</v>
      </c>
      <c r="C2413" s="88">
        <f>IFERROR(+VLOOKUP(A2413,'Anlage 2a_Letztverbrauch'!$A$2797:$I$2816,3,FALSE),0)</f>
        <v>0</v>
      </c>
      <c r="D2413" s="88">
        <v>0</v>
      </c>
      <c r="E2413" s="88">
        <f t="shared" si="89"/>
        <v>4593.17</v>
      </c>
      <c r="F2413" s="88">
        <f>+SUMIF('Anlage 2b_Korrekturen'!$B$700:$B$1160,A2413,'Anlage 2b_Korrekturen'!$E$700:$E$1160)</f>
        <v>-148.18827999999999</v>
      </c>
      <c r="G2413" s="135">
        <f t="shared" si="90"/>
        <v>4444.9817199999998</v>
      </c>
      <c r="H2413" s="133" t="s">
        <v>1825</v>
      </c>
    </row>
    <row r="2414" spans="1:8" hidden="1" outlineLevel="1">
      <c r="A2414" s="418" t="s">
        <v>2228</v>
      </c>
      <c r="B2414" s="1574">
        <f>+VLOOKUP(A2414,'Anlage 2a_Letztverbrauch'!$A$1338:$I$1704,9,FALSE)</f>
        <v>11103.54</v>
      </c>
      <c r="C2414" s="88">
        <f>IFERROR(+VLOOKUP(A2414,'Anlage 2a_Letztverbrauch'!$A$2797:$I$2816,3,FALSE),0)</f>
        <v>0</v>
      </c>
      <c r="D2414" s="88">
        <v>0</v>
      </c>
      <c r="E2414" s="88">
        <f t="shared" si="89"/>
        <v>11103.54</v>
      </c>
      <c r="F2414" s="88">
        <f>+SUMIF('Anlage 2b_Korrekturen'!$B$700:$B$1160,A2414,'Anlage 2b_Korrekturen'!$E$700:$E$1160)</f>
        <v>0</v>
      </c>
      <c r="G2414" s="135">
        <f t="shared" si="90"/>
        <v>11103.54</v>
      </c>
      <c r="H2414" s="133" t="s">
        <v>2229</v>
      </c>
    </row>
    <row r="2415" spans="1:8" hidden="1" outlineLevel="1">
      <c r="A2415" s="418" t="s">
        <v>1732</v>
      </c>
      <c r="B2415" s="1574">
        <f>+VLOOKUP(A2415,'Anlage 2a_Letztverbrauch'!$A$1338:$I$1704,9,FALSE)</f>
        <v>931451.33</v>
      </c>
      <c r="C2415" s="88">
        <f>IFERROR(+VLOOKUP(A2415,'Anlage 2a_Letztverbrauch'!$A$2797:$I$2816,3,FALSE),0)</f>
        <v>0</v>
      </c>
      <c r="D2415" s="88">
        <v>0</v>
      </c>
      <c r="E2415" s="88">
        <f t="shared" si="89"/>
        <v>931451.33</v>
      </c>
      <c r="F2415" s="88">
        <f>+SUMIF('Anlage 2b_Korrekturen'!$B$700:$B$1160,A2415,'Anlage 2b_Korrekturen'!$E$700:$E$1160)</f>
        <v>0</v>
      </c>
      <c r="G2415" s="135">
        <f t="shared" si="90"/>
        <v>931451.33</v>
      </c>
      <c r="H2415" s="133" t="s">
        <v>1733</v>
      </c>
    </row>
    <row r="2416" spans="1:8" hidden="1" outlineLevel="1">
      <c r="A2416" s="418" t="s">
        <v>1728</v>
      </c>
      <c r="B2416" s="1574">
        <f>+VLOOKUP(A2416,'Anlage 2a_Letztverbrauch'!$A$1338:$I$1704,9,FALSE)</f>
        <v>116402.49</v>
      </c>
      <c r="C2416" s="88">
        <f>IFERROR(+VLOOKUP(A2416,'Anlage 2a_Letztverbrauch'!$A$2797:$I$2816,3,FALSE),0)</f>
        <v>0</v>
      </c>
      <c r="D2416" s="88">
        <v>0</v>
      </c>
      <c r="E2416" s="88">
        <f t="shared" si="89"/>
        <v>116402.49</v>
      </c>
      <c r="F2416" s="88">
        <f>+SUMIF('Anlage 2b_Korrekturen'!$B$700:$B$1160,A2416,'Anlage 2b_Korrekturen'!$E$700:$E$1160)</f>
        <v>0</v>
      </c>
      <c r="G2416" s="135">
        <f t="shared" si="90"/>
        <v>116402.49</v>
      </c>
      <c r="H2416" s="133" t="s">
        <v>1729</v>
      </c>
    </row>
    <row r="2417" spans="1:8" hidden="1" outlineLevel="1">
      <c r="A2417" s="418" t="s">
        <v>1384</v>
      </c>
      <c r="B2417" s="1574">
        <f>+VLOOKUP(A2417,'Anlage 2a_Letztverbrauch'!$A$1338:$I$1704,9,FALSE)</f>
        <v>75934.63</v>
      </c>
      <c r="C2417" s="88">
        <f>IFERROR(+VLOOKUP(A2417,'Anlage 2a_Letztverbrauch'!$A$2797:$I$2816,3,FALSE),0)</f>
        <v>0</v>
      </c>
      <c r="D2417" s="88">
        <v>0</v>
      </c>
      <c r="E2417" s="88">
        <f t="shared" si="89"/>
        <v>75934.63</v>
      </c>
      <c r="F2417" s="88">
        <f>+SUMIF('Anlage 2b_Korrekturen'!$B$700:$B$1160,A2417,'Anlage 2b_Korrekturen'!$E$700:$E$1160)</f>
        <v>-381.78450500000002</v>
      </c>
      <c r="G2417" s="135">
        <f t="shared" si="90"/>
        <v>75552.845495000001</v>
      </c>
      <c r="H2417" s="133" t="s">
        <v>1385</v>
      </c>
    </row>
    <row r="2418" spans="1:8" hidden="1" outlineLevel="1">
      <c r="A2418" s="418" t="s">
        <v>1804</v>
      </c>
      <c r="B2418" s="1574">
        <f>+VLOOKUP(A2418,'Anlage 2a_Letztverbrauch'!$A$1338:$I$1704,9,FALSE)</f>
        <v>267438.02</v>
      </c>
      <c r="C2418" s="88">
        <f>IFERROR(+VLOOKUP(A2418,'Anlage 2a_Letztverbrauch'!$A$2797:$I$2816,3,FALSE),0)</f>
        <v>-1343</v>
      </c>
      <c r="D2418" s="88">
        <v>0</v>
      </c>
      <c r="E2418" s="88">
        <f t="shared" si="89"/>
        <v>266095.02</v>
      </c>
      <c r="F2418" s="88">
        <f>+SUMIF('Anlage 2b_Korrekturen'!$B$700:$B$1160,A2418,'Anlage 2b_Korrekturen'!$E$700:$E$1160)</f>
        <v>544.98009999999999</v>
      </c>
      <c r="G2418" s="135">
        <f t="shared" si="90"/>
        <v>266640.0001</v>
      </c>
      <c r="H2418" s="133" t="s">
        <v>1805</v>
      </c>
    </row>
    <row r="2419" spans="1:8" hidden="1" outlineLevel="1">
      <c r="A2419" s="418" t="s">
        <v>1378</v>
      </c>
      <c r="B2419" s="1574">
        <f>+VLOOKUP(A2419,'Anlage 2a_Letztverbrauch'!$A$1338:$I$1704,9,FALSE)</f>
        <v>26654.41</v>
      </c>
      <c r="C2419" s="88">
        <f>IFERROR(+VLOOKUP(A2419,'Anlage 2a_Letztverbrauch'!$A$2797:$I$2816,3,FALSE),0)</f>
        <v>0</v>
      </c>
      <c r="D2419" s="88">
        <v>0</v>
      </c>
      <c r="E2419" s="88">
        <f t="shared" si="89"/>
        <v>26654.41</v>
      </c>
      <c r="F2419" s="88">
        <f>+SUMIF('Anlage 2b_Korrekturen'!$B$700:$B$1160,A2419,'Anlage 2b_Korrekturen'!$E$700:$E$1160)</f>
        <v>0</v>
      </c>
      <c r="G2419" s="135">
        <f t="shared" si="90"/>
        <v>26654.41</v>
      </c>
      <c r="H2419" s="133" t="s">
        <v>1379</v>
      </c>
    </row>
    <row r="2420" spans="1:8" hidden="1" outlineLevel="1">
      <c r="A2420" s="418" t="s">
        <v>1740</v>
      </c>
      <c r="B2420" s="1574">
        <f>+VLOOKUP(A2420,'Anlage 2a_Letztverbrauch'!$A$1338:$I$1704,9,FALSE)</f>
        <v>16127.68</v>
      </c>
      <c r="C2420" s="88">
        <f>IFERROR(+VLOOKUP(A2420,'Anlage 2a_Letztverbrauch'!$A$2797:$I$2816,3,FALSE),0)</f>
        <v>0</v>
      </c>
      <c r="D2420" s="88">
        <v>0</v>
      </c>
      <c r="E2420" s="88">
        <f t="shared" si="89"/>
        <v>16127.68</v>
      </c>
      <c r="F2420" s="88">
        <f>+SUMIF('Anlage 2b_Korrekturen'!$B$700:$B$1160,A2420,'Anlage 2b_Korrekturen'!$E$700:$E$1160)</f>
        <v>0</v>
      </c>
      <c r="G2420" s="135">
        <f t="shared" si="90"/>
        <v>16127.68</v>
      </c>
      <c r="H2420" s="133" t="s">
        <v>1741</v>
      </c>
    </row>
    <row r="2421" spans="1:8" hidden="1" outlineLevel="1">
      <c r="A2421" s="418" t="s">
        <v>1346</v>
      </c>
      <c r="B2421" s="1574">
        <f>+VLOOKUP(A2421,'Anlage 2a_Letztverbrauch'!$A$1338:$I$1704,9,FALSE)</f>
        <v>302217.46000000002</v>
      </c>
      <c r="C2421" s="88">
        <f>IFERROR(+VLOOKUP(A2421,'Anlage 2a_Letztverbrauch'!$A$2797:$I$2816,3,FALSE),0)</f>
        <v>0</v>
      </c>
      <c r="D2421" s="88">
        <v>0</v>
      </c>
      <c r="E2421" s="88">
        <f t="shared" si="89"/>
        <v>302217.46000000002</v>
      </c>
      <c r="F2421" s="88">
        <f>+SUMIF('Anlage 2b_Korrekturen'!$B$700:$B$1160,A2421,'Anlage 2b_Korrekturen'!$E$700:$E$1160)</f>
        <v>0</v>
      </c>
      <c r="G2421" s="135">
        <f t="shared" si="90"/>
        <v>302217.46000000002</v>
      </c>
      <c r="H2421" s="133" t="s">
        <v>1347</v>
      </c>
    </row>
    <row r="2422" spans="1:8" hidden="1" outlineLevel="1">
      <c r="A2422" s="418" t="s">
        <v>1287</v>
      </c>
      <c r="B2422" s="1574">
        <f>+VLOOKUP(A2422,'Anlage 2a_Letztverbrauch'!$A$1338:$I$1704,9,FALSE)</f>
        <v>360364.58</v>
      </c>
      <c r="C2422" s="88">
        <f>IFERROR(+VLOOKUP(A2422,'Anlage 2a_Letztverbrauch'!$A$2797:$I$2816,3,FALSE),0)</f>
        <v>0</v>
      </c>
      <c r="D2422" s="88">
        <v>0</v>
      </c>
      <c r="E2422" s="88">
        <f t="shared" si="89"/>
        <v>360364.58</v>
      </c>
      <c r="F2422" s="88">
        <f>+SUMIF('Anlage 2b_Korrekturen'!$B$700:$B$1160,A2422,'Anlage 2b_Korrekturen'!$E$700:$E$1160)</f>
        <v>-430.97628999999995</v>
      </c>
      <c r="G2422" s="135">
        <f t="shared" si="90"/>
        <v>359933.60371</v>
      </c>
      <c r="H2422" s="133" t="s">
        <v>1288</v>
      </c>
    </row>
    <row r="2423" spans="1:8" hidden="1" outlineLevel="1">
      <c r="A2423" s="418" t="s">
        <v>2230</v>
      </c>
      <c r="B2423" s="1574">
        <f>+VLOOKUP(A2423,'Anlage 2a_Letztverbrauch'!$A$1338:$I$1704,9,FALSE)</f>
        <v>135968.43</v>
      </c>
      <c r="C2423" s="88">
        <f>IFERROR(+VLOOKUP(A2423,'Anlage 2a_Letztverbrauch'!$A$2797:$I$2816,3,FALSE),0)</f>
        <v>0</v>
      </c>
      <c r="D2423" s="88">
        <v>0</v>
      </c>
      <c r="E2423" s="88">
        <f t="shared" si="89"/>
        <v>135968.43</v>
      </c>
      <c r="F2423" s="88">
        <f>+SUMIF('Anlage 2b_Korrekturen'!$B$700:$B$1160,A2423,'Anlage 2b_Korrekturen'!$E$700:$E$1160)</f>
        <v>0</v>
      </c>
      <c r="G2423" s="135">
        <f t="shared" si="90"/>
        <v>135968.43</v>
      </c>
      <c r="H2423" s="133" t="s">
        <v>2231</v>
      </c>
    </row>
    <row r="2424" spans="1:8" hidden="1" outlineLevel="1">
      <c r="A2424" s="418" t="s">
        <v>1594</v>
      </c>
      <c r="B2424" s="1574">
        <f>+VLOOKUP(A2424,'Anlage 2a_Letztverbrauch'!$A$1338:$I$1704,9,FALSE)</f>
        <v>22996.62</v>
      </c>
      <c r="C2424" s="88">
        <f>IFERROR(+VLOOKUP(A2424,'Anlage 2a_Letztverbrauch'!$A$2797:$I$2816,3,FALSE),0)</f>
        <v>0</v>
      </c>
      <c r="D2424" s="88">
        <v>0</v>
      </c>
      <c r="E2424" s="88">
        <f t="shared" si="89"/>
        <v>22996.62</v>
      </c>
      <c r="F2424" s="88">
        <f>+SUMIF('Anlage 2b_Korrekturen'!$B$700:$B$1160,A2424,'Anlage 2b_Korrekturen'!$E$700:$E$1160)</f>
        <v>0</v>
      </c>
      <c r="G2424" s="135">
        <f t="shared" si="90"/>
        <v>22996.62</v>
      </c>
      <c r="H2424" s="133" t="s">
        <v>1595</v>
      </c>
    </row>
    <row r="2425" spans="1:8" hidden="1" outlineLevel="1">
      <c r="A2425" s="418" t="s">
        <v>779</v>
      </c>
      <c r="B2425" s="1574">
        <f>+VLOOKUP(A2425,'Anlage 2a_Letztverbrauch'!$A$1338:$I$1704,9,FALSE)</f>
        <v>145410.78</v>
      </c>
      <c r="C2425" s="88">
        <f>IFERROR(+VLOOKUP(A2425,'Anlage 2a_Letztverbrauch'!$A$2797:$I$2816,3,FALSE),0)</f>
        <v>0</v>
      </c>
      <c r="D2425" s="88">
        <v>0</v>
      </c>
      <c r="E2425" s="88">
        <f t="shared" si="89"/>
        <v>145410.78</v>
      </c>
      <c r="F2425" s="88">
        <f>+SUMIF('Anlage 2b_Korrekturen'!$B$700:$B$1160,A2425,'Anlage 2b_Korrekturen'!$E$700:$E$1160)</f>
        <v>0</v>
      </c>
      <c r="G2425" s="135">
        <f t="shared" si="90"/>
        <v>145410.78</v>
      </c>
      <c r="H2425" s="133" t="s">
        <v>1231</v>
      </c>
    </row>
    <row r="2426" spans="1:8" hidden="1" outlineLevel="1">
      <c r="A2426" s="418" t="s">
        <v>1307</v>
      </c>
      <c r="B2426" s="1574">
        <f>+VLOOKUP(A2426,'Anlage 2a_Letztverbrauch'!$A$1338:$I$1704,9,FALSE)</f>
        <v>93373.01</v>
      </c>
      <c r="C2426" s="88">
        <f>IFERROR(+VLOOKUP(A2426,'Anlage 2a_Letztverbrauch'!$A$2797:$I$2816,3,FALSE),0)</f>
        <v>0</v>
      </c>
      <c r="D2426" s="88">
        <v>0</v>
      </c>
      <c r="E2426" s="88">
        <f t="shared" si="89"/>
        <v>93373.01</v>
      </c>
      <c r="F2426" s="88">
        <f>+SUMIF('Anlage 2b_Korrekturen'!$B$700:$B$1160,A2426,'Anlage 2b_Korrekturen'!$E$700:$E$1160)</f>
        <v>0</v>
      </c>
      <c r="G2426" s="135">
        <f t="shared" si="90"/>
        <v>93373.01</v>
      </c>
      <c r="H2426" s="133" t="s">
        <v>1308</v>
      </c>
    </row>
    <row r="2427" spans="1:8" hidden="1" outlineLevel="1">
      <c r="A2427" s="418" t="s">
        <v>1510</v>
      </c>
      <c r="B2427" s="1574">
        <f>+VLOOKUP(A2427,'Anlage 2a_Letztverbrauch'!$A$1338:$I$1704,9,FALSE)</f>
        <v>282281.51</v>
      </c>
      <c r="C2427" s="88">
        <f>IFERROR(+VLOOKUP(A2427,'Anlage 2a_Letztverbrauch'!$A$2797:$I$2816,3,FALSE),0)</f>
        <v>0</v>
      </c>
      <c r="D2427" s="88">
        <v>0</v>
      </c>
      <c r="E2427" s="88">
        <f t="shared" si="89"/>
        <v>282281.51</v>
      </c>
      <c r="F2427" s="88">
        <f>+SUMIF('Anlage 2b_Korrekturen'!$B$700:$B$1160,A2427,'Anlage 2b_Korrekturen'!$E$700:$E$1160)</f>
        <v>473.75832999999994</v>
      </c>
      <c r="G2427" s="135">
        <f t="shared" si="90"/>
        <v>282755.26832999999</v>
      </c>
      <c r="H2427" s="133" t="s">
        <v>1511</v>
      </c>
    </row>
    <row r="2428" spans="1:8" hidden="1" outlineLevel="1">
      <c r="A2428" s="418" t="s">
        <v>1328</v>
      </c>
      <c r="B2428" s="1574">
        <f>+VLOOKUP(A2428,'Anlage 2a_Letztverbrauch'!$A$1338:$I$1704,9,FALSE)</f>
        <v>8984.18</v>
      </c>
      <c r="C2428" s="88">
        <f>IFERROR(+VLOOKUP(A2428,'Anlage 2a_Letztverbrauch'!$A$2797:$I$2816,3,FALSE),0)</f>
        <v>0</v>
      </c>
      <c r="D2428" s="88">
        <v>0</v>
      </c>
      <c r="E2428" s="88">
        <f t="shared" si="89"/>
        <v>8984.18</v>
      </c>
      <c r="F2428" s="88">
        <f>+SUMIF('Anlage 2b_Korrekturen'!$B$700:$B$1160,A2428,'Anlage 2b_Korrekturen'!$E$700:$E$1160)</f>
        <v>0</v>
      </c>
      <c r="G2428" s="135">
        <f t="shared" si="90"/>
        <v>8984.18</v>
      </c>
      <c r="H2428" s="133" t="s">
        <v>1329</v>
      </c>
    </row>
    <row r="2429" spans="1:8" hidden="1" outlineLevel="1">
      <c r="A2429" s="418" t="s">
        <v>2232</v>
      </c>
      <c r="B2429" s="1574">
        <f>+VLOOKUP(A2429,'Anlage 2a_Letztverbrauch'!$A$1338:$I$1704,9,FALSE)</f>
        <v>8191.45</v>
      </c>
      <c r="C2429" s="88">
        <f>IFERROR(+VLOOKUP(A2429,'Anlage 2a_Letztverbrauch'!$A$2797:$I$2816,3,FALSE),0)</f>
        <v>0</v>
      </c>
      <c r="D2429" s="88">
        <v>0</v>
      </c>
      <c r="E2429" s="88">
        <f t="shared" si="89"/>
        <v>8191.45</v>
      </c>
      <c r="F2429" s="88">
        <f>+SUMIF('Anlage 2b_Korrekturen'!$B$700:$B$1160,A2429,'Anlage 2b_Korrekturen'!$E$700:$E$1160)</f>
        <v>0</v>
      </c>
      <c r="G2429" s="135">
        <f t="shared" si="90"/>
        <v>8191.45</v>
      </c>
      <c r="H2429" s="133" t="s">
        <v>2233</v>
      </c>
    </row>
    <row r="2430" spans="1:8" hidden="1" outlineLevel="1">
      <c r="A2430" s="418" t="s">
        <v>1362</v>
      </c>
      <c r="B2430" s="1574">
        <f>+VLOOKUP(A2430,'Anlage 2a_Letztverbrauch'!$A$1338:$I$1704,9,FALSE)</f>
        <v>1062710.3400000001</v>
      </c>
      <c r="C2430" s="88">
        <f>IFERROR(+VLOOKUP(A2430,'Anlage 2a_Letztverbrauch'!$A$2797:$I$2816,3,FALSE),0)</f>
        <v>-732.99</v>
      </c>
      <c r="D2430" s="88">
        <v>0</v>
      </c>
      <c r="E2430" s="88">
        <f t="shared" si="89"/>
        <v>1061977.3500000001</v>
      </c>
      <c r="F2430" s="88">
        <f>+SUMIF('Anlage 2b_Korrekturen'!$B$700:$B$1160,A2430,'Anlage 2b_Korrekturen'!$E$700:$E$1160)</f>
        <v>2244.6253200000001</v>
      </c>
      <c r="G2430" s="135">
        <f t="shared" si="90"/>
        <v>1064221.9753200002</v>
      </c>
      <c r="H2430" s="133" t="s">
        <v>1363</v>
      </c>
    </row>
    <row r="2431" spans="1:8" hidden="1" outlineLevel="1">
      <c r="A2431" s="418" t="s">
        <v>456</v>
      </c>
      <c r="B2431" s="1574">
        <f>+VLOOKUP(A2431,'Anlage 2a_Letztverbrauch'!$A$1338:$I$1704,9,FALSE)</f>
        <v>498399.87</v>
      </c>
      <c r="C2431" s="88">
        <f>IFERROR(+VLOOKUP(A2431,'Anlage 2a_Letztverbrauch'!$A$2797:$I$2816,3,FALSE),0)</f>
        <v>0</v>
      </c>
      <c r="D2431" s="88">
        <v>0</v>
      </c>
      <c r="E2431" s="88">
        <f t="shared" si="89"/>
        <v>498399.87</v>
      </c>
      <c r="F2431" s="88">
        <f>+SUMIF('Anlage 2b_Korrekturen'!$B$700:$B$1160,A2431,'Anlage 2b_Korrekturen'!$E$700:$E$1160)</f>
        <v>5289.8182720000004</v>
      </c>
      <c r="G2431" s="135">
        <f t="shared" si="90"/>
        <v>503689.688272</v>
      </c>
      <c r="H2431" s="133" t="s">
        <v>457</v>
      </c>
    </row>
    <row r="2432" spans="1:8" hidden="1" outlineLevel="1">
      <c r="A2432" s="418" t="s">
        <v>2234</v>
      </c>
      <c r="B2432" s="1574">
        <f>+VLOOKUP(A2432,'Anlage 2a_Letztverbrauch'!$A$1338:$I$1704,9,FALSE)</f>
        <v>18626.04</v>
      </c>
      <c r="C2432" s="88">
        <f>IFERROR(+VLOOKUP(A2432,'Anlage 2a_Letztverbrauch'!$A$2797:$I$2816,3,FALSE),0)</f>
        <v>0</v>
      </c>
      <c r="D2432" s="88">
        <v>0</v>
      </c>
      <c r="E2432" s="88">
        <f t="shared" si="89"/>
        <v>18626.04</v>
      </c>
      <c r="F2432" s="88">
        <f>+SUMIF('Anlage 2b_Korrekturen'!$B$700:$B$1160,A2432,'Anlage 2b_Korrekturen'!$E$700:$E$1160)</f>
        <v>0</v>
      </c>
      <c r="G2432" s="135">
        <f t="shared" si="90"/>
        <v>18626.04</v>
      </c>
      <c r="H2432" s="133" t="s">
        <v>2235</v>
      </c>
    </row>
    <row r="2433" spans="1:8" hidden="1" outlineLevel="1">
      <c r="A2433" s="418" t="s">
        <v>2236</v>
      </c>
      <c r="B2433" s="1574">
        <f>+VLOOKUP(A2433,'Anlage 2a_Letztverbrauch'!$A$1338:$I$1704,9,FALSE)</f>
        <v>13460.7</v>
      </c>
      <c r="C2433" s="88">
        <f>IFERROR(+VLOOKUP(A2433,'Anlage 2a_Letztverbrauch'!$A$2797:$I$2816,3,FALSE),0)</f>
        <v>-157.22999999999999</v>
      </c>
      <c r="D2433" s="88">
        <v>0</v>
      </c>
      <c r="E2433" s="88">
        <f t="shared" si="89"/>
        <v>13303.470000000001</v>
      </c>
      <c r="F2433" s="88">
        <f>+SUMIF('Anlage 2b_Korrekturen'!$B$700:$B$1160,A2433,'Anlage 2b_Korrekturen'!$E$700:$E$1160)</f>
        <v>0</v>
      </c>
      <c r="G2433" s="135">
        <f t="shared" si="90"/>
        <v>13303.470000000001</v>
      </c>
      <c r="H2433" s="133" t="s">
        <v>2237</v>
      </c>
    </row>
    <row r="2434" spans="1:8" hidden="1" outlineLevel="1">
      <c r="A2434" s="418" t="s">
        <v>1492</v>
      </c>
      <c r="B2434" s="1574">
        <f>+VLOOKUP(A2434,'Anlage 2a_Letztverbrauch'!$A$1338:$I$1704,9,FALSE)</f>
        <v>26646.31</v>
      </c>
      <c r="C2434" s="88">
        <f>IFERROR(+VLOOKUP(A2434,'Anlage 2a_Letztverbrauch'!$A$2797:$I$2816,3,FALSE),0)</f>
        <v>0</v>
      </c>
      <c r="D2434" s="88">
        <v>0</v>
      </c>
      <c r="E2434" s="88">
        <f t="shared" si="89"/>
        <v>26646.31</v>
      </c>
      <c r="F2434" s="88">
        <f>+SUMIF('Anlage 2b_Korrekturen'!$B$700:$B$1160,A2434,'Anlage 2b_Korrekturen'!$E$700:$E$1160)</f>
        <v>0</v>
      </c>
      <c r="G2434" s="135">
        <f t="shared" si="90"/>
        <v>26646.31</v>
      </c>
      <c r="H2434" s="133" t="s">
        <v>1493</v>
      </c>
    </row>
    <row r="2435" spans="1:8" hidden="1" outlineLevel="1">
      <c r="A2435" s="418" t="s">
        <v>1786</v>
      </c>
      <c r="B2435" s="1574">
        <f>+VLOOKUP(A2435,'Anlage 2a_Letztverbrauch'!$A$1338:$I$1704,9,FALSE)</f>
        <v>24542.52</v>
      </c>
      <c r="C2435" s="88">
        <f>IFERROR(+VLOOKUP(A2435,'Anlage 2a_Letztverbrauch'!$A$2797:$I$2816,3,FALSE),0)</f>
        <v>0</v>
      </c>
      <c r="D2435" s="88">
        <v>0</v>
      </c>
      <c r="E2435" s="88">
        <f t="shared" si="89"/>
        <v>24542.52</v>
      </c>
      <c r="F2435" s="88">
        <f>+SUMIF('Anlage 2b_Korrekturen'!$B$700:$B$1160,A2435,'Anlage 2b_Korrekturen'!$E$700:$E$1160)</f>
        <v>6.92</v>
      </c>
      <c r="G2435" s="135">
        <f t="shared" si="90"/>
        <v>24549.439999999999</v>
      </c>
      <c r="H2435" s="133" t="s">
        <v>1787</v>
      </c>
    </row>
    <row r="2436" spans="1:8" hidden="1" outlineLevel="1">
      <c r="A2436" s="418" t="s">
        <v>1478</v>
      </c>
      <c r="B2436" s="1574">
        <f>+VLOOKUP(A2436,'Anlage 2a_Letztverbrauch'!$A$1338:$I$1704,9,FALSE)</f>
        <v>77562.37</v>
      </c>
      <c r="C2436" s="88">
        <f>IFERROR(+VLOOKUP(A2436,'Anlage 2a_Letztverbrauch'!$A$2797:$I$2816,3,FALSE),0)</f>
        <v>0</v>
      </c>
      <c r="D2436" s="88">
        <v>0</v>
      </c>
      <c r="E2436" s="88">
        <f t="shared" si="89"/>
        <v>77562.37</v>
      </c>
      <c r="F2436" s="88">
        <f>+SUMIF('Anlage 2b_Korrekturen'!$B$700:$B$1160,A2436,'Anlage 2b_Korrekturen'!$E$700:$E$1160)</f>
        <v>5.3344399999999998</v>
      </c>
      <c r="G2436" s="135">
        <f t="shared" si="90"/>
        <v>77567.704440000001</v>
      </c>
      <c r="H2436" s="133" t="s">
        <v>1479</v>
      </c>
    </row>
    <row r="2437" spans="1:8" hidden="1" outlineLevel="1">
      <c r="A2437" s="418" t="s">
        <v>2238</v>
      </c>
      <c r="B2437" s="1574">
        <f>+VLOOKUP(A2437,'Anlage 2a_Letztverbrauch'!$A$1338:$I$1704,9,FALSE)</f>
        <v>37571.449999999997</v>
      </c>
      <c r="C2437" s="88">
        <f>IFERROR(+VLOOKUP(A2437,'Anlage 2a_Letztverbrauch'!$A$2797:$I$2816,3,FALSE),0)</f>
        <v>0</v>
      </c>
      <c r="D2437" s="88">
        <v>0</v>
      </c>
      <c r="E2437" s="88">
        <f t="shared" si="89"/>
        <v>37571.449999999997</v>
      </c>
      <c r="F2437" s="88">
        <f>+SUMIF('Anlage 2b_Korrekturen'!$B$700:$B$1160,A2437,'Anlage 2b_Korrekturen'!$E$700:$E$1160)</f>
        <v>0</v>
      </c>
      <c r="G2437" s="135">
        <f t="shared" si="90"/>
        <v>37571.449999999997</v>
      </c>
      <c r="H2437" s="133" t="s">
        <v>2239</v>
      </c>
    </row>
    <row r="2438" spans="1:8" hidden="1" outlineLevel="1">
      <c r="A2438" s="418" t="s">
        <v>1410</v>
      </c>
      <c r="B2438" s="1574">
        <f>+VLOOKUP(A2438,'Anlage 2a_Letztverbrauch'!$A$1338:$I$1704,9,FALSE)</f>
        <v>134130.57</v>
      </c>
      <c r="C2438" s="88">
        <f>IFERROR(+VLOOKUP(A2438,'Anlage 2a_Letztverbrauch'!$A$2797:$I$2816,3,FALSE),0)</f>
        <v>0</v>
      </c>
      <c r="D2438" s="88">
        <v>0</v>
      </c>
      <c r="E2438" s="88">
        <f t="shared" si="89"/>
        <v>134130.57</v>
      </c>
      <c r="F2438" s="88">
        <f>+SUMIF('Anlage 2b_Korrekturen'!$B$700:$B$1160,A2438,'Anlage 2b_Korrekturen'!$E$700:$E$1160)</f>
        <v>0</v>
      </c>
      <c r="G2438" s="135">
        <f t="shared" si="90"/>
        <v>134130.57</v>
      </c>
      <c r="H2438" s="133" t="s">
        <v>1411</v>
      </c>
    </row>
    <row r="2439" spans="1:8" hidden="1" outlineLevel="1">
      <c r="A2439" s="418" t="s">
        <v>1796</v>
      </c>
      <c r="B2439" s="1574">
        <f>+VLOOKUP(A2439,'Anlage 2a_Letztverbrauch'!$A$1338:$I$1704,9,FALSE)</f>
        <v>376631.05</v>
      </c>
      <c r="C2439" s="88">
        <f>IFERROR(+VLOOKUP(A2439,'Anlage 2a_Letztverbrauch'!$A$2797:$I$2816,3,FALSE),0)</f>
        <v>0</v>
      </c>
      <c r="D2439" s="88">
        <v>0</v>
      </c>
      <c r="E2439" s="88">
        <f t="shared" si="89"/>
        <v>376631.05</v>
      </c>
      <c r="F2439" s="88">
        <f>+SUMIF('Anlage 2b_Korrekturen'!$B$700:$B$1160,A2439,'Anlage 2b_Korrekturen'!$E$700:$E$1160)</f>
        <v>2492.9316399999998</v>
      </c>
      <c r="G2439" s="135">
        <f t="shared" si="90"/>
        <v>379123.98164000001</v>
      </c>
      <c r="H2439" s="133" t="s">
        <v>1797</v>
      </c>
    </row>
    <row r="2440" spans="1:8" hidden="1" outlineLevel="1">
      <c r="A2440" s="418" t="s">
        <v>2240</v>
      </c>
      <c r="B2440" s="1574">
        <f>+VLOOKUP(A2440,'Anlage 2a_Letztverbrauch'!$A$1338:$I$1704,9,FALSE)</f>
        <v>10132.11</v>
      </c>
      <c r="C2440" s="88">
        <f>IFERROR(+VLOOKUP(A2440,'Anlage 2a_Letztverbrauch'!$A$2797:$I$2816,3,FALSE),0)</f>
        <v>0</v>
      </c>
      <c r="D2440" s="88">
        <v>0</v>
      </c>
      <c r="E2440" s="88">
        <f t="shared" si="89"/>
        <v>10132.11</v>
      </c>
      <c r="F2440" s="88">
        <f>+SUMIF('Anlage 2b_Korrekturen'!$B$700:$B$1160,A2440,'Anlage 2b_Korrekturen'!$E$700:$E$1160)</f>
        <v>0</v>
      </c>
      <c r="G2440" s="135">
        <f t="shared" si="90"/>
        <v>10132.11</v>
      </c>
      <c r="H2440" s="133" t="s">
        <v>2241</v>
      </c>
    </row>
    <row r="2441" spans="1:8" hidden="1" outlineLevel="1">
      <c r="A2441" s="418" t="s">
        <v>2242</v>
      </c>
      <c r="B2441" s="1574">
        <f>+VLOOKUP(A2441,'Anlage 2a_Letztverbrauch'!$A$1338:$I$1704,9,FALSE)</f>
        <v>22403.38</v>
      </c>
      <c r="C2441" s="88">
        <f>IFERROR(+VLOOKUP(A2441,'Anlage 2a_Letztverbrauch'!$A$2797:$I$2816,3,FALSE),0)</f>
        <v>0</v>
      </c>
      <c r="D2441" s="88">
        <v>0</v>
      </c>
      <c r="E2441" s="88">
        <f t="shared" si="89"/>
        <v>22403.38</v>
      </c>
      <c r="F2441" s="88">
        <f>+SUMIF('Anlage 2b_Korrekturen'!$B$700:$B$1160,A2441,'Anlage 2b_Korrekturen'!$E$700:$E$1160)</f>
        <v>0</v>
      </c>
      <c r="G2441" s="135">
        <f t="shared" si="90"/>
        <v>22403.38</v>
      </c>
      <c r="H2441" s="133" t="s">
        <v>2243</v>
      </c>
    </row>
    <row r="2442" spans="1:8" hidden="1" outlineLevel="1">
      <c r="A2442" s="418" t="s">
        <v>1234</v>
      </c>
      <c r="B2442" s="1574">
        <f>+VLOOKUP(A2442,'Anlage 2a_Letztverbrauch'!$A$1338:$I$1704,9,FALSE)</f>
        <v>254694.42</v>
      </c>
      <c r="C2442" s="88">
        <f>IFERROR(+VLOOKUP(A2442,'Anlage 2a_Letztverbrauch'!$A$2797:$I$2816,3,FALSE),0)</f>
        <v>0</v>
      </c>
      <c r="D2442" s="88">
        <v>0</v>
      </c>
      <c r="E2442" s="88">
        <f t="shared" si="89"/>
        <v>254694.42</v>
      </c>
      <c r="F2442" s="88">
        <f>+SUMIF('Anlage 2b_Korrekturen'!$B$700:$B$1160,A2442,'Anlage 2b_Korrekturen'!$E$700:$E$1160)</f>
        <v>0</v>
      </c>
      <c r="G2442" s="135">
        <f t="shared" si="90"/>
        <v>254694.42</v>
      </c>
      <c r="H2442" s="133" t="s">
        <v>1235</v>
      </c>
    </row>
    <row r="2443" spans="1:8" hidden="1" outlineLevel="1">
      <c r="A2443" s="418" t="s">
        <v>2244</v>
      </c>
      <c r="B2443" s="1574">
        <f>+VLOOKUP(A2443,'Anlage 2a_Letztverbrauch'!$A$1338:$I$1704,9,FALSE)</f>
        <v>8741.31</v>
      </c>
      <c r="C2443" s="88">
        <f>IFERROR(+VLOOKUP(A2443,'Anlage 2a_Letztverbrauch'!$A$2797:$I$2816,3,FALSE),0)</f>
        <v>0</v>
      </c>
      <c r="D2443" s="88">
        <v>0</v>
      </c>
      <c r="E2443" s="88">
        <f t="shared" si="89"/>
        <v>8741.31</v>
      </c>
      <c r="F2443" s="88">
        <f>+SUMIF('Anlage 2b_Korrekturen'!$B$700:$B$1160,A2443,'Anlage 2b_Korrekturen'!$E$700:$E$1160)</f>
        <v>1430.8176999999998</v>
      </c>
      <c r="G2443" s="135">
        <f t="shared" si="90"/>
        <v>10172.127699999999</v>
      </c>
      <c r="H2443" s="133" t="s">
        <v>2245</v>
      </c>
    </row>
    <row r="2444" spans="1:8" hidden="1" outlineLevel="1">
      <c r="A2444" s="418" t="s">
        <v>1416</v>
      </c>
      <c r="B2444" s="1574">
        <f>+VLOOKUP(A2444,'Anlage 2a_Letztverbrauch'!$A$1338:$I$1704,9,FALSE)</f>
        <v>712352.38</v>
      </c>
      <c r="C2444" s="88">
        <f>IFERROR(+VLOOKUP(A2444,'Anlage 2a_Letztverbrauch'!$A$2797:$I$2816,3,FALSE),0)</f>
        <v>0</v>
      </c>
      <c r="D2444" s="88">
        <v>0</v>
      </c>
      <c r="E2444" s="88">
        <f t="shared" si="89"/>
        <v>712352.38</v>
      </c>
      <c r="F2444" s="88">
        <f>+SUMIF('Anlage 2b_Korrekturen'!$B$700:$B$1160,A2444,'Anlage 2b_Korrekturen'!$E$700:$E$1160)</f>
        <v>23378.111279999997</v>
      </c>
      <c r="G2444" s="135">
        <f t="shared" si="90"/>
        <v>735730.49127999996</v>
      </c>
      <c r="H2444" s="133" t="s">
        <v>1417</v>
      </c>
    </row>
    <row r="2445" spans="1:8" hidden="1" outlineLevel="1">
      <c r="A2445" s="418" t="s">
        <v>564</v>
      </c>
      <c r="B2445" s="1574">
        <f>+VLOOKUP(A2445,'Anlage 2a_Letztverbrauch'!$A$1338:$I$1704,9,FALSE)</f>
        <v>2351455.49015</v>
      </c>
      <c r="C2445" s="88">
        <f>IFERROR(+VLOOKUP(A2445,'Anlage 2a_Letztverbrauch'!$A$2797:$I$2816,3,FALSE),0)</f>
        <v>0</v>
      </c>
      <c r="D2445" s="88">
        <v>0</v>
      </c>
      <c r="E2445" s="88">
        <f t="shared" si="89"/>
        <v>2351455.49015</v>
      </c>
      <c r="F2445" s="88">
        <f>+SUMIF('Anlage 2b_Korrekturen'!$B$700:$B$1160,A2445,'Anlage 2b_Korrekturen'!$E$700:$E$1160)</f>
        <v>0</v>
      </c>
      <c r="G2445" s="135">
        <f t="shared" si="90"/>
        <v>2351455.49015</v>
      </c>
      <c r="H2445" s="133" t="s">
        <v>565</v>
      </c>
    </row>
    <row r="2446" spans="1:8" hidden="1" outlineLevel="1">
      <c r="A2446" s="418" t="s">
        <v>2246</v>
      </c>
      <c r="B2446" s="1574">
        <f>+VLOOKUP(A2446,'Anlage 2a_Letztverbrauch'!$A$1338:$I$1704,9,FALSE)</f>
        <v>9689.19</v>
      </c>
      <c r="C2446" s="88">
        <f>IFERROR(+VLOOKUP(A2446,'Anlage 2a_Letztverbrauch'!$A$2797:$I$2816,3,FALSE),0)</f>
        <v>0</v>
      </c>
      <c r="D2446" s="88">
        <v>0</v>
      </c>
      <c r="E2446" s="88">
        <f t="shared" si="89"/>
        <v>9689.19</v>
      </c>
      <c r="F2446" s="88">
        <f>+SUMIF('Anlage 2b_Korrekturen'!$B$700:$B$1160,A2446,'Anlage 2b_Korrekturen'!$E$700:$E$1160)</f>
        <v>0</v>
      </c>
      <c r="G2446" s="135">
        <f t="shared" si="90"/>
        <v>9689.19</v>
      </c>
      <c r="H2446" s="133" t="s">
        <v>2247</v>
      </c>
    </row>
    <row r="2447" spans="1:8" hidden="1" outlineLevel="1">
      <c r="A2447" s="418" t="s">
        <v>1630</v>
      </c>
      <c r="B2447" s="1574">
        <f>+VLOOKUP(A2447,'Anlage 2a_Letztverbrauch'!$A$1338:$I$1704,9,FALSE)</f>
        <v>74084.479999999996</v>
      </c>
      <c r="C2447" s="88">
        <f>IFERROR(+VLOOKUP(A2447,'Anlage 2a_Letztverbrauch'!$A$2797:$I$2816,3,FALSE),0)</f>
        <v>0</v>
      </c>
      <c r="D2447" s="88">
        <v>0</v>
      </c>
      <c r="E2447" s="88">
        <f t="shared" si="89"/>
        <v>74084.479999999996</v>
      </c>
      <c r="F2447" s="88">
        <f>+SUMIF('Anlage 2b_Korrekturen'!$B$700:$B$1160,A2447,'Anlage 2b_Korrekturen'!$E$700:$E$1160)</f>
        <v>0</v>
      </c>
      <c r="G2447" s="135">
        <f t="shared" si="90"/>
        <v>74084.479999999996</v>
      </c>
      <c r="H2447" s="133" t="s">
        <v>1631</v>
      </c>
    </row>
    <row r="2448" spans="1:8" hidden="1" outlineLevel="1">
      <c r="A2448" s="418" t="s">
        <v>1265</v>
      </c>
      <c r="B2448" s="1574">
        <f>+VLOOKUP(A2448,'Anlage 2a_Letztverbrauch'!$A$1338:$I$1704,9,FALSE)</f>
        <v>2059850.35</v>
      </c>
      <c r="C2448" s="88">
        <f>IFERROR(+VLOOKUP(A2448,'Anlage 2a_Letztverbrauch'!$A$2797:$I$2816,3,FALSE),0)</f>
        <v>0</v>
      </c>
      <c r="D2448" s="88">
        <v>0</v>
      </c>
      <c r="E2448" s="88">
        <f t="shared" si="89"/>
        <v>2059850.35</v>
      </c>
      <c r="F2448" s="88">
        <f>+SUMIF('Anlage 2b_Korrekturen'!$B$700:$B$1160,A2448,'Anlage 2b_Korrekturen'!$E$700:$E$1160)</f>
        <v>-3050.33</v>
      </c>
      <c r="G2448" s="135">
        <f t="shared" si="90"/>
        <v>2056800.02</v>
      </c>
      <c r="H2448" s="133" t="s">
        <v>1266</v>
      </c>
    </row>
    <row r="2449" spans="1:8" hidden="1" outlineLevel="1">
      <c r="A2449" s="418" t="s">
        <v>2248</v>
      </c>
      <c r="B2449" s="1574">
        <f>+VLOOKUP(A2449,'Anlage 2a_Letztverbrauch'!$A$1338:$I$1704,9,FALSE)</f>
        <v>6960.12</v>
      </c>
      <c r="C2449" s="88">
        <f>IFERROR(+VLOOKUP(A2449,'Anlage 2a_Letztverbrauch'!$A$2797:$I$2816,3,FALSE),0)</f>
        <v>0</v>
      </c>
      <c r="D2449" s="88">
        <v>0</v>
      </c>
      <c r="E2449" s="88">
        <f t="shared" si="89"/>
        <v>6960.12</v>
      </c>
      <c r="F2449" s="88">
        <f>+SUMIF('Anlage 2b_Korrekturen'!$B$700:$B$1160,A2449,'Anlage 2b_Korrekturen'!$E$700:$E$1160)</f>
        <v>0</v>
      </c>
      <c r="G2449" s="135">
        <f t="shared" si="90"/>
        <v>6960.12</v>
      </c>
      <c r="H2449" s="133" t="s">
        <v>2249</v>
      </c>
    </row>
    <row r="2450" spans="1:8" hidden="1" outlineLevel="1">
      <c r="A2450" s="418" t="s">
        <v>1380</v>
      </c>
      <c r="B2450" s="1574">
        <f>+VLOOKUP(A2450,'Anlage 2a_Letztverbrauch'!$A$1338:$I$1704,9,FALSE)</f>
        <v>467115.32</v>
      </c>
      <c r="C2450" s="88">
        <f>IFERROR(+VLOOKUP(A2450,'Anlage 2a_Letztverbrauch'!$A$2797:$I$2816,3,FALSE),0)</f>
        <v>0</v>
      </c>
      <c r="D2450" s="88">
        <v>0</v>
      </c>
      <c r="E2450" s="88">
        <f t="shared" si="89"/>
        <v>467115.32</v>
      </c>
      <c r="F2450" s="88">
        <f>+SUMIF('Anlage 2b_Korrekturen'!$B$700:$B$1160,A2450,'Anlage 2b_Korrekturen'!$E$700:$E$1160)</f>
        <v>0</v>
      </c>
      <c r="G2450" s="135">
        <f t="shared" si="90"/>
        <v>467115.32</v>
      </c>
      <c r="H2450" s="133" t="s">
        <v>1381</v>
      </c>
    </row>
    <row r="2451" spans="1:8" hidden="1" outlineLevel="1">
      <c r="A2451" s="418" t="s">
        <v>2250</v>
      </c>
      <c r="B2451" s="1574">
        <f>+VLOOKUP(A2451,'Anlage 2a_Letztverbrauch'!$A$1338:$I$1704,9,FALSE)</f>
        <v>183275.83</v>
      </c>
      <c r="C2451" s="88">
        <f>IFERROR(+VLOOKUP(A2451,'Anlage 2a_Letztverbrauch'!$A$2797:$I$2816,3,FALSE),0)</f>
        <v>0</v>
      </c>
      <c r="D2451" s="88">
        <v>0</v>
      </c>
      <c r="E2451" s="88">
        <f t="shared" si="89"/>
        <v>183275.83</v>
      </c>
      <c r="F2451" s="88">
        <f>+SUMIF('Anlage 2b_Korrekturen'!$B$700:$B$1160,A2451,'Anlage 2b_Korrekturen'!$E$700:$E$1160)</f>
        <v>914.17600000000004</v>
      </c>
      <c r="G2451" s="135">
        <f t="shared" si="90"/>
        <v>184190.00599999999</v>
      </c>
      <c r="H2451" s="133" t="s">
        <v>2251</v>
      </c>
    </row>
    <row r="2452" spans="1:8" hidden="1" outlineLevel="1">
      <c r="A2452" s="418" t="s">
        <v>2252</v>
      </c>
      <c r="B2452" s="1574">
        <f>+VLOOKUP(A2452,'Anlage 2a_Letztverbrauch'!$A$1338:$I$1704,9,FALSE)</f>
        <v>5222.9399999999996</v>
      </c>
      <c r="C2452" s="88">
        <f>IFERROR(+VLOOKUP(A2452,'Anlage 2a_Letztverbrauch'!$A$2797:$I$2816,3,FALSE),0)</f>
        <v>0</v>
      </c>
      <c r="D2452" s="88">
        <v>0</v>
      </c>
      <c r="E2452" s="88">
        <f t="shared" si="89"/>
        <v>5222.9399999999996</v>
      </c>
      <c r="F2452" s="88">
        <f>+SUMIF('Anlage 2b_Korrekturen'!$B$700:$B$1160,A2452,'Anlage 2b_Korrekturen'!$E$700:$E$1160)</f>
        <v>0</v>
      </c>
      <c r="G2452" s="135">
        <f t="shared" si="90"/>
        <v>5222.9399999999996</v>
      </c>
      <c r="H2452" s="133" t="s">
        <v>2253</v>
      </c>
    </row>
    <row r="2453" spans="1:8" hidden="1" outlineLevel="1">
      <c r="A2453" s="418" t="s">
        <v>1654</v>
      </c>
      <c r="B2453" s="1574">
        <f>+VLOOKUP(A2453,'Anlage 2a_Letztverbrauch'!$A$1338:$I$1704,9,FALSE)</f>
        <v>3328869.66</v>
      </c>
      <c r="C2453" s="88">
        <f>IFERROR(+VLOOKUP(A2453,'Anlage 2a_Letztverbrauch'!$A$2797:$I$2816,3,FALSE),0)</f>
        <v>0</v>
      </c>
      <c r="D2453" s="88">
        <v>0</v>
      </c>
      <c r="E2453" s="88">
        <f t="shared" ref="E2453:E2516" si="91">B2453+C2453+D2453</f>
        <v>3328869.66</v>
      </c>
      <c r="F2453" s="88">
        <f>+SUMIF('Anlage 2b_Korrekturen'!$B$700:$B$1160,A2453,'Anlage 2b_Korrekturen'!$E$700:$E$1160)</f>
        <v>-310568.30035179999</v>
      </c>
      <c r="G2453" s="135">
        <f t="shared" ref="G2453:G2516" si="92">E2453+F2453</f>
        <v>3018301.3596482002</v>
      </c>
      <c r="H2453" s="133" t="s">
        <v>1655</v>
      </c>
    </row>
    <row r="2454" spans="1:8" hidden="1" outlineLevel="1">
      <c r="A2454" s="418" t="s">
        <v>1516</v>
      </c>
      <c r="B2454" s="1574">
        <f>+VLOOKUP(A2454,'Anlage 2a_Letztverbrauch'!$A$1338:$I$1704,9,FALSE)</f>
        <v>20937383.5</v>
      </c>
      <c r="C2454" s="88">
        <f>IFERROR(+VLOOKUP(A2454,'Anlage 2a_Letztverbrauch'!$A$2797:$I$2816,3,FALSE),0)</f>
        <v>-9035</v>
      </c>
      <c r="D2454" s="88">
        <v>0</v>
      </c>
      <c r="E2454" s="88">
        <f t="shared" si="91"/>
        <v>20928348.5</v>
      </c>
      <c r="F2454" s="88">
        <f>+SUMIF('Anlage 2b_Korrekturen'!$B$700:$B$1160,A2454,'Anlage 2b_Korrekturen'!$E$700:$E$1160)</f>
        <v>-145213.29928000001</v>
      </c>
      <c r="G2454" s="135">
        <f t="shared" si="92"/>
        <v>20783135.200720001</v>
      </c>
      <c r="H2454" s="133" t="s">
        <v>1517</v>
      </c>
    </row>
    <row r="2455" spans="1:8" hidden="1" outlineLevel="1">
      <c r="A2455" s="418" t="s">
        <v>1460</v>
      </c>
      <c r="B2455" s="1574">
        <f>+VLOOKUP(A2455,'Anlage 2a_Letztverbrauch'!$A$1338:$I$1704,9,FALSE)</f>
        <v>67959.11</v>
      </c>
      <c r="C2455" s="88">
        <f>IFERROR(+VLOOKUP(A2455,'Anlage 2a_Letztverbrauch'!$A$2797:$I$2816,3,FALSE),0)</f>
        <v>0</v>
      </c>
      <c r="D2455" s="88">
        <v>0</v>
      </c>
      <c r="E2455" s="88">
        <f t="shared" si="91"/>
        <v>67959.11</v>
      </c>
      <c r="F2455" s="88">
        <f>+SUMIF('Anlage 2b_Korrekturen'!$B$700:$B$1160,A2455,'Anlage 2b_Korrekturen'!$E$700:$E$1160)</f>
        <v>0</v>
      </c>
      <c r="G2455" s="135">
        <f t="shared" si="92"/>
        <v>67959.11</v>
      </c>
      <c r="H2455" s="133" t="s">
        <v>1461</v>
      </c>
    </row>
    <row r="2456" spans="1:8" hidden="1" outlineLevel="1">
      <c r="A2456" s="418" t="s">
        <v>1430</v>
      </c>
      <c r="B2456" s="1574">
        <f>+VLOOKUP(A2456,'Anlage 2a_Letztverbrauch'!$A$1338:$I$1704,9,FALSE)</f>
        <v>44490127.340000004</v>
      </c>
      <c r="C2456" s="88">
        <f>IFERROR(+VLOOKUP(A2456,'Anlage 2a_Letztverbrauch'!$A$2797:$I$2816,3,FALSE),0)</f>
        <v>-582311.47</v>
      </c>
      <c r="D2456" s="88">
        <v>0</v>
      </c>
      <c r="E2456" s="88">
        <f t="shared" si="91"/>
        <v>43907815.870000005</v>
      </c>
      <c r="F2456" s="88">
        <f>+SUMIF('Anlage 2b_Korrekturen'!$B$700:$B$1160,A2456,'Anlage 2b_Korrekturen'!$E$700:$E$1160)</f>
        <v>-448792.21179999999</v>
      </c>
      <c r="G2456" s="135">
        <f t="shared" si="92"/>
        <v>43459023.658200003</v>
      </c>
      <c r="H2456" s="133" t="s">
        <v>1431</v>
      </c>
    </row>
    <row r="2457" spans="1:8" hidden="1" outlineLevel="1">
      <c r="A2457" s="418" t="s">
        <v>1808</v>
      </c>
      <c r="B2457" s="1574">
        <f>+VLOOKUP(A2457,'Anlage 2a_Letztverbrauch'!$A$1338:$I$1704,9,FALSE)</f>
        <v>10179635.470000001</v>
      </c>
      <c r="C2457" s="88">
        <f>IFERROR(+VLOOKUP(A2457,'Anlage 2a_Letztverbrauch'!$A$2797:$I$2816,3,FALSE),0)</f>
        <v>-24517.08</v>
      </c>
      <c r="D2457" s="88">
        <v>0</v>
      </c>
      <c r="E2457" s="88">
        <f t="shared" si="91"/>
        <v>10155118.390000001</v>
      </c>
      <c r="F2457" s="88">
        <f>+SUMIF('Anlage 2b_Korrekturen'!$B$700:$B$1160,A2457,'Anlage 2b_Korrekturen'!$E$700:$E$1160)</f>
        <v>-56092.802591960004</v>
      </c>
      <c r="G2457" s="135">
        <f t="shared" si="92"/>
        <v>10099025.58740804</v>
      </c>
      <c r="H2457" s="133" t="s">
        <v>1809</v>
      </c>
    </row>
    <row r="2458" spans="1:8" hidden="1" outlineLevel="1">
      <c r="A2458" s="418" t="s">
        <v>1768</v>
      </c>
      <c r="B2458" s="1574">
        <f>+VLOOKUP(A2458,'Anlage 2a_Letztverbrauch'!$A$1338:$I$1704,9,FALSE)</f>
        <v>1846294.83</v>
      </c>
      <c r="C2458" s="88">
        <f>IFERROR(+VLOOKUP(A2458,'Anlage 2a_Letztverbrauch'!$A$2797:$I$2816,3,FALSE),0)</f>
        <v>0</v>
      </c>
      <c r="D2458" s="88">
        <v>0</v>
      </c>
      <c r="E2458" s="88">
        <f t="shared" si="91"/>
        <v>1846294.83</v>
      </c>
      <c r="F2458" s="88">
        <f>+SUMIF('Anlage 2b_Korrekturen'!$B$700:$B$1160,A2458,'Anlage 2b_Korrekturen'!$E$700:$E$1160)</f>
        <v>-31583.63</v>
      </c>
      <c r="G2458" s="135">
        <f t="shared" si="92"/>
        <v>1814711.2000000002</v>
      </c>
      <c r="H2458" s="133" t="s">
        <v>1769</v>
      </c>
    </row>
    <row r="2459" spans="1:8" hidden="1" outlineLevel="1">
      <c r="A2459" s="418" t="s">
        <v>2254</v>
      </c>
      <c r="B2459" s="1574">
        <f>+VLOOKUP(A2459,'Anlage 2a_Letztverbrauch'!$A$1338:$I$1704,9,FALSE)</f>
        <v>604740.11</v>
      </c>
      <c r="C2459" s="88">
        <f>IFERROR(+VLOOKUP(A2459,'Anlage 2a_Letztverbrauch'!$A$2797:$I$2816,3,FALSE),0)</f>
        <v>0</v>
      </c>
      <c r="D2459" s="88">
        <v>0</v>
      </c>
      <c r="E2459" s="88">
        <f t="shared" si="91"/>
        <v>604740.11</v>
      </c>
      <c r="F2459" s="88">
        <f>+SUMIF('Anlage 2b_Korrekturen'!$B$700:$B$1160,A2459,'Anlage 2b_Korrekturen'!$E$700:$E$1160)</f>
        <v>0</v>
      </c>
      <c r="G2459" s="135">
        <f t="shared" si="92"/>
        <v>604740.11</v>
      </c>
      <c r="H2459" s="133" t="s">
        <v>2255</v>
      </c>
    </row>
    <row r="2460" spans="1:8" hidden="1" outlineLevel="1">
      <c r="A2460" s="418" t="s">
        <v>879</v>
      </c>
      <c r="B2460" s="1574">
        <f>+VLOOKUP(A2460,'Anlage 2a_Letztverbrauch'!$A$1338:$I$1704,9,FALSE)</f>
        <v>10292416.58</v>
      </c>
      <c r="C2460" s="88">
        <f>IFERROR(+VLOOKUP(A2460,'Anlage 2a_Letztverbrauch'!$A$2797:$I$2816,3,FALSE),0)</f>
        <v>0</v>
      </c>
      <c r="D2460" s="88">
        <v>0</v>
      </c>
      <c r="E2460" s="88">
        <f t="shared" si="91"/>
        <v>10292416.58</v>
      </c>
      <c r="F2460" s="88">
        <f>+SUMIF('Anlage 2b_Korrekturen'!$B$700:$B$1160,A2460,'Anlage 2b_Korrekturen'!$E$700:$E$1160)</f>
        <v>-104716.59754</v>
      </c>
      <c r="G2460" s="135">
        <f t="shared" si="92"/>
        <v>10187699.98246</v>
      </c>
      <c r="H2460" s="133" t="s">
        <v>880</v>
      </c>
    </row>
    <row r="2461" spans="1:8" hidden="1" outlineLevel="1">
      <c r="A2461" s="418" t="s">
        <v>1500</v>
      </c>
      <c r="B2461" s="1574">
        <f>+VLOOKUP(A2461,'Anlage 2a_Letztverbrauch'!$A$1338:$I$1704,9,FALSE)</f>
        <v>197895.52</v>
      </c>
      <c r="C2461" s="88">
        <f>IFERROR(+VLOOKUP(A2461,'Anlage 2a_Letztverbrauch'!$A$2797:$I$2816,3,FALSE),0)</f>
        <v>0</v>
      </c>
      <c r="D2461" s="88">
        <v>0</v>
      </c>
      <c r="E2461" s="88">
        <f t="shared" si="91"/>
        <v>197895.52</v>
      </c>
      <c r="F2461" s="88">
        <f>+SUMIF('Anlage 2b_Korrekturen'!$B$700:$B$1160,A2461,'Anlage 2b_Korrekturen'!$E$700:$E$1160)</f>
        <v>0</v>
      </c>
      <c r="G2461" s="135">
        <f t="shared" si="92"/>
        <v>197895.52</v>
      </c>
      <c r="H2461" s="133" t="s">
        <v>1501</v>
      </c>
    </row>
    <row r="2462" spans="1:8" hidden="1" outlineLevel="1">
      <c r="A2462" s="418" t="s">
        <v>1683</v>
      </c>
      <c r="B2462" s="1574">
        <f>+VLOOKUP(A2462,'Anlage 2a_Letztverbrauch'!$A$1338:$I$1704,9,FALSE)</f>
        <v>11778582.970000001</v>
      </c>
      <c r="C2462" s="88">
        <f>IFERROR(+VLOOKUP(A2462,'Anlage 2a_Letztverbrauch'!$A$2797:$I$2816,3,FALSE),0)</f>
        <v>-76856.53</v>
      </c>
      <c r="D2462" s="88">
        <v>0</v>
      </c>
      <c r="E2462" s="88">
        <f t="shared" si="91"/>
        <v>11701726.440000001</v>
      </c>
      <c r="F2462" s="88">
        <f>+SUMIF('Anlage 2b_Korrekturen'!$B$700:$B$1160,A2462,'Anlage 2b_Korrekturen'!$E$700:$E$1160)</f>
        <v>-305793.2665899999</v>
      </c>
      <c r="G2462" s="135">
        <f t="shared" si="92"/>
        <v>11395933.173410002</v>
      </c>
      <c r="H2462" s="133" t="s">
        <v>1684</v>
      </c>
    </row>
    <row r="2463" spans="1:8" hidden="1" outlineLevel="1">
      <c r="A2463" s="418" t="s">
        <v>758</v>
      </c>
      <c r="B2463" s="1574">
        <f>+VLOOKUP(A2463,'Anlage 2a_Letztverbrauch'!$A$1338:$I$1704,9,FALSE)</f>
        <v>12502994.6</v>
      </c>
      <c r="C2463" s="88">
        <f>IFERROR(+VLOOKUP(A2463,'Anlage 2a_Letztverbrauch'!$A$2797:$I$2816,3,FALSE),0)</f>
        <v>-101845.06</v>
      </c>
      <c r="D2463" s="88">
        <v>0</v>
      </c>
      <c r="E2463" s="88">
        <f t="shared" si="91"/>
        <v>12401149.539999999</v>
      </c>
      <c r="F2463" s="88">
        <f>+SUMIF('Anlage 2b_Korrekturen'!$B$700:$B$1160,A2463,'Anlage 2b_Korrekturen'!$E$700:$E$1160)</f>
        <v>-118285.74109608</v>
      </c>
      <c r="G2463" s="135">
        <f t="shared" si="92"/>
        <v>12282863.79890392</v>
      </c>
      <c r="H2463" s="133" t="s">
        <v>759</v>
      </c>
    </row>
    <row r="2464" spans="1:8" hidden="1" outlineLevel="1">
      <c r="A2464" s="418" t="s">
        <v>1090</v>
      </c>
      <c r="B2464" s="1574">
        <f>+VLOOKUP(A2464,'Anlage 2a_Letztverbrauch'!$A$1338:$I$1704,9,FALSE)</f>
        <v>10368745.720000001</v>
      </c>
      <c r="C2464" s="88">
        <f>IFERROR(+VLOOKUP(A2464,'Anlage 2a_Letztverbrauch'!$A$2797:$I$2816,3,FALSE),0)</f>
        <v>-44945.43</v>
      </c>
      <c r="D2464" s="88">
        <v>0</v>
      </c>
      <c r="E2464" s="88">
        <f t="shared" si="91"/>
        <v>10323800.290000001</v>
      </c>
      <c r="F2464" s="88">
        <f>+SUMIF('Anlage 2b_Korrekturen'!$B$700:$B$1160,A2464,'Anlage 2b_Korrekturen'!$E$700:$E$1160)</f>
        <v>-10715.83259</v>
      </c>
      <c r="G2464" s="135">
        <f t="shared" si="92"/>
        <v>10313084.45741</v>
      </c>
      <c r="H2464" s="133" t="s">
        <v>1091</v>
      </c>
    </row>
    <row r="2465" spans="1:8" hidden="1" outlineLevel="1">
      <c r="A2465" s="418" t="s">
        <v>2256</v>
      </c>
      <c r="B2465" s="1574">
        <f>+VLOOKUP(A2465,'Anlage 2a_Letztverbrauch'!$A$1338:$I$1704,9,FALSE)</f>
        <v>245931.28</v>
      </c>
      <c r="C2465" s="88">
        <f>IFERROR(+VLOOKUP(A2465,'Anlage 2a_Letztverbrauch'!$A$2797:$I$2816,3,FALSE),0)</f>
        <v>0</v>
      </c>
      <c r="D2465" s="88">
        <v>0</v>
      </c>
      <c r="E2465" s="88">
        <f t="shared" si="91"/>
        <v>245931.28</v>
      </c>
      <c r="F2465" s="88">
        <f>+SUMIF('Anlage 2b_Korrekturen'!$B$700:$B$1160,A2465,'Anlage 2b_Korrekturen'!$E$700:$E$1160)</f>
        <v>6305.58</v>
      </c>
      <c r="G2465" s="135">
        <f t="shared" si="92"/>
        <v>252236.86</v>
      </c>
      <c r="H2465" s="133" t="s">
        <v>2257</v>
      </c>
    </row>
    <row r="2466" spans="1:8" hidden="1" outlineLevel="1">
      <c r="A2466" s="418" t="s">
        <v>1352</v>
      </c>
      <c r="B2466" s="1574">
        <f>+VLOOKUP(A2466,'Anlage 2a_Letztverbrauch'!$A$1338:$I$1704,9,FALSE)</f>
        <v>9979.3700000000008</v>
      </c>
      <c r="C2466" s="88">
        <f>IFERROR(+VLOOKUP(A2466,'Anlage 2a_Letztverbrauch'!$A$2797:$I$2816,3,FALSE),0)</f>
        <v>0</v>
      </c>
      <c r="D2466" s="88">
        <v>0</v>
      </c>
      <c r="E2466" s="88">
        <f t="shared" si="91"/>
        <v>9979.3700000000008</v>
      </c>
      <c r="F2466" s="88">
        <f>+SUMIF('Anlage 2b_Korrekturen'!$B$700:$B$1160,A2466,'Anlage 2b_Korrekturen'!$E$700:$E$1160)</f>
        <v>0</v>
      </c>
      <c r="G2466" s="135">
        <f t="shared" si="92"/>
        <v>9979.3700000000008</v>
      </c>
      <c r="H2466" s="133" t="s">
        <v>1353</v>
      </c>
    </row>
    <row r="2467" spans="1:8" hidden="1" outlineLevel="1">
      <c r="A2467" s="418" t="s">
        <v>2258</v>
      </c>
      <c r="B2467" s="1574">
        <f>+VLOOKUP(A2467,'Anlage 2a_Letztverbrauch'!$A$1338:$I$1704,9,FALSE)</f>
        <v>20727.02</v>
      </c>
      <c r="C2467" s="88">
        <f>IFERROR(+VLOOKUP(A2467,'Anlage 2a_Letztverbrauch'!$A$2797:$I$2816,3,FALSE),0)</f>
        <v>0</v>
      </c>
      <c r="D2467" s="88">
        <v>0</v>
      </c>
      <c r="E2467" s="88">
        <f t="shared" si="91"/>
        <v>20727.02</v>
      </c>
      <c r="F2467" s="88">
        <f>+SUMIF('Anlage 2b_Korrekturen'!$B$700:$B$1160,A2467,'Anlage 2b_Korrekturen'!$E$700:$E$1160)</f>
        <v>0</v>
      </c>
      <c r="G2467" s="135">
        <f t="shared" si="92"/>
        <v>20727.02</v>
      </c>
      <c r="H2467" s="133" t="s">
        <v>2259</v>
      </c>
    </row>
    <row r="2468" spans="1:8" hidden="1" outlineLevel="1">
      <c r="A2468" s="418" t="s">
        <v>2260</v>
      </c>
      <c r="B2468" s="1574">
        <f>+VLOOKUP(A2468,'Anlage 2a_Letztverbrauch'!$A$1338:$I$1704,9,FALSE)</f>
        <v>1068.4100000000001</v>
      </c>
      <c r="C2468" s="88">
        <f>IFERROR(+VLOOKUP(A2468,'Anlage 2a_Letztverbrauch'!$A$2797:$I$2816,3,FALSE),0)</f>
        <v>0</v>
      </c>
      <c r="D2468" s="88">
        <v>0</v>
      </c>
      <c r="E2468" s="88">
        <f t="shared" si="91"/>
        <v>1068.4100000000001</v>
      </c>
      <c r="F2468" s="88">
        <f>+SUMIF('Anlage 2b_Korrekturen'!$B$700:$B$1160,A2468,'Anlage 2b_Korrekturen'!$E$700:$E$1160)</f>
        <v>0</v>
      </c>
      <c r="G2468" s="135">
        <f t="shared" si="92"/>
        <v>1068.4100000000001</v>
      </c>
      <c r="H2468" s="133" t="s">
        <v>2261</v>
      </c>
    </row>
    <row r="2469" spans="1:8" hidden="1" outlineLevel="1">
      <c r="A2469" s="418" t="s">
        <v>1784</v>
      </c>
      <c r="B2469" s="1574">
        <f>+VLOOKUP(A2469,'Anlage 2a_Letztverbrauch'!$A$1338:$I$1704,9,FALSE)</f>
        <v>322510.90999999997</v>
      </c>
      <c r="C2469" s="88">
        <f>IFERROR(+VLOOKUP(A2469,'Anlage 2a_Letztverbrauch'!$A$2797:$I$2816,3,FALSE),0)</f>
        <v>0</v>
      </c>
      <c r="D2469" s="88">
        <v>0</v>
      </c>
      <c r="E2469" s="88">
        <f t="shared" si="91"/>
        <v>322510.90999999997</v>
      </c>
      <c r="F2469" s="88">
        <f>+SUMIF('Anlage 2b_Korrekturen'!$B$700:$B$1160,A2469,'Anlage 2b_Korrekturen'!$E$700:$E$1160)</f>
        <v>-495.92847099999994</v>
      </c>
      <c r="G2469" s="135">
        <f t="shared" si="92"/>
        <v>322014.98152899998</v>
      </c>
      <c r="H2469" s="133" t="s">
        <v>1785</v>
      </c>
    </row>
    <row r="2470" spans="1:8" hidden="1" outlineLevel="1">
      <c r="A2470" s="418" t="s">
        <v>1816</v>
      </c>
      <c r="B2470" s="1574">
        <f>+VLOOKUP(A2470,'Anlage 2a_Letztverbrauch'!$A$1338:$I$1704,9,FALSE)</f>
        <v>249661.63</v>
      </c>
      <c r="C2470" s="88">
        <f>IFERROR(+VLOOKUP(A2470,'Anlage 2a_Letztverbrauch'!$A$2797:$I$2816,3,FALSE),0)</f>
        <v>0</v>
      </c>
      <c r="D2470" s="88">
        <v>0</v>
      </c>
      <c r="E2470" s="88">
        <f t="shared" si="91"/>
        <v>249661.63</v>
      </c>
      <c r="F2470" s="88">
        <f>+SUMIF('Anlage 2b_Korrekturen'!$B$700:$B$1160,A2470,'Anlage 2b_Korrekturen'!$E$700:$E$1160)</f>
        <v>1077.08</v>
      </c>
      <c r="G2470" s="135">
        <f t="shared" si="92"/>
        <v>250738.71</v>
      </c>
      <c r="H2470" s="133" t="s">
        <v>1817</v>
      </c>
    </row>
    <row r="2471" spans="1:8" hidden="1" outlineLevel="1">
      <c r="A2471" s="418" t="s">
        <v>1368</v>
      </c>
      <c r="B2471" s="1574">
        <f>+VLOOKUP(A2471,'Anlage 2a_Letztverbrauch'!$A$1338:$I$1704,9,FALSE)</f>
        <v>195704.31</v>
      </c>
      <c r="C2471" s="88">
        <f>IFERROR(+VLOOKUP(A2471,'Anlage 2a_Letztverbrauch'!$A$2797:$I$2816,3,FALSE),0)</f>
        <v>0</v>
      </c>
      <c r="D2471" s="88">
        <v>0</v>
      </c>
      <c r="E2471" s="88">
        <f t="shared" si="91"/>
        <v>195704.31</v>
      </c>
      <c r="F2471" s="88">
        <f>+SUMIF('Anlage 2b_Korrekturen'!$B$700:$B$1160,A2471,'Anlage 2b_Korrekturen'!$E$700:$E$1160)</f>
        <v>0</v>
      </c>
      <c r="G2471" s="135">
        <f t="shared" si="92"/>
        <v>195704.31</v>
      </c>
      <c r="H2471" s="133" t="s">
        <v>1369</v>
      </c>
    </row>
    <row r="2472" spans="1:8" hidden="1" outlineLevel="1">
      <c r="A2472" s="418" t="s">
        <v>1534</v>
      </c>
      <c r="B2472" s="1574">
        <f>+VLOOKUP(A2472,'Anlage 2a_Letztverbrauch'!$A$1338:$I$1704,9,FALSE)</f>
        <v>246617.98</v>
      </c>
      <c r="C2472" s="88">
        <f>IFERROR(+VLOOKUP(A2472,'Anlage 2a_Letztverbrauch'!$A$2797:$I$2816,3,FALSE),0)</f>
        <v>0</v>
      </c>
      <c r="D2472" s="88">
        <v>0</v>
      </c>
      <c r="E2472" s="88">
        <f t="shared" si="91"/>
        <v>246617.98</v>
      </c>
      <c r="F2472" s="88">
        <f>+SUMIF('Anlage 2b_Korrekturen'!$B$700:$B$1160,A2472,'Anlage 2b_Korrekturen'!$E$700:$E$1160)</f>
        <v>0</v>
      </c>
      <c r="G2472" s="135">
        <f t="shared" si="92"/>
        <v>246617.98</v>
      </c>
      <c r="H2472" s="133" t="s">
        <v>1535</v>
      </c>
    </row>
    <row r="2473" spans="1:8" hidden="1" outlineLevel="1">
      <c r="A2473" s="418" t="s">
        <v>1778</v>
      </c>
      <c r="B2473" s="1574">
        <f>+VLOOKUP(A2473,'Anlage 2a_Letztverbrauch'!$A$1338:$I$1704,9,FALSE)</f>
        <v>882822.36</v>
      </c>
      <c r="C2473" s="88">
        <f>IFERROR(+VLOOKUP(A2473,'Anlage 2a_Letztverbrauch'!$A$2797:$I$2816,3,FALSE),0)</f>
        <v>0</v>
      </c>
      <c r="D2473" s="88">
        <v>0</v>
      </c>
      <c r="E2473" s="88">
        <f t="shared" si="91"/>
        <v>882822.36</v>
      </c>
      <c r="F2473" s="88">
        <f>+SUMIF('Anlage 2b_Korrekturen'!$B$700:$B$1160,A2473,'Anlage 2b_Korrekturen'!$E$700:$E$1160)</f>
        <v>135.06</v>
      </c>
      <c r="G2473" s="135">
        <f t="shared" si="92"/>
        <v>882957.42</v>
      </c>
      <c r="H2473" s="133" t="s">
        <v>1779</v>
      </c>
    </row>
    <row r="2474" spans="1:8" hidden="1" outlineLevel="1">
      <c r="A2474" s="418" t="s">
        <v>799</v>
      </c>
      <c r="B2474" s="1574">
        <f>+VLOOKUP(A2474,'Anlage 2a_Letztverbrauch'!$A$1338:$I$1704,9,FALSE)</f>
        <v>56545.15</v>
      </c>
      <c r="C2474" s="88">
        <f>IFERROR(+VLOOKUP(A2474,'Anlage 2a_Letztverbrauch'!$A$2797:$I$2816,3,FALSE),0)</f>
        <v>0</v>
      </c>
      <c r="D2474" s="88">
        <v>0</v>
      </c>
      <c r="E2474" s="88">
        <f t="shared" si="91"/>
        <v>56545.15</v>
      </c>
      <c r="F2474" s="88">
        <f>+SUMIF('Anlage 2b_Korrekturen'!$B$700:$B$1160,A2474,'Anlage 2b_Korrekturen'!$E$700:$E$1160)</f>
        <v>30.372939999999996</v>
      </c>
      <c r="G2474" s="135">
        <f t="shared" si="92"/>
        <v>56575.522940000003</v>
      </c>
      <c r="H2474" s="133" t="s">
        <v>2262</v>
      </c>
    </row>
    <row r="2475" spans="1:8" hidden="1" outlineLevel="1">
      <c r="A2475" s="418" t="s">
        <v>730</v>
      </c>
      <c r="B2475" s="1574">
        <f>+VLOOKUP(A2475,'Anlage 2a_Letztverbrauch'!$A$1338:$I$1704,9,FALSE)</f>
        <v>51487.55</v>
      </c>
      <c r="C2475" s="88">
        <f>IFERROR(+VLOOKUP(A2475,'Anlage 2a_Letztverbrauch'!$A$2797:$I$2816,3,FALSE),0)</f>
        <v>0</v>
      </c>
      <c r="D2475" s="88">
        <v>0</v>
      </c>
      <c r="E2475" s="88">
        <f t="shared" si="91"/>
        <v>51487.55</v>
      </c>
      <c r="F2475" s="88">
        <f>+SUMIF('Anlage 2b_Korrekturen'!$B$700:$B$1160,A2475,'Anlage 2b_Korrekturen'!$E$700:$E$1160)</f>
        <v>0</v>
      </c>
      <c r="G2475" s="135">
        <f t="shared" si="92"/>
        <v>51487.55</v>
      </c>
      <c r="H2475" s="133" t="s">
        <v>731</v>
      </c>
    </row>
    <row r="2476" spans="1:8" hidden="1" outlineLevel="1">
      <c r="A2476" s="418" t="s">
        <v>1450</v>
      </c>
      <c r="B2476" s="1574">
        <f>+VLOOKUP(A2476,'Anlage 2a_Letztverbrauch'!$A$1338:$I$1704,9,FALSE)</f>
        <v>866248.59</v>
      </c>
      <c r="C2476" s="88">
        <f>IFERROR(+VLOOKUP(A2476,'Anlage 2a_Letztverbrauch'!$A$2797:$I$2816,3,FALSE),0)</f>
        <v>0</v>
      </c>
      <c r="D2476" s="88">
        <v>0</v>
      </c>
      <c r="E2476" s="88">
        <f t="shared" si="91"/>
        <v>866248.59</v>
      </c>
      <c r="F2476" s="88">
        <f>+SUMIF('Anlage 2b_Korrekturen'!$B$700:$B$1160,A2476,'Anlage 2b_Korrekturen'!$E$700:$E$1160)</f>
        <v>0</v>
      </c>
      <c r="G2476" s="135">
        <f t="shared" si="92"/>
        <v>866248.59</v>
      </c>
      <c r="H2476" s="133" t="s">
        <v>1451</v>
      </c>
    </row>
    <row r="2477" spans="1:8" hidden="1" outlineLevel="1">
      <c r="A2477" s="418" t="s">
        <v>2263</v>
      </c>
      <c r="B2477" s="1574">
        <f>+VLOOKUP(A2477,'Anlage 2a_Letztverbrauch'!$A$1338:$I$1704,9,FALSE)</f>
        <v>78685.33</v>
      </c>
      <c r="C2477" s="88">
        <f>IFERROR(+VLOOKUP(A2477,'Anlage 2a_Letztverbrauch'!$A$2797:$I$2816,3,FALSE),0)</f>
        <v>0</v>
      </c>
      <c r="D2477" s="88">
        <v>0</v>
      </c>
      <c r="E2477" s="88">
        <f t="shared" si="91"/>
        <v>78685.33</v>
      </c>
      <c r="F2477" s="88">
        <f>+SUMIF('Anlage 2b_Korrekturen'!$B$700:$B$1160,A2477,'Anlage 2b_Korrekturen'!$E$700:$E$1160)</f>
        <v>-710.06</v>
      </c>
      <c r="G2477" s="135">
        <f t="shared" si="92"/>
        <v>77975.27</v>
      </c>
      <c r="H2477" s="133" t="s">
        <v>2264</v>
      </c>
    </row>
    <row r="2478" spans="1:8" hidden="1" outlineLevel="1">
      <c r="A2478" s="418" t="s">
        <v>2265</v>
      </c>
      <c r="B2478" s="1574">
        <f>+VLOOKUP(A2478,'Anlage 2a_Letztverbrauch'!$A$1338:$I$1704,9,FALSE)</f>
        <v>15897.44</v>
      </c>
      <c r="C2478" s="88">
        <f>IFERROR(+VLOOKUP(A2478,'Anlage 2a_Letztverbrauch'!$A$2797:$I$2816,3,FALSE),0)</f>
        <v>0</v>
      </c>
      <c r="D2478" s="88">
        <v>0</v>
      </c>
      <c r="E2478" s="88">
        <f t="shared" si="91"/>
        <v>15897.44</v>
      </c>
      <c r="F2478" s="88">
        <f>+SUMIF('Anlage 2b_Korrekturen'!$B$700:$B$1160,A2478,'Anlage 2b_Korrekturen'!$E$700:$E$1160)</f>
        <v>34.89</v>
      </c>
      <c r="G2478" s="135">
        <f t="shared" si="92"/>
        <v>15932.33</v>
      </c>
      <c r="H2478" s="133" t="s">
        <v>2266</v>
      </c>
    </row>
    <row r="2479" spans="1:8" hidden="1" outlineLevel="1">
      <c r="A2479" s="418" t="s">
        <v>1520</v>
      </c>
      <c r="B2479" s="1574">
        <f>+VLOOKUP(A2479,'Anlage 2a_Letztverbrauch'!$A$1338:$I$1704,9,FALSE)</f>
        <v>248428</v>
      </c>
      <c r="C2479" s="88">
        <f>IFERROR(+VLOOKUP(A2479,'Anlage 2a_Letztverbrauch'!$A$2797:$I$2816,3,FALSE),0)</f>
        <v>0</v>
      </c>
      <c r="D2479" s="88">
        <v>0</v>
      </c>
      <c r="E2479" s="88">
        <f t="shared" si="91"/>
        <v>248428</v>
      </c>
      <c r="F2479" s="88">
        <f>+SUMIF('Anlage 2b_Korrekturen'!$B$700:$B$1160,A2479,'Anlage 2b_Korrekturen'!$E$700:$E$1160)</f>
        <v>4371.01368</v>
      </c>
      <c r="G2479" s="135">
        <f t="shared" si="92"/>
        <v>252799.01368</v>
      </c>
      <c r="H2479" s="133" t="s">
        <v>1521</v>
      </c>
    </row>
    <row r="2480" spans="1:8" hidden="1" outlineLevel="1">
      <c r="A2480" s="418" t="s">
        <v>1394</v>
      </c>
      <c r="B2480" s="1574">
        <f>+VLOOKUP(A2480,'Anlage 2a_Letztverbrauch'!$A$1338:$I$1704,9,FALSE)</f>
        <v>243072.33</v>
      </c>
      <c r="C2480" s="88">
        <f>IFERROR(+VLOOKUP(A2480,'Anlage 2a_Letztverbrauch'!$A$2797:$I$2816,3,FALSE),0)</f>
        <v>0</v>
      </c>
      <c r="D2480" s="88">
        <v>0</v>
      </c>
      <c r="E2480" s="88">
        <f t="shared" si="91"/>
        <v>243072.33</v>
      </c>
      <c r="F2480" s="88">
        <f>+SUMIF('Anlage 2b_Korrekturen'!$B$700:$B$1160,A2480,'Anlage 2b_Korrekturen'!$E$700:$E$1160)</f>
        <v>0</v>
      </c>
      <c r="G2480" s="135">
        <f t="shared" si="92"/>
        <v>243072.33</v>
      </c>
      <c r="H2480" s="133" t="s">
        <v>1395</v>
      </c>
    </row>
    <row r="2481" spans="1:8" hidden="1" outlineLevel="1">
      <c r="A2481" s="418" t="s">
        <v>943</v>
      </c>
      <c r="B2481" s="1574">
        <f>+VLOOKUP(A2481,'Anlage 2a_Letztverbrauch'!$A$1338:$I$1704,9,FALSE)</f>
        <v>1913546.73</v>
      </c>
      <c r="C2481" s="88">
        <f>IFERROR(+VLOOKUP(A2481,'Anlage 2a_Letztverbrauch'!$A$2797:$I$2816,3,FALSE),0)</f>
        <v>0</v>
      </c>
      <c r="D2481" s="88">
        <v>0</v>
      </c>
      <c r="E2481" s="88">
        <f t="shared" si="91"/>
        <v>1913546.73</v>
      </c>
      <c r="F2481" s="88">
        <f>+SUMIF('Anlage 2b_Korrekturen'!$B$700:$B$1160,A2481,'Anlage 2b_Korrekturen'!$E$700:$E$1160)</f>
        <v>-27530.098579999998</v>
      </c>
      <c r="G2481" s="135">
        <f t="shared" si="92"/>
        <v>1886016.63142</v>
      </c>
      <c r="H2481" s="133" t="s">
        <v>944</v>
      </c>
    </row>
    <row r="2482" spans="1:8" hidden="1" outlineLevel="1">
      <c r="A2482" s="418" t="s">
        <v>1046</v>
      </c>
      <c r="B2482" s="1574">
        <f>+VLOOKUP(A2482,'Anlage 2a_Letztverbrauch'!$A$1338:$I$1704,9,FALSE)</f>
        <v>784442.98</v>
      </c>
      <c r="C2482" s="88">
        <f>IFERROR(+VLOOKUP(A2482,'Anlage 2a_Letztverbrauch'!$A$2797:$I$2816,3,FALSE),0)</f>
        <v>0</v>
      </c>
      <c r="D2482" s="88">
        <v>0</v>
      </c>
      <c r="E2482" s="88">
        <f t="shared" si="91"/>
        <v>784442.98</v>
      </c>
      <c r="F2482" s="88">
        <f>+SUMIF('Anlage 2b_Korrekturen'!$B$700:$B$1160,A2482,'Anlage 2b_Korrekturen'!$E$700:$E$1160)</f>
        <v>0</v>
      </c>
      <c r="G2482" s="135">
        <f t="shared" si="92"/>
        <v>784442.98</v>
      </c>
      <c r="H2482" s="133" t="s">
        <v>1047</v>
      </c>
    </row>
    <row r="2483" spans="1:8" hidden="1" outlineLevel="1">
      <c r="A2483" s="418" t="s">
        <v>1770</v>
      </c>
      <c r="B2483" s="1574">
        <f>+VLOOKUP(A2483,'Anlage 2a_Letztverbrauch'!$A$1338:$I$1704,9,FALSE)</f>
        <v>175533.07</v>
      </c>
      <c r="C2483" s="88">
        <f>IFERROR(+VLOOKUP(A2483,'Anlage 2a_Letztverbrauch'!$A$2797:$I$2816,3,FALSE),0)</f>
        <v>0</v>
      </c>
      <c r="D2483" s="88">
        <v>0</v>
      </c>
      <c r="E2483" s="88">
        <f t="shared" si="91"/>
        <v>175533.07</v>
      </c>
      <c r="F2483" s="88">
        <f>+SUMIF('Anlage 2b_Korrekturen'!$B$700:$B$1160,A2483,'Anlage 2b_Korrekturen'!$E$700:$E$1160)</f>
        <v>775.57521999999983</v>
      </c>
      <c r="G2483" s="135">
        <f t="shared" si="92"/>
        <v>176308.64522000001</v>
      </c>
      <c r="H2483" s="133" t="s">
        <v>1771</v>
      </c>
    </row>
    <row r="2484" spans="1:8" hidden="1" outlineLevel="1">
      <c r="A2484" s="418" t="s">
        <v>2267</v>
      </c>
      <c r="B2484" s="1574">
        <f>+VLOOKUP(A2484,'Anlage 2a_Letztverbrauch'!$A$1338:$I$1704,9,FALSE)</f>
        <v>21143.42</v>
      </c>
      <c r="C2484" s="88">
        <f>IFERROR(+VLOOKUP(A2484,'Anlage 2a_Letztverbrauch'!$A$2797:$I$2816,3,FALSE),0)</f>
        <v>0</v>
      </c>
      <c r="D2484" s="88">
        <v>0</v>
      </c>
      <c r="E2484" s="88">
        <f t="shared" si="91"/>
        <v>21143.42</v>
      </c>
      <c r="F2484" s="88">
        <f>+SUMIF('Anlage 2b_Korrekturen'!$B$700:$B$1160,A2484,'Anlage 2b_Korrekturen'!$E$700:$E$1160)</f>
        <v>0</v>
      </c>
      <c r="G2484" s="135">
        <f t="shared" si="92"/>
        <v>21143.42</v>
      </c>
      <c r="H2484" s="133" t="s">
        <v>2268</v>
      </c>
    </row>
    <row r="2485" spans="1:8" hidden="1" outlineLevel="1">
      <c r="A2485" s="418" t="s">
        <v>1030</v>
      </c>
      <c r="B2485" s="1574">
        <f>+VLOOKUP(A2485,'Anlage 2a_Letztverbrauch'!$A$1338:$I$1704,9,FALSE)</f>
        <v>189079.82</v>
      </c>
      <c r="C2485" s="88">
        <f>IFERROR(+VLOOKUP(A2485,'Anlage 2a_Letztverbrauch'!$A$2797:$I$2816,3,FALSE),0)</f>
        <v>0</v>
      </c>
      <c r="D2485" s="88">
        <v>0</v>
      </c>
      <c r="E2485" s="88">
        <f t="shared" si="91"/>
        <v>189079.82</v>
      </c>
      <c r="F2485" s="88">
        <f>+SUMIF('Anlage 2b_Korrekturen'!$B$700:$B$1160,A2485,'Anlage 2b_Korrekturen'!$E$700:$E$1160)</f>
        <v>-8731.7231900000006</v>
      </c>
      <c r="G2485" s="135">
        <f t="shared" si="92"/>
        <v>180348.09681000002</v>
      </c>
      <c r="H2485" s="133" t="s">
        <v>1031</v>
      </c>
    </row>
    <row r="2486" spans="1:8" hidden="1" outlineLevel="1">
      <c r="A2486" s="418" t="s">
        <v>2269</v>
      </c>
      <c r="B2486" s="1574">
        <f>+VLOOKUP(A2486,'Anlage 2a_Letztverbrauch'!$A$1338:$I$1704,9,FALSE)</f>
        <v>15038.78</v>
      </c>
      <c r="C2486" s="88">
        <f>IFERROR(+VLOOKUP(A2486,'Anlage 2a_Letztverbrauch'!$A$2797:$I$2816,3,FALSE),0)</f>
        <v>0</v>
      </c>
      <c r="D2486" s="88">
        <v>0</v>
      </c>
      <c r="E2486" s="88">
        <f t="shared" si="91"/>
        <v>15038.78</v>
      </c>
      <c r="F2486" s="88">
        <f>+SUMIF('Anlage 2b_Korrekturen'!$B$700:$B$1160,A2486,'Anlage 2b_Korrekturen'!$E$700:$E$1160)</f>
        <v>0</v>
      </c>
      <c r="G2486" s="135">
        <f t="shared" si="92"/>
        <v>15038.78</v>
      </c>
      <c r="H2486" s="133" t="s">
        <v>2270</v>
      </c>
    </row>
    <row r="2487" spans="1:8" hidden="1" outlineLevel="1">
      <c r="A2487" s="418" t="s">
        <v>839</v>
      </c>
      <c r="B2487" s="1574">
        <f>+VLOOKUP(A2487,'Anlage 2a_Letztverbrauch'!$A$1338:$I$1704,9,FALSE)</f>
        <v>559468.13</v>
      </c>
      <c r="C2487" s="88">
        <f>IFERROR(+VLOOKUP(A2487,'Anlage 2a_Letztverbrauch'!$A$2797:$I$2816,3,FALSE),0)</f>
        <v>0</v>
      </c>
      <c r="D2487" s="88">
        <v>0</v>
      </c>
      <c r="E2487" s="88">
        <f t="shared" si="91"/>
        <v>559468.13</v>
      </c>
      <c r="F2487" s="88">
        <f>+SUMIF('Anlage 2b_Korrekturen'!$B$700:$B$1160,A2487,'Anlage 2b_Korrekturen'!$E$700:$E$1160)</f>
        <v>-172.96655999999996</v>
      </c>
      <c r="G2487" s="135">
        <f t="shared" si="92"/>
        <v>559295.16344000003</v>
      </c>
      <c r="H2487" s="133" t="s">
        <v>1311</v>
      </c>
    </row>
    <row r="2488" spans="1:8" hidden="1" outlineLevel="1">
      <c r="A2488" s="418" t="s">
        <v>1273</v>
      </c>
      <c r="B2488" s="1574">
        <f>+VLOOKUP(A2488,'Anlage 2a_Letztverbrauch'!$A$1338:$I$1704,9,FALSE)</f>
        <v>372472.73</v>
      </c>
      <c r="C2488" s="88">
        <f>IFERROR(+VLOOKUP(A2488,'Anlage 2a_Letztverbrauch'!$A$2797:$I$2816,3,FALSE),0)</f>
        <v>0</v>
      </c>
      <c r="D2488" s="88">
        <v>0</v>
      </c>
      <c r="E2488" s="88">
        <f t="shared" si="91"/>
        <v>372472.73</v>
      </c>
      <c r="F2488" s="88">
        <f>+SUMIF('Anlage 2b_Korrekturen'!$B$700:$B$1160,A2488,'Anlage 2b_Korrekturen'!$E$700:$E$1160)</f>
        <v>9745.0464699999993</v>
      </c>
      <c r="G2488" s="135">
        <f t="shared" si="92"/>
        <v>382217.77646999998</v>
      </c>
      <c r="H2488" s="133" t="s">
        <v>1274</v>
      </c>
    </row>
    <row r="2489" spans="1:8" hidden="1" outlineLevel="1">
      <c r="A2489" s="418" t="s">
        <v>1480</v>
      </c>
      <c r="B2489" s="1574">
        <f>+VLOOKUP(A2489,'Anlage 2a_Letztverbrauch'!$A$1338:$I$1704,9,FALSE)</f>
        <v>30259.27</v>
      </c>
      <c r="C2489" s="88">
        <f>IFERROR(+VLOOKUP(A2489,'Anlage 2a_Letztverbrauch'!$A$2797:$I$2816,3,FALSE),0)</f>
        <v>0</v>
      </c>
      <c r="D2489" s="88">
        <v>0</v>
      </c>
      <c r="E2489" s="88">
        <f t="shared" si="91"/>
        <v>30259.27</v>
      </c>
      <c r="F2489" s="88">
        <f>+SUMIF('Anlage 2b_Korrekturen'!$B$700:$B$1160,A2489,'Anlage 2b_Korrekturen'!$E$700:$E$1160)</f>
        <v>0</v>
      </c>
      <c r="G2489" s="135">
        <f t="shared" si="92"/>
        <v>30259.27</v>
      </c>
      <c r="H2489" s="133" t="s">
        <v>1481</v>
      </c>
    </row>
    <row r="2490" spans="1:8" hidden="1" outlineLevel="1">
      <c r="A2490" s="418" t="s">
        <v>1271</v>
      </c>
      <c r="B2490" s="1574">
        <f>+VLOOKUP(A2490,'Anlage 2a_Letztverbrauch'!$A$1338:$I$1704,9,FALSE)</f>
        <v>286241.31</v>
      </c>
      <c r="C2490" s="88">
        <f>IFERROR(+VLOOKUP(A2490,'Anlage 2a_Letztverbrauch'!$A$2797:$I$2816,3,FALSE),0)</f>
        <v>0</v>
      </c>
      <c r="D2490" s="88">
        <v>0</v>
      </c>
      <c r="E2490" s="88">
        <f t="shared" si="91"/>
        <v>286241.31</v>
      </c>
      <c r="F2490" s="88">
        <f>+SUMIF('Anlage 2b_Korrekturen'!$B$700:$B$1160,A2490,'Anlage 2b_Korrekturen'!$E$700:$E$1160)</f>
        <v>0</v>
      </c>
      <c r="G2490" s="135">
        <f t="shared" si="92"/>
        <v>286241.31</v>
      </c>
      <c r="H2490" s="133" t="s">
        <v>1272</v>
      </c>
    </row>
    <row r="2491" spans="1:8" hidden="1" outlineLevel="1">
      <c r="A2491" s="418" t="s">
        <v>1488</v>
      </c>
      <c r="B2491" s="1574">
        <f>+VLOOKUP(A2491,'Anlage 2a_Letztverbrauch'!$A$1338:$I$1704,9,FALSE)</f>
        <v>395365.38</v>
      </c>
      <c r="C2491" s="88">
        <f>IFERROR(+VLOOKUP(A2491,'Anlage 2a_Letztverbrauch'!$A$2797:$I$2816,3,FALSE),0)</f>
        <v>0</v>
      </c>
      <c r="D2491" s="88">
        <v>0</v>
      </c>
      <c r="E2491" s="88">
        <f t="shared" si="91"/>
        <v>395365.38</v>
      </c>
      <c r="F2491" s="88">
        <f>+SUMIF('Anlage 2b_Korrekturen'!$B$700:$B$1160,A2491,'Anlage 2b_Korrekturen'!$E$700:$E$1160)</f>
        <v>-2299.5144399999999</v>
      </c>
      <c r="G2491" s="135">
        <f t="shared" si="92"/>
        <v>393065.86556000001</v>
      </c>
      <c r="H2491" s="133" t="s">
        <v>1489</v>
      </c>
    </row>
    <row r="2492" spans="1:8" hidden="1" outlineLevel="1">
      <c r="A2492" s="418" t="s">
        <v>1782</v>
      </c>
      <c r="B2492" s="1574">
        <f>+VLOOKUP(A2492,'Anlage 2a_Letztverbrauch'!$A$1338:$I$1704,9,FALSE)</f>
        <v>470338.82</v>
      </c>
      <c r="C2492" s="88">
        <f>IFERROR(+VLOOKUP(A2492,'Anlage 2a_Letztverbrauch'!$A$2797:$I$2816,3,FALSE),0)</f>
        <v>0</v>
      </c>
      <c r="D2492" s="88">
        <v>0</v>
      </c>
      <c r="E2492" s="88">
        <f t="shared" si="91"/>
        <v>470338.82</v>
      </c>
      <c r="F2492" s="88">
        <f>+SUMIF('Anlage 2b_Korrekturen'!$B$700:$B$1160,A2492,'Anlage 2b_Korrekturen'!$E$700:$E$1160)</f>
        <v>246.91886</v>
      </c>
      <c r="G2492" s="135">
        <f t="shared" si="92"/>
        <v>470585.73885999998</v>
      </c>
      <c r="H2492" s="133" t="s">
        <v>1783</v>
      </c>
    </row>
    <row r="2493" spans="1:8" hidden="1" outlineLevel="1">
      <c r="A2493" s="418" t="s">
        <v>1472</v>
      </c>
      <c r="B2493" s="1574">
        <f>+VLOOKUP(A2493,'Anlage 2a_Letztverbrauch'!$A$1338:$I$1704,9,FALSE)</f>
        <v>48831.9</v>
      </c>
      <c r="C2493" s="88">
        <f>IFERROR(+VLOOKUP(A2493,'Anlage 2a_Letztverbrauch'!$A$2797:$I$2816,3,FALSE),0)</f>
        <v>0</v>
      </c>
      <c r="D2493" s="88">
        <v>0</v>
      </c>
      <c r="E2493" s="88">
        <f t="shared" si="91"/>
        <v>48831.9</v>
      </c>
      <c r="F2493" s="88">
        <f>+SUMIF('Anlage 2b_Korrekturen'!$B$700:$B$1160,A2493,'Anlage 2b_Korrekturen'!$E$700:$E$1160)</f>
        <v>370.03244999999998</v>
      </c>
      <c r="G2493" s="135">
        <f t="shared" si="92"/>
        <v>49201.93245</v>
      </c>
      <c r="H2493" s="133" t="s">
        <v>1473</v>
      </c>
    </row>
    <row r="2494" spans="1:8" hidden="1" outlineLevel="1">
      <c r="A2494" s="418" t="s">
        <v>1692</v>
      </c>
      <c r="B2494" s="1574">
        <f>+VLOOKUP(A2494,'Anlage 2a_Letztverbrauch'!$A$1338:$I$1704,9,FALSE)</f>
        <v>121633.11</v>
      </c>
      <c r="C2494" s="88">
        <f>IFERROR(+VLOOKUP(A2494,'Anlage 2a_Letztverbrauch'!$A$2797:$I$2816,3,FALSE),0)</f>
        <v>0</v>
      </c>
      <c r="D2494" s="88">
        <v>0</v>
      </c>
      <c r="E2494" s="88">
        <f t="shared" si="91"/>
        <v>121633.11</v>
      </c>
      <c r="F2494" s="88">
        <f>+SUMIF('Anlage 2b_Korrekturen'!$B$700:$B$1160,A2494,'Anlage 2b_Korrekturen'!$E$700:$E$1160)</f>
        <v>0</v>
      </c>
      <c r="G2494" s="135">
        <f t="shared" si="92"/>
        <v>121633.11</v>
      </c>
      <c r="H2494" s="133" t="s">
        <v>1693</v>
      </c>
    </row>
    <row r="2495" spans="1:8" hidden="1" outlineLevel="1">
      <c r="A2495" s="418" t="s">
        <v>2271</v>
      </c>
      <c r="B2495" s="1574">
        <f>+VLOOKUP(A2495,'Anlage 2a_Letztverbrauch'!$A$1338:$I$1704,9,FALSE)</f>
        <v>47236.41</v>
      </c>
      <c r="C2495" s="88">
        <f>IFERROR(+VLOOKUP(A2495,'Anlage 2a_Letztverbrauch'!$A$2797:$I$2816,3,FALSE),0)</f>
        <v>0</v>
      </c>
      <c r="D2495" s="88">
        <v>0</v>
      </c>
      <c r="E2495" s="88">
        <f t="shared" si="91"/>
        <v>47236.41</v>
      </c>
      <c r="F2495" s="88">
        <f>+SUMIF('Anlage 2b_Korrekturen'!$B$700:$B$1160,A2495,'Anlage 2b_Korrekturen'!$E$700:$E$1160)</f>
        <v>0</v>
      </c>
      <c r="G2495" s="135">
        <f t="shared" si="92"/>
        <v>47236.41</v>
      </c>
      <c r="H2495" s="133" t="s">
        <v>2272</v>
      </c>
    </row>
    <row r="2496" spans="1:8" hidden="1" outlineLevel="1">
      <c r="A2496" s="418" t="s">
        <v>1687</v>
      </c>
      <c r="B2496" s="1574">
        <f>+VLOOKUP(A2496,'Anlage 2a_Letztverbrauch'!$A$1338:$I$1704,9,FALSE)</f>
        <v>152708.57</v>
      </c>
      <c r="C2496" s="88">
        <f>IFERROR(+VLOOKUP(A2496,'Anlage 2a_Letztverbrauch'!$A$2797:$I$2816,3,FALSE),0)</f>
        <v>0</v>
      </c>
      <c r="D2496" s="88">
        <v>0</v>
      </c>
      <c r="E2496" s="88">
        <f t="shared" si="91"/>
        <v>152708.57</v>
      </c>
      <c r="F2496" s="88">
        <f>+SUMIF('Anlage 2b_Korrekturen'!$B$700:$B$1160,A2496,'Anlage 2b_Korrekturen'!$E$700:$E$1160)</f>
        <v>0</v>
      </c>
      <c r="G2496" s="135">
        <f t="shared" si="92"/>
        <v>152708.57</v>
      </c>
      <c r="H2496" s="133" t="s">
        <v>1688</v>
      </c>
    </row>
    <row r="2497" spans="1:8" hidden="1" outlineLevel="1">
      <c r="A2497" s="418" t="s">
        <v>2273</v>
      </c>
      <c r="B2497" s="1574">
        <f>+VLOOKUP(A2497,'Anlage 2a_Letztverbrauch'!$A$1338:$I$1704,9,FALSE)</f>
        <v>228657.22</v>
      </c>
      <c r="C2497" s="88">
        <f>IFERROR(+VLOOKUP(A2497,'Anlage 2a_Letztverbrauch'!$A$2797:$I$2816,3,FALSE),0)</f>
        <v>0</v>
      </c>
      <c r="D2497" s="88">
        <v>0</v>
      </c>
      <c r="E2497" s="88">
        <f t="shared" si="91"/>
        <v>228657.22</v>
      </c>
      <c r="F2497" s="88">
        <f>+SUMIF('Anlage 2b_Korrekturen'!$B$700:$B$1160,A2497,'Anlage 2b_Korrekturen'!$E$700:$E$1160)</f>
        <v>0</v>
      </c>
      <c r="G2497" s="135">
        <f t="shared" si="92"/>
        <v>228657.22</v>
      </c>
      <c r="H2497" s="133" t="s">
        <v>2274</v>
      </c>
    </row>
    <row r="2498" spans="1:8" hidden="1" outlineLevel="1">
      <c r="A2498" s="418" t="s">
        <v>1498</v>
      </c>
      <c r="B2498" s="1574">
        <f>+VLOOKUP(A2498,'Anlage 2a_Letztverbrauch'!$A$1338:$I$1704,9,FALSE)</f>
        <v>16099.15</v>
      </c>
      <c r="C2498" s="88">
        <f>IFERROR(+VLOOKUP(A2498,'Anlage 2a_Letztverbrauch'!$A$2797:$I$2816,3,FALSE),0)</f>
        <v>0</v>
      </c>
      <c r="D2498" s="88">
        <v>0</v>
      </c>
      <c r="E2498" s="88">
        <f t="shared" si="91"/>
        <v>16099.15</v>
      </c>
      <c r="F2498" s="88">
        <f>+SUMIF('Anlage 2b_Korrekturen'!$B$700:$B$1160,A2498,'Anlage 2b_Korrekturen'!$E$700:$E$1160)</f>
        <v>0</v>
      </c>
      <c r="G2498" s="135">
        <f t="shared" si="92"/>
        <v>16099.15</v>
      </c>
      <c r="H2498" s="133" t="s">
        <v>1499</v>
      </c>
    </row>
    <row r="2499" spans="1:8" hidden="1" outlineLevel="1">
      <c r="A2499" s="418" t="s">
        <v>1508</v>
      </c>
      <c r="B2499" s="1574">
        <f>+VLOOKUP(A2499,'Anlage 2a_Letztverbrauch'!$A$1338:$I$1704,9,FALSE)</f>
        <v>417053.69</v>
      </c>
      <c r="C2499" s="88">
        <f>IFERROR(+VLOOKUP(A2499,'Anlage 2a_Letztverbrauch'!$A$2797:$I$2816,3,FALSE),0)</f>
        <v>0</v>
      </c>
      <c r="D2499" s="88">
        <v>0</v>
      </c>
      <c r="E2499" s="88">
        <f t="shared" si="91"/>
        <v>417053.69</v>
      </c>
      <c r="F2499" s="88">
        <f>+SUMIF('Anlage 2b_Korrekturen'!$B$700:$B$1160,A2499,'Anlage 2b_Korrekturen'!$E$700:$E$1160)</f>
        <v>-1330.42958</v>
      </c>
      <c r="G2499" s="135">
        <f t="shared" si="92"/>
        <v>415723.26042000001</v>
      </c>
      <c r="H2499" s="133" t="s">
        <v>1509</v>
      </c>
    </row>
    <row r="2500" spans="1:8" hidden="1" outlineLevel="1">
      <c r="A2500" s="418" t="s">
        <v>1305</v>
      </c>
      <c r="B2500" s="1574">
        <f>+VLOOKUP(A2500,'Anlage 2a_Letztverbrauch'!$A$1338:$I$1704,9,FALSE)</f>
        <v>794837.02</v>
      </c>
      <c r="C2500" s="88">
        <f>IFERROR(+VLOOKUP(A2500,'Anlage 2a_Letztverbrauch'!$A$2797:$I$2816,3,FALSE),0)</f>
        <v>0</v>
      </c>
      <c r="D2500" s="88">
        <v>0</v>
      </c>
      <c r="E2500" s="88">
        <f t="shared" si="91"/>
        <v>794837.02</v>
      </c>
      <c r="F2500" s="88">
        <f>+SUMIF('Anlage 2b_Korrekturen'!$B$700:$B$1160,A2500,'Anlage 2b_Korrekturen'!$E$700:$E$1160)</f>
        <v>-10062.11194633</v>
      </c>
      <c r="G2500" s="135">
        <f t="shared" si="92"/>
        <v>784774.90805366996</v>
      </c>
      <c r="H2500" s="133" t="s">
        <v>1306</v>
      </c>
    </row>
    <row r="2501" spans="1:8" hidden="1" outlineLevel="1">
      <c r="A2501" s="418" t="s">
        <v>1810</v>
      </c>
      <c r="B2501" s="1574">
        <f>+VLOOKUP(A2501,'Anlage 2a_Letztverbrauch'!$A$1338:$I$1704,9,FALSE)</f>
        <v>182103.46</v>
      </c>
      <c r="C2501" s="88">
        <f>IFERROR(+VLOOKUP(A2501,'Anlage 2a_Letztverbrauch'!$A$2797:$I$2816,3,FALSE),0)</f>
        <v>0</v>
      </c>
      <c r="D2501" s="88">
        <v>0</v>
      </c>
      <c r="E2501" s="88">
        <f t="shared" si="91"/>
        <v>182103.46</v>
      </c>
      <c r="F2501" s="88">
        <f>+SUMIF('Anlage 2b_Korrekturen'!$B$700:$B$1160,A2501,'Anlage 2b_Korrekturen'!$E$700:$E$1160)</f>
        <v>-1584.8260500000001</v>
      </c>
      <c r="G2501" s="135">
        <f t="shared" si="92"/>
        <v>180518.63394999999</v>
      </c>
      <c r="H2501" s="133" t="s">
        <v>1811</v>
      </c>
    </row>
    <row r="2502" spans="1:8" hidden="1" outlineLevel="1">
      <c r="A2502" s="418" t="s">
        <v>542</v>
      </c>
      <c r="B2502" s="1574">
        <f>+VLOOKUP(A2502,'Anlage 2a_Letztverbrauch'!$A$1338:$I$1704,9,FALSE)</f>
        <v>1.18</v>
      </c>
      <c r="C2502" s="88">
        <f>IFERROR(+VLOOKUP(A2502,'Anlage 2a_Letztverbrauch'!$A$2797:$I$2816,3,FALSE),0)</f>
        <v>0</v>
      </c>
      <c r="D2502" s="88">
        <v>0</v>
      </c>
      <c r="E2502" s="88">
        <f t="shared" si="91"/>
        <v>1.18</v>
      </c>
      <c r="F2502" s="88">
        <f>+SUMIF('Anlage 2b_Korrekturen'!$B$700:$B$1160,A2502,'Anlage 2b_Korrekturen'!$E$700:$E$1160)</f>
        <v>0</v>
      </c>
      <c r="G2502" s="135">
        <f t="shared" si="92"/>
        <v>1.18</v>
      </c>
      <c r="H2502" s="133" t="s">
        <v>543</v>
      </c>
    </row>
    <row r="2503" spans="1:8" hidden="1" outlineLevel="1">
      <c r="A2503" s="418" t="s">
        <v>2275</v>
      </c>
      <c r="B2503" s="1574">
        <f>+VLOOKUP(A2503,'Anlage 2a_Letztverbrauch'!$A$1338:$I$1704,9,FALSE)</f>
        <v>149991.25</v>
      </c>
      <c r="C2503" s="88">
        <f>IFERROR(+VLOOKUP(A2503,'Anlage 2a_Letztverbrauch'!$A$2797:$I$2816,3,FALSE),0)</f>
        <v>0</v>
      </c>
      <c r="D2503" s="88">
        <v>0</v>
      </c>
      <c r="E2503" s="88">
        <f t="shared" si="91"/>
        <v>149991.25</v>
      </c>
      <c r="F2503" s="88">
        <f>+SUMIF('Anlage 2b_Korrekturen'!$B$700:$B$1160,A2503,'Anlage 2b_Korrekturen'!$E$700:$E$1160)</f>
        <v>-4593.7107244700001</v>
      </c>
      <c r="G2503" s="135">
        <f t="shared" si="92"/>
        <v>145397.53927553</v>
      </c>
      <c r="H2503" s="133" t="s">
        <v>2276</v>
      </c>
    </row>
    <row r="2504" spans="1:8" hidden="1" outlineLevel="1">
      <c r="A2504" s="418" t="s">
        <v>726</v>
      </c>
      <c r="B2504" s="1574">
        <f>+VLOOKUP(A2504,'Anlage 2a_Letztverbrauch'!$A$1338:$I$1704,9,FALSE)</f>
        <v>80938.31</v>
      </c>
      <c r="C2504" s="88">
        <f>IFERROR(+VLOOKUP(A2504,'Anlage 2a_Letztverbrauch'!$A$2797:$I$2816,3,FALSE),0)</f>
        <v>0</v>
      </c>
      <c r="D2504" s="88">
        <v>0</v>
      </c>
      <c r="E2504" s="88">
        <f t="shared" si="91"/>
        <v>80938.31</v>
      </c>
      <c r="F2504" s="88">
        <f>+SUMIF('Anlage 2b_Korrekturen'!$B$700:$B$1160,A2504,'Anlage 2b_Korrekturen'!$E$700:$E$1160)</f>
        <v>-2055.61</v>
      </c>
      <c r="G2504" s="135">
        <f t="shared" si="92"/>
        <v>78882.7</v>
      </c>
      <c r="H2504" s="133" t="s">
        <v>727</v>
      </c>
    </row>
    <row r="2505" spans="1:8" hidden="1" outlineLevel="1">
      <c r="A2505" s="418" t="s">
        <v>1370</v>
      </c>
      <c r="B2505" s="1574">
        <f>+VLOOKUP(A2505,'Anlage 2a_Letztverbrauch'!$A$1338:$I$1704,9,FALSE)</f>
        <v>63417.9</v>
      </c>
      <c r="C2505" s="88">
        <f>IFERROR(+VLOOKUP(A2505,'Anlage 2a_Letztverbrauch'!$A$2797:$I$2816,3,FALSE),0)</f>
        <v>0</v>
      </c>
      <c r="D2505" s="88">
        <v>0</v>
      </c>
      <c r="E2505" s="88">
        <f t="shared" si="91"/>
        <v>63417.9</v>
      </c>
      <c r="F2505" s="88">
        <f>+SUMIF('Anlage 2b_Korrekturen'!$B$700:$B$1160,A2505,'Anlage 2b_Korrekturen'!$E$700:$E$1160)</f>
        <v>-18.139864800000002</v>
      </c>
      <c r="G2505" s="135">
        <f t="shared" si="92"/>
        <v>63399.760135199998</v>
      </c>
      <c r="H2505" s="133" t="s">
        <v>1371</v>
      </c>
    </row>
    <row r="2506" spans="1:8" hidden="1" outlineLevel="1">
      <c r="A2506" s="418" t="s">
        <v>1522</v>
      </c>
      <c r="B2506" s="1574">
        <f>+VLOOKUP(A2506,'Anlage 2a_Letztverbrauch'!$A$1338:$I$1704,9,FALSE)</f>
        <v>791528.95</v>
      </c>
      <c r="C2506" s="88">
        <f>IFERROR(+VLOOKUP(A2506,'Anlage 2a_Letztverbrauch'!$A$2797:$I$2816,3,FALSE),0)</f>
        <v>0</v>
      </c>
      <c r="D2506" s="88">
        <v>0</v>
      </c>
      <c r="E2506" s="88">
        <f t="shared" si="91"/>
        <v>791528.95</v>
      </c>
      <c r="F2506" s="88">
        <f>+SUMIF('Anlage 2b_Korrekturen'!$B$700:$B$1160,A2506,'Anlage 2b_Korrekturen'!$E$700:$E$1160)</f>
        <v>-227.87819999999988</v>
      </c>
      <c r="G2506" s="135">
        <f t="shared" si="92"/>
        <v>791301.07179999992</v>
      </c>
      <c r="H2506" s="133" t="s">
        <v>1523</v>
      </c>
    </row>
    <row r="2507" spans="1:8" hidden="1" outlineLevel="1">
      <c r="A2507" s="418" t="s">
        <v>1223</v>
      </c>
      <c r="B2507" s="1574">
        <f>+VLOOKUP(A2507,'Anlage 2a_Letztverbrauch'!$A$1338:$I$1704,9,FALSE)</f>
        <v>169912.29</v>
      </c>
      <c r="C2507" s="88">
        <f>IFERROR(+VLOOKUP(A2507,'Anlage 2a_Letztverbrauch'!$A$2797:$I$2816,3,FALSE),0)</f>
        <v>0</v>
      </c>
      <c r="D2507" s="88">
        <v>0</v>
      </c>
      <c r="E2507" s="88">
        <f t="shared" si="91"/>
        <v>169912.29</v>
      </c>
      <c r="F2507" s="88">
        <f>+SUMIF('Anlage 2b_Korrekturen'!$B$700:$B$1160,A2507,'Anlage 2b_Korrekturen'!$E$700:$E$1160)</f>
        <v>5346.8541408999999</v>
      </c>
      <c r="G2507" s="135">
        <f t="shared" si="92"/>
        <v>175259.1441409</v>
      </c>
      <c r="H2507" s="133" t="s">
        <v>1224</v>
      </c>
    </row>
    <row r="2508" spans="1:8" hidden="1" outlineLevel="1">
      <c r="A2508" s="418" t="s">
        <v>1432</v>
      </c>
      <c r="B2508" s="1574">
        <f>+VLOOKUP(A2508,'Anlage 2a_Letztverbrauch'!$A$1338:$I$1704,9,FALSE)</f>
        <v>184257.26</v>
      </c>
      <c r="C2508" s="88">
        <f>IFERROR(+VLOOKUP(A2508,'Anlage 2a_Letztverbrauch'!$A$2797:$I$2816,3,FALSE),0)</f>
        <v>0</v>
      </c>
      <c r="D2508" s="88">
        <v>0</v>
      </c>
      <c r="E2508" s="88">
        <f t="shared" si="91"/>
        <v>184257.26</v>
      </c>
      <c r="F2508" s="88">
        <f>+SUMIF('Anlage 2b_Korrekturen'!$B$700:$B$1160,A2508,'Anlage 2b_Korrekturen'!$E$700:$E$1160)</f>
        <v>1764.0964695999999</v>
      </c>
      <c r="G2508" s="135">
        <f t="shared" si="92"/>
        <v>186021.3564696</v>
      </c>
      <c r="H2508" s="133" t="s">
        <v>1433</v>
      </c>
    </row>
    <row r="2509" spans="1:8" hidden="1" outlineLevel="1">
      <c r="A2509" s="418" t="s">
        <v>1364</v>
      </c>
      <c r="B2509" s="1574">
        <f>+VLOOKUP(A2509,'Anlage 2a_Letztverbrauch'!$A$1338:$I$1704,9,FALSE)</f>
        <v>199291.88</v>
      </c>
      <c r="C2509" s="88">
        <f>IFERROR(+VLOOKUP(A2509,'Anlage 2a_Letztverbrauch'!$A$2797:$I$2816,3,FALSE),0)</f>
        <v>0</v>
      </c>
      <c r="D2509" s="88">
        <v>0</v>
      </c>
      <c r="E2509" s="88">
        <f t="shared" si="91"/>
        <v>199291.88</v>
      </c>
      <c r="F2509" s="88">
        <f>+SUMIF('Anlage 2b_Korrekturen'!$B$700:$B$1160,A2509,'Anlage 2b_Korrekturen'!$E$700:$E$1160)</f>
        <v>-184.42055809999999</v>
      </c>
      <c r="G2509" s="135">
        <f t="shared" si="92"/>
        <v>199107.45944189999</v>
      </c>
      <c r="H2509" s="133" t="s">
        <v>1365</v>
      </c>
    </row>
    <row r="2510" spans="1:8" hidden="1" outlineLevel="1">
      <c r="A2510" s="418" t="s">
        <v>1822</v>
      </c>
      <c r="B2510" s="1574">
        <f>+VLOOKUP(A2510,'Anlage 2a_Letztverbrauch'!$A$1338:$I$1704,9,FALSE)</f>
        <v>171586.1</v>
      </c>
      <c r="C2510" s="88">
        <f>IFERROR(+VLOOKUP(A2510,'Anlage 2a_Letztverbrauch'!$A$2797:$I$2816,3,FALSE),0)</f>
        <v>0</v>
      </c>
      <c r="D2510" s="88">
        <v>0</v>
      </c>
      <c r="E2510" s="88">
        <f t="shared" si="91"/>
        <v>171586.1</v>
      </c>
      <c r="F2510" s="88">
        <f>+SUMIF('Anlage 2b_Korrekturen'!$B$700:$B$1160,A2510,'Anlage 2b_Korrekturen'!$E$700:$E$1160)</f>
        <v>0</v>
      </c>
      <c r="G2510" s="135">
        <f t="shared" si="92"/>
        <v>171586.1</v>
      </c>
      <c r="H2510" s="133" t="s">
        <v>1823</v>
      </c>
    </row>
    <row r="2511" spans="1:8" hidden="1" outlineLevel="1">
      <c r="A2511" s="418" t="s">
        <v>1285</v>
      </c>
      <c r="B2511" s="1574">
        <f>+VLOOKUP(A2511,'Anlage 2a_Letztverbrauch'!$A$1338:$I$1704,9,FALSE)</f>
        <v>154803.68</v>
      </c>
      <c r="C2511" s="88">
        <f>IFERROR(+VLOOKUP(A2511,'Anlage 2a_Letztverbrauch'!$A$2797:$I$2816,3,FALSE),0)</f>
        <v>0</v>
      </c>
      <c r="D2511" s="88">
        <v>0</v>
      </c>
      <c r="E2511" s="88">
        <f t="shared" si="91"/>
        <v>154803.68</v>
      </c>
      <c r="F2511" s="88">
        <f>+SUMIF('Anlage 2b_Korrekturen'!$B$700:$B$1160,A2511,'Anlage 2b_Korrekturen'!$E$700:$E$1160)</f>
        <v>1036.2882099999999</v>
      </c>
      <c r="G2511" s="135">
        <f t="shared" si="92"/>
        <v>155839.96820999999</v>
      </c>
      <c r="H2511" s="133" t="s">
        <v>1286</v>
      </c>
    </row>
    <row r="2512" spans="1:8" hidden="1" outlineLevel="1">
      <c r="A2512" s="418" t="s">
        <v>768</v>
      </c>
      <c r="B2512" s="1574">
        <f>+VLOOKUP(A2512,'Anlage 2a_Letztverbrauch'!$A$1338:$I$1704,9,FALSE)</f>
        <v>52348.19</v>
      </c>
      <c r="C2512" s="88">
        <f>IFERROR(+VLOOKUP(A2512,'Anlage 2a_Letztverbrauch'!$A$2797:$I$2816,3,FALSE),0)</f>
        <v>0</v>
      </c>
      <c r="D2512" s="88">
        <v>0</v>
      </c>
      <c r="E2512" s="88">
        <f t="shared" si="91"/>
        <v>52348.19</v>
      </c>
      <c r="F2512" s="88">
        <f>+SUMIF('Anlage 2b_Korrekturen'!$B$700:$B$1160,A2512,'Anlage 2b_Korrekturen'!$E$700:$E$1160)</f>
        <v>178.32065999999998</v>
      </c>
      <c r="G2512" s="135">
        <f t="shared" si="92"/>
        <v>52526.51066</v>
      </c>
      <c r="H2512" s="133" t="s">
        <v>769</v>
      </c>
    </row>
    <row r="2513" spans="1:10" hidden="1" outlineLevel="1">
      <c r="A2513" s="418" t="s">
        <v>2277</v>
      </c>
      <c r="B2513" s="1574">
        <f>+VLOOKUP(A2513,'Anlage 2a_Letztverbrauch'!$A$1338:$I$1704,9,FALSE)</f>
        <v>31662.86</v>
      </c>
      <c r="C2513" s="88">
        <f>IFERROR(+VLOOKUP(A2513,'Anlage 2a_Letztverbrauch'!$A$2797:$I$2816,3,FALSE),0)</f>
        <v>-26006.47</v>
      </c>
      <c r="D2513" s="88">
        <v>0</v>
      </c>
      <c r="E2513" s="88">
        <f t="shared" si="91"/>
        <v>5656.3899999999994</v>
      </c>
      <c r="F2513" s="88">
        <f>+SUMIF('Anlage 2b_Korrekturen'!$B$700:$B$1160,A2513,'Anlage 2b_Korrekturen'!$E$700:$E$1160)</f>
        <v>0</v>
      </c>
      <c r="G2513" s="135">
        <f t="shared" si="92"/>
        <v>5656.3899999999994</v>
      </c>
      <c r="H2513" s="133" t="s">
        <v>2278</v>
      </c>
    </row>
    <row r="2514" spans="1:10" hidden="1" outlineLevel="1">
      <c r="A2514" s="418" t="s">
        <v>2279</v>
      </c>
      <c r="B2514" s="1574">
        <f>+VLOOKUP(A2514,'Anlage 2a_Letztverbrauch'!$A$1338:$I$1704,9,FALSE)</f>
        <v>87864.21</v>
      </c>
      <c r="C2514" s="88">
        <f>IFERROR(+VLOOKUP(A2514,'Anlage 2a_Letztverbrauch'!$A$2797:$I$2816,3,FALSE),0)</f>
        <v>0</v>
      </c>
      <c r="D2514" s="88">
        <v>0</v>
      </c>
      <c r="E2514" s="88">
        <f t="shared" si="91"/>
        <v>87864.21</v>
      </c>
      <c r="F2514" s="88">
        <f>+SUMIF('Anlage 2b_Korrekturen'!$B$700:$B$1160,A2514,'Anlage 2b_Korrekturen'!$E$700:$E$1160)</f>
        <v>0</v>
      </c>
      <c r="G2514" s="135">
        <f t="shared" si="92"/>
        <v>87864.21</v>
      </c>
      <c r="H2514" s="133" t="s">
        <v>2280</v>
      </c>
    </row>
    <row r="2515" spans="1:10" hidden="1" outlineLevel="1">
      <c r="A2515" s="418" t="s">
        <v>2281</v>
      </c>
      <c r="B2515" s="1574">
        <f>+VLOOKUP(A2515,'Anlage 2a_Letztverbrauch'!$A$1338:$I$1704,9,FALSE)</f>
        <v>8959.56</v>
      </c>
      <c r="C2515" s="88">
        <f>IFERROR(+VLOOKUP(A2515,'Anlage 2a_Letztverbrauch'!$A$2797:$I$2816,3,FALSE),0)</f>
        <v>0</v>
      </c>
      <c r="D2515" s="88">
        <v>0</v>
      </c>
      <c r="E2515" s="88">
        <f t="shared" si="91"/>
        <v>8959.56</v>
      </c>
      <c r="F2515" s="88">
        <f>+SUMIF('Anlage 2b_Korrekturen'!$B$700:$B$1160,A2515,'Anlage 2b_Korrekturen'!$E$700:$E$1160)</f>
        <v>97.44</v>
      </c>
      <c r="G2515" s="135">
        <f t="shared" si="92"/>
        <v>9057</v>
      </c>
      <c r="H2515" s="133" t="s">
        <v>2282</v>
      </c>
    </row>
    <row r="2516" spans="1:10" hidden="1" outlineLevel="1">
      <c r="A2516" s="418" t="s">
        <v>1826</v>
      </c>
      <c r="B2516" s="1574">
        <f>+VLOOKUP(A2516,'Anlage 2a_Letztverbrauch'!$A$1338:$I$1704,9,FALSE)</f>
        <v>598733.86</v>
      </c>
      <c r="C2516" s="88">
        <f>IFERROR(+VLOOKUP(A2516,'Anlage 2a_Letztverbrauch'!$A$2797:$I$2816,3,FALSE),0)</f>
        <v>0</v>
      </c>
      <c r="D2516" s="88">
        <v>0</v>
      </c>
      <c r="E2516" s="88">
        <f t="shared" si="91"/>
        <v>598733.86</v>
      </c>
      <c r="F2516" s="88">
        <f>+SUMIF('Anlage 2b_Korrekturen'!$B$700:$B$1160,A2516,'Anlage 2b_Korrekturen'!$E$700:$E$1160)</f>
        <v>0</v>
      </c>
      <c r="G2516" s="135">
        <f t="shared" si="92"/>
        <v>598733.86</v>
      </c>
      <c r="H2516" s="133" t="s">
        <v>1827</v>
      </c>
    </row>
    <row r="2517" spans="1:10" hidden="1" outlineLevel="1">
      <c r="A2517" s="418" t="s">
        <v>2283</v>
      </c>
      <c r="B2517" s="1574">
        <f>+VLOOKUP(A2517,'Anlage 2a_Letztverbrauch'!$A$1338:$I$1704,9,FALSE)</f>
        <v>78824.41</v>
      </c>
      <c r="C2517" s="88">
        <f>IFERROR(+VLOOKUP(A2517,'Anlage 2a_Letztverbrauch'!$A$2797:$I$2816,3,FALSE),0)</f>
        <v>0</v>
      </c>
      <c r="D2517" s="88">
        <v>0</v>
      </c>
      <c r="E2517" s="88">
        <f t="shared" ref="E2517:E2521" si="93">B2517+C2517+D2517</f>
        <v>78824.41</v>
      </c>
      <c r="F2517" s="88">
        <f>+SUMIF('Anlage 2b_Korrekturen'!$B$700:$B$1160,A2517,'Anlage 2b_Korrekturen'!$E$700:$E$1160)</f>
        <v>0</v>
      </c>
      <c r="G2517" s="135">
        <f t="shared" ref="G2517:G2521" si="94">E2517+F2517</f>
        <v>78824.41</v>
      </c>
      <c r="H2517" s="133" t="s">
        <v>2284</v>
      </c>
    </row>
    <row r="2518" spans="1:10" hidden="1" outlineLevel="1">
      <c r="A2518" s="418" t="s">
        <v>2285</v>
      </c>
      <c r="B2518" s="1574">
        <f>+VLOOKUP(A2518,'Anlage 2a_Letztverbrauch'!$A$1338:$I$1704,9,FALSE)</f>
        <v>1925.95</v>
      </c>
      <c r="C2518" s="88">
        <f>IFERROR(+VLOOKUP(A2518,'Anlage 2a_Letztverbrauch'!$A$2797:$I$2816,3,FALSE),0)</f>
        <v>0</v>
      </c>
      <c r="D2518" s="88">
        <v>0</v>
      </c>
      <c r="E2518" s="88">
        <f t="shared" si="93"/>
        <v>1925.95</v>
      </c>
      <c r="F2518" s="88">
        <f>+SUMIF('Anlage 2b_Korrekturen'!$B$700:$B$1160,A2518,'Anlage 2b_Korrekturen'!$E$700:$E$1160)</f>
        <v>521.49</v>
      </c>
      <c r="G2518" s="135">
        <f t="shared" si="94"/>
        <v>2447.44</v>
      </c>
      <c r="H2518" s="133" t="s">
        <v>2286</v>
      </c>
    </row>
    <row r="2519" spans="1:10" hidden="1" outlineLevel="1">
      <c r="A2519" s="418" t="s">
        <v>2287</v>
      </c>
      <c r="B2519" s="1574">
        <v>0</v>
      </c>
      <c r="C2519" s="88">
        <v>0</v>
      </c>
      <c r="D2519" s="88">
        <v>0</v>
      </c>
      <c r="E2519" s="88">
        <v>0</v>
      </c>
      <c r="F2519" s="88">
        <f>+SUMIF('Anlage 2b_Korrekturen'!$B$700:$B$1160,A2519,'Anlage 2b_Korrekturen'!$E$700:$E$1160)</f>
        <v>-8119.72</v>
      </c>
      <c r="G2519" s="135">
        <f>E2519+F2519</f>
        <v>-8119.72</v>
      </c>
      <c r="H2519" s="133" t="s">
        <v>2288</v>
      </c>
    </row>
    <row r="2520" spans="1:10" hidden="1" outlineLevel="1">
      <c r="A2520" s="418" t="s">
        <v>2289</v>
      </c>
      <c r="B2520" s="1574">
        <v>0</v>
      </c>
      <c r="C2520" s="88">
        <v>0</v>
      </c>
      <c r="D2520" s="88">
        <v>0</v>
      </c>
      <c r="E2520" s="88">
        <v>0</v>
      </c>
      <c r="F2520" s="88">
        <f>+SUMIF('Anlage 2b_Korrekturen'!$B$700:$B$1160,A2520,'Anlage 2b_Korrekturen'!$E$700:$E$1160)</f>
        <v>-7422.92</v>
      </c>
      <c r="G2520" s="135">
        <f>E2520+F2520</f>
        <v>-7422.92</v>
      </c>
      <c r="H2520" s="133" t="s">
        <v>2290</v>
      </c>
    </row>
    <row r="2521" spans="1:10" ht="13.5" collapsed="1" thickBot="1">
      <c r="A2521" s="419" t="str">
        <f>A741</f>
        <v>Regelzone TransnetBW (gesamt)</v>
      </c>
      <c r="B2521" s="495">
        <f>SUM(B2522:B2659)</f>
        <v>125588653.11999997</v>
      </c>
      <c r="C2521" s="142">
        <f>SUM(C2522:C2659)</f>
        <v>-3164975.4899999998</v>
      </c>
      <c r="D2521" s="142">
        <f>SUM(D2522:D2659)</f>
        <v>15033.29</v>
      </c>
      <c r="E2521" s="142">
        <f t="shared" si="93"/>
        <v>122438710.91999999</v>
      </c>
      <c r="F2521" s="1727">
        <f>SUM(F2522:F2659)</f>
        <v>1137335.3699999999</v>
      </c>
      <c r="G2521" s="496">
        <f t="shared" si="94"/>
        <v>123576046.28999999</v>
      </c>
      <c r="H2521" s="133"/>
      <c r="I2521" s="922"/>
      <c r="J2521" s="5"/>
    </row>
    <row r="2522" spans="1:10" hidden="1" outlineLevel="1">
      <c r="A2522" s="420" t="s">
        <v>1829</v>
      </c>
      <c r="B2522" s="492">
        <v>620892.66</v>
      </c>
      <c r="C2522" s="88">
        <v>0</v>
      </c>
      <c r="D2522" s="88">
        <v>0</v>
      </c>
      <c r="E2522" s="88">
        <v>620892.66</v>
      </c>
      <c r="F2522" s="88">
        <v>0</v>
      </c>
      <c r="G2522" s="135">
        <f>E2522+F2522</f>
        <v>620892.66</v>
      </c>
      <c r="H2522" s="133" t="s">
        <v>1830</v>
      </c>
      <c r="I2522" s="8"/>
    </row>
    <row r="2523" spans="1:10" hidden="1" outlineLevel="1">
      <c r="A2523" s="420" t="s">
        <v>1831</v>
      </c>
      <c r="B2523" s="492">
        <v>1226269.6299999999</v>
      </c>
      <c r="C2523" s="88">
        <v>0</v>
      </c>
      <c r="D2523" s="88">
        <v>0</v>
      </c>
      <c r="E2523" s="88">
        <v>1226269.6299999999</v>
      </c>
      <c r="F2523" s="88">
        <v>-16076.43</v>
      </c>
      <c r="G2523" s="135">
        <f>E2523+F2523</f>
        <v>1210193.2</v>
      </c>
      <c r="H2523" s="133" t="s">
        <v>1832</v>
      </c>
      <c r="I2523" s="8"/>
    </row>
    <row r="2524" spans="1:10" hidden="1" outlineLevel="1">
      <c r="A2524" s="420" t="s">
        <v>1833</v>
      </c>
      <c r="B2524" s="492">
        <v>3588702.63</v>
      </c>
      <c r="C2524" s="88">
        <v>0</v>
      </c>
      <c r="D2524" s="88">
        <v>0</v>
      </c>
      <c r="E2524" s="88">
        <v>3588702.63</v>
      </c>
      <c r="F2524" s="88">
        <v>0</v>
      </c>
      <c r="G2524" s="135">
        <f t="shared" ref="G2524:G2587" si="95">E2524+F2524</f>
        <v>3588702.63</v>
      </c>
      <c r="H2524" s="133" t="s">
        <v>1834</v>
      </c>
      <c r="I2524" s="8"/>
    </row>
    <row r="2525" spans="1:10" hidden="1" outlineLevel="1">
      <c r="A2525" s="420" t="s">
        <v>2291</v>
      </c>
      <c r="B2525" s="492">
        <v>30530.45</v>
      </c>
      <c r="C2525" s="88">
        <v>0</v>
      </c>
      <c r="D2525" s="88">
        <v>0</v>
      </c>
      <c r="E2525" s="88">
        <v>30530.45</v>
      </c>
      <c r="F2525" s="88">
        <v>0</v>
      </c>
      <c r="G2525" s="135">
        <f t="shared" si="95"/>
        <v>30530.45</v>
      </c>
      <c r="H2525" s="133" t="s">
        <v>2292</v>
      </c>
      <c r="I2525" s="8"/>
    </row>
    <row r="2526" spans="1:10" hidden="1" outlineLevel="1">
      <c r="A2526" s="420" t="s">
        <v>1021</v>
      </c>
      <c r="B2526" s="492">
        <v>941496.37</v>
      </c>
      <c r="C2526" s="88">
        <v>0</v>
      </c>
      <c r="D2526" s="88">
        <v>0</v>
      </c>
      <c r="E2526" s="88">
        <v>941496.37</v>
      </c>
      <c r="F2526" s="88">
        <v>-3122.59</v>
      </c>
      <c r="G2526" s="135">
        <f t="shared" si="95"/>
        <v>938373.78</v>
      </c>
      <c r="H2526" s="133" t="s">
        <v>944</v>
      </c>
      <c r="I2526" s="8"/>
    </row>
    <row r="2527" spans="1:10" hidden="1" outlineLevel="1">
      <c r="A2527" s="420" t="s">
        <v>1835</v>
      </c>
      <c r="B2527" s="492">
        <v>364119.18</v>
      </c>
      <c r="C2527" s="88">
        <v>0</v>
      </c>
      <c r="D2527" s="88">
        <v>0</v>
      </c>
      <c r="E2527" s="88">
        <v>364119.18</v>
      </c>
      <c r="F2527" s="88">
        <v>-137.13999999999999</v>
      </c>
      <c r="G2527" s="135">
        <f t="shared" si="95"/>
        <v>363982.04</v>
      </c>
      <c r="H2527" s="133" t="s">
        <v>1836</v>
      </c>
      <c r="I2527" s="8"/>
    </row>
    <row r="2528" spans="1:10" hidden="1" outlineLevel="1">
      <c r="A2528" s="420" t="s">
        <v>542</v>
      </c>
      <c r="B2528" s="492">
        <v>7423.37</v>
      </c>
      <c r="C2528" s="88">
        <v>0</v>
      </c>
      <c r="D2528" s="88">
        <v>0</v>
      </c>
      <c r="E2528" s="88">
        <v>7423.37</v>
      </c>
      <c r="F2528" s="88">
        <v>-5.95</v>
      </c>
      <c r="G2528" s="135">
        <f t="shared" si="95"/>
        <v>7417.42</v>
      </c>
      <c r="H2528" s="133" t="s">
        <v>543</v>
      </c>
      <c r="I2528" s="8"/>
    </row>
    <row r="2529" spans="1:9" hidden="1" outlineLevel="1">
      <c r="A2529" s="420" t="s">
        <v>1837</v>
      </c>
      <c r="B2529" s="492">
        <v>415319.52</v>
      </c>
      <c r="C2529" s="88">
        <v>0</v>
      </c>
      <c r="D2529" s="88">
        <v>0</v>
      </c>
      <c r="E2529" s="88">
        <v>415319.52</v>
      </c>
      <c r="F2529" s="88">
        <v>8559.5300000000007</v>
      </c>
      <c r="G2529" s="135">
        <f t="shared" si="95"/>
        <v>423879.05000000005</v>
      </c>
      <c r="H2529" s="133" t="s">
        <v>1838</v>
      </c>
      <c r="I2529" s="8"/>
    </row>
    <row r="2530" spans="1:9" hidden="1" outlineLevel="1">
      <c r="A2530" s="420" t="s">
        <v>1839</v>
      </c>
      <c r="B2530" s="492">
        <v>219922.59</v>
      </c>
      <c r="C2530" s="88">
        <v>0</v>
      </c>
      <c r="D2530" s="88">
        <v>0</v>
      </c>
      <c r="E2530" s="88">
        <v>219922.59</v>
      </c>
      <c r="F2530" s="88">
        <v>-155.6</v>
      </c>
      <c r="G2530" s="135">
        <f t="shared" si="95"/>
        <v>219766.99</v>
      </c>
      <c r="H2530" s="133" t="s">
        <v>1840</v>
      </c>
      <c r="I2530" s="8"/>
    </row>
    <row r="2531" spans="1:9" hidden="1" outlineLevel="1">
      <c r="A2531" s="420" t="s">
        <v>1841</v>
      </c>
      <c r="B2531" s="492">
        <v>47932.12</v>
      </c>
      <c r="C2531" s="88">
        <v>0</v>
      </c>
      <c r="D2531" s="88">
        <v>0</v>
      </c>
      <c r="E2531" s="88">
        <v>47932.12</v>
      </c>
      <c r="F2531" s="88">
        <v>-467.45</v>
      </c>
      <c r="G2531" s="135">
        <f t="shared" si="95"/>
        <v>47464.670000000006</v>
      </c>
      <c r="H2531" s="133" t="s">
        <v>1842</v>
      </c>
      <c r="I2531" s="8"/>
    </row>
    <row r="2532" spans="1:9" hidden="1" outlineLevel="1">
      <c r="A2532" s="420" t="s">
        <v>1843</v>
      </c>
      <c r="B2532" s="492">
        <v>70345.850000000006</v>
      </c>
      <c r="C2532" s="88">
        <v>0</v>
      </c>
      <c r="D2532" s="88">
        <v>0</v>
      </c>
      <c r="E2532" s="88">
        <v>70345.850000000006</v>
      </c>
      <c r="F2532" s="88">
        <v>-30091.41</v>
      </c>
      <c r="G2532" s="135">
        <f t="shared" si="95"/>
        <v>40254.44</v>
      </c>
      <c r="H2532" s="133" t="s">
        <v>1844</v>
      </c>
      <c r="I2532" s="8"/>
    </row>
    <row r="2533" spans="1:9" hidden="1" outlineLevel="1">
      <c r="A2533" s="420" t="s">
        <v>1845</v>
      </c>
      <c r="B2533" s="492">
        <v>419935.59</v>
      </c>
      <c r="C2533" s="88">
        <v>0</v>
      </c>
      <c r="D2533" s="88">
        <v>0</v>
      </c>
      <c r="E2533" s="88">
        <v>419935.59</v>
      </c>
      <c r="F2533" s="88">
        <v>2204.17</v>
      </c>
      <c r="G2533" s="135">
        <f t="shared" si="95"/>
        <v>422139.76</v>
      </c>
      <c r="H2533" s="133" t="s">
        <v>1846</v>
      </c>
      <c r="I2533" s="8"/>
    </row>
    <row r="2534" spans="1:9" hidden="1" outlineLevel="1">
      <c r="A2534" s="420" t="s">
        <v>1847</v>
      </c>
      <c r="B2534" s="492">
        <v>111908.38</v>
      </c>
      <c r="C2534" s="88">
        <v>0</v>
      </c>
      <c r="D2534" s="88">
        <v>0</v>
      </c>
      <c r="E2534" s="88">
        <v>111908.38</v>
      </c>
      <c r="F2534" s="88">
        <v>9023.08</v>
      </c>
      <c r="G2534" s="135">
        <f t="shared" si="95"/>
        <v>120931.46</v>
      </c>
      <c r="H2534" s="133" t="s">
        <v>1848</v>
      </c>
      <c r="I2534" s="8"/>
    </row>
    <row r="2535" spans="1:9" hidden="1" outlineLevel="1">
      <c r="A2535" s="420" t="s">
        <v>2293</v>
      </c>
      <c r="B2535" s="492">
        <v>27666.83</v>
      </c>
      <c r="C2535" s="88">
        <v>0</v>
      </c>
      <c r="D2535" s="88">
        <v>0</v>
      </c>
      <c r="E2535" s="88">
        <v>27666.83</v>
      </c>
      <c r="F2535" s="88">
        <v>-1145.01</v>
      </c>
      <c r="G2535" s="135">
        <f t="shared" si="95"/>
        <v>26521.820000000003</v>
      </c>
      <c r="H2535" s="133" t="s">
        <v>2294</v>
      </c>
      <c r="I2535" s="8"/>
    </row>
    <row r="2536" spans="1:9" hidden="1" outlineLevel="1">
      <c r="A2536" s="420" t="s">
        <v>1849</v>
      </c>
      <c r="B2536" s="492">
        <v>106462.06</v>
      </c>
      <c r="C2536" s="88">
        <v>0</v>
      </c>
      <c r="D2536" s="88">
        <v>0</v>
      </c>
      <c r="E2536" s="88">
        <v>106462.06</v>
      </c>
      <c r="F2536" s="88">
        <v>10.73</v>
      </c>
      <c r="G2536" s="135">
        <f t="shared" si="95"/>
        <v>106472.79</v>
      </c>
      <c r="H2536" s="133" t="s">
        <v>1850</v>
      </c>
      <c r="I2536" s="8"/>
    </row>
    <row r="2537" spans="1:9" hidden="1" outlineLevel="1">
      <c r="A2537" s="420" t="s">
        <v>1851</v>
      </c>
      <c r="B2537" s="492">
        <v>100750.34</v>
      </c>
      <c r="C2537" s="88">
        <v>0</v>
      </c>
      <c r="D2537" s="88">
        <v>0</v>
      </c>
      <c r="E2537" s="88">
        <v>100750.34</v>
      </c>
      <c r="F2537" s="88">
        <v>0</v>
      </c>
      <c r="G2537" s="135">
        <f t="shared" si="95"/>
        <v>100750.34</v>
      </c>
      <c r="H2537" s="133" t="s">
        <v>1852</v>
      </c>
      <c r="I2537" s="8"/>
    </row>
    <row r="2538" spans="1:9" hidden="1" outlineLevel="1">
      <c r="A2538" s="420" t="s">
        <v>1853</v>
      </c>
      <c r="B2538" s="492">
        <v>172300.61</v>
      </c>
      <c r="C2538" s="88">
        <v>0</v>
      </c>
      <c r="D2538" s="88">
        <v>0</v>
      </c>
      <c r="E2538" s="88">
        <v>172300.61</v>
      </c>
      <c r="F2538" s="88">
        <v>5761.57</v>
      </c>
      <c r="G2538" s="135">
        <f t="shared" si="95"/>
        <v>178062.18</v>
      </c>
      <c r="H2538" s="133" t="s">
        <v>1854</v>
      </c>
      <c r="I2538" s="8"/>
    </row>
    <row r="2539" spans="1:9" hidden="1" outlineLevel="1">
      <c r="A2539" s="420" t="s">
        <v>1855</v>
      </c>
      <c r="B2539" s="492">
        <v>607728.05000000005</v>
      </c>
      <c r="C2539" s="88">
        <v>0</v>
      </c>
      <c r="D2539" s="88">
        <v>0</v>
      </c>
      <c r="E2539" s="88">
        <v>607728.05000000005</v>
      </c>
      <c r="F2539" s="88">
        <v>-82857.64</v>
      </c>
      <c r="G2539" s="135">
        <f t="shared" si="95"/>
        <v>524870.41</v>
      </c>
      <c r="H2539" s="133" t="s">
        <v>1856</v>
      </c>
      <c r="I2539" s="8"/>
    </row>
    <row r="2540" spans="1:9" hidden="1" outlineLevel="1">
      <c r="A2540" s="420" t="s">
        <v>1857</v>
      </c>
      <c r="B2540" s="492">
        <v>68075.990000000005</v>
      </c>
      <c r="C2540" s="88">
        <v>0</v>
      </c>
      <c r="D2540" s="88">
        <v>0</v>
      </c>
      <c r="E2540" s="88">
        <v>68075.990000000005</v>
      </c>
      <c r="F2540" s="88">
        <v>0</v>
      </c>
      <c r="G2540" s="135">
        <f t="shared" si="95"/>
        <v>68075.990000000005</v>
      </c>
      <c r="H2540" s="133" t="s">
        <v>1858</v>
      </c>
      <c r="I2540" s="8"/>
    </row>
    <row r="2541" spans="1:9" hidden="1" outlineLevel="1">
      <c r="A2541" s="1598" t="s">
        <v>1859</v>
      </c>
      <c r="B2541" s="492">
        <v>588551.64</v>
      </c>
      <c r="C2541" s="88">
        <v>0</v>
      </c>
      <c r="D2541" s="88">
        <v>2256.13</v>
      </c>
      <c r="E2541" s="88">
        <v>590807.77</v>
      </c>
      <c r="F2541" s="88">
        <v>3558.47</v>
      </c>
      <c r="G2541" s="135">
        <f t="shared" si="95"/>
        <v>594366.24</v>
      </c>
      <c r="H2541" s="133" t="s">
        <v>1860</v>
      </c>
      <c r="I2541" s="8"/>
    </row>
    <row r="2542" spans="1:9" hidden="1" outlineLevel="1">
      <c r="A2542" s="420" t="s">
        <v>1861</v>
      </c>
      <c r="B2542" s="492">
        <v>175454.79</v>
      </c>
      <c r="C2542" s="88">
        <v>0</v>
      </c>
      <c r="D2542" s="88">
        <v>0</v>
      </c>
      <c r="E2542" s="88">
        <v>175454.79</v>
      </c>
      <c r="F2542" s="88">
        <v>16903.16</v>
      </c>
      <c r="G2542" s="135">
        <f t="shared" si="95"/>
        <v>192357.95</v>
      </c>
      <c r="H2542" s="133" t="s">
        <v>1862</v>
      </c>
      <c r="I2542" s="8"/>
    </row>
    <row r="2543" spans="1:9" hidden="1" outlineLevel="1">
      <c r="A2543" s="420" t="s">
        <v>1863</v>
      </c>
      <c r="B2543" s="492">
        <v>315005</v>
      </c>
      <c r="C2543" s="88">
        <v>0</v>
      </c>
      <c r="D2543" s="88">
        <v>0</v>
      </c>
      <c r="E2543" s="88">
        <v>315005</v>
      </c>
      <c r="F2543" s="88">
        <v>-17838.25</v>
      </c>
      <c r="G2543" s="135">
        <f t="shared" si="95"/>
        <v>297166.75</v>
      </c>
      <c r="H2543" s="133" t="s">
        <v>1864</v>
      </c>
      <c r="I2543" s="8"/>
    </row>
    <row r="2544" spans="1:9" hidden="1" outlineLevel="1">
      <c r="A2544" s="420" t="s">
        <v>1865</v>
      </c>
      <c r="B2544" s="492">
        <v>328419.53999999998</v>
      </c>
      <c r="C2544" s="88">
        <v>0</v>
      </c>
      <c r="D2544" s="88">
        <v>0</v>
      </c>
      <c r="E2544" s="88">
        <v>328419.53999999998</v>
      </c>
      <c r="F2544" s="88">
        <v>26199.58</v>
      </c>
      <c r="G2544" s="135">
        <f t="shared" si="95"/>
        <v>354619.12</v>
      </c>
      <c r="H2544" s="133" t="s">
        <v>1866</v>
      </c>
      <c r="I2544" s="8"/>
    </row>
    <row r="2545" spans="1:9" hidden="1" outlineLevel="1">
      <c r="A2545" s="420" t="s">
        <v>1867</v>
      </c>
      <c r="B2545" s="492">
        <v>182902.77</v>
      </c>
      <c r="C2545" s="88">
        <v>0</v>
      </c>
      <c r="D2545" s="88">
        <v>0</v>
      </c>
      <c r="E2545" s="88">
        <v>182902.77</v>
      </c>
      <c r="F2545" s="88">
        <v>0</v>
      </c>
      <c r="G2545" s="135">
        <f t="shared" si="95"/>
        <v>182902.77</v>
      </c>
      <c r="H2545" s="133" t="s">
        <v>1868</v>
      </c>
      <c r="I2545" s="8"/>
    </row>
    <row r="2546" spans="1:9" hidden="1" outlineLevel="1">
      <c r="A2546" s="420" t="s">
        <v>1869</v>
      </c>
      <c r="B2546" s="492">
        <v>521608.1</v>
      </c>
      <c r="C2546" s="88">
        <v>0</v>
      </c>
      <c r="D2546" s="88">
        <v>0</v>
      </c>
      <c r="E2546" s="88">
        <v>521608.1</v>
      </c>
      <c r="F2546" s="88">
        <v>-11097.46</v>
      </c>
      <c r="G2546" s="135">
        <f t="shared" si="95"/>
        <v>510510.63999999996</v>
      </c>
      <c r="H2546" s="133" t="s">
        <v>1870</v>
      </c>
      <c r="I2546" s="8"/>
    </row>
    <row r="2547" spans="1:9" hidden="1" outlineLevel="1">
      <c r="A2547" s="420" t="s">
        <v>1871</v>
      </c>
      <c r="B2547" s="492">
        <v>46902.1</v>
      </c>
      <c r="C2547" s="88">
        <v>0</v>
      </c>
      <c r="D2547" s="88">
        <v>0</v>
      </c>
      <c r="E2547" s="88">
        <v>46902.1</v>
      </c>
      <c r="F2547" s="88">
        <v>0</v>
      </c>
      <c r="G2547" s="135">
        <f t="shared" si="95"/>
        <v>46902.1</v>
      </c>
      <c r="H2547" s="133" t="s">
        <v>1872</v>
      </c>
      <c r="I2547" s="8"/>
    </row>
    <row r="2548" spans="1:9" hidden="1" outlineLevel="1">
      <c r="A2548" s="420" t="s">
        <v>1873</v>
      </c>
      <c r="B2548" s="492">
        <v>2547565.54</v>
      </c>
      <c r="C2548" s="88">
        <v>0</v>
      </c>
      <c r="D2548" s="88">
        <v>0</v>
      </c>
      <c r="E2548" s="88">
        <v>2547565.54</v>
      </c>
      <c r="F2548" s="88">
        <v>-31355.200000000001</v>
      </c>
      <c r="G2548" s="135">
        <f t="shared" si="95"/>
        <v>2516210.34</v>
      </c>
      <c r="H2548" s="133" t="s">
        <v>1874</v>
      </c>
      <c r="I2548" s="8"/>
    </row>
    <row r="2549" spans="1:9" hidden="1" outlineLevel="1">
      <c r="A2549" s="420" t="s">
        <v>799</v>
      </c>
      <c r="B2549" s="492">
        <v>15443.2</v>
      </c>
      <c r="C2549" s="88">
        <v>0</v>
      </c>
      <c r="D2549" s="88">
        <v>0</v>
      </c>
      <c r="E2549" s="88">
        <v>15443.2</v>
      </c>
      <c r="F2549" s="88">
        <v>0</v>
      </c>
      <c r="G2549" s="135">
        <f t="shared" si="95"/>
        <v>15443.2</v>
      </c>
      <c r="H2549" s="133" t="s">
        <v>800</v>
      </c>
      <c r="I2549" s="8"/>
    </row>
    <row r="2550" spans="1:9" hidden="1" outlineLevel="1">
      <c r="A2550" s="420" t="s">
        <v>2295</v>
      </c>
      <c r="B2550" s="492">
        <v>142578.56</v>
      </c>
      <c r="C2550" s="88">
        <v>0</v>
      </c>
      <c r="D2550" s="88">
        <v>0</v>
      </c>
      <c r="E2550" s="88">
        <v>142578.56</v>
      </c>
      <c r="F2550" s="88">
        <v>0</v>
      </c>
      <c r="G2550" s="135">
        <f t="shared" si="95"/>
        <v>142578.56</v>
      </c>
      <c r="H2550" s="133" t="s">
        <v>2296</v>
      </c>
      <c r="I2550" s="8"/>
    </row>
    <row r="2551" spans="1:9" hidden="1" outlineLevel="1">
      <c r="A2551" s="420" t="s">
        <v>2297</v>
      </c>
      <c r="B2551" s="492">
        <v>137019.73000000001</v>
      </c>
      <c r="C2551" s="88">
        <v>0</v>
      </c>
      <c r="D2551" s="88">
        <v>0</v>
      </c>
      <c r="E2551" s="88">
        <v>137019.73000000001</v>
      </c>
      <c r="F2551" s="88">
        <v>725879.42</v>
      </c>
      <c r="G2551" s="135">
        <f t="shared" si="95"/>
        <v>862899.15</v>
      </c>
      <c r="H2551" s="133" t="s">
        <v>2298</v>
      </c>
      <c r="I2551" s="8"/>
    </row>
    <row r="2552" spans="1:9" hidden="1" outlineLevel="1">
      <c r="A2552" s="420" t="s">
        <v>1875</v>
      </c>
      <c r="B2552" s="492">
        <v>38177.589999999997</v>
      </c>
      <c r="C2552" s="88">
        <v>0</v>
      </c>
      <c r="D2552" s="88">
        <v>0</v>
      </c>
      <c r="E2552" s="88">
        <v>38177.589999999997</v>
      </c>
      <c r="F2552" s="88">
        <v>298.2</v>
      </c>
      <c r="G2552" s="135">
        <f t="shared" si="95"/>
        <v>38475.789999999994</v>
      </c>
      <c r="H2552" s="133" t="s">
        <v>1876</v>
      </c>
      <c r="I2552" s="8"/>
    </row>
    <row r="2553" spans="1:9" hidden="1" outlineLevel="1">
      <c r="A2553" s="420" t="s">
        <v>1877</v>
      </c>
      <c r="B2553" s="492">
        <v>30298.76</v>
      </c>
      <c r="C2553" s="88">
        <v>0</v>
      </c>
      <c r="D2553" s="88">
        <v>0</v>
      </c>
      <c r="E2553" s="88">
        <v>30298.76</v>
      </c>
      <c r="F2553" s="88">
        <v>0</v>
      </c>
      <c r="G2553" s="135">
        <f t="shared" si="95"/>
        <v>30298.76</v>
      </c>
      <c r="H2553" s="133" t="s">
        <v>1878</v>
      </c>
      <c r="I2553" s="8"/>
    </row>
    <row r="2554" spans="1:9" hidden="1" outlineLevel="1">
      <c r="A2554" s="420" t="s">
        <v>1879</v>
      </c>
      <c r="B2554" s="492">
        <v>120906.97</v>
      </c>
      <c r="C2554" s="88">
        <v>0</v>
      </c>
      <c r="D2554" s="88">
        <v>0</v>
      </c>
      <c r="E2554" s="88">
        <v>120906.97</v>
      </c>
      <c r="F2554" s="88">
        <v>646.08000000000004</v>
      </c>
      <c r="G2554" s="135">
        <f t="shared" si="95"/>
        <v>121553.05</v>
      </c>
      <c r="H2554" s="133" t="s">
        <v>1880</v>
      </c>
      <c r="I2554" s="8"/>
    </row>
    <row r="2555" spans="1:9" hidden="1" outlineLevel="1">
      <c r="A2555" s="420" t="s">
        <v>1881</v>
      </c>
      <c r="B2555" s="492">
        <v>70130.100000000006</v>
      </c>
      <c r="C2555" s="88">
        <v>0</v>
      </c>
      <c r="D2555" s="88">
        <v>0</v>
      </c>
      <c r="E2555" s="88">
        <v>70130.100000000006</v>
      </c>
      <c r="F2555" s="88">
        <v>0</v>
      </c>
      <c r="G2555" s="135">
        <f t="shared" si="95"/>
        <v>70130.100000000006</v>
      </c>
      <c r="H2555" s="133" t="s">
        <v>1882</v>
      </c>
      <c r="I2555" s="8"/>
    </row>
    <row r="2556" spans="1:9" hidden="1" outlineLevel="1">
      <c r="A2556" s="420" t="s">
        <v>1883</v>
      </c>
      <c r="B2556" s="492">
        <v>138078.12</v>
      </c>
      <c r="C2556" s="88">
        <v>0</v>
      </c>
      <c r="D2556" s="88">
        <v>0</v>
      </c>
      <c r="E2556" s="88">
        <v>138078.12</v>
      </c>
      <c r="F2556" s="88">
        <v>0</v>
      </c>
      <c r="G2556" s="135">
        <f t="shared" si="95"/>
        <v>138078.12</v>
      </c>
      <c r="H2556" s="133" t="s">
        <v>1884</v>
      </c>
      <c r="I2556" s="8"/>
    </row>
    <row r="2557" spans="1:9" hidden="1" outlineLevel="1">
      <c r="A2557" s="420" t="s">
        <v>2299</v>
      </c>
      <c r="B2557" s="492">
        <v>63278.78</v>
      </c>
      <c r="C2557" s="88">
        <v>0</v>
      </c>
      <c r="D2557" s="88">
        <v>0</v>
      </c>
      <c r="E2557" s="88">
        <v>63278.78</v>
      </c>
      <c r="F2557" s="88">
        <v>0</v>
      </c>
      <c r="G2557" s="135">
        <f t="shared" si="95"/>
        <v>63278.78</v>
      </c>
      <c r="H2557" s="133" t="s">
        <v>2300</v>
      </c>
      <c r="I2557" s="8"/>
    </row>
    <row r="2558" spans="1:9" hidden="1" outlineLevel="1">
      <c r="A2558" s="420" t="s">
        <v>1885</v>
      </c>
      <c r="B2558" s="492">
        <v>50508.67</v>
      </c>
      <c r="C2558" s="88">
        <v>0</v>
      </c>
      <c r="D2558" s="88">
        <v>0</v>
      </c>
      <c r="E2558" s="88">
        <v>50508.67</v>
      </c>
      <c r="F2558" s="88">
        <v>0</v>
      </c>
      <c r="G2558" s="135">
        <f t="shared" si="95"/>
        <v>50508.67</v>
      </c>
      <c r="H2558" s="133" t="s">
        <v>1886</v>
      </c>
      <c r="I2558" s="8"/>
    </row>
    <row r="2559" spans="1:9" hidden="1" outlineLevel="1">
      <c r="A2559" s="420" t="s">
        <v>768</v>
      </c>
      <c r="B2559" s="492">
        <v>22073.14</v>
      </c>
      <c r="C2559" s="88">
        <v>0</v>
      </c>
      <c r="D2559" s="88">
        <v>0</v>
      </c>
      <c r="E2559" s="88">
        <v>22073.14</v>
      </c>
      <c r="F2559" s="88">
        <v>103.96</v>
      </c>
      <c r="G2559" s="135">
        <f t="shared" si="95"/>
        <v>22177.1</v>
      </c>
      <c r="H2559" s="133" t="s">
        <v>2301</v>
      </c>
      <c r="I2559" s="8"/>
    </row>
    <row r="2560" spans="1:9" hidden="1" outlineLevel="1">
      <c r="A2560" s="420" t="s">
        <v>456</v>
      </c>
      <c r="B2560" s="492">
        <v>104453.96</v>
      </c>
      <c r="C2560" s="88">
        <v>0</v>
      </c>
      <c r="D2560" s="88">
        <v>0</v>
      </c>
      <c r="E2560" s="88">
        <v>104453.96</v>
      </c>
      <c r="F2560" s="88">
        <v>-895.4</v>
      </c>
      <c r="G2560" s="135">
        <f t="shared" si="95"/>
        <v>103558.56000000001</v>
      </c>
      <c r="H2560" s="133" t="s">
        <v>457</v>
      </c>
      <c r="I2560" s="8"/>
    </row>
    <row r="2561" spans="1:9" hidden="1" outlineLevel="1">
      <c r="A2561" s="420" t="s">
        <v>2077</v>
      </c>
      <c r="B2561" s="492">
        <v>13188.16</v>
      </c>
      <c r="C2561" s="88">
        <v>0</v>
      </c>
      <c r="D2561" s="88">
        <v>0</v>
      </c>
      <c r="E2561" s="88">
        <v>13188.16</v>
      </c>
      <c r="F2561" s="88">
        <v>131.61000000000001</v>
      </c>
      <c r="G2561" s="135">
        <f t="shared" si="95"/>
        <v>13319.77</v>
      </c>
      <c r="H2561" s="133" t="s">
        <v>2078</v>
      </c>
      <c r="I2561" s="8"/>
    </row>
    <row r="2562" spans="1:9" hidden="1" outlineLevel="1">
      <c r="A2562" s="420" t="s">
        <v>2302</v>
      </c>
      <c r="B2562" s="492">
        <v>77068.56</v>
      </c>
      <c r="C2562" s="88">
        <v>0</v>
      </c>
      <c r="D2562" s="88">
        <v>0</v>
      </c>
      <c r="E2562" s="88">
        <v>77068.56</v>
      </c>
      <c r="F2562" s="88">
        <v>0</v>
      </c>
      <c r="G2562" s="135">
        <f t="shared" si="95"/>
        <v>77068.56</v>
      </c>
      <c r="H2562" s="133" t="s">
        <v>2303</v>
      </c>
      <c r="I2562" s="8"/>
    </row>
    <row r="2563" spans="1:9" hidden="1" outlineLevel="1">
      <c r="A2563" s="420" t="s">
        <v>2304</v>
      </c>
      <c r="B2563" s="492">
        <v>4892.9399999999996</v>
      </c>
      <c r="C2563" s="88">
        <v>0</v>
      </c>
      <c r="D2563" s="88">
        <v>0</v>
      </c>
      <c r="E2563" s="88">
        <v>4892.9399999999996</v>
      </c>
      <c r="F2563" s="88">
        <v>0</v>
      </c>
      <c r="G2563" s="135">
        <f t="shared" si="95"/>
        <v>4892.9399999999996</v>
      </c>
      <c r="H2563" s="133" t="s">
        <v>2305</v>
      </c>
      <c r="I2563" s="8"/>
    </row>
    <row r="2564" spans="1:9" hidden="1" outlineLevel="1">
      <c r="A2564" s="420" t="s">
        <v>1887</v>
      </c>
      <c r="B2564" s="492">
        <v>484641.92</v>
      </c>
      <c r="C2564" s="88">
        <v>0</v>
      </c>
      <c r="D2564" s="88">
        <v>0</v>
      </c>
      <c r="E2564" s="88">
        <v>484641.92</v>
      </c>
      <c r="F2564" s="88">
        <v>0</v>
      </c>
      <c r="G2564" s="135">
        <f t="shared" si="95"/>
        <v>484641.92</v>
      </c>
      <c r="H2564" s="133" t="s">
        <v>1888</v>
      </c>
      <c r="I2564" s="8"/>
    </row>
    <row r="2565" spans="1:9" hidden="1" outlineLevel="1">
      <c r="A2565" s="420" t="s">
        <v>2306</v>
      </c>
      <c r="B2565" s="492">
        <v>0</v>
      </c>
      <c r="C2565" s="88">
        <v>0</v>
      </c>
      <c r="D2565" s="88">
        <v>0</v>
      </c>
      <c r="E2565" s="88">
        <v>0</v>
      </c>
      <c r="F2565" s="88">
        <v>0</v>
      </c>
      <c r="G2565" s="135">
        <f t="shared" si="95"/>
        <v>0</v>
      </c>
      <c r="H2565" s="133" t="s">
        <v>2307</v>
      </c>
      <c r="I2565" s="8"/>
    </row>
    <row r="2566" spans="1:9" hidden="1" outlineLevel="1">
      <c r="A2566" s="420" t="s">
        <v>2308</v>
      </c>
      <c r="B2566" s="492">
        <v>5322.71</v>
      </c>
      <c r="C2566" s="88">
        <v>-11.8</v>
      </c>
      <c r="D2566" s="88">
        <v>0</v>
      </c>
      <c r="E2566" s="88">
        <v>5310.91</v>
      </c>
      <c r="F2566" s="88">
        <v>0</v>
      </c>
      <c r="G2566" s="135">
        <f t="shared" si="95"/>
        <v>5310.91</v>
      </c>
      <c r="H2566" s="133" t="s">
        <v>2309</v>
      </c>
      <c r="I2566" s="8"/>
    </row>
    <row r="2567" spans="1:9" hidden="1" outlineLevel="1">
      <c r="A2567" s="420" t="s">
        <v>1889</v>
      </c>
      <c r="B2567" s="492">
        <v>324473.58</v>
      </c>
      <c r="C2567" s="88">
        <v>0</v>
      </c>
      <c r="D2567" s="88">
        <v>0</v>
      </c>
      <c r="E2567" s="88">
        <v>324473.58</v>
      </c>
      <c r="F2567" s="88">
        <v>19884.439999999999</v>
      </c>
      <c r="G2567" s="135">
        <f t="shared" si="95"/>
        <v>344358.02</v>
      </c>
      <c r="H2567" s="133" t="s">
        <v>1890</v>
      </c>
      <c r="I2567" s="8"/>
    </row>
    <row r="2568" spans="1:9" hidden="1" outlineLevel="1">
      <c r="A2568" s="420" t="s">
        <v>2310</v>
      </c>
      <c r="B2568" s="492">
        <v>15175.86</v>
      </c>
      <c r="C2568" s="88">
        <v>0</v>
      </c>
      <c r="D2568" s="88">
        <v>0</v>
      </c>
      <c r="E2568" s="88">
        <v>15175.86</v>
      </c>
      <c r="F2568" s="88">
        <v>0</v>
      </c>
      <c r="G2568" s="135">
        <f t="shared" si="95"/>
        <v>15175.86</v>
      </c>
      <c r="H2568" s="133" t="s">
        <v>2311</v>
      </c>
      <c r="I2568" s="8"/>
    </row>
    <row r="2569" spans="1:9" hidden="1" outlineLevel="1">
      <c r="A2569" s="420" t="s">
        <v>1891</v>
      </c>
      <c r="B2569" s="492">
        <v>3283.08</v>
      </c>
      <c r="C2569" s="88">
        <v>0</v>
      </c>
      <c r="D2569" s="88">
        <v>0</v>
      </c>
      <c r="E2569" s="88">
        <v>3283.08</v>
      </c>
      <c r="F2569" s="88">
        <v>0</v>
      </c>
      <c r="G2569" s="135">
        <f t="shared" si="95"/>
        <v>3283.08</v>
      </c>
      <c r="H2569" s="133" t="s">
        <v>1892</v>
      </c>
      <c r="I2569" s="8"/>
    </row>
    <row r="2570" spans="1:9" hidden="1" outlineLevel="1">
      <c r="A2570" s="420" t="s">
        <v>951</v>
      </c>
      <c r="B2570" s="492">
        <v>1264.7</v>
      </c>
      <c r="C2570" s="88">
        <v>0</v>
      </c>
      <c r="D2570" s="88">
        <v>0</v>
      </c>
      <c r="E2570" s="88">
        <v>1264.7</v>
      </c>
      <c r="F2570" s="88">
        <v>0</v>
      </c>
      <c r="G2570" s="135">
        <f t="shared" si="95"/>
        <v>1264.7</v>
      </c>
      <c r="H2570" s="133" t="s">
        <v>2312</v>
      </c>
      <c r="I2570" s="8"/>
    </row>
    <row r="2571" spans="1:9" hidden="1" outlineLevel="1">
      <c r="A2571" s="420" t="s">
        <v>1893</v>
      </c>
      <c r="B2571" s="492">
        <v>4245460.58</v>
      </c>
      <c r="C2571" s="88">
        <v>0</v>
      </c>
      <c r="D2571" s="88">
        <v>0</v>
      </c>
      <c r="E2571" s="88">
        <v>4245460.58</v>
      </c>
      <c r="F2571" s="88">
        <v>69730.89</v>
      </c>
      <c r="G2571" s="135">
        <f t="shared" si="95"/>
        <v>4315191.47</v>
      </c>
      <c r="H2571" s="133" t="s">
        <v>1894</v>
      </c>
      <c r="I2571" s="8"/>
    </row>
    <row r="2572" spans="1:9" hidden="1" outlineLevel="1">
      <c r="A2572" s="420" t="s">
        <v>1895</v>
      </c>
      <c r="B2572" s="492">
        <v>4575500.5599999996</v>
      </c>
      <c r="C2572" s="88">
        <v>-22814.18</v>
      </c>
      <c r="D2572" s="88">
        <v>0</v>
      </c>
      <c r="E2572" s="88">
        <v>4552686.38</v>
      </c>
      <c r="F2572" s="88">
        <v>-21197.68</v>
      </c>
      <c r="G2572" s="135">
        <f t="shared" si="95"/>
        <v>4531488.7</v>
      </c>
      <c r="H2572" s="133" t="s">
        <v>1896</v>
      </c>
      <c r="I2572" s="8"/>
    </row>
    <row r="2573" spans="1:9" hidden="1" outlineLevel="1">
      <c r="A2573" s="420" t="s">
        <v>1683</v>
      </c>
      <c r="B2573" s="492">
        <v>440822.3</v>
      </c>
      <c r="C2573" s="88">
        <v>0</v>
      </c>
      <c r="D2573" s="88">
        <v>0</v>
      </c>
      <c r="E2573" s="88">
        <v>440822.3</v>
      </c>
      <c r="F2573" s="88">
        <v>-2656.42</v>
      </c>
      <c r="G2573" s="135">
        <f t="shared" si="95"/>
        <v>438165.88</v>
      </c>
      <c r="H2573" s="133" t="s">
        <v>1684</v>
      </c>
      <c r="I2573" s="8"/>
    </row>
    <row r="2574" spans="1:9" hidden="1" outlineLevel="1">
      <c r="A2574" s="420" t="s">
        <v>1897</v>
      </c>
      <c r="B2574" s="492">
        <v>84581.7</v>
      </c>
      <c r="C2574" s="88">
        <v>0</v>
      </c>
      <c r="D2574" s="88">
        <v>0</v>
      </c>
      <c r="E2574" s="88">
        <v>84581.7</v>
      </c>
      <c r="F2574" s="88">
        <v>0</v>
      </c>
      <c r="G2574" s="135">
        <f t="shared" si="95"/>
        <v>84581.7</v>
      </c>
      <c r="H2574" s="133" t="s">
        <v>1898</v>
      </c>
      <c r="I2574" s="8"/>
    </row>
    <row r="2575" spans="1:9" hidden="1" outlineLevel="1">
      <c r="A2575" s="420" t="s">
        <v>977</v>
      </c>
      <c r="B2575" s="492">
        <v>44298863.310000002</v>
      </c>
      <c r="C2575" s="88">
        <v>-445594.33</v>
      </c>
      <c r="D2575" s="88">
        <v>0</v>
      </c>
      <c r="E2575" s="88">
        <v>43853268.979999997</v>
      </c>
      <c r="F2575" s="88">
        <v>195570.02</v>
      </c>
      <c r="G2575" s="135">
        <f t="shared" si="95"/>
        <v>44048839</v>
      </c>
      <c r="H2575" s="133" t="s">
        <v>978</v>
      </c>
      <c r="I2575" s="8"/>
    </row>
    <row r="2576" spans="1:9" hidden="1" outlineLevel="1">
      <c r="A2576" s="420" t="s">
        <v>1899</v>
      </c>
      <c r="B2576" s="492">
        <v>242730.57</v>
      </c>
      <c r="C2576" s="88">
        <v>0</v>
      </c>
      <c r="D2576" s="88">
        <v>0</v>
      </c>
      <c r="E2576" s="88">
        <v>242730.57</v>
      </c>
      <c r="F2576" s="88">
        <v>0</v>
      </c>
      <c r="G2576" s="135">
        <f t="shared" si="95"/>
        <v>242730.57</v>
      </c>
      <c r="H2576" s="133" t="s">
        <v>1900</v>
      </c>
      <c r="I2576" s="8"/>
    </row>
    <row r="2577" spans="1:9" hidden="1" outlineLevel="1">
      <c r="A2577" s="420" t="s">
        <v>1901</v>
      </c>
      <c r="B2577" s="492">
        <v>295906.15000000002</v>
      </c>
      <c r="C2577" s="88">
        <v>0</v>
      </c>
      <c r="D2577" s="88">
        <v>0</v>
      </c>
      <c r="E2577" s="88">
        <v>295906.15000000002</v>
      </c>
      <c r="F2577" s="88">
        <v>264.39999999999998</v>
      </c>
      <c r="G2577" s="135">
        <f t="shared" si="95"/>
        <v>296170.55000000005</v>
      </c>
      <c r="H2577" s="133" t="s">
        <v>1902</v>
      </c>
      <c r="I2577" s="8"/>
    </row>
    <row r="2578" spans="1:9" hidden="1" outlineLevel="1">
      <c r="A2578" s="420" t="s">
        <v>1903</v>
      </c>
      <c r="B2578" s="492">
        <v>5139140.38</v>
      </c>
      <c r="C2578" s="88">
        <v>-9378.42</v>
      </c>
      <c r="D2578" s="88">
        <v>0</v>
      </c>
      <c r="E2578" s="88">
        <v>5129761.96</v>
      </c>
      <c r="F2578" s="88">
        <v>166.55</v>
      </c>
      <c r="G2578" s="135">
        <f t="shared" si="95"/>
        <v>5129928.51</v>
      </c>
      <c r="H2578" s="133" t="s">
        <v>1904</v>
      </c>
      <c r="I2578" s="8"/>
    </row>
    <row r="2579" spans="1:9" hidden="1" outlineLevel="1">
      <c r="A2579" s="420" t="s">
        <v>1905</v>
      </c>
      <c r="B2579" s="492">
        <v>1724454.97</v>
      </c>
      <c r="C2579" s="88">
        <v>0</v>
      </c>
      <c r="D2579" s="88">
        <v>0</v>
      </c>
      <c r="E2579" s="88">
        <v>1724454.97</v>
      </c>
      <c r="F2579" s="88">
        <v>0</v>
      </c>
      <c r="G2579" s="135">
        <f t="shared" si="95"/>
        <v>1724454.97</v>
      </c>
      <c r="H2579" s="133" t="s">
        <v>1906</v>
      </c>
      <c r="I2579" s="8"/>
    </row>
    <row r="2580" spans="1:9" hidden="1" outlineLevel="1">
      <c r="A2580" s="420" t="s">
        <v>1907</v>
      </c>
      <c r="B2580" s="492">
        <v>40625.870000000003</v>
      </c>
      <c r="C2580" s="88">
        <v>0</v>
      </c>
      <c r="D2580" s="88">
        <v>0</v>
      </c>
      <c r="E2580" s="88">
        <v>40625.870000000003</v>
      </c>
      <c r="F2580" s="88">
        <v>0</v>
      </c>
      <c r="G2580" s="135">
        <f t="shared" si="95"/>
        <v>40625.870000000003</v>
      </c>
      <c r="H2580" s="133" t="s">
        <v>1908</v>
      </c>
      <c r="I2580" s="8"/>
    </row>
    <row r="2581" spans="1:9" hidden="1" outlineLevel="1">
      <c r="A2581" s="420" t="s">
        <v>2313</v>
      </c>
      <c r="B2581" s="492">
        <v>277209.27</v>
      </c>
      <c r="C2581" s="88">
        <v>0</v>
      </c>
      <c r="D2581" s="88">
        <v>0</v>
      </c>
      <c r="E2581" s="88">
        <v>277209.27</v>
      </c>
      <c r="F2581" s="88">
        <v>0</v>
      </c>
      <c r="G2581" s="135">
        <f t="shared" si="95"/>
        <v>277209.27</v>
      </c>
      <c r="H2581" s="133" t="s">
        <v>2314</v>
      </c>
      <c r="I2581" s="8"/>
    </row>
    <row r="2582" spans="1:9" hidden="1" outlineLevel="1">
      <c r="A2582" s="420" t="s">
        <v>1909</v>
      </c>
      <c r="B2582" s="492">
        <v>212232.92</v>
      </c>
      <c r="C2582" s="88">
        <v>0</v>
      </c>
      <c r="D2582" s="88">
        <v>0</v>
      </c>
      <c r="E2582" s="88">
        <v>212232.92</v>
      </c>
      <c r="F2582" s="88">
        <v>0</v>
      </c>
      <c r="G2582" s="135">
        <f t="shared" si="95"/>
        <v>212232.92</v>
      </c>
      <c r="H2582" s="133" t="s">
        <v>1910</v>
      </c>
      <c r="I2582" s="8"/>
    </row>
    <row r="2583" spans="1:9" hidden="1" outlineLevel="1">
      <c r="A2583" s="420" t="s">
        <v>1911</v>
      </c>
      <c r="B2583" s="492">
        <v>595423.89</v>
      </c>
      <c r="C2583" s="88">
        <v>0</v>
      </c>
      <c r="D2583" s="88">
        <v>0</v>
      </c>
      <c r="E2583" s="88">
        <v>595423.89</v>
      </c>
      <c r="F2583" s="88">
        <v>-6724.88</v>
      </c>
      <c r="G2583" s="135">
        <f t="shared" si="95"/>
        <v>588699.01</v>
      </c>
      <c r="H2583" s="133" t="s">
        <v>1912</v>
      </c>
      <c r="I2583" s="8"/>
    </row>
    <row r="2584" spans="1:9" hidden="1" outlineLevel="1">
      <c r="A2584" s="420" t="s">
        <v>1913</v>
      </c>
      <c r="B2584" s="492">
        <v>425559.26</v>
      </c>
      <c r="C2584" s="88">
        <v>0</v>
      </c>
      <c r="D2584" s="88">
        <v>0</v>
      </c>
      <c r="E2584" s="88">
        <v>425559.26</v>
      </c>
      <c r="F2584" s="88">
        <v>-3244.94</v>
      </c>
      <c r="G2584" s="135">
        <f t="shared" si="95"/>
        <v>422314.32</v>
      </c>
      <c r="H2584" s="133" t="s">
        <v>1914</v>
      </c>
      <c r="I2584" s="8"/>
    </row>
    <row r="2585" spans="1:9" hidden="1" outlineLevel="1">
      <c r="A2585" s="420" t="s">
        <v>1915</v>
      </c>
      <c r="B2585" s="492">
        <v>1184682.74</v>
      </c>
      <c r="C2585" s="88">
        <v>0</v>
      </c>
      <c r="D2585" s="88">
        <v>0</v>
      </c>
      <c r="E2585" s="88">
        <v>1184682.74</v>
      </c>
      <c r="F2585" s="88">
        <v>-1145.49</v>
      </c>
      <c r="G2585" s="135">
        <f t="shared" si="95"/>
        <v>1183537.25</v>
      </c>
      <c r="H2585" s="133" t="s">
        <v>1916</v>
      </c>
      <c r="I2585" s="8"/>
    </row>
    <row r="2586" spans="1:9" hidden="1" outlineLevel="1">
      <c r="A2586" s="420" t="s">
        <v>1917</v>
      </c>
      <c r="B2586" s="492">
        <v>247434.47</v>
      </c>
      <c r="C2586" s="88">
        <v>0</v>
      </c>
      <c r="D2586" s="88">
        <v>0</v>
      </c>
      <c r="E2586" s="88">
        <v>247434.47</v>
      </c>
      <c r="F2586" s="88">
        <v>2059.34</v>
      </c>
      <c r="G2586" s="135">
        <f t="shared" si="95"/>
        <v>249493.81</v>
      </c>
      <c r="H2586" s="133" t="s">
        <v>1918</v>
      </c>
      <c r="I2586" s="8"/>
    </row>
    <row r="2587" spans="1:9" hidden="1" outlineLevel="1">
      <c r="A2587" s="420" t="s">
        <v>1919</v>
      </c>
      <c r="B2587" s="492">
        <v>583587.04</v>
      </c>
      <c r="C2587" s="88">
        <v>0</v>
      </c>
      <c r="D2587" s="88">
        <v>0</v>
      </c>
      <c r="E2587" s="88">
        <v>583587.04</v>
      </c>
      <c r="F2587" s="88">
        <v>213153.59</v>
      </c>
      <c r="G2587" s="135">
        <f t="shared" si="95"/>
        <v>796740.63</v>
      </c>
      <c r="H2587" s="133" t="s">
        <v>1920</v>
      </c>
      <c r="I2587" s="8"/>
    </row>
    <row r="2588" spans="1:9" hidden="1" outlineLevel="1">
      <c r="A2588" s="420" t="s">
        <v>1921</v>
      </c>
      <c r="B2588" s="492">
        <v>113036.58</v>
      </c>
      <c r="C2588" s="88">
        <v>0</v>
      </c>
      <c r="D2588" s="88">
        <v>0</v>
      </c>
      <c r="E2588" s="88">
        <v>113036.58</v>
      </c>
      <c r="F2588" s="88">
        <v>546.71</v>
      </c>
      <c r="G2588" s="135">
        <f t="shared" ref="G2588:G2651" si="96">E2588+F2588</f>
        <v>113583.29000000001</v>
      </c>
      <c r="H2588" s="133" t="s">
        <v>1922</v>
      </c>
      <c r="I2588" s="8"/>
    </row>
    <row r="2589" spans="1:9" hidden="1" outlineLevel="1">
      <c r="A2589" s="420" t="s">
        <v>1923</v>
      </c>
      <c r="B2589" s="492">
        <v>55293.06</v>
      </c>
      <c r="C2589" s="88">
        <v>0</v>
      </c>
      <c r="D2589" s="88">
        <v>0</v>
      </c>
      <c r="E2589" s="88">
        <v>55293.06</v>
      </c>
      <c r="F2589" s="88">
        <v>247.97</v>
      </c>
      <c r="G2589" s="135">
        <f t="shared" si="96"/>
        <v>55541.03</v>
      </c>
      <c r="H2589" s="133" t="s">
        <v>1924</v>
      </c>
      <c r="I2589" s="8"/>
    </row>
    <row r="2590" spans="1:9" hidden="1" outlineLevel="1">
      <c r="A2590" s="420" t="s">
        <v>1925</v>
      </c>
      <c r="B2590" s="492">
        <v>213284.76</v>
      </c>
      <c r="C2590" s="88">
        <v>0</v>
      </c>
      <c r="D2590" s="88">
        <v>0</v>
      </c>
      <c r="E2590" s="88">
        <v>213284.76</v>
      </c>
      <c r="F2590" s="88">
        <v>0</v>
      </c>
      <c r="G2590" s="135">
        <f t="shared" si="96"/>
        <v>213284.76</v>
      </c>
      <c r="H2590" s="133" t="s">
        <v>1926</v>
      </c>
      <c r="I2590" s="8"/>
    </row>
    <row r="2591" spans="1:9" hidden="1" outlineLevel="1">
      <c r="A2591" s="420" t="s">
        <v>1927</v>
      </c>
      <c r="B2591" s="492">
        <v>145389.82999999999</v>
      </c>
      <c r="C2591" s="88">
        <v>0</v>
      </c>
      <c r="D2591" s="88">
        <v>0</v>
      </c>
      <c r="E2591" s="88">
        <v>145389.82999999999</v>
      </c>
      <c r="F2591" s="88">
        <v>802.45</v>
      </c>
      <c r="G2591" s="135">
        <f t="shared" si="96"/>
        <v>146192.28</v>
      </c>
      <c r="H2591" s="133" t="s">
        <v>1928</v>
      </c>
      <c r="I2591" s="8"/>
    </row>
    <row r="2592" spans="1:9" hidden="1" outlineLevel="1">
      <c r="A2592" s="420" t="s">
        <v>1929</v>
      </c>
      <c r="B2592" s="492">
        <v>103024.71</v>
      </c>
      <c r="C2592" s="88">
        <v>0</v>
      </c>
      <c r="D2592" s="88">
        <v>0</v>
      </c>
      <c r="E2592" s="88">
        <v>103024.71</v>
      </c>
      <c r="F2592" s="88">
        <v>0</v>
      </c>
      <c r="G2592" s="135">
        <f t="shared" si="96"/>
        <v>103024.71</v>
      </c>
      <c r="H2592" s="133" t="s">
        <v>1930</v>
      </c>
      <c r="I2592" s="8"/>
    </row>
    <row r="2593" spans="1:9" hidden="1" outlineLevel="1">
      <c r="A2593" s="420" t="s">
        <v>1931</v>
      </c>
      <c r="B2593" s="492">
        <v>604501.76000000001</v>
      </c>
      <c r="C2593" s="88">
        <v>0</v>
      </c>
      <c r="D2593" s="88">
        <v>0</v>
      </c>
      <c r="E2593" s="88">
        <v>604501.76000000001</v>
      </c>
      <c r="F2593" s="88">
        <v>0</v>
      </c>
      <c r="G2593" s="135">
        <f t="shared" si="96"/>
        <v>604501.76000000001</v>
      </c>
      <c r="H2593" s="133" t="s">
        <v>1932</v>
      </c>
      <c r="I2593" s="8"/>
    </row>
    <row r="2594" spans="1:9" hidden="1" outlineLevel="1">
      <c r="A2594" s="420" t="s">
        <v>1933</v>
      </c>
      <c r="B2594" s="492">
        <v>353702.82</v>
      </c>
      <c r="C2594" s="88">
        <v>0</v>
      </c>
      <c r="D2594" s="88">
        <v>0</v>
      </c>
      <c r="E2594" s="88">
        <v>353702.82</v>
      </c>
      <c r="F2594" s="88">
        <v>0</v>
      </c>
      <c r="G2594" s="135">
        <f t="shared" si="96"/>
        <v>353702.82</v>
      </c>
      <c r="H2594" s="133" t="s">
        <v>1934</v>
      </c>
      <c r="I2594" s="8"/>
    </row>
    <row r="2595" spans="1:9" hidden="1" outlineLevel="1">
      <c r="A2595" s="420" t="s">
        <v>1935</v>
      </c>
      <c r="B2595" s="492">
        <v>523578.04</v>
      </c>
      <c r="C2595" s="88">
        <v>0</v>
      </c>
      <c r="D2595" s="88">
        <v>0</v>
      </c>
      <c r="E2595" s="88">
        <v>523578.04</v>
      </c>
      <c r="F2595" s="88">
        <v>47622.42</v>
      </c>
      <c r="G2595" s="135">
        <f t="shared" si="96"/>
        <v>571200.46</v>
      </c>
      <c r="H2595" s="133" t="s">
        <v>1936</v>
      </c>
      <c r="I2595" s="8"/>
    </row>
    <row r="2596" spans="1:9" hidden="1" outlineLevel="1">
      <c r="A2596" s="420" t="s">
        <v>1937</v>
      </c>
      <c r="B2596" s="492">
        <v>334616.45</v>
      </c>
      <c r="C2596" s="88">
        <v>0</v>
      </c>
      <c r="D2596" s="88">
        <v>0</v>
      </c>
      <c r="E2596" s="88">
        <v>334616.45</v>
      </c>
      <c r="F2596" s="88">
        <v>354597.36</v>
      </c>
      <c r="G2596" s="135">
        <f t="shared" si="96"/>
        <v>689213.81</v>
      </c>
      <c r="H2596" s="133" t="s">
        <v>1938</v>
      </c>
      <c r="I2596" s="8"/>
    </row>
    <row r="2597" spans="1:9" hidden="1" outlineLevel="1">
      <c r="A2597" s="420" t="s">
        <v>1939</v>
      </c>
      <c r="B2597" s="492">
        <v>140258.01999999999</v>
      </c>
      <c r="C2597" s="88">
        <v>0</v>
      </c>
      <c r="D2597" s="88">
        <v>0</v>
      </c>
      <c r="E2597" s="88">
        <v>140258.01999999999</v>
      </c>
      <c r="F2597" s="88">
        <v>218.42</v>
      </c>
      <c r="G2597" s="135">
        <f t="shared" si="96"/>
        <v>140476.44</v>
      </c>
      <c r="H2597" s="133" t="s">
        <v>1940</v>
      </c>
      <c r="I2597" s="8"/>
    </row>
    <row r="2598" spans="1:9" hidden="1" outlineLevel="1">
      <c r="A2598" s="420" t="s">
        <v>1941</v>
      </c>
      <c r="B2598" s="492">
        <v>346413.59</v>
      </c>
      <c r="C2598" s="88">
        <v>0</v>
      </c>
      <c r="D2598" s="88">
        <v>0</v>
      </c>
      <c r="E2598" s="88">
        <v>346413.59</v>
      </c>
      <c r="F2598" s="88">
        <v>0</v>
      </c>
      <c r="G2598" s="135">
        <f t="shared" si="96"/>
        <v>346413.59</v>
      </c>
      <c r="H2598" s="133" t="s">
        <v>1942</v>
      </c>
      <c r="I2598" s="8"/>
    </row>
    <row r="2599" spans="1:9" hidden="1" outlineLevel="1">
      <c r="A2599" s="420" t="s">
        <v>1943</v>
      </c>
      <c r="B2599" s="492">
        <v>561334.03</v>
      </c>
      <c r="C2599" s="88">
        <v>0</v>
      </c>
      <c r="D2599" s="88">
        <v>0</v>
      </c>
      <c r="E2599" s="88">
        <v>561334.03</v>
      </c>
      <c r="F2599" s="88">
        <v>-482.88</v>
      </c>
      <c r="G2599" s="135">
        <f t="shared" si="96"/>
        <v>560851.15</v>
      </c>
      <c r="H2599" s="133" t="s">
        <v>1944</v>
      </c>
      <c r="I2599" s="8"/>
    </row>
    <row r="2600" spans="1:9" hidden="1" outlineLevel="1">
      <c r="A2600" s="420" t="s">
        <v>1945</v>
      </c>
      <c r="B2600" s="492">
        <v>376669.79</v>
      </c>
      <c r="C2600" s="88">
        <v>0</v>
      </c>
      <c r="D2600" s="88">
        <v>0</v>
      </c>
      <c r="E2600" s="88">
        <v>376669.79</v>
      </c>
      <c r="F2600" s="88">
        <v>796.59</v>
      </c>
      <c r="G2600" s="135">
        <f t="shared" si="96"/>
        <v>377466.38</v>
      </c>
      <c r="H2600" s="133" t="s">
        <v>1946</v>
      </c>
      <c r="I2600" s="8"/>
    </row>
    <row r="2601" spans="1:9" hidden="1" outlineLevel="1">
      <c r="A2601" s="420" t="s">
        <v>1947</v>
      </c>
      <c r="B2601" s="492">
        <v>95693.61</v>
      </c>
      <c r="C2601" s="88">
        <v>0</v>
      </c>
      <c r="D2601" s="88">
        <v>0</v>
      </c>
      <c r="E2601" s="88">
        <v>95693.61</v>
      </c>
      <c r="F2601" s="88">
        <v>82.54</v>
      </c>
      <c r="G2601" s="135">
        <f t="shared" si="96"/>
        <v>95776.15</v>
      </c>
      <c r="H2601" s="133" t="s">
        <v>1948</v>
      </c>
      <c r="I2601" s="8"/>
    </row>
    <row r="2602" spans="1:9" hidden="1" outlineLevel="1">
      <c r="A2602" s="420" t="s">
        <v>1949</v>
      </c>
      <c r="B2602" s="492">
        <v>307317.96999999997</v>
      </c>
      <c r="C2602" s="88">
        <v>0</v>
      </c>
      <c r="D2602" s="88">
        <v>0</v>
      </c>
      <c r="E2602" s="88">
        <v>307317.96999999997</v>
      </c>
      <c r="F2602" s="88">
        <v>0</v>
      </c>
      <c r="G2602" s="135">
        <f t="shared" si="96"/>
        <v>307317.96999999997</v>
      </c>
      <c r="H2602" s="133" t="s">
        <v>1950</v>
      </c>
      <c r="I2602" s="8"/>
    </row>
    <row r="2603" spans="1:9" hidden="1" outlineLevel="1">
      <c r="A2603" s="420" t="s">
        <v>1951</v>
      </c>
      <c r="B2603" s="492">
        <v>93442.83</v>
      </c>
      <c r="C2603" s="88">
        <v>0</v>
      </c>
      <c r="D2603" s="88">
        <v>0</v>
      </c>
      <c r="E2603" s="88">
        <v>93442.83</v>
      </c>
      <c r="F2603" s="88">
        <v>0</v>
      </c>
      <c r="G2603" s="135">
        <f t="shared" si="96"/>
        <v>93442.83</v>
      </c>
      <c r="H2603" s="133" t="s">
        <v>1952</v>
      </c>
      <c r="I2603" s="8"/>
    </row>
    <row r="2604" spans="1:9" hidden="1" outlineLevel="1">
      <c r="A2604" s="420" t="s">
        <v>1953</v>
      </c>
      <c r="B2604" s="492">
        <v>437528.71</v>
      </c>
      <c r="C2604" s="88">
        <v>0</v>
      </c>
      <c r="D2604" s="88">
        <v>0</v>
      </c>
      <c r="E2604" s="88">
        <v>437528.71</v>
      </c>
      <c r="F2604" s="88">
        <v>971.57</v>
      </c>
      <c r="G2604" s="135">
        <f t="shared" si="96"/>
        <v>438500.28</v>
      </c>
      <c r="H2604" s="133" t="s">
        <v>1954</v>
      </c>
      <c r="I2604" s="8"/>
    </row>
    <row r="2605" spans="1:9" hidden="1" outlineLevel="1">
      <c r="A2605" s="420" t="s">
        <v>1955</v>
      </c>
      <c r="B2605" s="492">
        <v>342292.93</v>
      </c>
      <c r="C2605" s="88">
        <v>0</v>
      </c>
      <c r="D2605" s="88">
        <v>0</v>
      </c>
      <c r="E2605" s="88">
        <v>342292.93</v>
      </c>
      <c r="F2605" s="88">
        <v>-1436.09</v>
      </c>
      <c r="G2605" s="135">
        <f t="shared" si="96"/>
        <v>340856.83999999997</v>
      </c>
      <c r="H2605" s="133" t="s">
        <v>1956</v>
      </c>
      <c r="I2605" s="8"/>
    </row>
    <row r="2606" spans="1:9" hidden="1" outlineLevel="1">
      <c r="A2606" s="420" t="s">
        <v>1957</v>
      </c>
      <c r="B2606" s="492">
        <v>256156.71</v>
      </c>
      <c r="C2606" s="88">
        <v>0</v>
      </c>
      <c r="D2606" s="88">
        <v>0</v>
      </c>
      <c r="E2606" s="88">
        <v>256156.71</v>
      </c>
      <c r="F2606" s="88">
        <v>-2082.52</v>
      </c>
      <c r="G2606" s="135">
        <f t="shared" si="96"/>
        <v>254074.19</v>
      </c>
      <c r="H2606" s="133" t="s">
        <v>1958</v>
      </c>
      <c r="I2606" s="8"/>
    </row>
    <row r="2607" spans="1:9" hidden="1" outlineLevel="1">
      <c r="A2607" s="420" t="s">
        <v>1959</v>
      </c>
      <c r="B2607" s="492">
        <v>73154.94</v>
      </c>
      <c r="C2607" s="88">
        <v>0</v>
      </c>
      <c r="D2607" s="88">
        <v>0</v>
      </c>
      <c r="E2607" s="88">
        <v>73154.94</v>
      </c>
      <c r="F2607" s="88">
        <v>0</v>
      </c>
      <c r="G2607" s="135">
        <f t="shared" si="96"/>
        <v>73154.94</v>
      </c>
      <c r="H2607" s="133" t="s">
        <v>1960</v>
      </c>
      <c r="I2607" s="8"/>
    </row>
    <row r="2608" spans="1:9" hidden="1" outlineLevel="1">
      <c r="A2608" s="420" t="s">
        <v>1961</v>
      </c>
      <c r="B2608" s="492">
        <v>95580.11</v>
      </c>
      <c r="C2608" s="88">
        <v>0</v>
      </c>
      <c r="D2608" s="88">
        <v>0</v>
      </c>
      <c r="E2608" s="88">
        <v>95580.11</v>
      </c>
      <c r="F2608" s="88">
        <v>-109.98</v>
      </c>
      <c r="G2608" s="135">
        <f t="shared" si="96"/>
        <v>95470.13</v>
      </c>
      <c r="H2608" s="133" t="s">
        <v>1962</v>
      </c>
      <c r="I2608" s="8"/>
    </row>
    <row r="2609" spans="1:9" hidden="1" outlineLevel="1">
      <c r="A2609" s="420" t="s">
        <v>1963</v>
      </c>
      <c r="B2609" s="492">
        <v>2062663.47</v>
      </c>
      <c r="C2609" s="88">
        <v>0</v>
      </c>
      <c r="D2609" s="88">
        <v>0</v>
      </c>
      <c r="E2609" s="88">
        <v>2062663.47</v>
      </c>
      <c r="F2609" s="88">
        <v>-21611.47</v>
      </c>
      <c r="G2609" s="135">
        <f t="shared" si="96"/>
        <v>2041052</v>
      </c>
      <c r="H2609" s="133" t="s">
        <v>1964</v>
      </c>
      <c r="I2609" s="8"/>
    </row>
    <row r="2610" spans="1:9" hidden="1" outlineLevel="1">
      <c r="A2610" s="420" t="s">
        <v>1965</v>
      </c>
      <c r="B2610" s="492">
        <v>224747.53</v>
      </c>
      <c r="C2610" s="88">
        <v>0</v>
      </c>
      <c r="D2610" s="88">
        <v>0</v>
      </c>
      <c r="E2610" s="88">
        <v>224747.53</v>
      </c>
      <c r="F2610" s="88">
        <v>309.95</v>
      </c>
      <c r="G2610" s="135">
        <f t="shared" si="96"/>
        <v>225057.48</v>
      </c>
      <c r="H2610" s="133" t="s">
        <v>1966</v>
      </c>
      <c r="I2610" s="8"/>
    </row>
    <row r="2611" spans="1:9" hidden="1" outlineLevel="1">
      <c r="A2611" s="420" t="s">
        <v>1967</v>
      </c>
      <c r="B2611" s="492">
        <v>3391988.44</v>
      </c>
      <c r="C2611" s="88">
        <v>0</v>
      </c>
      <c r="D2611" s="88">
        <v>0</v>
      </c>
      <c r="E2611" s="88">
        <v>3391988.44</v>
      </c>
      <c r="F2611" s="88">
        <v>-1300.27</v>
      </c>
      <c r="G2611" s="135">
        <f t="shared" si="96"/>
        <v>3390688.17</v>
      </c>
      <c r="H2611" s="133" t="s">
        <v>1968</v>
      </c>
      <c r="I2611" s="8"/>
    </row>
    <row r="2612" spans="1:9" hidden="1" outlineLevel="1">
      <c r="A2612" s="420" t="s">
        <v>1969</v>
      </c>
      <c r="B2612" s="492">
        <v>712671.94</v>
      </c>
      <c r="C2612" s="88">
        <v>0</v>
      </c>
      <c r="D2612" s="88">
        <v>0</v>
      </c>
      <c r="E2612" s="88">
        <v>712671.94</v>
      </c>
      <c r="F2612" s="88">
        <v>1418.02</v>
      </c>
      <c r="G2612" s="135">
        <f t="shared" si="96"/>
        <v>714089.96</v>
      </c>
      <c r="H2612" s="133" t="s">
        <v>1970</v>
      </c>
      <c r="I2612" s="8"/>
    </row>
    <row r="2613" spans="1:9" hidden="1" outlineLevel="1">
      <c r="A2613" s="420" t="s">
        <v>1971</v>
      </c>
      <c r="B2613" s="492">
        <v>384455.3</v>
      </c>
      <c r="C2613" s="88">
        <v>0</v>
      </c>
      <c r="D2613" s="88">
        <v>0</v>
      </c>
      <c r="E2613" s="88">
        <v>384455.3</v>
      </c>
      <c r="F2613" s="88">
        <v>-697.91</v>
      </c>
      <c r="G2613" s="135">
        <f t="shared" si="96"/>
        <v>383757.39</v>
      </c>
      <c r="H2613" s="133" t="s">
        <v>1972</v>
      </c>
      <c r="I2613" s="8"/>
    </row>
    <row r="2614" spans="1:9" hidden="1" outlineLevel="1">
      <c r="A2614" s="420" t="s">
        <v>1132</v>
      </c>
      <c r="B2614" s="492">
        <v>1007783.65</v>
      </c>
      <c r="C2614" s="88">
        <v>0</v>
      </c>
      <c r="D2614" s="88">
        <v>0</v>
      </c>
      <c r="E2614" s="88">
        <v>1007783.65</v>
      </c>
      <c r="F2614" s="88">
        <v>0</v>
      </c>
      <c r="G2614" s="135">
        <f t="shared" si="96"/>
        <v>1007783.65</v>
      </c>
      <c r="H2614" s="133" t="s">
        <v>1133</v>
      </c>
      <c r="I2614" s="8"/>
    </row>
    <row r="2615" spans="1:9" hidden="1" outlineLevel="1">
      <c r="A2615" s="420" t="s">
        <v>1973</v>
      </c>
      <c r="B2615" s="492">
        <v>102109.14</v>
      </c>
      <c r="C2615" s="88">
        <v>0</v>
      </c>
      <c r="D2615" s="88">
        <v>0</v>
      </c>
      <c r="E2615" s="88">
        <v>102109.14</v>
      </c>
      <c r="F2615" s="88">
        <v>12706.37</v>
      </c>
      <c r="G2615" s="135">
        <f t="shared" si="96"/>
        <v>114815.51</v>
      </c>
      <c r="H2615" s="133" t="s">
        <v>1974</v>
      </c>
      <c r="I2615" s="8"/>
    </row>
    <row r="2616" spans="1:9" hidden="1" outlineLevel="1">
      <c r="A2616" s="420" t="s">
        <v>1975</v>
      </c>
      <c r="B2616" s="492">
        <v>233358.46</v>
      </c>
      <c r="C2616" s="88">
        <v>0</v>
      </c>
      <c r="D2616" s="88">
        <v>0</v>
      </c>
      <c r="E2616" s="88">
        <v>233358.46</v>
      </c>
      <c r="F2616" s="88">
        <v>0</v>
      </c>
      <c r="G2616" s="135">
        <f t="shared" si="96"/>
        <v>233358.46</v>
      </c>
      <c r="H2616" s="133" t="s">
        <v>1976</v>
      </c>
      <c r="I2616" s="8"/>
    </row>
    <row r="2617" spans="1:9" hidden="1" outlineLevel="1">
      <c r="A2617" s="420" t="s">
        <v>1977</v>
      </c>
      <c r="B2617" s="492">
        <v>312740.58</v>
      </c>
      <c r="C2617" s="88">
        <v>0</v>
      </c>
      <c r="D2617" s="88">
        <v>0</v>
      </c>
      <c r="E2617" s="88">
        <v>312740.58</v>
      </c>
      <c r="F2617" s="88">
        <v>0</v>
      </c>
      <c r="G2617" s="135">
        <f t="shared" si="96"/>
        <v>312740.58</v>
      </c>
      <c r="H2617" s="133" t="s">
        <v>1978</v>
      </c>
      <c r="I2617" s="8"/>
    </row>
    <row r="2618" spans="1:9" hidden="1" outlineLevel="1">
      <c r="A2618" s="420" t="s">
        <v>1979</v>
      </c>
      <c r="B2618" s="492">
        <v>142082.46</v>
      </c>
      <c r="C2618" s="88">
        <v>0</v>
      </c>
      <c r="D2618" s="88">
        <v>0</v>
      </c>
      <c r="E2618" s="88">
        <v>142082.46</v>
      </c>
      <c r="F2618" s="88">
        <v>660.37</v>
      </c>
      <c r="G2618" s="135">
        <f t="shared" si="96"/>
        <v>142742.82999999999</v>
      </c>
      <c r="H2618" s="133" t="s">
        <v>1980</v>
      </c>
      <c r="I2618" s="8"/>
    </row>
    <row r="2619" spans="1:9" hidden="1" outlineLevel="1">
      <c r="A2619" s="420" t="s">
        <v>1981</v>
      </c>
      <c r="B2619" s="492">
        <v>211460.86</v>
      </c>
      <c r="C2619" s="88">
        <v>0</v>
      </c>
      <c r="D2619" s="88">
        <v>0</v>
      </c>
      <c r="E2619" s="88">
        <v>211460.86</v>
      </c>
      <c r="F2619" s="88">
        <v>1406.65</v>
      </c>
      <c r="G2619" s="135">
        <f t="shared" si="96"/>
        <v>212867.50999999998</v>
      </c>
      <c r="H2619" s="133" t="s">
        <v>1982</v>
      </c>
      <c r="I2619" s="8"/>
    </row>
    <row r="2620" spans="1:9" hidden="1" outlineLevel="1">
      <c r="A2620" s="420" t="s">
        <v>1983</v>
      </c>
      <c r="B2620" s="492">
        <v>71584.95</v>
      </c>
      <c r="C2620" s="88">
        <v>0</v>
      </c>
      <c r="D2620" s="88">
        <v>0</v>
      </c>
      <c r="E2620" s="88">
        <v>71584.95</v>
      </c>
      <c r="F2620" s="88">
        <v>-290.19</v>
      </c>
      <c r="G2620" s="135">
        <f t="shared" si="96"/>
        <v>71294.759999999995</v>
      </c>
      <c r="H2620" s="133" t="s">
        <v>1984</v>
      </c>
      <c r="I2620" s="8"/>
    </row>
    <row r="2621" spans="1:9" hidden="1" outlineLevel="1">
      <c r="A2621" s="420" t="s">
        <v>1985</v>
      </c>
      <c r="B2621" s="492">
        <v>332101.96000000002</v>
      </c>
      <c r="C2621" s="88">
        <v>0</v>
      </c>
      <c r="D2621" s="88">
        <v>0</v>
      </c>
      <c r="E2621" s="88">
        <v>332101.96000000002</v>
      </c>
      <c r="F2621" s="88">
        <v>14663.97</v>
      </c>
      <c r="G2621" s="135">
        <f t="shared" si="96"/>
        <v>346765.93</v>
      </c>
      <c r="H2621" s="133" t="s">
        <v>1986</v>
      </c>
      <c r="I2621" s="8"/>
    </row>
    <row r="2622" spans="1:9" hidden="1" outlineLevel="1">
      <c r="A2622" s="420" t="s">
        <v>1987</v>
      </c>
      <c r="B2622" s="492">
        <v>152382.09</v>
      </c>
      <c r="C2622" s="88">
        <v>0</v>
      </c>
      <c r="D2622" s="88">
        <v>0</v>
      </c>
      <c r="E2622" s="88">
        <v>152382.09</v>
      </c>
      <c r="F2622" s="88">
        <v>0</v>
      </c>
      <c r="G2622" s="135">
        <f t="shared" si="96"/>
        <v>152382.09</v>
      </c>
      <c r="H2622" s="133" t="s">
        <v>1988</v>
      </c>
      <c r="I2622" s="8"/>
    </row>
    <row r="2623" spans="1:9" hidden="1" outlineLevel="1">
      <c r="A2623" s="420" t="s">
        <v>1989</v>
      </c>
      <c r="B2623" s="492">
        <v>277096.99</v>
      </c>
      <c r="C2623" s="88">
        <v>0</v>
      </c>
      <c r="D2623" s="88">
        <v>0</v>
      </c>
      <c r="E2623" s="88">
        <v>277096.99</v>
      </c>
      <c r="F2623" s="88">
        <v>574.66999999999996</v>
      </c>
      <c r="G2623" s="135">
        <f t="shared" si="96"/>
        <v>277671.65999999997</v>
      </c>
      <c r="H2623" s="133" t="s">
        <v>1990</v>
      </c>
      <c r="I2623" s="8"/>
    </row>
    <row r="2624" spans="1:9" hidden="1" outlineLevel="1">
      <c r="A2624" s="420" t="s">
        <v>1991</v>
      </c>
      <c r="B2624" s="492">
        <v>407428.04</v>
      </c>
      <c r="C2624" s="88">
        <v>0</v>
      </c>
      <c r="D2624" s="88">
        <v>0</v>
      </c>
      <c r="E2624" s="88">
        <v>407428.04</v>
      </c>
      <c r="F2624" s="88">
        <v>8060.06</v>
      </c>
      <c r="G2624" s="135">
        <f t="shared" si="96"/>
        <v>415488.1</v>
      </c>
      <c r="H2624" s="133" t="s">
        <v>1992</v>
      </c>
      <c r="I2624" s="8"/>
    </row>
    <row r="2625" spans="1:9" hidden="1" outlineLevel="1">
      <c r="A2625" s="420" t="s">
        <v>1993</v>
      </c>
      <c r="B2625" s="492">
        <v>298630.06</v>
      </c>
      <c r="C2625" s="88">
        <v>0</v>
      </c>
      <c r="D2625" s="88">
        <v>0</v>
      </c>
      <c r="E2625" s="88">
        <v>298630.06</v>
      </c>
      <c r="F2625" s="88">
        <v>95793.89</v>
      </c>
      <c r="G2625" s="135">
        <f t="shared" si="96"/>
        <v>394423.95</v>
      </c>
      <c r="H2625" s="133" t="s">
        <v>1994</v>
      </c>
      <c r="I2625" s="8"/>
    </row>
    <row r="2626" spans="1:9" hidden="1" outlineLevel="1">
      <c r="A2626" s="420" t="s">
        <v>1995</v>
      </c>
      <c r="B2626" s="492">
        <v>271869.26</v>
      </c>
      <c r="C2626" s="88">
        <v>0</v>
      </c>
      <c r="D2626" s="88">
        <v>0</v>
      </c>
      <c r="E2626" s="88">
        <v>271869.26</v>
      </c>
      <c r="F2626" s="88">
        <v>-119862.83</v>
      </c>
      <c r="G2626" s="135">
        <f t="shared" si="96"/>
        <v>152006.43</v>
      </c>
      <c r="H2626" s="133" t="s">
        <v>1996</v>
      </c>
      <c r="I2626" s="8"/>
    </row>
    <row r="2627" spans="1:9" hidden="1" outlineLevel="1">
      <c r="A2627" s="420" t="s">
        <v>2315</v>
      </c>
      <c r="B2627" s="492">
        <v>521805.19</v>
      </c>
      <c r="C2627" s="88">
        <v>0</v>
      </c>
      <c r="D2627" s="88">
        <v>0</v>
      </c>
      <c r="E2627" s="88">
        <v>521805.19</v>
      </c>
      <c r="F2627" s="88">
        <v>0</v>
      </c>
      <c r="G2627" s="135">
        <f t="shared" si="96"/>
        <v>521805.19</v>
      </c>
      <c r="H2627" s="133" t="s">
        <v>2316</v>
      </c>
      <c r="I2627" s="8"/>
    </row>
    <row r="2628" spans="1:9" hidden="1" outlineLevel="1">
      <c r="A2628" s="420" t="s">
        <v>1154</v>
      </c>
      <c r="B2628" s="492">
        <v>685362.24</v>
      </c>
      <c r="C2628" s="88">
        <v>0</v>
      </c>
      <c r="D2628" s="88">
        <v>10195.82</v>
      </c>
      <c r="E2628" s="88">
        <v>695558.06</v>
      </c>
      <c r="F2628" s="88">
        <v>7407.71</v>
      </c>
      <c r="G2628" s="135">
        <f t="shared" si="96"/>
        <v>702965.77</v>
      </c>
      <c r="H2628" s="133" t="s">
        <v>1155</v>
      </c>
      <c r="I2628" s="8"/>
    </row>
    <row r="2629" spans="1:9" hidden="1" outlineLevel="1">
      <c r="A2629" s="420" t="s">
        <v>1997</v>
      </c>
      <c r="B2629" s="492">
        <v>197420.45</v>
      </c>
      <c r="C2629" s="88">
        <v>0</v>
      </c>
      <c r="D2629" s="88">
        <v>2581.34</v>
      </c>
      <c r="E2629" s="88">
        <v>200001.79</v>
      </c>
      <c r="F2629" s="88">
        <v>0</v>
      </c>
      <c r="G2629" s="135">
        <f t="shared" si="96"/>
        <v>200001.79</v>
      </c>
      <c r="H2629" s="133" t="s">
        <v>1998</v>
      </c>
      <c r="I2629" s="8"/>
    </row>
    <row r="2630" spans="1:9" hidden="1" outlineLevel="1">
      <c r="A2630" s="420" t="s">
        <v>1999</v>
      </c>
      <c r="B2630" s="492">
        <v>589181.29</v>
      </c>
      <c r="C2630" s="88">
        <v>0</v>
      </c>
      <c r="D2630" s="88">
        <v>0</v>
      </c>
      <c r="E2630" s="88">
        <v>589181.29</v>
      </c>
      <c r="F2630" s="88">
        <v>0</v>
      </c>
      <c r="G2630" s="135">
        <f t="shared" si="96"/>
        <v>589181.29</v>
      </c>
      <c r="H2630" s="133" t="s">
        <v>2000</v>
      </c>
      <c r="I2630" s="8"/>
    </row>
    <row r="2631" spans="1:9" hidden="1" outlineLevel="1">
      <c r="A2631" s="420" t="s">
        <v>2001</v>
      </c>
      <c r="B2631" s="492">
        <v>136475.35</v>
      </c>
      <c r="C2631" s="88">
        <v>0</v>
      </c>
      <c r="D2631" s="88">
        <v>0</v>
      </c>
      <c r="E2631" s="88">
        <v>136475.35</v>
      </c>
      <c r="F2631" s="88">
        <v>0</v>
      </c>
      <c r="G2631" s="135">
        <f t="shared" si="96"/>
        <v>136475.35</v>
      </c>
      <c r="H2631" s="133" t="s">
        <v>2002</v>
      </c>
      <c r="I2631" s="8"/>
    </row>
    <row r="2632" spans="1:9" hidden="1" outlineLevel="1">
      <c r="A2632" s="420" t="s">
        <v>2003</v>
      </c>
      <c r="B2632" s="492">
        <v>1201803.98</v>
      </c>
      <c r="C2632" s="88">
        <v>0</v>
      </c>
      <c r="D2632" s="88">
        <v>0</v>
      </c>
      <c r="E2632" s="88">
        <v>1201803.98</v>
      </c>
      <c r="F2632" s="88">
        <v>-41525.699999999997</v>
      </c>
      <c r="G2632" s="135">
        <f t="shared" si="96"/>
        <v>1160278.28</v>
      </c>
      <c r="H2632" s="133" t="s">
        <v>2004</v>
      </c>
      <c r="I2632" s="8"/>
    </row>
    <row r="2633" spans="1:9" hidden="1" outlineLevel="1">
      <c r="A2633" s="420" t="s">
        <v>2005</v>
      </c>
      <c r="B2633" s="492">
        <v>582165.23</v>
      </c>
      <c r="C2633" s="88">
        <v>0</v>
      </c>
      <c r="D2633" s="88">
        <v>0</v>
      </c>
      <c r="E2633" s="88">
        <v>582165.23</v>
      </c>
      <c r="F2633" s="88">
        <v>2682.78</v>
      </c>
      <c r="G2633" s="135">
        <f t="shared" si="96"/>
        <v>584848.01</v>
      </c>
      <c r="H2633" s="133" t="s">
        <v>2006</v>
      </c>
      <c r="I2633" s="8"/>
    </row>
    <row r="2634" spans="1:9" hidden="1" outlineLevel="1">
      <c r="A2634" s="420" t="s">
        <v>911</v>
      </c>
      <c r="B2634" s="492">
        <v>2268693.85</v>
      </c>
      <c r="C2634" s="88">
        <v>0</v>
      </c>
      <c r="D2634" s="88">
        <v>0</v>
      </c>
      <c r="E2634" s="88">
        <v>2268693.85</v>
      </c>
      <c r="F2634" s="88">
        <v>0</v>
      </c>
      <c r="G2634" s="135">
        <f t="shared" si="96"/>
        <v>2268693.85</v>
      </c>
      <c r="H2634" s="133" t="s">
        <v>912</v>
      </c>
      <c r="I2634" s="8"/>
    </row>
    <row r="2635" spans="1:9" hidden="1" outlineLevel="1">
      <c r="A2635" s="420" t="s">
        <v>2007</v>
      </c>
      <c r="B2635" s="492">
        <v>274087.55</v>
      </c>
      <c r="C2635" s="88">
        <v>0</v>
      </c>
      <c r="D2635" s="88">
        <v>0</v>
      </c>
      <c r="E2635" s="88">
        <v>274087.55</v>
      </c>
      <c r="F2635" s="88">
        <v>0</v>
      </c>
      <c r="G2635" s="135">
        <f t="shared" si="96"/>
        <v>274087.55</v>
      </c>
      <c r="H2635" s="133" t="s">
        <v>2008</v>
      </c>
      <c r="I2635" s="8"/>
    </row>
    <row r="2636" spans="1:9" hidden="1" outlineLevel="1">
      <c r="A2636" s="420" t="s">
        <v>2009</v>
      </c>
      <c r="B2636" s="492">
        <v>945798.82</v>
      </c>
      <c r="C2636" s="88">
        <v>0</v>
      </c>
      <c r="D2636" s="88">
        <v>0</v>
      </c>
      <c r="E2636" s="88">
        <v>945798.82</v>
      </c>
      <c r="F2636" s="88">
        <v>3685.44</v>
      </c>
      <c r="G2636" s="135">
        <f t="shared" si="96"/>
        <v>949484.25999999989</v>
      </c>
      <c r="H2636" s="133" t="s">
        <v>2010</v>
      </c>
      <c r="I2636" s="8"/>
    </row>
    <row r="2637" spans="1:9" hidden="1" outlineLevel="1">
      <c r="A2637" s="420" t="s">
        <v>2011</v>
      </c>
      <c r="B2637" s="492">
        <v>246006.2</v>
      </c>
      <c r="C2637" s="88">
        <v>0</v>
      </c>
      <c r="D2637" s="88">
        <v>0</v>
      </c>
      <c r="E2637" s="88">
        <v>246006.2</v>
      </c>
      <c r="F2637" s="88">
        <v>0</v>
      </c>
      <c r="G2637" s="135">
        <f t="shared" si="96"/>
        <v>246006.2</v>
      </c>
      <c r="H2637" s="133" t="s">
        <v>2012</v>
      </c>
      <c r="I2637" s="8"/>
    </row>
    <row r="2638" spans="1:9" hidden="1" outlineLevel="1">
      <c r="A2638" s="420" t="s">
        <v>2013</v>
      </c>
      <c r="B2638" s="492">
        <v>253319.44</v>
      </c>
      <c r="C2638" s="88">
        <v>0</v>
      </c>
      <c r="D2638" s="88">
        <v>0</v>
      </c>
      <c r="E2638" s="88">
        <v>253319.44</v>
      </c>
      <c r="F2638" s="88">
        <v>0</v>
      </c>
      <c r="G2638" s="135">
        <f t="shared" si="96"/>
        <v>253319.44</v>
      </c>
      <c r="H2638" s="133" t="s">
        <v>2014</v>
      </c>
      <c r="I2638" s="8"/>
    </row>
    <row r="2639" spans="1:9" hidden="1" outlineLevel="1">
      <c r="A2639" s="420" t="s">
        <v>2015</v>
      </c>
      <c r="B2639" s="492">
        <v>163564.1</v>
      </c>
      <c r="C2639" s="88">
        <v>0</v>
      </c>
      <c r="D2639" s="88">
        <v>0</v>
      </c>
      <c r="E2639" s="88">
        <v>163564.1</v>
      </c>
      <c r="F2639" s="88">
        <v>1999.61</v>
      </c>
      <c r="G2639" s="135">
        <f t="shared" si="96"/>
        <v>165563.71</v>
      </c>
      <c r="H2639" s="133" t="s">
        <v>2016</v>
      </c>
      <c r="I2639" s="8"/>
    </row>
    <row r="2640" spans="1:9" hidden="1" outlineLevel="1">
      <c r="A2640" s="420" t="s">
        <v>2017</v>
      </c>
      <c r="B2640" s="492">
        <v>159669.01999999999</v>
      </c>
      <c r="C2640" s="88">
        <v>0</v>
      </c>
      <c r="D2640" s="88">
        <v>0</v>
      </c>
      <c r="E2640" s="88">
        <v>159669.01999999999</v>
      </c>
      <c r="F2640" s="88">
        <v>0</v>
      </c>
      <c r="G2640" s="135">
        <f t="shared" si="96"/>
        <v>159669.01999999999</v>
      </c>
      <c r="H2640" s="133" t="s">
        <v>2018</v>
      </c>
      <c r="I2640" s="8"/>
    </row>
    <row r="2641" spans="1:9" hidden="1" outlineLevel="1">
      <c r="A2641" s="420" t="s">
        <v>2019</v>
      </c>
      <c r="B2641" s="492">
        <v>486237.99</v>
      </c>
      <c r="C2641" s="88">
        <v>0</v>
      </c>
      <c r="D2641" s="88">
        <v>0</v>
      </c>
      <c r="E2641" s="88">
        <v>486237.99</v>
      </c>
      <c r="F2641" s="88">
        <v>-3751.88</v>
      </c>
      <c r="G2641" s="135">
        <f t="shared" si="96"/>
        <v>482486.11</v>
      </c>
      <c r="H2641" s="133" t="s">
        <v>2020</v>
      </c>
      <c r="I2641" s="8"/>
    </row>
    <row r="2642" spans="1:9" hidden="1" outlineLevel="1">
      <c r="A2642" s="420" t="s">
        <v>1314</v>
      </c>
      <c r="B2642" s="492">
        <v>360009</v>
      </c>
      <c r="C2642" s="88">
        <v>0</v>
      </c>
      <c r="D2642" s="88">
        <v>0</v>
      </c>
      <c r="E2642" s="88">
        <v>360009</v>
      </c>
      <c r="F2642" s="88">
        <v>7639.83</v>
      </c>
      <c r="G2642" s="135">
        <f t="shared" si="96"/>
        <v>367648.83</v>
      </c>
      <c r="H2642" s="133" t="s">
        <v>1315</v>
      </c>
      <c r="I2642" s="8"/>
    </row>
    <row r="2643" spans="1:9" hidden="1" outlineLevel="1">
      <c r="A2643" s="420" t="s">
        <v>2021</v>
      </c>
      <c r="B2643" s="492">
        <v>257769.49</v>
      </c>
      <c r="C2643" s="88">
        <v>0</v>
      </c>
      <c r="D2643" s="88">
        <v>0</v>
      </c>
      <c r="E2643" s="88">
        <v>257769.49</v>
      </c>
      <c r="F2643" s="88">
        <v>-6911.08</v>
      </c>
      <c r="G2643" s="135">
        <f t="shared" si="96"/>
        <v>250858.41</v>
      </c>
      <c r="H2643" s="133" t="s">
        <v>2022</v>
      </c>
      <c r="I2643" s="8"/>
    </row>
    <row r="2644" spans="1:9" hidden="1" outlineLevel="1">
      <c r="A2644" s="420" t="s">
        <v>2023</v>
      </c>
      <c r="B2644" s="492">
        <v>282542.90000000002</v>
      </c>
      <c r="C2644" s="88">
        <v>0</v>
      </c>
      <c r="D2644" s="88">
        <v>0</v>
      </c>
      <c r="E2644" s="88">
        <v>282542.90000000002</v>
      </c>
      <c r="F2644" s="88">
        <v>1581.44</v>
      </c>
      <c r="G2644" s="135">
        <f t="shared" si="96"/>
        <v>284124.34000000003</v>
      </c>
      <c r="H2644" s="133" t="s">
        <v>2024</v>
      </c>
      <c r="I2644" s="8"/>
    </row>
    <row r="2645" spans="1:9" hidden="1" outlineLevel="1">
      <c r="A2645" s="420" t="s">
        <v>2025</v>
      </c>
      <c r="B2645" s="492">
        <v>101610.51</v>
      </c>
      <c r="C2645" s="88">
        <v>0</v>
      </c>
      <c r="D2645" s="88">
        <v>0</v>
      </c>
      <c r="E2645" s="88">
        <v>101610.51</v>
      </c>
      <c r="F2645" s="88">
        <v>0</v>
      </c>
      <c r="G2645" s="135">
        <f t="shared" si="96"/>
        <v>101610.51</v>
      </c>
      <c r="H2645" s="133" t="s">
        <v>2026</v>
      </c>
      <c r="I2645" s="8"/>
    </row>
    <row r="2646" spans="1:9" hidden="1" outlineLevel="1">
      <c r="A2646" s="420" t="s">
        <v>2027</v>
      </c>
      <c r="B2646" s="492">
        <v>7645789.9100000001</v>
      </c>
      <c r="C2646" s="88">
        <v>0</v>
      </c>
      <c r="D2646" s="88">
        <v>0</v>
      </c>
      <c r="E2646" s="88">
        <v>7645789.9100000001</v>
      </c>
      <c r="F2646" s="88">
        <v>-1602.79</v>
      </c>
      <c r="G2646" s="135">
        <f t="shared" si="96"/>
        <v>7644187.1200000001</v>
      </c>
      <c r="H2646" s="133" t="s">
        <v>2028</v>
      </c>
      <c r="I2646" s="8"/>
    </row>
    <row r="2647" spans="1:9" hidden="1" outlineLevel="1">
      <c r="A2647" s="420" t="s">
        <v>2029</v>
      </c>
      <c r="B2647" s="492">
        <v>376020.68</v>
      </c>
      <c r="C2647" s="88">
        <v>0</v>
      </c>
      <c r="D2647" s="88">
        <v>0</v>
      </c>
      <c r="E2647" s="88">
        <v>376020.68</v>
      </c>
      <c r="F2647" s="88">
        <v>1892.96</v>
      </c>
      <c r="G2647" s="135">
        <f t="shared" si="96"/>
        <v>377913.64</v>
      </c>
      <c r="H2647" s="133" t="s">
        <v>2030</v>
      </c>
      <c r="I2647" s="8"/>
    </row>
    <row r="2648" spans="1:9" hidden="1" outlineLevel="1">
      <c r="A2648" s="420" t="s">
        <v>2031</v>
      </c>
      <c r="B2648" s="492">
        <v>1545988.07</v>
      </c>
      <c r="C2648" s="88">
        <v>0</v>
      </c>
      <c r="D2648" s="88">
        <v>0</v>
      </c>
      <c r="E2648" s="88">
        <v>1545988.07</v>
      </c>
      <c r="F2648" s="88">
        <v>-5888.01</v>
      </c>
      <c r="G2648" s="135">
        <f t="shared" si="96"/>
        <v>1540100.06</v>
      </c>
      <c r="H2648" s="133" t="s">
        <v>2032</v>
      </c>
      <c r="I2648" s="8"/>
    </row>
    <row r="2649" spans="1:9" hidden="1" outlineLevel="1">
      <c r="A2649" s="420" t="s">
        <v>819</v>
      </c>
      <c r="B2649" s="492">
        <v>774656.13</v>
      </c>
      <c r="C2649" s="88">
        <v>0</v>
      </c>
      <c r="D2649" s="88">
        <v>0</v>
      </c>
      <c r="E2649" s="88">
        <v>774656.13</v>
      </c>
      <c r="F2649" s="88">
        <v>15505.89</v>
      </c>
      <c r="G2649" s="135">
        <f t="shared" si="96"/>
        <v>790162.02</v>
      </c>
      <c r="H2649" s="133" t="s">
        <v>820</v>
      </c>
      <c r="I2649" s="8"/>
    </row>
    <row r="2650" spans="1:9" hidden="1" outlineLevel="1">
      <c r="A2650" s="420" t="s">
        <v>2033</v>
      </c>
      <c r="B2650" s="492">
        <v>11824.4</v>
      </c>
      <c r="C2650" s="88">
        <v>0</v>
      </c>
      <c r="D2650" s="88">
        <v>0</v>
      </c>
      <c r="E2650" s="88">
        <v>11824.4</v>
      </c>
      <c r="F2650" s="88">
        <v>0</v>
      </c>
      <c r="G2650" s="135">
        <f t="shared" si="96"/>
        <v>11824.4</v>
      </c>
      <c r="H2650" s="133" t="s">
        <v>2034</v>
      </c>
      <c r="I2650" s="8"/>
    </row>
    <row r="2651" spans="1:9" hidden="1" outlineLevel="1">
      <c r="A2651" s="420" t="s">
        <v>1202</v>
      </c>
      <c r="B2651" s="492">
        <v>570803.07999999996</v>
      </c>
      <c r="C2651" s="88">
        <v>0</v>
      </c>
      <c r="D2651" s="88">
        <v>0</v>
      </c>
      <c r="E2651" s="88">
        <v>570803.07999999996</v>
      </c>
      <c r="F2651" s="88">
        <v>0</v>
      </c>
      <c r="G2651" s="135">
        <f t="shared" si="96"/>
        <v>570803.07999999996</v>
      </c>
      <c r="H2651" s="133" t="s">
        <v>1203</v>
      </c>
      <c r="I2651" s="8"/>
    </row>
    <row r="2652" spans="1:9" hidden="1" outlineLevel="1">
      <c r="A2652" s="420" t="s">
        <v>2035</v>
      </c>
      <c r="B2652" s="492">
        <v>3103544.54</v>
      </c>
      <c r="C2652" s="88">
        <v>-2687176.76</v>
      </c>
      <c r="D2652" s="88">
        <v>0</v>
      </c>
      <c r="E2652" s="88">
        <v>416367.78</v>
      </c>
      <c r="F2652" s="88">
        <v>-287738.93</v>
      </c>
      <c r="G2652" s="135">
        <f t="shared" ref="G2652:G2659" si="97">E2652+F2652</f>
        <v>128628.85000000003</v>
      </c>
      <c r="H2652" s="133" t="s">
        <v>2036</v>
      </c>
      <c r="I2652" s="8"/>
    </row>
    <row r="2653" spans="1:9" hidden="1" outlineLevel="1">
      <c r="A2653" s="420" t="s">
        <v>2037</v>
      </c>
      <c r="B2653" s="492">
        <v>883893.86</v>
      </c>
      <c r="C2653" s="88">
        <v>0</v>
      </c>
      <c r="D2653" s="88">
        <v>0</v>
      </c>
      <c r="E2653" s="88">
        <v>883893.86</v>
      </c>
      <c r="F2653" s="88">
        <v>29677.63</v>
      </c>
      <c r="G2653" s="135">
        <f t="shared" si="97"/>
        <v>913571.49</v>
      </c>
      <c r="H2653" s="133" t="s">
        <v>2038</v>
      </c>
      <c r="I2653" s="8"/>
    </row>
    <row r="2654" spans="1:9" hidden="1" outlineLevel="1">
      <c r="A2654" s="420" t="s">
        <v>2039</v>
      </c>
      <c r="B2654" s="492">
        <v>80951.77</v>
      </c>
      <c r="C2654" s="88">
        <v>0</v>
      </c>
      <c r="D2654" s="88">
        <v>0</v>
      </c>
      <c r="E2654" s="88">
        <v>80951.77</v>
      </c>
      <c r="F2654" s="88">
        <v>0</v>
      </c>
      <c r="G2654" s="135">
        <f t="shared" si="97"/>
        <v>80951.77</v>
      </c>
      <c r="H2654" s="133" t="s">
        <v>2040</v>
      </c>
      <c r="I2654" s="8"/>
    </row>
    <row r="2655" spans="1:9" hidden="1" outlineLevel="1">
      <c r="A2655" s="420" t="s">
        <v>2041</v>
      </c>
      <c r="B2655" s="492">
        <v>4241241.6500000004</v>
      </c>
      <c r="C2655" s="88">
        <v>0</v>
      </c>
      <c r="D2655" s="88">
        <v>0</v>
      </c>
      <c r="E2655" s="88">
        <v>4241241.6500000004</v>
      </c>
      <c r="F2655" s="88">
        <v>-50819.55</v>
      </c>
      <c r="G2655" s="135">
        <f t="shared" si="97"/>
        <v>4190422.1000000006</v>
      </c>
      <c r="H2655" s="133" t="s">
        <v>2042</v>
      </c>
      <c r="I2655" s="8"/>
    </row>
    <row r="2656" spans="1:9" hidden="1" outlineLevel="1">
      <c r="A2656" s="420" t="s">
        <v>2317</v>
      </c>
      <c r="B2656" s="492">
        <v>11872.33</v>
      </c>
      <c r="C2656" s="88">
        <v>0</v>
      </c>
      <c r="D2656" s="88">
        <v>0</v>
      </c>
      <c r="E2656" s="88">
        <v>11872.33</v>
      </c>
      <c r="F2656" s="88">
        <v>0</v>
      </c>
      <c r="G2656" s="135">
        <f t="shared" si="97"/>
        <v>11872.33</v>
      </c>
      <c r="H2656" s="133" t="s">
        <v>2318</v>
      </c>
      <c r="I2656" s="8"/>
    </row>
    <row r="2657" spans="1:9" hidden="1" outlineLevel="1">
      <c r="A2657" s="420" t="s">
        <v>2043</v>
      </c>
      <c r="B2657" s="492">
        <v>116584.42</v>
      </c>
      <c r="C2657" s="88">
        <v>0</v>
      </c>
      <c r="D2657" s="88">
        <v>0</v>
      </c>
      <c r="E2657" s="88">
        <v>116584.42</v>
      </c>
      <c r="F2657" s="88">
        <v>0</v>
      </c>
      <c r="G2657" s="135">
        <f t="shared" si="97"/>
        <v>116584.42</v>
      </c>
      <c r="H2657" s="133" t="s">
        <v>2044</v>
      </c>
      <c r="I2657" s="8"/>
    </row>
    <row r="2658" spans="1:9" hidden="1" outlineLevel="1">
      <c r="A2658" s="420" t="s">
        <v>2045</v>
      </c>
      <c r="B2658" s="492">
        <v>11866.48</v>
      </c>
      <c r="C2658" s="88">
        <v>0</v>
      </c>
      <c r="D2658" s="88">
        <v>0</v>
      </c>
      <c r="E2658" s="88">
        <v>11866.48</v>
      </c>
      <c r="F2658" s="88">
        <v>0.33</v>
      </c>
      <c r="G2658" s="135">
        <f t="shared" si="97"/>
        <v>11866.81</v>
      </c>
      <c r="H2658" s="133" t="s">
        <v>2046</v>
      </c>
      <c r="I2658" s="8"/>
    </row>
    <row r="2659" spans="1:9" hidden="1" outlineLevel="1">
      <c r="A2659" s="420"/>
      <c r="B2659" s="492"/>
      <c r="C2659" s="88"/>
      <c r="D2659" s="88"/>
      <c r="E2659" s="88"/>
      <c r="F2659" s="88"/>
      <c r="G2659" s="135">
        <f t="shared" si="97"/>
        <v>0</v>
      </c>
      <c r="H2659" s="133"/>
      <c r="I2659" s="8"/>
    </row>
    <row r="2660" spans="1:9" ht="13.5" collapsed="1" thickBot="1">
      <c r="A2660" s="410" t="s">
        <v>2047</v>
      </c>
      <c r="B2660" s="493">
        <f t="shared" ref="B2660:G2660" si="98">B1744+B1916+B2151+B2521</f>
        <v>875760368.93950427</v>
      </c>
      <c r="C2660" s="136">
        <f t="shared" si="98"/>
        <v>-29411646.526530001</v>
      </c>
      <c r="D2660" s="136">
        <f t="shared" si="98"/>
        <v>17334.940000000002</v>
      </c>
      <c r="E2660" s="136">
        <f t="shared" si="98"/>
        <v>846366057.35297406</v>
      </c>
      <c r="F2660" s="136">
        <f t="shared" si="98"/>
        <v>1717869.8547629602</v>
      </c>
      <c r="G2660" s="137">
        <f t="shared" si="98"/>
        <v>848083927.20773721</v>
      </c>
      <c r="H2660" s="10"/>
    </row>
    <row r="2662" spans="1:9">
      <c r="A2662" s="11"/>
      <c r="B2662" s="10"/>
      <c r="C2662" s="10"/>
      <c r="D2662" s="10"/>
      <c r="E2662" s="10"/>
      <c r="F2662" s="10"/>
      <c r="G2662" s="10"/>
      <c r="H2662" s="10"/>
    </row>
    <row r="2663" spans="1:9">
      <c r="A2663" s="1733" t="s">
        <v>2454</v>
      </c>
    </row>
    <row r="2664" spans="1:9" ht="13.5" thickBot="1"/>
    <row r="2665" spans="1:9" ht="76.5">
      <c r="A2665" s="490"/>
      <c r="B2665" s="494" t="s">
        <v>2455</v>
      </c>
      <c r="C2665" s="497" t="s">
        <v>2456</v>
      </c>
      <c r="D2665" s="498" t="s">
        <v>2457</v>
      </c>
      <c r="E2665" s="90"/>
      <c r="F2665" s="90"/>
      <c r="G2665" s="90"/>
      <c r="H2665" s="90"/>
    </row>
    <row r="2666" spans="1:9" s="8" customFormat="1" ht="13.5" thickBot="1">
      <c r="A2666" s="489"/>
      <c r="B2666" s="526" t="s">
        <v>454</v>
      </c>
      <c r="C2666" s="528" t="s">
        <v>454</v>
      </c>
      <c r="D2666" s="530" t="s">
        <v>454</v>
      </c>
      <c r="E2666" s="18"/>
      <c r="F2666" s="18"/>
      <c r="G2666" s="18"/>
      <c r="H2666" s="18"/>
    </row>
    <row r="2667" spans="1:9">
      <c r="A2667" s="417" t="str">
        <f>A7</f>
        <v>Regelzone 50Hertz (gesamt)</v>
      </c>
      <c r="B2667" s="1718">
        <f>+SUM(B2668:B2838)</f>
        <v>68192599533</v>
      </c>
      <c r="C2667" s="1718">
        <f>+SUM(C2668:C2838)</f>
        <v>319679737</v>
      </c>
      <c r="D2667" s="141">
        <f>B2667+C2667</f>
        <v>68512279270</v>
      </c>
      <c r="E2667" s="133"/>
      <c r="F2667" s="133"/>
      <c r="G2667" s="133"/>
      <c r="H2667" s="133"/>
    </row>
    <row r="2668" spans="1:9" hidden="1" outlineLevel="1">
      <c r="A2668" s="418" t="str">
        <f>+'Anlage 2a_Letztverbrauch'!A8</f>
        <v>SNB982046657236</v>
      </c>
      <c r="B2668" s="667">
        <f>+'Anlage 2a_Letztverbrauch'!I8</f>
        <v>4817489645</v>
      </c>
      <c r="C2668" s="711">
        <v>-108286012</v>
      </c>
      <c r="D2668" s="135">
        <f t="shared" ref="D2668:D2699" si="99">+B2668+C2668</f>
        <v>4709203633</v>
      </c>
      <c r="E2668" s="133"/>
      <c r="F2668" s="133"/>
      <c r="G2668" s="133"/>
      <c r="H2668" s="133"/>
      <c r="I2668" s="92"/>
    </row>
    <row r="2669" spans="1:9" hidden="1" outlineLevel="1">
      <c r="A2669" s="418" t="str">
        <f>+'Anlage 2a_Letztverbrauch'!A9</f>
        <v>SNB990362338043</v>
      </c>
      <c r="B2669" s="667">
        <f>+'Anlage 2a_Letztverbrauch'!I9</f>
        <v>1828460552</v>
      </c>
      <c r="C2669" s="711">
        <f>+SUMIF('Anlage 2b_Korrekturen'!$B$8:$B$226,A2669,'Anlage 2b_Korrekturen'!$D$8:$D$226)</f>
        <v>-5695148</v>
      </c>
      <c r="D2669" s="135">
        <f t="shared" si="99"/>
        <v>1822765404</v>
      </c>
      <c r="E2669" s="133"/>
      <c r="F2669" s="133"/>
      <c r="G2669" s="133"/>
      <c r="H2669" s="133"/>
      <c r="I2669" s="92"/>
    </row>
    <row r="2670" spans="1:9" hidden="1" outlineLevel="1">
      <c r="A2670" s="418" t="str">
        <f>+'Anlage 2a_Letztverbrauch'!A10</f>
        <v>SNB911159111601</v>
      </c>
      <c r="B2670" s="667">
        <f>+'Anlage 2a_Letztverbrauch'!I10</f>
        <v>36918727</v>
      </c>
      <c r="C2670" s="711">
        <f>+SUMIF('Anlage 2b_Korrekturen'!$B$8:$B$226,A2670,'Anlage 2b_Korrekturen'!$D$8:$D$226)</f>
        <v>0</v>
      </c>
      <c r="D2670" s="135">
        <f t="shared" si="99"/>
        <v>36918727</v>
      </c>
      <c r="E2670" s="133"/>
      <c r="F2670" s="133"/>
      <c r="G2670" s="133"/>
      <c r="H2670" s="133"/>
      <c r="I2670" s="92"/>
    </row>
    <row r="2671" spans="1:9" hidden="1" outlineLevel="1">
      <c r="A2671" s="418" t="str">
        <f>+'Anlage 2a_Letztverbrauch'!A11</f>
        <v>SNB917314328846</v>
      </c>
      <c r="B2671" s="667">
        <f>+'Anlage 2a_Letztverbrauch'!I11</f>
        <v>101352570</v>
      </c>
      <c r="C2671" s="711">
        <f>+SUMIF('Anlage 2b_Korrekturen'!$B$8:$B$226,A2671,'Anlage 2b_Korrekturen'!$D$8:$D$226)</f>
        <v>0</v>
      </c>
      <c r="D2671" s="135">
        <f t="shared" si="99"/>
        <v>101352570</v>
      </c>
      <c r="E2671" s="133"/>
      <c r="F2671" s="133"/>
      <c r="G2671" s="133"/>
      <c r="H2671" s="133"/>
      <c r="I2671" s="92"/>
    </row>
    <row r="2672" spans="1:9" hidden="1" outlineLevel="1">
      <c r="A2672" s="418" t="str">
        <f>+'Anlage 2a_Letztverbrauch'!A12</f>
        <v>SNB942182027607</v>
      </c>
      <c r="B2672" s="667">
        <f>+'Anlage 2a_Letztverbrauch'!I12</f>
        <v>2343273787</v>
      </c>
      <c r="C2672" s="1719">
        <f>+SUMIF('Anlage 2b_Korrekturen'!$B$8:$B$226,A2672,'Anlage 2b_Korrekturen'!$D$8:$D$226)</f>
        <v>-1602697</v>
      </c>
      <c r="D2672" s="135">
        <f t="shared" si="99"/>
        <v>2341671090</v>
      </c>
      <c r="E2672" s="133"/>
      <c r="F2672" s="133"/>
      <c r="G2672" s="133"/>
      <c r="H2672" s="133"/>
      <c r="I2672" s="92"/>
    </row>
    <row r="2673" spans="1:9" hidden="1" outlineLevel="1">
      <c r="A2673" s="418" t="str">
        <f>+'Anlage 2a_Letztverbrauch'!A13</f>
        <v>SNB942182027607</v>
      </c>
      <c r="B2673" s="667">
        <f>+'Anlage 2a_Letztverbrauch'!I13</f>
        <v>450855380</v>
      </c>
      <c r="C2673" s="711">
        <v>0</v>
      </c>
      <c r="D2673" s="135">
        <f t="shared" si="99"/>
        <v>450855380</v>
      </c>
      <c r="E2673" s="133"/>
      <c r="F2673" s="133"/>
      <c r="G2673" s="133"/>
      <c r="H2673" s="133"/>
      <c r="I2673" s="92"/>
    </row>
    <row r="2674" spans="1:9" hidden="1" outlineLevel="1">
      <c r="A2674" s="418" t="str">
        <f>+'Anlage 2a_Letztverbrauch'!A14</f>
        <v>SNB980808485264</v>
      </c>
      <c r="B2674" s="667">
        <f>+'Anlage 2a_Letztverbrauch'!I14</f>
        <v>1996030355</v>
      </c>
      <c r="C2674" s="711">
        <f>+SUMIF('Anlage 2b_Korrekturen'!$B$8:$B$226,A2674,'Anlage 2b_Korrekturen'!$D$8:$D$226)</f>
        <v>3222712</v>
      </c>
      <c r="D2674" s="135">
        <f t="shared" si="99"/>
        <v>1999253067</v>
      </c>
      <c r="E2674" s="133"/>
      <c r="F2674" s="133"/>
      <c r="G2674" s="133"/>
      <c r="H2674" s="133"/>
      <c r="I2674" s="92"/>
    </row>
    <row r="2675" spans="1:9" hidden="1" outlineLevel="1">
      <c r="A2675" s="418" t="str">
        <f>+'Anlage 2a_Letztverbrauch'!A15</f>
        <v>SNB941690671609</v>
      </c>
      <c r="B2675" s="667">
        <f>+'Anlage 2a_Letztverbrauch'!I15</f>
        <v>6985468241</v>
      </c>
      <c r="C2675" s="711">
        <f>+SUMIF('Anlage 2b_Korrekturen'!$B$8:$B$226,A2675,'Anlage 2b_Korrekturen'!$D$8:$D$226)</f>
        <v>-13754409</v>
      </c>
      <c r="D2675" s="135">
        <f t="shared" si="99"/>
        <v>6971713832</v>
      </c>
      <c r="E2675" s="133"/>
      <c r="F2675" s="133"/>
      <c r="G2675" s="133"/>
      <c r="H2675" s="133"/>
      <c r="I2675" s="92"/>
    </row>
    <row r="2676" spans="1:9" hidden="1" outlineLevel="1">
      <c r="A2676" s="418" t="str">
        <f>+'Anlage 2a_Letztverbrauch'!A16</f>
        <v>SNB913768089142</v>
      </c>
      <c r="B2676" s="667">
        <f>+'Anlage 2a_Letztverbrauch'!I16</f>
        <v>6422739</v>
      </c>
      <c r="C2676" s="711">
        <f>+SUMIF('Anlage 2b_Korrekturen'!$B$8:$B$226,A2676,'Anlage 2b_Korrekturen'!$D$8:$D$226)</f>
        <v>0</v>
      </c>
      <c r="D2676" s="135">
        <f t="shared" si="99"/>
        <v>6422739</v>
      </c>
      <c r="E2676" s="133"/>
      <c r="F2676" s="133"/>
      <c r="G2676" s="133"/>
      <c r="H2676" s="133"/>
      <c r="I2676" s="92"/>
    </row>
    <row r="2677" spans="1:9" hidden="1" outlineLevel="1">
      <c r="A2677" s="418" t="str">
        <f>+'Anlage 2a_Letztverbrauch'!A17</f>
        <v>SNB930525911119</v>
      </c>
      <c r="B2677" s="667">
        <f>+'Anlage 2a_Letztverbrauch'!I17</f>
        <v>2208621</v>
      </c>
      <c r="C2677" s="711">
        <f>+SUMIF('Anlage 2b_Korrekturen'!$B$8:$B$226,A2677,'Anlage 2b_Korrekturen'!$D$8:$D$226)</f>
        <v>78503</v>
      </c>
      <c r="D2677" s="135">
        <f t="shared" si="99"/>
        <v>2287124</v>
      </c>
      <c r="E2677" s="133"/>
      <c r="F2677" s="133"/>
      <c r="G2677" s="133"/>
      <c r="H2677" s="133"/>
      <c r="I2677" s="92"/>
    </row>
    <row r="2678" spans="1:9" hidden="1" outlineLevel="1">
      <c r="A2678" s="418" t="str">
        <f>+'Anlage 2a_Letztverbrauch'!A18</f>
        <v>SNB959492463384</v>
      </c>
      <c r="B2678" s="667">
        <f>+'Anlage 2a_Letztverbrauch'!I18</f>
        <v>32084128</v>
      </c>
      <c r="C2678" s="711">
        <f>+SUMIF('Anlage 2b_Korrekturen'!$B$8:$B$226,A2678,'Anlage 2b_Korrekturen'!$D$8:$D$226)</f>
        <v>0</v>
      </c>
      <c r="D2678" s="135">
        <f t="shared" si="99"/>
        <v>32084128</v>
      </c>
      <c r="E2678" s="133"/>
      <c r="F2678" s="133"/>
      <c r="G2678" s="133"/>
      <c r="H2678" s="133"/>
      <c r="I2678" s="92"/>
    </row>
    <row r="2679" spans="1:9" hidden="1" outlineLevel="1">
      <c r="A2679" s="418" t="str">
        <f>+'Anlage 2a_Letztverbrauch'!A19</f>
        <v>SNB921629791202</v>
      </c>
      <c r="B2679" s="667">
        <f>+'Anlage 2a_Letztverbrauch'!I19</f>
        <v>5838851</v>
      </c>
      <c r="C2679" s="711">
        <f>+SUMIF('Anlage 2b_Korrekturen'!$B$8:$B$226,A2679,'Anlage 2b_Korrekturen'!$D$8:$D$226)</f>
        <v>0</v>
      </c>
      <c r="D2679" s="135">
        <f t="shared" si="99"/>
        <v>5838851</v>
      </c>
      <c r="E2679" s="133"/>
      <c r="F2679" s="133"/>
      <c r="G2679" s="133"/>
      <c r="H2679" s="133"/>
      <c r="I2679" s="92"/>
    </row>
    <row r="2680" spans="1:9" hidden="1" outlineLevel="1">
      <c r="A2680" s="418" t="str">
        <f>+'Anlage 2a_Letztverbrauch'!A20</f>
        <v>SNB964092397892</v>
      </c>
      <c r="B2680" s="667">
        <f>+'Anlage 2a_Letztverbrauch'!I20</f>
        <v>40892822</v>
      </c>
      <c r="C2680" s="711">
        <f>+SUMIF('Anlage 2b_Korrekturen'!$B$8:$B$226,A2680,'Anlage 2b_Korrekturen'!$D$8:$D$226)</f>
        <v>0</v>
      </c>
      <c r="D2680" s="135">
        <f t="shared" si="99"/>
        <v>40892822</v>
      </c>
      <c r="E2680" s="133"/>
      <c r="F2680" s="133"/>
      <c r="G2680" s="133"/>
      <c r="H2680" s="133"/>
      <c r="I2680" s="92"/>
    </row>
    <row r="2681" spans="1:9" hidden="1" outlineLevel="1">
      <c r="A2681" s="418" t="str">
        <f>+'Anlage 2a_Letztverbrauch'!A21</f>
        <v>SNB974693983233</v>
      </c>
      <c r="B2681" s="667">
        <f>+'Anlage 2a_Letztverbrauch'!I21</f>
        <v>183907622</v>
      </c>
      <c r="C2681" s="711">
        <f>+SUMIF('Anlage 2b_Korrekturen'!$B$8:$B$226,A2681,'Anlage 2b_Korrekturen'!$D$8:$D$226)</f>
        <v>0</v>
      </c>
      <c r="D2681" s="135">
        <f t="shared" si="99"/>
        <v>183907622</v>
      </c>
      <c r="E2681" s="133"/>
      <c r="F2681" s="133"/>
      <c r="G2681" s="133"/>
      <c r="H2681" s="133"/>
      <c r="I2681" s="92"/>
    </row>
    <row r="2682" spans="1:9" hidden="1" outlineLevel="1">
      <c r="A2682" s="418" t="str">
        <f>+'Anlage 2a_Letztverbrauch'!A22</f>
        <v>SNB939548785561</v>
      </c>
      <c r="B2682" s="667">
        <f>+'Anlage 2a_Letztverbrauch'!I22</f>
        <v>99226648</v>
      </c>
      <c r="C2682" s="711">
        <f>+SUMIF('Anlage 2b_Korrekturen'!$B$8:$B$226,A2682,'Anlage 2b_Korrekturen'!$D$8:$D$226)</f>
        <v>0</v>
      </c>
      <c r="D2682" s="135">
        <f t="shared" si="99"/>
        <v>99226648</v>
      </c>
      <c r="E2682" s="133"/>
      <c r="F2682" s="133"/>
      <c r="G2682" s="133"/>
      <c r="H2682" s="133"/>
      <c r="I2682" s="92"/>
    </row>
    <row r="2683" spans="1:9" hidden="1" outlineLevel="1">
      <c r="A2683" s="418" t="str">
        <f>+'Anlage 2a_Letztverbrauch'!A23</f>
        <v>SNB990792528632</v>
      </c>
      <c r="B2683" s="667">
        <f>+'Anlage 2a_Letztverbrauch'!I23</f>
        <v>61422406</v>
      </c>
      <c r="C2683" s="711">
        <f>+SUMIF('Anlage 2b_Korrekturen'!$B$8:$B$226,A2683,'Anlage 2b_Korrekturen'!$D$8:$D$226)</f>
        <v>0</v>
      </c>
      <c r="D2683" s="135">
        <f t="shared" si="99"/>
        <v>61422406</v>
      </c>
      <c r="E2683" s="133"/>
      <c r="F2683" s="133"/>
      <c r="G2683" s="133"/>
      <c r="H2683" s="133"/>
      <c r="I2683" s="92"/>
    </row>
    <row r="2684" spans="1:9" hidden="1" outlineLevel="1">
      <c r="A2684" s="418" t="str">
        <f>+'Anlage 2a_Letztverbrauch'!A24</f>
        <v>SNB901665585874</v>
      </c>
      <c r="B2684" s="667">
        <f>+'Anlage 2a_Letztverbrauch'!I24</f>
        <v>69747252</v>
      </c>
      <c r="C2684" s="711">
        <f>+SUMIF('Anlage 2b_Korrekturen'!$B$8:$B$226,A2684,'Anlage 2b_Korrekturen'!$D$8:$D$226)</f>
        <v>1081158</v>
      </c>
      <c r="D2684" s="135">
        <f t="shared" si="99"/>
        <v>70828410</v>
      </c>
      <c r="E2684" s="133"/>
      <c r="F2684" s="133"/>
      <c r="G2684" s="133"/>
      <c r="H2684" s="133"/>
      <c r="I2684" s="92"/>
    </row>
    <row r="2685" spans="1:9" hidden="1" outlineLevel="1">
      <c r="A2685" s="418" t="str">
        <f>+'Anlage 2a_Letztverbrauch'!A25</f>
        <v>SNB995332374861</v>
      </c>
      <c r="B2685" s="667">
        <f>+'Anlage 2a_Letztverbrauch'!I25</f>
        <v>72380185</v>
      </c>
      <c r="C2685" s="711">
        <f>+SUMIF('Anlage 2b_Korrekturen'!$B$8:$B$226,A2685,'Anlage 2b_Korrekturen'!$D$8:$D$226)</f>
        <v>1358317</v>
      </c>
      <c r="D2685" s="135">
        <f t="shared" si="99"/>
        <v>73738502</v>
      </c>
      <c r="E2685" s="133"/>
      <c r="F2685" s="133"/>
      <c r="G2685" s="133"/>
      <c r="H2685" s="133"/>
      <c r="I2685" s="92"/>
    </row>
    <row r="2686" spans="1:9" hidden="1" outlineLevel="1">
      <c r="A2686" s="418" t="str">
        <f>+'Anlage 2a_Letztverbrauch'!A26</f>
        <v>SNB918100919279</v>
      </c>
      <c r="B2686" s="667">
        <f>+'Anlage 2a_Letztverbrauch'!I26</f>
        <v>16904066</v>
      </c>
      <c r="C2686" s="711">
        <f>+SUMIF('Anlage 2b_Korrekturen'!$B$8:$B$226,A2686,'Anlage 2b_Korrekturen'!$D$8:$D$226)</f>
        <v>0</v>
      </c>
      <c r="D2686" s="135">
        <f t="shared" si="99"/>
        <v>16904066</v>
      </c>
      <c r="E2686" s="133"/>
      <c r="F2686" s="133"/>
      <c r="G2686" s="133"/>
      <c r="H2686" s="133"/>
      <c r="I2686" s="92"/>
    </row>
    <row r="2687" spans="1:9" hidden="1" outlineLevel="1">
      <c r="A2687" s="418" t="str">
        <f>+'Anlage 2a_Letztverbrauch'!A27</f>
        <v>SNB982722829230</v>
      </c>
      <c r="B2687" s="667">
        <f>+'Anlage 2a_Letztverbrauch'!I27</f>
        <v>283741893</v>
      </c>
      <c r="C2687" s="711">
        <f>+SUMIF('Anlage 2b_Korrekturen'!$B$8:$B$226,A2687,'Anlage 2b_Korrekturen'!$D$8:$D$226)</f>
        <v>0</v>
      </c>
      <c r="D2687" s="135">
        <f t="shared" si="99"/>
        <v>283741893</v>
      </c>
      <c r="E2687" s="133"/>
      <c r="F2687" s="133"/>
      <c r="G2687" s="133"/>
      <c r="H2687" s="133"/>
      <c r="I2687" s="92"/>
    </row>
    <row r="2688" spans="1:9" hidden="1" outlineLevel="1">
      <c r="A2688" s="418" t="str">
        <f>+'Anlage 2a_Letztverbrauch'!A28</f>
        <v>SNB916269213931</v>
      </c>
      <c r="B2688" s="667">
        <f>+'Anlage 2a_Letztverbrauch'!I28</f>
        <v>7766008777</v>
      </c>
      <c r="C2688" s="711">
        <v>105114074</v>
      </c>
      <c r="D2688" s="135">
        <f t="shared" si="99"/>
        <v>7871122851</v>
      </c>
      <c r="E2688" s="133"/>
      <c r="F2688" s="133"/>
      <c r="G2688" s="133"/>
      <c r="H2688" s="133"/>
      <c r="I2688" s="92"/>
    </row>
    <row r="2689" spans="1:9" hidden="1" outlineLevel="1">
      <c r="A2689" s="418" t="str">
        <f>+'Anlage 2a_Letztverbrauch'!A29</f>
        <v>SNB934071779865</v>
      </c>
      <c r="B2689" s="667">
        <f>+'Anlage 2a_Letztverbrauch'!I29</f>
        <v>17781143</v>
      </c>
      <c r="C2689" s="711">
        <f>+SUMIF('Anlage 2b_Korrekturen'!$B$8:$B$226,A2689,'Anlage 2b_Korrekturen'!$D$8:$D$226)</f>
        <v>0</v>
      </c>
      <c r="D2689" s="135">
        <f t="shared" si="99"/>
        <v>17781143</v>
      </c>
      <c r="E2689" s="133"/>
      <c r="F2689" s="133"/>
      <c r="G2689" s="133"/>
      <c r="H2689" s="133"/>
      <c r="I2689" s="92"/>
    </row>
    <row r="2690" spans="1:9" hidden="1" outlineLevel="1">
      <c r="A2690" s="418" t="str">
        <f>+'Anlage 2a_Letztverbrauch'!A30</f>
        <v>SNB968914838013</v>
      </c>
      <c r="B2690" s="667">
        <f>+'Anlage 2a_Letztverbrauch'!I30</f>
        <v>2087362857</v>
      </c>
      <c r="C2690" s="711">
        <v>40699001</v>
      </c>
      <c r="D2690" s="135">
        <f t="shared" si="99"/>
        <v>2128061858</v>
      </c>
      <c r="E2690" s="133"/>
      <c r="F2690" s="133"/>
      <c r="G2690" s="133"/>
      <c r="H2690" s="133"/>
      <c r="I2690" s="92"/>
    </row>
    <row r="2691" spans="1:9" hidden="1" outlineLevel="1">
      <c r="A2691" s="418" t="str">
        <f>+'Anlage 2a_Letztverbrauch'!A31</f>
        <v>SNB979269087643</v>
      </c>
      <c r="B2691" s="667">
        <f>+'Anlage 2a_Letztverbrauch'!I31</f>
        <v>11317433062</v>
      </c>
      <c r="C2691" s="711">
        <f>+SUMIF('Anlage 2b_Korrekturen'!$B$8:$B$226,A2691,'Anlage 2b_Korrekturen'!$D$8:$D$226)</f>
        <v>62441948</v>
      </c>
      <c r="D2691" s="135">
        <f t="shared" si="99"/>
        <v>11379875010</v>
      </c>
      <c r="E2691" s="133"/>
      <c r="F2691" s="133"/>
      <c r="G2691" s="133"/>
      <c r="H2691" s="133"/>
      <c r="I2691" s="92"/>
    </row>
    <row r="2692" spans="1:9" hidden="1" outlineLevel="1">
      <c r="A2692" s="418" t="str">
        <f>+'Anlage 2a_Letztverbrauch'!A32</f>
        <v>SNB968295079586</v>
      </c>
      <c r="B2692" s="667">
        <f>+'Anlage 2a_Letztverbrauch'!I32</f>
        <v>6869186398</v>
      </c>
      <c r="C2692" s="711">
        <f>+SUMIF('Anlage 2b_Korrekturen'!$B$8:$B$226,A2692,'Anlage 2b_Korrekturen'!$D$8:$D$226)</f>
        <v>-402078</v>
      </c>
      <c r="D2692" s="135">
        <f t="shared" si="99"/>
        <v>6868784320</v>
      </c>
      <c r="E2692" s="133"/>
      <c r="F2692" s="133"/>
      <c r="G2692" s="133"/>
      <c r="H2692" s="133"/>
      <c r="I2692" s="92"/>
    </row>
    <row r="2693" spans="1:9" hidden="1" outlineLevel="1">
      <c r="A2693" s="418" t="str">
        <f>+'Anlage 2a_Letztverbrauch'!A33</f>
        <v>SNB980362940834</v>
      </c>
      <c r="B2693" s="667">
        <f>+'Anlage 2a_Letztverbrauch'!I33</f>
        <v>8979835</v>
      </c>
      <c r="C2693" s="711">
        <f>+SUMIF('Anlage 2b_Korrekturen'!$B$8:$B$226,A2693,'Anlage 2b_Korrekturen'!$D$8:$D$226)</f>
        <v>-379450</v>
      </c>
      <c r="D2693" s="135">
        <f t="shared" si="99"/>
        <v>8600385</v>
      </c>
      <c r="E2693" s="133"/>
      <c r="F2693" s="133"/>
      <c r="G2693" s="133"/>
      <c r="H2693" s="133"/>
      <c r="I2693" s="92"/>
    </row>
    <row r="2694" spans="1:9" hidden="1" outlineLevel="1">
      <c r="A2694" s="418" t="str">
        <f>+'Anlage 2a_Letztverbrauch'!A34</f>
        <v>SNB934514392514</v>
      </c>
      <c r="B2694" s="667">
        <f>+'Anlage 2a_Letztverbrauch'!I34</f>
        <v>83889784</v>
      </c>
      <c r="C2694" s="711">
        <f>+SUMIF('Anlage 2b_Korrekturen'!$B$8:$B$226,A2694,'Anlage 2b_Korrekturen'!$D$8:$D$226)</f>
        <v>0</v>
      </c>
      <c r="D2694" s="135">
        <f t="shared" si="99"/>
        <v>83889784</v>
      </c>
      <c r="E2694" s="133"/>
      <c r="F2694" s="133"/>
      <c r="G2694" s="133"/>
      <c r="H2694" s="133"/>
      <c r="I2694" s="92"/>
    </row>
    <row r="2695" spans="1:9" hidden="1" outlineLevel="1">
      <c r="A2695" s="418" t="str">
        <f>+'Anlage 2a_Letztverbrauch'!A35</f>
        <v>SNB981460842488</v>
      </c>
      <c r="B2695" s="667">
        <f>+'Anlage 2a_Letztverbrauch'!I35</f>
        <v>23476201</v>
      </c>
      <c r="C2695" s="711">
        <f>+SUMIF('Anlage 2b_Korrekturen'!$B$8:$B$226,A2695,'Anlage 2b_Korrekturen'!$D$8:$D$226)</f>
        <v>-119692</v>
      </c>
      <c r="D2695" s="135">
        <f t="shared" si="99"/>
        <v>23356509</v>
      </c>
      <c r="E2695" s="133"/>
      <c r="F2695" s="133"/>
      <c r="G2695" s="133"/>
      <c r="H2695" s="133"/>
      <c r="I2695" s="92"/>
    </row>
    <row r="2696" spans="1:9" hidden="1" outlineLevel="1">
      <c r="A2696" s="418" t="str">
        <f>+'Anlage 2a_Letztverbrauch'!A36</f>
        <v>SNB936769439815</v>
      </c>
      <c r="B2696" s="667">
        <f>+'Anlage 2a_Letztverbrauch'!I36</f>
        <v>91525954</v>
      </c>
      <c r="C2696" s="711">
        <f>+SUMIF('Anlage 2b_Korrekturen'!$B$8:$B$226,A2696,'Anlage 2b_Korrekturen'!$D$8:$D$226)</f>
        <v>0</v>
      </c>
      <c r="D2696" s="135">
        <f t="shared" si="99"/>
        <v>91525954</v>
      </c>
      <c r="E2696" s="133"/>
      <c r="F2696" s="133"/>
      <c r="G2696" s="133"/>
      <c r="H2696" s="133"/>
      <c r="I2696" s="92"/>
    </row>
    <row r="2697" spans="1:9" hidden="1" outlineLevel="1">
      <c r="A2697" s="418" t="str">
        <f>+'Anlage 2a_Letztverbrauch'!A37</f>
        <v>SNB913563830420</v>
      </c>
      <c r="B2697" s="667">
        <f>+'Anlage 2a_Letztverbrauch'!I37</f>
        <v>95724946</v>
      </c>
      <c r="C2697" s="711">
        <f>+SUMIF('Anlage 2b_Korrekturen'!$B$8:$B$226,A2697,'Anlage 2b_Korrekturen'!$D$8:$D$226)</f>
        <v>106609</v>
      </c>
      <c r="D2697" s="135">
        <f t="shared" si="99"/>
        <v>95831555</v>
      </c>
      <c r="E2697" s="133"/>
      <c r="F2697" s="133"/>
      <c r="G2697" s="133"/>
      <c r="H2697" s="133"/>
      <c r="I2697" s="92"/>
    </row>
    <row r="2698" spans="1:9" hidden="1" outlineLevel="1">
      <c r="A2698" s="418" t="str">
        <f>+'Anlage 2a_Letztverbrauch'!A38</f>
        <v>SNB971962135690</v>
      </c>
      <c r="B2698" s="667">
        <f>+'Anlage 2a_Letztverbrauch'!I38</f>
        <v>73695370</v>
      </c>
      <c r="C2698" s="711">
        <f>+SUMIF('Anlage 2b_Korrekturen'!$B$8:$B$226,A2698,'Anlage 2b_Korrekturen'!$D$8:$D$226)</f>
        <v>0</v>
      </c>
      <c r="D2698" s="135">
        <f t="shared" si="99"/>
        <v>73695370</v>
      </c>
      <c r="E2698" s="133"/>
      <c r="F2698" s="133"/>
      <c r="G2698" s="133"/>
      <c r="H2698" s="133"/>
      <c r="I2698" s="92"/>
    </row>
    <row r="2699" spans="1:9" hidden="1" outlineLevel="1">
      <c r="A2699" s="418" t="str">
        <f>+'Anlage 2a_Letztverbrauch'!A39</f>
        <v>SNB985993443181</v>
      </c>
      <c r="B2699" s="667">
        <f>+'Anlage 2a_Letztverbrauch'!I39</f>
        <v>109915354</v>
      </c>
      <c r="C2699" s="711">
        <f>+SUMIF('Anlage 2b_Korrekturen'!$B$8:$B$226,A2699,'Anlage 2b_Korrekturen'!$D$8:$D$226)</f>
        <v>646</v>
      </c>
      <c r="D2699" s="135">
        <f t="shared" si="99"/>
        <v>109916000</v>
      </c>
      <c r="E2699" s="133"/>
      <c r="F2699" s="133"/>
      <c r="G2699" s="133"/>
      <c r="H2699" s="133"/>
      <c r="I2699" s="92"/>
    </row>
    <row r="2700" spans="1:9" hidden="1" outlineLevel="1">
      <c r="A2700" s="418" t="str">
        <f>+'Anlage 2a_Letztverbrauch'!A40</f>
        <v>SNB918620072652</v>
      </c>
      <c r="B2700" s="667">
        <f>+'Anlage 2a_Letztverbrauch'!I40</f>
        <v>60835031</v>
      </c>
      <c r="C2700" s="711">
        <f>+SUMIF('Anlage 2b_Korrekturen'!$B$8:$B$226,A2700,'Anlage 2b_Korrekturen'!$D$8:$D$226)</f>
        <v>-146966</v>
      </c>
      <c r="D2700" s="135">
        <f t="shared" ref="D2700:D2731" si="100">+B2700+C2700</f>
        <v>60688065</v>
      </c>
      <c r="E2700" s="133"/>
      <c r="F2700" s="133"/>
      <c r="G2700" s="133"/>
      <c r="H2700" s="133"/>
      <c r="I2700" s="92"/>
    </row>
    <row r="2701" spans="1:9" hidden="1" outlineLevel="1">
      <c r="A2701" s="418" t="str">
        <f>+'Anlage 2a_Letztverbrauch'!A41</f>
        <v>SNB957591716776</v>
      </c>
      <c r="B2701" s="667">
        <f>+'Anlage 2a_Letztverbrauch'!I41</f>
        <v>49487829</v>
      </c>
      <c r="C2701" s="711">
        <f>+SUMIF('Anlage 2b_Korrekturen'!$B$8:$B$226,A2701,'Anlage 2b_Korrekturen'!$D$8:$D$226)</f>
        <v>0</v>
      </c>
      <c r="D2701" s="135">
        <f t="shared" si="100"/>
        <v>49487829</v>
      </c>
      <c r="E2701" s="133"/>
      <c r="F2701" s="133"/>
      <c r="G2701" s="133"/>
      <c r="H2701" s="133"/>
      <c r="I2701" s="92"/>
    </row>
    <row r="2702" spans="1:9" hidden="1" outlineLevel="1">
      <c r="A2702" s="418" t="str">
        <f>+'Anlage 2a_Letztverbrauch'!A42</f>
        <v>SNB939517994215</v>
      </c>
      <c r="B2702" s="667">
        <f>+'Anlage 2a_Letztverbrauch'!I42</f>
        <v>51744202</v>
      </c>
      <c r="C2702" s="711">
        <f>+SUMIF('Anlage 2b_Korrekturen'!$B$8:$B$226,A2702,'Anlage 2b_Korrekturen'!$D$8:$D$226)</f>
        <v>-34767</v>
      </c>
      <c r="D2702" s="135">
        <f t="shared" si="100"/>
        <v>51709435</v>
      </c>
      <c r="E2702" s="133"/>
      <c r="F2702" s="133"/>
      <c r="G2702" s="133"/>
      <c r="H2702" s="133"/>
      <c r="I2702" s="92"/>
    </row>
    <row r="2703" spans="1:9" hidden="1" outlineLevel="1">
      <c r="A2703" s="418" t="str">
        <f>+'Anlage 2a_Letztverbrauch'!A43</f>
        <v>SNB943962034624</v>
      </c>
      <c r="B2703" s="667">
        <f>+'Anlage 2a_Letztverbrauch'!I43</f>
        <v>119651176</v>
      </c>
      <c r="C2703" s="711">
        <f>+SUMIF('Anlage 2b_Korrekturen'!$B$8:$B$226,A2703,'Anlage 2b_Korrekturen'!$D$8:$D$226)</f>
        <v>895879</v>
      </c>
      <c r="D2703" s="135">
        <f t="shared" si="100"/>
        <v>120547055</v>
      </c>
      <c r="E2703" s="133"/>
      <c r="F2703" s="133"/>
      <c r="G2703" s="133"/>
      <c r="H2703" s="133"/>
      <c r="I2703" s="92"/>
    </row>
    <row r="2704" spans="1:9" hidden="1" outlineLevel="1">
      <c r="A2704" s="418" t="str">
        <f>+'Anlage 2a_Letztverbrauch'!A44</f>
        <v>SNB962890977544</v>
      </c>
      <c r="B2704" s="667">
        <f>+'Anlage 2a_Letztverbrauch'!I44</f>
        <v>94731576</v>
      </c>
      <c r="C2704" s="711">
        <f>+SUMIF('Anlage 2b_Korrekturen'!$B$8:$B$226,A2704,'Anlage 2b_Korrekturen'!$D$8:$D$226)</f>
        <v>218215</v>
      </c>
      <c r="D2704" s="135">
        <f t="shared" si="100"/>
        <v>94949791</v>
      </c>
      <c r="E2704" s="133"/>
      <c r="F2704" s="133"/>
      <c r="G2704" s="133"/>
      <c r="H2704" s="133"/>
      <c r="I2704" s="92"/>
    </row>
    <row r="2705" spans="1:9" hidden="1" outlineLevel="1">
      <c r="A2705" s="418" t="str">
        <f>+'Anlage 2a_Letztverbrauch'!A45</f>
        <v>SNB953669866350</v>
      </c>
      <c r="B2705" s="667">
        <f>+'Anlage 2a_Letztverbrauch'!I45</f>
        <v>95825245</v>
      </c>
      <c r="C2705" s="711">
        <f>+SUMIF('Anlage 2b_Korrekturen'!$B$8:$B$226,A2705,'Anlage 2b_Korrekturen'!$D$8:$D$226)</f>
        <v>13015</v>
      </c>
      <c r="D2705" s="135">
        <f t="shared" si="100"/>
        <v>95838260</v>
      </c>
      <c r="E2705" s="133"/>
      <c r="F2705" s="133"/>
      <c r="G2705" s="133"/>
      <c r="H2705" s="133"/>
      <c r="I2705" s="92"/>
    </row>
    <row r="2706" spans="1:9" hidden="1" outlineLevel="1">
      <c r="A2706" s="418" t="str">
        <f>+'Anlage 2a_Letztverbrauch'!A46</f>
        <v>SNB919654931526</v>
      </c>
      <c r="B2706" s="667">
        <f>+'Anlage 2a_Letztverbrauch'!I46</f>
        <v>30079622</v>
      </c>
      <c r="C2706" s="711">
        <f>+SUMIF('Anlage 2b_Korrekturen'!$B$8:$B$226,A2706,'Anlage 2b_Korrekturen'!$D$8:$D$226)</f>
        <v>0</v>
      </c>
      <c r="D2706" s="135">
        <f t="shared" si="100"/>
        <v>30079622</v>
      </c>
      <c r="E2706" s="133"/>
      <c r="F2706" s="133"/>
      <c r="G2706" s="133"/>
      <c r="H2706" s="133"/>
      <c r="I2706" s="92"/>
    </row>
    <row r="2707" spans="1:9" hidden="1" outlineLevel="1">
      <c r="A2707" s="418" t="str">
        <f>+'Anlage 2a_Letztverbrauch'!A47</f>
        <v>SNB946013720880</v>
      </c>
      <c r="B2707" s="667">
        <f>+'Anlage 2a_Letztverbrauch'!I47</f>
        <v>40675220</v>
      </c>
      <c r="C2707" s="711">
        <f>+SUMIF('Anlage 2b_Korrekturen'!$B$8:$B$226,A2707,'Anlage 2b_Korrekturen'!$D$8:$D$226)</f>
        <v>-76464</v>
      </c>
      <c r="D2707" s="135">
        <f t="shared" si="100"/>
        <v>40598756</v>
      </c>
      <c r="E2707" s="133"/>
      <c r="F2707" s="133"/>
      <c r="G2707" s="133"/>
      <c r="H2707" s="133"/>
      <c r="I2707" s="92"/>
    </row>
    <row r="2708" spans="1:9" hidden="1" outlineLevel="1">
      <c r="A2708" s="418" t="str">
        <f>+'Anlage 2a_Letztverbrauch'!A48</f>
        <v>SNB971199523673</v>
      </c>
      <c r="B2708" s="667">
        <f>+'Anlage 2a_Letztverbrauch'!I48</f>
        <v>217202847</v>
      </c>
      <c r="C2708" s="711">
        <f>+SUMIF('Anlage 2b_Korrekturen'!$B$8:$B$226,A2708,'Anlage 2b_Korrekturen'!$D$8:$D$226)</f>
        <v>6134236</v>
      </c>
      <c r="D2708" s="135">
        <f t="shared" si="100"/>
        <v>223337083</v>
      </c>
      <c r="E2708" s="133"/>
      <c r="F2708" s="133"/>
      <c r="G2708" s="133"/>
      <c r="H2708" s="133"/>
      <c r="I2708" s="92"/>
    </row>
    <row r="2709" spans="1:9" hidden="1" outlineLevel="1">
      <c r="A2709" s="418" t="str">
        <f>+'Anlage 2a_Letztverbrauch'!A49</f>
        <v>SNB927160517950</v>
      </c>
      <c r="B2709" s="667">
        <f>+'Anlage 2a_Letztverbrauch'!I49</f>
        <v>73340321</v>
      </c>
      <c r="C2709" s="711">
        <f>+SUMIF('Anlage 2b_Korrekturen'!$B$8:$B$226,A2709,'Anlage 2b_Korrekturen'!$D$8:$D$226)</f>
        <v>3440445</v>
      </c>
      <c r="D2709" s="135">
        <f t="shared" si="100"/>
        <v>76780766</v>
      </c>
      <c r="E2709" s="133"/>
      <c r="F2709" s="133"/>
      <c r="G2709" s="133"/>
      <c r="H2709" s="133"/>
      <c r="I2709" s="92"/>
    </row>
    <row r="2710" spans="1:9" hidden="1" outlineLevel="1">
      <c r="A2710" s="418" t="str">
        <f>+'Anlage 2a_Letztverbrauch'!A50</f>
        <v>SNB916663914472</v>
      </c>
      <c r="B2710" s="667">
        <f>+'Anlage 2a_Letztverbrauch'!I50</f>
        <v>675850905</v>
      </c>
      <c r="C2710" s="711">
        <f>+SUMIF('Anlage 2b_Korrekturen'!$B$8:$B$226,A2710,'Anlage 2b_Korrekturen'!$D$8:$D$226)</f>
        <v>0</v>
      </c>
      <c r="D2710" s="135">
        <f t="shared" si="100"/>
        <v>675850905</v>
      </c>
      <c r="E2710" s="133"/>
      <c r="F2710" s="133"/>
      <c r="G2710" s="133"/>
      <c r="H2710" s="133"/>
      <c r="I2710" s="92"/>
    </row>
    <row r="2711" spans="1:9" hidden="1" outlineLevel="1">
      <c r="A2711" s="418" t="str">
        <f>+'Anlage 2a_Letztverbrauch'!A51</f>
        <v>SNB931431136771</v>
      </c>
      <c r="B2711" s="667">
        <f>+'Anlage 2a_Letztverbrauch'!I51</f>
        <v>218558873</v>
      </c>
      <c r="C2711" s="711">
        <f>+SUMIF('Anlage 2b_Korrekturen'!$B$8:$B$226,A2711,'Anlage 2b_Korrekturen'!$D$8:$D$226)</f>
        <v>0</v>
      </c>
      <c r="D2711" s="135">
        <f t="shared" si="100"/>
        <v>218558873</v>
      </c>
      <c r="E2711" s="133"/>
      <c r="F2711" s="133"/>
      <c r="G2711" s="133"/>
      <c r="H2711" s="133"/>
      <c r="I2711" s="92"/>
    </row>
    <row r="2712" spans="1:9" hidden="1" outlineLevel="1">
      <c r="A2712" s="418" t="str">
        <f>+'Anlage 2a_Letztverbrauch'!A52</f>
        <v>SNB937001443546</v>
      </c>
      <c r="B2712" s="667">
        <f>+'Anlage 2a_Letztverbrauch'!I52</f>
        <v>59248459</v>
      </c>
      <c r="C2712" s="711">
        <f>+SUMIF('Anlage 2b_Korrekturen'!$B$8:$B$226,A2712,'Anlage 2b_Korrekturen'!$D$8:$D$226)</f>
        <v>-193172</v>
      </c>
      <c r="D2712" s="135">
        <f t="shared" si="100"/>
        <v>59055287</v>
      </c>
      <c r="E2712" s="133"/>
      <c r="F2712" s="133"/>
      <c r="G2712" s="133"/>
      <c r="H2712" s="133"/>
      <c r="I2712" s="92"/>
    </row>
    <row r="2713" spans="1:9" hidden="1" outlineLevel="1">
      <c r="A2713" s="418" t="str">
        <f>+'Anlage 2a_Letztverbrauch'!A53</f>
        <v>SNB954281375657</v>
      </c>
      <c r="B2713" s="667">
        <f>+'Anlage 2a_Letztverbrauch'!I53</f>
        <v>252554657</v>
      </c>
      <c r="C2713" s="711">
        <f>+SUMIF('Anlage 2b_Korrekturen'!$B$8:$B$226,A2713,'Anlage 2b_Korrekturen'!$D$8:$D$226)</f>
        <v>747041</v>
      </c>
      <c r="D2713" s="135">
        <f t="shared" si="100"/>
        <v>253301698</v>
      </c>
      <c r="E2713" s="133"/>
      <c r="F2713" s="133"/>
      <c r="G2713" s="133"/>
      <c r="H2713" s="133"/>
      <c r="I2713" s="92"/>
    </row>
    <row r="2714" spans="1:9" hidden="1" outlineLevel="1">
      <c r="A2714" s="418" t="str">
        <f>+'Anlage 2a_Letztverbrauch'!A54</f>
        <v>SNB976679550309</v>
      </c>
      <c r="B2714" s="667">
        <f>+'Anlage 2a_Letztverbrauch'!I54</f>
        <v>84290158</v>
      </c>
      <c r="C2714" s="711">
        <f>+SUMIF('Anlage 2b_Korrekturen'!$B$8:$B$226,A2714,'Anlage 2b_Korrekturen'!$D$8:$D$226)</f>
        <v>0</v>
      </c>
      <c r="D2714" s="135">
        <f t="shared" si="100"/>
        <v>84290158</v>
      </c>
      <c r="E2714" s="133"/>
      <c r="F2714" s="133"/>
      <c r="G2714" s="133"/>
      <c r="H2714" s="133"/>
      <c r="I2714" s="92"/>
    </row>
    <row r="2715" spans="1:9" hidden="1" outlineLevel="1">
      <c r="A2715" s="418" t="str">
        <f>+'Anlage 2a_Letztverbrauch'!A55</f>
        <v>SNB936480897581</v>
      </c>
      <c r="B2715" s="667">
        <f>+'Anlage 2a_Letztverbrauch'!I55</f>
        <v>773068</v>
      </c>
      <c r="C2715" s="711">
        <f>+SUMIF('Anlage 2b_Korrekturen'!$B$8:$B$226,A2715,'Anlage 2b_Korrekturen'!$D$8:$D$226)</f>
        <v>0</v>
      </c>
      <c r="D2715" s="135">
        <f t="shared" si="100"/>
        <v>773068</v>
      </c>
      <c r="E2715" s="133"/>
      <c r="F2715" s="133"/>
      <c r="G2715" s="133"/>
      <c r="H2715" s="133"/>
      <c r="I2715" s="92"/>
    </row>
    <row r="2716" spans="1:9" hidden="1" outlineLevel="1">
      <c r="A2716" s="418" t="str">
        <f>+'Anlage 2a_Letztverbrauch'!A56</f>
        <v>SNB977174706994</v>
      </c>
      <c r="B2716" s="667">
        <f>+'Anlage 2a_Letztverbrauch'!I56</f>
        <v>38379409</v>
      </c>
      <c r="C2716" s="711">
        <f>+SUMIF('Anlage 2b_Korrekturen'!$B$8:$B$226,A2716,'Anlage 2b_Korrekturen'!$D$8:$D$226)</f>
        <v>879840</v>
      </c>
      <c r="D2716" s="135">
        <f t="shared" si="100"/>
        <v>39259249</v>
      </c>
      <c r="E2716" s="133"/>
      <c r="F2716" s="133"/>
      <c r="G2716" s="133"/>
      <c r="H2716" s="133"/>
      <c r="I2716" s="92"/>
    </row>
    <row r="2717" spans="1:9" hidden="1" outlineLevel="1">
      <c r="A2717" s="418" t="str">
        <f>+'Anlage 2a_Letztverbrauch'!A57</f>
        <v>SNB989700422711</v>
      </c>
      <c r="B2717" s="667">
        <f>+'Anlage 2a_Letztverbrauch'!I57</f>
        <v>152244378</v>
      </c>
      <c r="C2717" s="711">
        <f>+SUMIF('Anlage 2b_Korrekturen'!$B$8:$B$226,A2717,'Anlage 2b_Korrekturen'!$D$8:$D$226)</f>
        <v>-80207</v>
      </c>
      <c r="D2717" s="135">
        <f t="shared" si="100"/>
        <v>152164171</v>
      </c>
      <c r="E2717" s="133"/>
      <c r="F2717" s="133"/>
      <c r="G2717" s="133"/>
      <c r="H2717" s="133"/>
      <c r="I2717" s="92"/>
    </row>
    <row r="2718" spans="1:9" hidden="1" outlineLevel="1">
      <c r="A2718" s="418" t="str">
        <f>+'Anlage 2a_Letztverbrauch'!A58</f>
        <v>SNB917432806905</v>
      </c>
      <c r="B2718" s="667">
        <f>+'Anlage 2a_Letztverbrauch'!I58</f>
        <v>32691959</v>
      </c>
      <c r="C2718" s="711">
        <f>+SUMIF('Anlage 2b_Korrekturen'!$B$8:$B$226,A2718,'Anlage 2b_Korrekturen'!$D$8:$D$226)</f>
        <v>371880</v>
      </c>
      <c r="D2718" s="135">
        <f t="shared" si="100"/>
        <v>33063839</v>
      </c>
      <c r="E2718" s="133"/>
      <c r="F2718" s="133"/>
      <c r="G2718" s="133"/>
      <c r="H2718" s="133"/>
      <c r="I2718" s="92"/>
    </row>
    <row r="2719" spans="1:9" hidden="1" outlineLevel="1">
      <c r="A2719" s="418" t="str">
        <f>+'Anlage 2a_Letztverbrauch'!A59</f>
        <v>SNB912218404412</v>
      </c>
      <c r="B2719" s="667">
        <f>+'Anlage 2a_Letztverbrauch'!I59</f>
        <v>58122570</v>
      </c>
      <c r="C2719" s="711">
        <f>+SUMIF('Anlage 2b_Korrekturen'!$B$8:$B$226,A2719,'Anlage 2b_Korrekturen'!$D$8:$D$226)</f>
        <v>-86106</v>
      </c>
      <c r="D2719" s="135">
        <f t="shared" si="100"/>
        <v>58036464</v>
      </c>
      <c r="E2719" s="133"/>
      <c r="F2719" s="133"/>
      <c r="G2719" s="133"/>
      <c r="H2719" s="133"/>
      <c r="I2719" s="92"/>
    </row>
    <row r="2720" spans="1:9" hidden="1" outlineLevel="1">
      <c r="A2720" s="418" t="str">
        <f>+'Anlage 2a_Letztverbrauch'!A60</f>
        <v>SNB971770548286</v>
      </c>
      <c r="B2720" s="667">
        <f>+'Anlage 2a_Letztverbrauch'!I60</f>
        <v>26365763</v>
      </c>
      <c r="C2720" s="711">
        <f>+SUMIF('Anlage 2b_Korrekturen'!$B$8:$B$226,A2720,'Anlage 2b_Korrekturen'!$D$8:$D$226)</f>
        <v>-51099</v>
      </c>
      <c r="D2720" s="135">
        <f t="shared" si="100"/>
        <v>26314664</v>
      </c>
      <c r="E2720" s="133"/>
      <c r="F2720" s="133"/>
      <c r="G2720" s="133"/>
      <c r="H2720" s="133"/>
      <c r="I2720" s="92"/>
    </row>
    <row r="2721" spans="1:9" hidden="1" outlineLevel="1">
      <c r="A2721" s="418" t="str">
        <f>+'Anlage 2a_Letztverbrauch'!A61</f>
        <v>SNB920699937404</v>
      </c>
      <c r="B2721" s="667">
        <f>+'Anlage 2a_Letztverbrauch'!I61</f>
        <v>159438368</v>
      </c>
      <c r="C2721" s="711">
        <f>+SUMIF('Anlage 2b_Korrekturen'!$B$8:$B$226,A2721,'Anlage 2b_Korrekturen'!$D$8:$D$226)</f>
        <v>992276</v>
      </c>
      <c r="D2721" s="135">
        <f t="shared" si="100"/>
        <v>160430644</v>
      </c>
      <c r="E2721" s="133"/>
      <c r="F2721" s="133"/>
      <c r="G2721" s="133"/>
      <c r="H2721" s="133"/>
      <c r="I2721" s="92"/>
    </row>
    <row r="2722" spans="1:9" hidden="1" outlineLevel="1">
      <c r="A2722" s="418" t="str">
        <f>+'Anlage 2a_Letztverbrauch'!A62</f>
        <v>SNB950262883869</v>
      </c>
      <c r="B2722" s="667">
        <f>+'Anlage 2a_Letztverbrauch'!I62</f>
        <v>628992369</v>
      </c>
      <c r="C2722" s="711">
        <f>+SUMIF('Anlage 2b_Korrekturen'!$B$8:$B$226,A2722,'Anlage 2b_Korrekturen'!$D$8:$D$226)</f>
        <v>568829</v>
      </c>
      <c r="D2722" s="135">
        <f t="shared" si="100"/>
        <v>629561198</v>
      </c>
      <c r="E2722" s="133"/>
      <c r="F2722" s="133"/>
      <c r="G2722" s="133"/>
      <c r="H2722" s="133"/>
      <c r="I2722" s="92"/>
    </row>
    <row r="2723" spans="1:9" hidden="1" outlineLevel="1">
      <c r="A2723" s="418" t="str">
        <f>+'Anlage 2a_Letztverbrauch'!A63</f>
        <v>SNB957549782006</v>
      </c>
      <c r="B2723" s="667">
        <f>+'Anlage 2a_Letztverbrauch'!I63</f>
        <v>38372691</v>
      </c>
      <c r="C2723" s="711">
        <f>+SUMIF('Anlage 2b_Korrekturen'!$B$8:$B$226,A2723,'Anlage 2b_Korrekturen'!$D$8:$D$226)</f>
        <v>0</v>
      </c>
      <c r="D2723" s="135">
        <f t="shared" si="100"/>
        <v>38372691</v>
      </c>
      <c r="E2723" s="133"/>
      <c r="F2723" s="133"/>
      <c r="G2723" s="133"/>
      <c r="H2723" s="133"/>
      <c r="I2723" s="92"/>
    </row>
    <row r="2724" spans="1:9" hidden="1" outlineLevel="1">
      <c r="A2724" s="418" t="str">
        <f>+'Anlage 2a_Letztverbrauch'!A64</f>
        <v>SNB922055731633</v>
      </c>
      <c r="B2724" s="667">
        <f>+'Anlage 2a_Letztverbrauch'!I64</f>
        <v>45627953</v>
      </c>
      <c r="C2724" s="711">
        <f>+SUMIF('Anlage 2b_Korrekturen'!$B$8:$B$226,A2724,'Anlage 2b_Korrekturen'!$D$8:$D$226)</f>
        <v>6449227</v>
      </c>
      <c r="D2724" s="135">
        <f t="shared" si="100"/>
        <v>52077180</v>
      </c>
      <c r="E2724" s="133"/>
      <c r="F2724" s="133"/>
      <c r="G2724" s="133"/>
      <c r="H2724" s="133"/>
      <c r="I2724" s="92"/>
    </row>
    <row r="2725" spans="1:9" hidden="1" outlineLevel="1">
      <c r="A2725" s="418" t="str">
        <f>+'Anlage 2a_Letztverbrauch'!A65</f>
        <v>SNB954814647626</v>
      </c>
      <c r="B2725" s="667">
        <f>+'Anlage 2a_Letztverbrauch'!I65</f>
        <v>198545685</v>
      </c>
      <c r="C2725" s="711">
        <f>+SUMIF('Anlage 2b_Korrekturen'!$B$8:$B$226,A2725,'Anlage 2b_Korrekturen'!$D$8:$D$226)</f>
        <v>0</v>
      </c>
      <c r="D2725" s="135">
        <f t="shared" si="100"/>
        <v>198545685</v>
      </c>
      <c r="E2725" s="133"/>
      <c r="F2725" s="133"/>
      <c r="G2725" s="133"/>
      <c r="H2725" s="133"/>
      <c r="I2725" s="92"/>
    </row>
    <row r="2726" spans="1:9" hidden="1" outlineLevel="1">
      <c r="A2726" s="418" t="str">
        <f>+'Anlage 2a_Letztverbrauch'!A66</f>
        <v>SNB990971435621</v>
      </c>
      <c r="B2726" s="667">
        <f>+'Anlage 2a_Letztverbrauch'!I66</f>
        <v>141706942</v>
      </c>
      <c r="C2726" s="711">
        <f>+SUMIF('Anlage 2b_Korrekturen'!$B$8:$B$226,A2726,'Anlage 2b_Korrekturen'!$D$8:$D$226)</f>
        <v>1852056</v>
      </c>
      <c r="D2726" s="135">
        <f t="shared" si="100"/>
        <v>143558998</v>
      </c>
      <c r="E2726" s="133"/>
      <c r="F2726" s="133"/>
      <c r="G2726" s="133"/>
      <c r="H2726" s="133"/>
      <c r="I2726" s="92"/>
    </row>
    <row r="2727" spans="1:9" hidden="1" outlineLevel="1">
      <c r="A2727" s="418" t="str">
        <f>+'Anlage 2a_Letztverbrauch'!A67</f>
        <v>SNB982241851170</v>
      </c>
      <c r="B2727" s="667">
        <f>+'Anlage 2a_Letztverbrauch'!I67</f>
        <v>76135451</v>
      </c>
      <c r="C2727" s="711">
        <f>+SUMIF('Anlage 2b_Korrekturen'!$B$8:$B$226,A2727,'Anlage 2b_Korrekturen'!$D$8:$D$226)</f>
        <v>0</v>
      </c>
      <c r="D2727" s="135">
        <f t="shared" si="100"/>
        <v>76135451</v>
      </c>
      <c r="E2727" s="133"/>
      <c r="F2727" s="133"/>
      <c r="G2727" s="133"/>
      <c r="H2727" s="133"/>
      <c r="I2727" s="92"/>
    </row>
    <row r="2728" spans="1:9" hidden="1" outlineLevel="1">
      <c r="A2728" s="418" t="str">
        <f>+'Anlage 2a_Letztverbrauch'!A68</f>
        <v>SNB948816192529</v>
      </c>
      <c r="B2728" s="667">
        <f>+'Anlage 2a_Letztverbrauch'!I68</f>
        <v>271033142</v>
      </c>
      <c r="C2728" s="711">
        <f>+SUMIF('Anlage 2b_Korrekturen'!$B$8:$B$226,A2728,'Anlage 2b_Korrekturen'!$D$8:$D$226)</f>
        <v>3179420</v>
      </c>
      <c r="D2728" s="135">
        <f t="shared" si="100"/>
        <v>274212562</v>
      </c>
      <c r="E2728" s="133"/>
      <c r="F2728" s="133"/>
      <c r="G2728" s="133"/>
      <c r="H2728" s="133"/>
      <c r="I2728" s="92"/>
    </row>
    <row r="2729" spans="1:9" hidden="1" outlineLevel="1">
      <c r="A2729" s="418" t="str">
        <f>+'Anlage 2a_Letztverbrauch'!A69</f>
        <v>SNB975176329548</v>
      </c>
      <c r="B2729" s="667">
        <f>+'Anlage 2a_Letztverbrauch'!I69</f>
        <v>1655887</v>
      </c>
      <c r="C2729" s="711">
        <f>+SUMIF('Anlage 2b_Korrekturen'!$B$8:$B$226,A2729,'Anlage 2b_Korrekturen'!$D$8:$D$226)</f>
        <v>0</v>
      </c>
      <c r="D2729" s="135">
        <f t="shared" si="100"/>
        <v>1655887</v>
      </c>
      <c r="E2729" s="133"/>
      <c r="F2729" s="133"/>
      <c r="G2729" s="133"/>
      <c r="H2729" s="133"/>
      <c r="I2729" s="92"/>
    </row>
    <row r="2730" spans="1:9" hidden="1" outlineLevel="1">
      <c r="A2730" s="418" t="str">
        <f>+'Anlage 2a_Letztverbrauch'!A70</f>
        <v>SNB963070917732</v>
      </c>
      <c r="B2730" s="667">
        <f>+'Anlage 2a_Letztverbrauch'!I70</f>
        <v>60865637</v>
      </c>
      <c r="C2730" s="711">
        <f>+SUMIF('Anlage 2b_Korrekturen'!$B$8:$B$226,A2730,'Anlage 2b_Korrekturen'!$D$8:$D$226)</f>
        <v>0</v>
      </c>
      <c r="D2730" s="135">
        <f t="shared" si="100"/>
        <v>60865637</v>
      </c>
      <c r="E2730" s="133"/>
      <c r="F2730" s="133"/>
      <c r="G2730" s="133"/>
      <c r="H2730" s="133"/>
      <c r="I2730" s="92"/>
    </row>
    <row r="2731" spans="1:9" hidden="1" outlineLevel="1">
      <c r="A2731" s="418" t="str">
        <f>+'Anlage 2a_Letztverbrauch'!A71</f>
        <v>SNB938672757734</v>
      </c>
      <c r="B2731" s="667">
        <f>+'Anlage 2a_Letztverbrauch'!I71</f>
        <v>115080178</v>
      </c>
      <c r="C2731" s="711">
        <f>+SUMIF('Anlage 2b_Korrekturen'!$B$8:$B$226,A2731,'Anlage 2b_Korrekturen'!$D$8:$D$226)</f>
        <v>0</v>
      </c>
      <c r="D2731" s="135">
        <f t="shared" si="100"/>
        <v>115080178</v>
      </c>
      <c r="E2731" s="133"/>
      <c r="F2731" s="133"/>
      <c r="G2731" s="133"/>
      <c r="H2731" s="133"/>
      <c r="I2731" s="92"/>
    </row>
    <row r="2732" spans="1:9" hidden="1" outlineLevel="1">
      <c r="A2732" s="418" t="str">
        <f>+'Anlage 2a_Letztverbrauch'!A72</f>
        <v>SNB961316124487</v>
      </c>
      <c r="B2732" s="667">
        <f>+'Anlage 2a_Letztverbrauch'!I72</f>
        <v>144226178</v>
      </c>
      <c r="C2732" s="711">
        <f>+SUMIF('Anlage 2b_Korrekturen'!$B$8:$B$226,A2732,'Anlage 2b_Korrekturen'!$D$8:$D$226)</f>
        <v>0</v>
      </c>
      <c r="D2732" s="135">
        <f t="shared" ref="D2732:D2763" si="101">+B2732+C2732</f>
        <v>144226178</v>
      </c>
      <c r="E2732" s="133"/>
      <c r="F2732" s="133"/>
      <c r="G2732" s="133"/>
      <c r="H2732" s="133"/>
      <c r="I2732" s="92"/>
    </row>
    <row r="2733" spans="1:9" hidden="1" outlineLevel="1">
      <c r="A2733" s="418" t="str">
        <f>+'Anlage 2a_Letztverbrauch'!A73</f>
        <v>SNB926442995943</v>
      </c>
      <c r="B2733" s="667">
        <f>+'Anlage 2a_Letztverbrauch'!I73</f>
        <v>188720788</v>
      </c>
      <c r="C2733" s="711">
        <f>+SUMIF('Anlage 2b_Korrekturen'!$B$8:$B$226,A2733,'Anlage 2b_Korrekturen'!$D$8:$D$226)</f>
        <v>2141015</v>
      </c>
      <c r="D2733" s="135">
        <f t="shared" si="101"/>
        <v>190861803</v>
      </c>
      <c r="E2733" s="133"/>
      <c r="F2733" s="133"/>
      <c r="G2733" s="133"/>
      <c r="H2733" s="133"/>
      <c r="I2733" s="92"/>
    </row>
    <row r="2734" spans="1:9" hidden="1" outlineLevel="1">
      <c r="A2734" s="418" t="str">
        <f>+'Anlage 2a_Letztverbrauch'!A74</f>
        <v>SNB930067626847</v>
      </c>
      <c r="B2734" s="667">
        <f>+'Anlage 2a_Letztverbrauch'!I74</f>
        <v>50344950</v>
      </c>
      <c r="C2734" s="711">
        <f>+SUMIF('Anlage 2b_Korrekturen'!$B$8:$B$226,A2734,'Anlage 2b_Korrekturen'!$D$8:$D$226)</f>
        <v>-195940</v>
      </c>
      <c r="D2734" s="135">
        <f t="shared" si="101"/>
        <v>50149010</v>
      </c>
      <c r="E2734" s="133"/>
      <c r="F2734" s="133"/>
      <c r="G2734" s="133"/>
      <c r="H2734" s="133"/>
      <c r="I2734" s="92"/>
    </row>
    <row r="2735" spans="1:9" hidden="1" outlineLevel="1">
      <c r="A2735" s="418" t="str">
        <f>+'Anlage 2a_Letztverbrauch'!A75</f>
        <v>SNB991689251534</v>
      </c>
      <c r="B2735" s="667">
        <f>+'Anlage 2a_Letztverbrauch'!I75</f>
        <v>26297759</v>
      </c>
      <c r="C2735" s="711">
        <f>+SUMIF('Anlage 2b_Korrekturen'!$B$8:$B$226,A2735,'Anlage 2b_Korrekturen'!$D$8:$D$226)</f>
        <v>0</v>
      </c>
      <c r="D2735" s="135">
        <f t="shared" si="101"/>
        <v>26297759</v>
      </c>
      <c r="E2735" s="133"/>
      <c r="F2735" s="133"/>
      <c r="G2735" s="133"/>
      <c r="H2735" s="133"/>
      <c r="I2735" s="92"/>
    </row>
    <row r="2736" spans="1:9" hidden="1" outlineLevel="1">
      <c r="A2736" s="418" t="str">
        <f>+'Anlage 2a_Letztverbrauch'!A76</f>
        <v>SNB915186313908</v>
      </c>
      <c r="B2736" s="667">
        <f>+'Anlage 2a_Letztverbrauch'!I76</f>
        <v>41990970</v>
      </c>
      <c r="C2736" s="711">
        <f>+SUMIF('Anlage 2b_Korrekturen'!$B$8:$B$226,A2736,'Anlage 2b_Korrekturen'!$D$8:$D$226)</f>
        <v>0</v>
      </c>
      <c r="D2736" s="135">
        <f t="shared" si="101"/>
        <v>41990970</v>
      </c>
      <c r="E2736" s="133"/>
      <c r="F2736" s="133"/>
      <c r="G2736" s="133"/>
      <c r="H2736" s="133"/>
      <c r="I2736" s="92"/>
    </row>
    <row r="2737" spans="1:9" hidden="1" outlineLevel="1">
      <c r="A2737" s="418" t="str">
        <f>+'Anlage 2a_Letztverbrauch'!A77</f>
        <v>SNB983029590205</v>
      </c>
      <c r="B2737" s="667">
        <f>+'Anlage 2a_Letztverbrauch'!I77</f>
        <v>77248927</v>
      </c>
      <c r="C2737" s="711">
        <f>+SUMIF('Anlage 2b_Korrekturen'!$B$8:$B$226,A2737,'Anlage 2b_Korrekturen'!$D$8:$D$226)</f>
        <v>0</v>
      </c>
      <c r="D2737" s="135">
        <f t="shared" si="101"/>
        <v>77248927</v>
      </c>
      <c r="E2737" s="133"/>
      <c r="F2737" s="133"/>
      <c r="G2737" s="133"/>
      <c r="H2737" s="133"/>
      <c r="I2737" s="92"/>
    </row>
    <row r="2738" spans="1:9" hidden="1" outlineLevel="1">
      <c r="A2738" s="418" t="str">
        <f>+'Anlage 2a_Letztverbrauch'!A78</f>
        <v>SNB928602915495</v>
      </c>
      <c r="B2738" s="667">
        <f>+'Anlage 2a_Letztverbrauch'!I78</f>
        <v>42085946</v>
      </c>
      <c r="C2738" s="711">
        <f>+SUMIF('Anlage 2b_Korrekturen'!$B$8:$B$226,A2738,'Anlage 2b_Korrekturen'!$D$8:$D$226)</f>
        <v>0</v>
      </c>
      <c r="D2738" s="135">
        <f t="shared" si="101"/>
        <v>42085946</v>
      </c>
      <c r="E2738" s="133"/>
      <c r="F2738" s="133"/>
      <c r="G2738" s="133"/>
      <c r="H2738" s="133"/>
      <c r="I2738" s="92"/>
    </row>
    <row r="2739" spans="1:9" hidden="1" outlineLevel="1">
      <c r="A2739" s="418" t="str">
        <f>+'Anlage 2a_Letztverbrauch'!A79</f>
        <v>SNB977374861035</v>
      </c>
      <c r="B2739" s="667">
        <f>+'Anlage 2a_Letztverbrauch'!I79</f>
        <v>126407141</v>
      </c>
      <c r="C2739" s="711">
        <f>+SUMIF('Anlage 2b_Korrekturen'!$B$8:$B$226,A2739,'Anlage 2b_Korrekturen'!$D$8:$D$226)</f>
        <v>0</v>
      </c>
      <c r="D2739" s="135">
        <f t="shared" si="101"/>
        <v>126407141</v>
      </c>
      <c r="E2739" s="133"/>
      <c r="F2739" s="133"/>
      <c r="G2739" s="133"/>
      <c r="H2739" s="133"/>
      <c r="I2739" s="92"/>
    </row>
    <row r="2740" spans="1:9" hidden="1" outlineLevel="1">
      <c r="A2740" s="418" t="str">
        <f>+'Anlage 2a_Letztverbrauch'!A80</f>
        <v>SNB959120377328</v>
      </c>
      <c r="B2740" s="667">
        <f>+'Anlage 2a_Letztverbrauch'!I80</f>
        <v>112099076</v>
      </c>
      <c r="C2740" s="711">
        <f>+SUMIF('Anlage 2b_Korrekturen'!$B$8:$B$226,A2740,'Anlage 2b_Korrekturen'!$D$8:$D$226)</f>
        <v>-123611</v>
      </c>
      <c r="D2740" s="135">
        <f t="shared" si="101"/>
        <v>111975465</v>
      </c>
      <c r="E2740" s="133"/>
      <c r="F2740" s="133"/>
      <c r="G2740" s="133"/>
      <c r="H2740" s="133"/>
      <c r="I2740" s="92"/>
    </row>
    <row r="2741" spans="1:9" hidden="1" outlineLevel="1">
      <c r="A2741" s="418" t="str">
        <f>+'Anlage 2a_Letztverbrauch'!A81</f>
        <v>SNB982934611074</v>
      </c>
      <c r="B2741" s="667">
        <f>+'Anlage 2a_Letztverbrauch'!I81</f>
        <v>655542674</v>
      </c>
      <c r="C2741" s="711">
        <f>+SUMIF('Anlage 2b_Korrekturen'!$B$8:$B$226,A2741,'Anlage 2b_Korrekturen'!$D$8:$D$226)</f>
        <v>0</v>
      </c>
      <c r="D2741" s="135">
        <f t="shared" si="101"/>
        <v>655542674</v>
      </c>
      <c r="E2741" s="133"/>
      <c r="F2741" s="133"/>
      <c r="G2741" s="133"/>
      <c r="H2741" s="133"/>
      <c r="I2741" s="92"/>
    </row>
    <row r="2742" spans="1:9" hidden="1" outlineLevel="1">
      <c r="A2742" s="418" t="str">
        <f>+'Anlage 2a_Letztverbrauch'!A82</f>
        <v>SNB960729432592</v>
      </c>
      <c r="B2742" s="667">
        <f>+'Anlage 2a_Letztverbrauch'!I82</f>
        <v>14333442</v>
      </c>
      <c r="C2742" s="711">
        <f>+SUMIF('Anlage 2b_Korrekturen'!$B$8:$B$226,A2742,'Anlage 2b_Korrekturen'!$D$8:$D$226)</f>
        <v>1202929</v>
      </c>
      <c r="D2742" s="135">
        <f t="shared" si="101"/>
        <v>15536371</v>
      </c>
      <c r="E2742" s="133"/>
      <c r="F2742" s="133"/>
      <c r="G2742" s="133"/>
      <c r="H2742" s="133"/>
      <c r="I2742" s="92"/>
    </row>
    <row r="2743" spans="1:9" hidden="1" outlineLevel="1">
      <c r="A2743" s="418" t="str">
        <f>+'Anlage 2a_Letztverbrauch'!A83</f>
        <v>SNB952677840789</v>
      </c>
      <c r="B2743" s="667">
        <f>+'Anlage 2a_Letztverbrauch'!I83</f>
        <v>86046827</v>
      </c>
      <c r="C2743" s="711">
        <f>+SUMIF('Anlage 2b_Korrekturen'!$B$8:$B$226,A2743,'Anlage 2b_Korrekturen'!$D$8:$D$226)</f>
        <v>268189</v>
      </c>
      <c r="D2743" s="135">
        <f t="shared" si="101"/>
        <v>86315016</v>
      </c>
      <c r="E2743" s="133"/>
      <c r="F2743" s="133"/>
      <c r="G2743" s="133"/>
      <c r="H2743" s="133"/>
      <c r="I2743" s="92"/>
    </row>
    <row r="2744" spans="1:9" hidden="1" outlineLevel="1">
      <c r="A2744" s="418" t="str">
        <f>+'Anlage 2a_Letztverbrauch'!A84</f>
        <v>SNB944962954653</v>
      </c>
      <c r="B2744" s="667">
        <f>+'Anlage 2a_Letztverbrauch'!I84</f>
        <v>28027359</v>
      </c>
      <c r="C2744" s="711">
        <f>+SUMIF('Anlage 2b_Korrekturen'!$B$8:$B$226,A2744,'Anlage 2b_Korrekturen'!$D$8:$D$226)</f>
        <v>-252945</v>
      </c>
      <c r="D2744" s="135">
        <f t="shared" si="101"/>
        <v>27774414</v>
      </c>
      <c r="E2744" s="133"/>
      <c r="F2744" s="133"/>
      <c r="G2744" s="133"/>
      <c r="H2744" s="133"/>
      <c r="I2744" s="92"/>
    </row>
    <row r="2745" spans="1:9" hidden="1" outlineLevel="1">
      <c r="A2745" s="418" t="str">
        <f>+'Anlage 2a_Letztverbrauch'!A85</f>
        <v>SNB946612539746</v>
      </c>
      <c r="B2745" s="667">
        <f>+'Anlage 2a_Letztverbrauch'!I85</f>
        <v>75733200</v>
      </c>
      <c r="C2745" s="711">
        <f>+SUMIF('Anlage 2b_Korrekturen'!$B$8:$B$226,A2745,'Anlage 2b_Korrekturen'!$D$8:$D$226)</f>
        <v>-1534867</v>
      </c>
      <c r="D2745" s="135">
        <f t="shared" si="101"/>
        <v>74198333</v>
      </c>
      <c r="E2745" s="133"/>
      <c r="F2745" s="133"/>
      <c r="G2745" s="133"/>
      <c r="H2745" s="133"/>
      <c r="I2745" s="92"/>
    </row>
    <row r="2746" spans="1:9" hidden="1" outlineLevel="1">
      <c r="A2746" s="418" t="str">
        <f>+'Anlage 2a_Letztverbrauch'!A86</f>
        <v>SNB964659661008</v>
      </c>
      <c r="B2746" s="667">
        <f>+'Anlage 2a_Letztverbrauch'!I86</f>
        <v>80729128</v>
      </c>
      <c r="C2746" s="711">
        <f>+SUMIF('Anlage 2b_Korrekturen'!$B$8:$B$226,A2746,'Anlage 2b_Korrekturen'!$D$8:$D$226)</f>
        <v>0</v>
      </c>
      <c r="D2746" s="135">
        <f t="shared" si="101"/>
        <v>80729128</v>
      </c>
      <c r="E2746" s="133"/>
      <c r="F2746" s="133"/>
      <c r="G2746" s="133"/>
      <c r="H2746" s="133"/>
      <c r="I2746" s="92"/>
    </row>
    <row r="2747" spans="1:9" hidden="1" outlineLevel="1">
      <c r="A2747" s="418" t="str">
        <f>+'Anlage 2a_Letztverbrauch'!A87</f>
        <v>SNB974763887737</v>
      </c>
      <c r="B2747" s="667">
        <f>+'Anlage 2a_Letztverbrauch'!I87</f>
        <v>34430773</v>
      </c>
      <c r="C2747" s="711">
        <f>+SUMIF('Anlage 2b_Korrekturen'!$B$8:$B$226,A2747,'Anlage 2b_Korrekturen'!$D$8:$D$226)</f>
        <v>0</v>
      </c>
      <c r="D2747" s="135">
        <f t="shared" si="101"/>
        <v>34430773</v>
      </c>
      <c r="E2747" s="133"/>
      <c r="F2747" s="133"/>
      <c r="G2747" s="133"/>
      <c r="H2747" s="133"/>
      <c r="I2747" s="92"/>
    </row>
    <row r="2748" spans="1:9" hidden="1" outlineLevel="1">
      <c r="A2748" s="418" t="str">
        <f>+'Anlage 2a_Letztverbrauch'!A88</f>
        <v>SNB945861817537</v>
      </c>
      <c r="B2748" s="667">
        <f>+'Anlage 2a_Letztverbrauch'!I88</f>
        <v>607487115</v>
      </c>
      <c r="C2748" s="711">
        <f>+SUMIF('Anlage 2b_Korrekturen'!$B$8:$B$226,A2748,'Anlage 2b_Korrekturen'!$D$8:$D$226)</f>
        <v>438779</v>
      </c>
      <c r="D2748" s="135">
        <f t="shared" si="101"/>
        <v>607925894</v>
      </c>
      <c r="E2748" s="133"/>
      <c r="F2748" s="133"/>
      <c r="G2748" s="133"/>
      <c r="H2748" s="133"/>
      <c r="I2748" s="92"/>
    </row>
    <row r="2749" spans="1:9" hidden="1" outlineLevel="1">
      <c r="A2749" s="418" t="str">
        <f>+'Anlage 2a_Letztverbrauch'!A89</f>
        <v>SNB934984130722</v>
      </c>
      <c r="B2749" s="667">
        <f>+'Anlage 2a_Letztverbrauch'!I89</f>
        <v>39787951</v>
      </c>
      <c r="C2749" s="711">
        <f>+SUMIF('Anlage 2b_Korrekturen'!$B$8:$B$226,A2749,'Anlage 2b_Korrekturen'!$D$8:$D$226)</f>
        <v>-324358</v>
      </c>
      <c r="D2749" s="135">
        <f t="shared" si="101"/>
        <v>39463593</v>
      </c>
      <c r="E2749" s="133"/>
      <c r="F2749" s="133"/>
      <c r="G2749" s="133"/>
      <c r="H2749" s="133"/>
      <c r="I2749" s="92"/>
    </row>
    <row r="2750" spans="1:9" hidden="1" outlineLevel="1">
      <c r="A2750" s="418" t="str">
        <f>+'Anlage 2a_Letztverbrauch'!A90</f>
        <v>SNB948859455841</v>
      </c>
      <c r="B2750" s="667">
        <f>+'Anlage 2a_Letztverbrauch'!I90</f>
        <v>1654597390</v>
      </c>
      <c r="C2750" s="711">
        <f>+SUMIF('Anlage 2b_Korrekturen'!$B$8:$B$226,A2750,'Anlage 2b_Korrekturen'!$D$8:$D$226)</f>
        <v>0</v>
      </c>
      <c r="D2750" s="135">
        <f t="shared" si="101"/>
        <v>1654597390</v>
      </c>
      <c r="E2750" s="133"/>
      <c r="F2750" s="133"/>
      <c r="G2750" s="133"/>
      <c r="H2750" s="133"/>
      <c r="I2750" s="92"/>
    </row>
    <row r="2751" spans="1:9" hidden="1" outlineLevel="1">
      <c r="A2751" s="418" t="str">
        <f>+'Anlage 2a_Letztverbrauch'!A91</f>
        <v>SNB926470799582</v>
      </c>
      <c r="B2751" s="667">
        <f>+'Anlage 2a_Letztverbrauch'!I91</f>
        <v>40347109</v>
      </c>
      <c r="C2751" s="711">
        <f>+SUMIF('Anlage 2b_Korrekturen'!$B$8:$B$226,A2751,'Anlage 2b_Korrekturen'!$D$8:$D$226)</f>
        <v>417668</v>
      </c>
      <c r="D2751" s="135">
        <f t="shared" si="101"/>
        <v>40764777</v>
      </c>
      <c r="E2751" s="133"/>
      <c r="F2751" s="133"/>
      <c r="G2751" s="133"/>
      <c r="H2751" s="133"/>
      <c r="I2751" s="92"/>
    </row>
    <row r="2752" spans="1:9" hidden="1" outlineLevel="1">
      <c r="A2752" s="418" t="str">
        <f>+'Anlage 2a_Letztverbrauch'!A92</f>
        <v>SNB915358347793</v>
      </c>
      <c r="B2752" s="667">
        <f>+'Anlage 2a_Letztverbrauch'!I92</f>
        <v>24145351</v>
      </c>
      <c r="C2752" s="711">
        <f>+SUMIF('Anlage 2b_Korrekturen'!$B$8:$B$226,A2752,'Anlage 2b_Korrekturen'!$D$8:$D$226)</f>
        <v>0</v>
      </c>
      <c r="D2752" s="135">
        <f t="shared" si="101"/>
        <v>24145351</v>
      </c>
      <c r="E2752" s="133"/>
      <c r="F2752" s="133"/>
      <c r="G2752" s="133"/>
      <c r="H2752" s="133"/>
      <c r="I2752" s="92"/>
    </row>
    <row r="2753" spans="1:9" hidden="1" outlineLevel="1">
      <c r="A2753" s="418" t="str">
        <f>+'Anlage 2a_Letztverbrauch'!A93</f>
        <v>SNB922689183730</v>
      </c>
      <c r="B2753" s="667">
        <f>+'Anlage 2a_Letztverbrauch'!I93</f>
        <v>98488346</v>
      </c>
      <c r="C2753" s="711">
        <f>+SUMIF('Anlage 2b_Korrekturen'!$B$8:$B$226,A2753,'Anlage 2b_Korrekturen'!$D$8:$D$226)</f>
        <v>315210</v>
      </c>
      <c r="D2753" s="135">
        <f t="shared" si="101"/>
        <v>98803556</v>
      </c>
      <c r="E2753" s="133"/>
      <c r="F2753" s="133"/>
      <c r="G2753" s="133"/>
      <c r="H2753" s="133"/>
      <c r="I2753" s="92"/>
    </row>
    <row r="2754" spans="1:9" hidden="1" outlineLevel="1">
      <c r="A2754" s="418" t="str">
        <f>+'Anlage 2a_Letztverbrauch'!A94</f>
        <v>SNB943531720705</v>
      </c>
      <c r="B2754" s="667">
        <f>+'Anlage 2a_Letztverbrauch'!I94</f>
        <v>61584327</v>
      </c>
      <c r="C2754" s="711">
        <f>+SUMIF('Anlage 2b_Korrekturen'!$B$8:$B$226,A2754,'Anlage 2b_Korrekturen'!$D$8:$D$226)</f>
        <v>0</v>
      </c>
      <c r="D2754" s="135">
        <f t="shared" si="101"/>
        <v>61584327</v>
      </c>
      <c r="E2754" s="133"/>
      <c r="F2754" s="133"/>
      <c r="G2754" s="133"/>
      <c r="H2754" s="133"/>
      <c r="I2754" s="92"/>
    </row>
    <row r="2755" spans="1:9" hidden="1" outlineLevel="1">
      <c r="A2755" s="418" t="str">
        <f>+'Anlage 2a_Letztverbrauch'!A95</f>
        <v>SNB983765888505</v>
      </c>
      <c r="B2755" s="667">
        <f>+'Anlage 2a_Letztverbrauch'!I95</f>
        <v>52568727</v>
      </c>
      <c r="C2755" s="711">
        <f>+SUMIF('Anlage 2b_Korrekturen'!$B$8:$B$226,A2755,'Anlage 2b_Korrekturen'!$D$8:$D$226)</f>
        <v>0</v>
      </c>
      <c r="D2755" s="135">
        <f t="shared" si="101"/>
        <v>52568727</v>
      </c>
      <c r="E2755" s="133"/>
      <c r="F2755" s="133"/>
      <c r="G2755" s="133"/>
      <c r="H2755" s="133"/>
      <c r="I2755" s="92"/>
    </row>
    <row r="2756" spans="1:9" hidden="1" outlineLevel="1">
      <c r="A2756" s="418" t="str">
        <f>+'Anlage 2a_Letztverbrauch'!A96</f>
        <v>SNB928200943784</v>
      </c>
      <c r="B2756" s="667">
        <f>+'Anlage 2a_Letztverbrauch'!I96</f>
        <v>36665277</v>
      </c>
      <c r="C2756" s="711">
        <f>+SUMIF('Anlage 2b_Korrekturen'!$B$8:$B$226,A2756,'Anlage 2b_Korrekturen'!$D$8:$D$226)</f>
        <v>-122577</v>
      </c>
      <c r="D2756" s="135">
        <f t="shared" si="101"/>
        <v>36542700</v>
      </c>
      <c r="E2756" s="133"/>
      <c r="F2756" s="133"/>
      <c r="G2756" s="133"/>
      <c r="H2756" s="133"/>
      <c r="I2756" s="92"/>
    </row>
    <row r="2757" spans="1:9" hidden="1" outlineLevel="1">
      <c r="A2757" s="418" t="str">
        <f>+'Anlage 2a_Letztverbrauch'!A97</f>
        <v>SNB946425570127</v>
      </c>
      <c r="B2757" s="667">
        <f>+'Anlage 2a_Letztverbrauch'!I97</f>
        <v>125556018</v>
      </c>
      <c r="C2757" s="711">
        <f>+SUMIF('Anlage 2b_Korrekturen'!$B$8:$B$226,A2757,'Anlage 2b_Korrekturen'!$D$8:$D$226)</f>
        <v>-96081</v>
      </c>
      <c r="D2757" s="135">
        <f t="shared" si="101"/>
        <v>125459937</v>
      </c>
      <c r="E2757" s="133"/>
      <c r="F2757" s="133"/>
      <c r="G2757" s="133"/>
      <c r="H2757" s="133"/>
      <c r="I2757" s="92"/>
    </row>
    <row r="2758" spans="1:9" hidden="1" outlineLevel="1">
      <c r="A2758" s="418" t="str">
        <f>+'Anlage 2a_Letztverbrauch'!A98</f>
        <v>SNB932107297727</v>
      </c>
      <c r="B2758" s="667">
        <f>+'Anlage 2a_Letztverbrauch'!I98</f>
        <v>248164151</v>
      </c>
      <c r="C2758" s="711">
        <f>+SUMIF('Anlage 2b_Korrekturen'!$B$8:$B$226,A2758,'Anlage 2b_Korrekturen'!$D$8:$D$226)</f>
        <v>-892583</v>
      </c>
      <c r="D2758" s="135">
        <f t="shared" si="101"/>
        <v>247271568</v>
      </c>
      <c r="E2758" s="133"/>
      <c r="F2758" s="133"/>
      <c r="G2758" s="133"/>
      <c r="H2758" s="133"/>
      <c r="I2758" s="92"/>
    </row>
    <row r="2759" spans="1:9" hidden="1" outlineLevel="1">
      <c r="A2759" s="418" t="str">
        <f>+'Anlage 2a_Letztverbrauch'!A99</f>
        <v>SNB933459598975</v>
      </c>
      <c r="B2759" s="667">
        <f>+'Anlage 2a_Letztverbrauch'!I99</f>
        <v>750584196</v>
      </c>
      <c r="C2759" s="711">
        <f>+SUMIF('Anlage 2b_Korrekturen'!$B$8:$B$226,A2759,'Anlage 2b_Korrekturen'!$D$8:$D$226)</f>
        <v>0</v>
      </c>
      <c r="D2759" s="135">
        <f t="shared" si="101"/>
        <v>750584196</v>
      </c>
      <c r="E2759" s="133"/>
      <c r="F2759" s="133"/>
      <c r="G2759" s="133"/>
      <c r="H2759" s="133"/>
      <c r="I2759" s="92"/>
    </row>
    <row r="2760" spans="1:9" hidden="1" outlineLevel="1">
      <c r="A2760" s="418" t="str">
        <f>+'Anlage 2a_Letztverbrauch'!A100</f>
        <v>SNB948470226516</v>
      </c>
      <c r="B2760" s="667">
        <f>+'Anlage 2a_Letztverbrauch'!I100</f>
        <v>19359716</v>
      </c>
      <c r="C2760" s="711">
        <f>+SUMIF('Anlage 2b_Korrekturen'!$B$8:$B$226,A2760,'Anlage 2b_Korrekturen'!$D$8:$D$226)</f>
        <v>0</v>
      </c>
      <c r="D2760" s="135">
        <f t="shared" si="101"/>
        <v>19359716</v>
      </c>
      <c r="E2760" s="133"/>
      <c r="F2760" s="133"/>
      <c r="G2760" s="133"/>
      <c r="H2760" s="133"/>
      <c r="I2760" s="92"/>
    </row>
    <row r="2761" spans="1:9" hidden="1" outlineLevel="1">
      <c r="A2761" s="418" t="str">
        <f>+'Anlage 2a_Letztverbrauch'!A101</f>
        <v>SNB918070278383</v>
      </c>
      <c r="B2761" s="667">
        <f>+'Anlage 2a_Letztverbrauch'!I101</f>
        <v>64460140</v>
      </c>
      <c r="C2761" s="711">
        <f>+SUMIF('Anlage 2b_Korrekturen'!$B$8:$B$226,A2761,'Anlage 2b_Korrekturen'!$D$8:$D$226)</f>
        <v>0</v>
      </c>
      <c r="D2761" s="135">
        <f t="shared" si="101"/>
        <v>64460140</v>
      </c>
      <c r="E2761" s="133"/>
      <c r="F2761" s="133"/>
      <c r="G2761" s="133"/>
      <c r="H2761" s="133"/>
      <c r="I2761" s="92"/>
    </row>
    <row r="2762" spans="1:9" hidden="1" outlineLevel="1">
      <c r="A2762" s="418" t="str">
        <f>+'Anlage 2a_Letztverbrauch'!A102</f>
        <v>SNB925883927308</v>
      </c>
      <c r="B2762" s="667">
        <f>+'Anlage 2a_Letztverbrauch'!I102</f>
        <v>80908456</v>
      </c>
      <c r="C2762" s="711">
        <f>+SUMIF('Anlage 2b_Korrekturen'!$B$8:$B$226,A2762,'Anlage 2b_Korrekturen'!$D$8:$D$226)</f>
        <v>1504858.9999999998</v>
      </c>
      <c r="D2762" s="135">
        <f t="shared" si="101"/>
        <v>82413315</v>
      </c>
      <c r="E2762" s="133"/>
      <c r="F2762" s="133"/>
      <c r="G2762" s="133"/>
      <c r="H2762" s="133"/>
      <c r="I2762" s="92"/>
    </row>
    <row r="2763" spans="1:9" hidden="1" outlineLevel="1">
      <c r="A2763" s="418" t="str">
        <f>+'Anlage 2a_Letztverbrauch'!A103</f>
        <v>SNB914103081760</v>
      </c>
      <c r="B2763" s="667">
        <f>+'Anlage 2a_Letztverbrauch'!I103</f>
        <v>87652868</v>
      </c>
      <c r="C2763" s="711">
        <f>+SUMIF('Anlage 2b_Korrekturen'!$B$8:$B$226,A2763,'Anlage 2b_Korrekturen'!$D$8:$D$226)</f>
        <v>1777457</v>
      </c>
      <c r="D2763" s="135">
        <f t="shared" si="101"/>
        <v>89430325</v>
      </c>
      <c r="E2763" s="133"/>
      <c r="F2763" s="133"/>
      <c r="G2763" s="133"/>
      <c r="H2763" s="133"/>
      <c r="I2763" s="92"/>
    </row>
    <row r="2764" spans="1:9" hidden="1" outlineLevel="1">
      <c r="A2764" s="418" t="str">
        <f>+'Anlage 2a_Letztverbrauch'!A104</f>
        <v>SNB913006238462</v>
      </c>
      <c r="B2764" s="667">
        <f>+'Anlage 2a_Letztverbrauch'!I104</f>
        <v>82844273</v>
      </c>
      <c r="C2764" s="711">
        <f>+SUMIF('Anlage 2b_Korrekturen'!$B$8:$B$226,A2764,'Anlage 2b_Korrekturen'!$D$8:$D$226)</f>
        <v>894371</v>
      </c>
      <c r="D2764" s="135">
        <f t="shared" ref="D2764:D2795" si="102">+B2764+C2764</f>
        <v>83738644</v>
      </c>
      <c r="E2764" s="133"/>
      <c r="F2764" s="133"/>
      <c r="G2764" s="133"/>
      <c r="H2764" s="133"/>
      <c r="I2764" s="92"/>
    </row>
    <row r="2765" spans="1:9" hidden="1" outlineLevel="1">
      <c r="A2765" s="418" t="str">
        <f>+'Anlage 2a_Letztverbrauch'!A105</f>
        <v>SNB931986174853</v>
      </c>
      <c r="B2765" s="667">
        <f>+'Anlage 2a_Letztverbrauch'!I105</f>
        <v>95502809</v>
      </c>
      <c r="C2765" s="711">
        <f>+SUMIF('Anlage 2b_Korrekturen'!$B$8:$B$226,A2765,'Anlage 2b_Korrekturen'!$D$8:$D$226)</f>
        <v>0</v>
      </c>
      <c r="D2765" s="135">
        <f t="shared" si="102"/>
        <v>95502809</v>
      </c>
      <c r="E2765" s="133"/>
      <c r="F2765" s="133"/>
      <c r="G2765" s="133"/>
      <c r="H2765" s="133"/>
      <c r="I2765" s="92"/>
    </row>
    <row r="2766" spans="1:9" hidden="1" outlineLevel="1">
      <c r="A2766" s="418" t="str">
        <f>+'Anlage 2a_Letztverbrauch'!A106</f>
        <v>SNB978071940108</v>
      </c>
      <c r="B2766" s="667">
        <f>+'Anlage 2a_Letztverbrauch'!I106</f>
        <v>67403540</v>
      </c>
      <c r="C2766" s="711">
        <f>+SUMIF('Anlage 2b_Korrekturen'!$B$8:$B$226,A2766,'Anlage 2b_Korrekturen'!$D$8:$D$226)</f>
        <v>175475</v>
      </c>
      <c r="D2766" s="135">
        <f t="shared" si="102"/>
        <v>67579015</v>
      </c>
      <c r="E2766" s="133"/>
      <c r="F2766" s="133"/>
      <c r="G2766" s="133"/>
      <c r="H2766" s="133"/>
      <c r="I2766" s="92"/>
    </row>
    <row r="2767" spans="1:9" hidden="1" outlineLevel="1">
      <c r="A2767" s="418" t="str">
        <f>+'Anlage 2a_Letztverbrauch'!A107</f>
        <v>SNB939624707241</v>
      </c>
      <c r="B2767" s="667">
        <f>+'Anlage 2a_Letztverbrauch'!I107</f>
        <v>176531176</v>
      </c>
      <c r="C2767" s="711">
        <f>+SUMIF('Anlage 2b_Korrekturen'!$B$8:$B$226,A2767,'Anlage 2b_Korrekturen'!$D$8:$D$226)</f>
        <v>0</v>
      </c>
      <c r="D2767" s="135">
        <f t="shared" si="102"/>
        <v>176531176</v>
      </c>
      <c r="E2767" s="133"/>
      <c r="F2767" s="133"/>
      <c r="G2767" s="133"/>
      <c r="H2767" s="133"/>
      <c r="I2767" s="92"/>
    </row>
    <row r="2768" spans="1:9" hidden="1" outlineLevel="1">
      <c r="A2768" s="418" t="str">
        <f>+'Anlage 2a_Letztverbrauch'!A108</f>
        <v>SNB920348005966</v>
      </c>
      <c r="B2768" s="667">
        <f>+'Anlage 2a_Letztverbrauch'!I108</f>
        <v>113605189</v>
      </c>
      <c r="C2768" s="711">
        <f>+SUMIF('Anlage 2b_Korrekturen'!$B$8:$B$226,A2768,'Anlage 2b_Korrekturen'!$D$8:$D$226)</f>
        <v>-48799</v>
      </c>
      <c r="D2768" s="135">
        <f t="shared" si="102"/>
        <v>113556390</v>
      </c>
      <c r="E2768" s="133"/>
      <c r="F2768" s="133"/>
      <c r="G2768" s="133"/>
      <c r="H2768" s="133"/>
      <c r="I2768" s="92"/>
    </row>
    <row r="2769" spans="1:9" hidden="1" outlineLevel="1">
      <c r="A2769" s="418" t="str">
        <f>+'Anlage 2a_Letztverbrauch'!A109</f>
        <v>SNB931294328658</v>
      </c>
      <c r="B2769" s="667">
        <f>+'Anlage 2a_Letztverbrauch'!I109</f>
        <v>27628523</v>
      </c>
      <c r="C2769" s="711">
        <f>+SUMIF('Anlage 2b_Korrekturen'!$B$8:$B$226,A2769,'Anlage 2b_Korrekturen'!$D$8:$D$226)</f>
        <v>-25170</v>
      </c>
      <c r="D2769" s="135">
        <f t="shared" si="102"/>
        <v>27603353</v>
      </c>
      <c r="E2769" s="133"/>
      <c r="F2769" s="133"/>
      <c r="G2769" s="133"/>
      <c r="H2769" s="133"/>
      <c r="I2769" s="92"/>
    </row>
    <row r="2770" spans="1:9" hidden="1" outlineLevel="1">
      <c r="A2770" s="418" t="str">
        <f>+'Anlage 2a_Letztverbrauch'!A110</f>
        <v>SNB914630088973</v>
      </c>
      <c r="B2770" s="667">
        <f>+'Anlage 2a_Letztverbrauch'!I110</f>
        <v>53625067</v>
      </c>
      <c r="C2770" s="711">
        <f>+SUMIF('Anlage 2b_Korrekturen'!$B$8:$B$226,A2770,'Anlage 2b_Korrekturen'!$D$8:$D$226)</f>
        <v>0</v>
      </c>
      <c r="D2770" s="135">
        <f t="shared" si="102"/>
        <v>53625067</v>
      </c>
      <c r="E2770" s="133"/>
      <c r="F2770" s="133"/>
      <c r="G2770" s="133"/>
      <c r="H2770" s="133"/>
      <c r="I2770" s="92"/>
    </row>
    <row r="2771" spans="1:9" hidden="1" outlineLevel="1">
      <c r="A2771" s="418" t="str">
        <f>+'Anlage 2a_Letztverbrauch'!A111</f>
        <v>SNB961943991735</v>
      </c>
      <c r="B2771" s="667">
        <f>+'Anlage 2a_Letztverbrauch'!I111</f>
        <v>34217532</v>
      </c>
      <c r="C2771" s="711">
        <f>+SUMIF('Anlage 2b_Korrekturen'!$B$8:$B$226,A2771,'Anlage 2b_Korrekturen'!$D$8:$D$226)</f>
        <v>0</v>
      </c>
      <c r="D2771" s="135">
        <f t="shared" si="102"/>
        <v>34217532</v>
      </c>
      <c r="E2771" s="133"/>
      <c r="F2771" s="133"/>
      <c r="G2771" s="133"/>
      <c r="H2771" s="133"/>
      <c r="I2771" s="92"/>
    </row>
    <row r="2772" spans="1:9" hidden="1" outlineLevel="1">
      <c r="A2772" s="418" t="str">
        <f>+'Anlage 2a_Letztverbrauch'!A112</f>
        <v>SNB959176447266</v>
      </c>
      <c r="B2772" s="667">
        <f>+'Anlage 2a_Letztverbrauch'!I112</f>
        <v>143282027</v>
      </c>
      <c r="C2772" s="711">
        <f>+SUMIF('Anlage 2b_Korrekturen'!$B$8:$B$226,A2772,'Anlage 2b_Korrekturen'!$D$8:$D$226)</f>
        <v>0</v>
      </c>
      <c r="D2772" s="135">
        <f t="shared" si="102"/>
        <v>143282027</v>
      </c>
      <c r="E2772" s="133"/>
      <c r="F2772" s="133"/>
      <c r="G2772" s="133"/>
      <c r="H2772" s="133"/>
      <c r="I2772" s="92"/>
    </row>
    <row r="2773" spans="1:9" hidden="1" outlineLevel="1">
      <c r="A2773" s="418" t="str">
        <f>+'Anlage 2a_Letztverbrauch'!A113</f>
        <v>SNB941314694489</v>
      </c>
      <c r="B2773" s="667">
        <f>+'Anlage 2a_Letztverbrauch'!I113</f>
        <v>33122230</v>
      </c>
      <c r="C2773" s="711">
        <f>+SUMIF('Anlage 2b_Korrekturen'!$B$8:$B$226,A2773,'Anlage 2b_Korrekturen'!$D$8:$D$226)</f>
        <v>-48265</v>
      </c>
      <c r="D2773" s="135">
        <f t="shared" si="102"/>
        <v>33073965</v>
      </c>
      <c r="E2773" s="133"/>
      <c r="F2773" s="133"/>
      <c r="G2773" s="133"/>
      <c r="H2773" s="133"/>
      <c r="I2773" s="92"/>
    </row>
    <row r="2774" spans="1:9" hidden="1" outlineLevel="1">
      <c r="A2774" s="418" t="str">
        <f>+'Anlage 2a_Letztverbrauch'!A114</f>
        <v>SNB991836941189</v>
      </c>
      <c r="B2774" s="667">
        <f>+'Anlage 2a_Letztverbrauch'!I114</f>
        <v>36540915</v>
      </c>
      <c r="C2774" s="711">
        <f>+SUMIF('Anlage 2b_Korrekturen'!$B$8:$B$226,A2774,'Anlage 2b_Korrekturen'!$D$8:$D$226)</f>
        <v>0</v>
      </c>
      <c r="D2774" s="135">
        <f t="shared" si="102"/>
        <v>36540915</v>
      </c>
      <c r="E2774" s="133"/>
      <c r="F2774" s="133"/>
      <c r="G2774" s="133"/>
      <c r="H2774" s="133"/>
      <c r="I2774" s="92"/>
    </row>
    <row r="2775" spans="1:9" hidden="1" outlineLevel="1">
      <c r="A2775" s="418" t="str">
        <f>+'Anlage 2a_Letztverbrauch'!A115</f>
        <v>SNB951105240061</v>
      </c>
      <c r="B2775" s="667">
        <f>+'Anlage 2a_Letztverbrauch'!I115</f>
        <v>196451747</v>
      </c>
      <c r="C2775" s="711">
        <f>+SUMIF('Anlage 2b_Korrekturen'!$B$8:$B$226,A2775,'Anlage 2b_Korrekturen'!$D$8:$D$226)</f>
        <v>872409</v>
      </c>
      <c r="D2775" s="135">
        <f t="shared" si="102"/>
        <v>197324156</v>
      </c>
      <c r="E2775" s="133"/>
      <c r="F2775" s="133"/>
      <c r="G2775" s="133"/>
      <c r="H2775" s="133"/>
      <c r="I2775" s="92"/>
    </row>
    <row r="2776" spans="1:9" hidden="1" outlineLevel="1">
      <c r="A2776" s="418" t="str">
        <f>+'Anlage 2a_Letztverbrauch'!A116</f>
        <v>SNB987317008403</v>
      </c>
      <c r="B2776" s="667">
        <f>+'Anlage 2a_Letztverbrauch'!I116</f>
        <v>40175114</v>
      </c>
      <c r="C2776" s="711">
        <f>+SUMIF('Anlage 2b_Korrekturen'!$B$8:$B$226,A2776,'Anlage 2b_Korrekturen'!$D$8:$D$226)</f>
        <v>-967678</v>
      </c>
      <c r="D2776" s="135">
        <f t="shared" si="102"/>
        <v>39207436</v>
      </c>
      <c r="E2776" s="133"/>
      <c r="F2776" s="133"/>
      <c r="G2776" s="133"/>
      <c r="H2776" s="133"/>
      <c r="I2776" s="92"/>
    </row>
    <row r="2777" spans="1:9" hidden="1" outlineLevel="1">
      <c r="A2777" s="418" t="str">
        <f>+'Anlage 2a_Letztverbrauch'!A117</f>
        <v>SNB999125588145</v>
      </c>
      <c r="B2777" s="667">
        <f>+'Anlage 2a_Letztverbrauch'!I117</f>
        <v>52820352</v>
      </c>
      <c r="C2777" s="711">
        <f>+SUMIF('Anlage 2b_Korrekturen'!$B$8:$B$226,A2777,'Anlage 2b_Korrekturen'!$D$8:$D$226)</f>
        <v>245316</v>
      </c>
      <c r="D2777" s="135">
        <f t="shared" si="102"/>
        <v>53065668</v>
      </c>
      <c r="E2777" s="133"/>
      <c r="F2777" s="133"/>
      <c r="G2777" s="133"/>
      <c r="H2777" s="133"/>
      <c r="I2777" s="92"/>
    </row>
    <row r="2778" spans="1:9" hidden="1" outlineLevel="1">
      <c r="A2778" s="418" t="str">
        <f>+'Anlage 2a_Letztverbrauch'!A118</f>
        <v>SNB961833910969</v>
      </c>
      <c r="B2778" s="667">
        <f>+'Anlage 2a_Letztverbrauch'!I118</f>
        <v>36383903</v>
      </c>
      <c r="C2778" s="711">
        <f>+SUMIF('Anlage 2b_Korrekturen'!$B$8:$B$226,A2778,'Anlage 2b_Korrekturen'!$D$8:$D$226)</f>
        <v>0</v>
      </c>
      <c r="D2778" s="135">
        <f t="shared" si="102"/>
        <v>36383903</v>
      </c>
      <c r="E2778" s="133"/>
      <c r="F2778" s="133"/>
      <c r="G2778" s="133"/>
      <c r="H2778" s="133"/>
      <c r="I2778" s="92"/>
    </row>
    <row r="2779" spans="1:9" hidden="1" outlineLevel="1">
      <c r="A2779" s="418" t="str">
        <f>+'Anlage 2a_Letztverbrauch'!A119</f>
        <v>SNB927925826730</v>
      </c>
      <c r="B2779" s="667">
        <f>+'Anlage 2a_Letztverbrauch'!I119</f>
        <v>113794298</v>
      </c>
      <c r="C2779" s="711">
        <f>+SUMIF('Anlage 2b_Korrekturen'!$B$8:$B$226,A2779,'Anlage 2b_Korrekturen'!$D$8:$D$226)</f>
        <v>339909</v>
      </c>
      <c r="D2779" s="135">
        <f t="shared" si="102"/>
        <v>114134207</v>
      </c>
      <c r="E2779" s="133"/>
      <c r="F2779" s="133"/>
      <c r="G2779" s="133"/>
      <c r="H2779" s="133"/>
      <c r="I2779" s="92"/>
    </row>
    <row r="2780" spans="1:9" hidden="1" outlineLevel="1">
      <c r="A2780" s="418" t="str">
        <f>+'Anlage 2a_Letztverbrauch'!A120</f>
        <v>SNB977641826996</v>
      </c>
      <c r="B2780" s="667">
        <f>+'Anlage 2a_Letztverbrauch'!I120</f>
        <v>188529715</v>
      </c>
      <c r="C2780" s="711">
        <f>+SUMIF('Anlage 2b_Korrekturen'!$B$8:$B$226,A2780,'Anlage 2b_Korrekturen'!$D$8:$D$226)</f>
        <v>-1217412</v>
      </c>
      <c r="D2780" s="135">
        <f t="shared" si="102"/>
        <v>187312303</v>
      </c>
      <c r="E2780" s="133"/>
      <c r="F2780" s="133"/>
      <c r="G2780" s="133"/>
      <c r="H2780" s="133"/>
      <c r="I2780" s="92"/>
    </row>
    <row r="2781" spans="1:9" hidden="1" outlineLevel="1">
      <c r="A2781" s="418" t="str">
        <f>+'Anlage 2a_Letztverbrauch'!A121</f>
        <v>SNB929027950139</v>
      </c>
      <c r="B2781" s="667">
        <f>+'Anlage 2a_Letztverbrauch'!I121</f>
        <v>531207532</v>
      </c>
      <c r="C2781" s="711">
        <f>+SUMIF('Anlage 2b_Korrekturen'!$B$8:$B$226,A2781,'Anlage 2b_Korrekturen'!$D$8:$D$226)</f>
        <v>5446098</v>
      </c>
      <c r="D2781" s="135">
        <f t="shared" si="102"/>
        <v>536653630</v>
      </c>
      <c r="E2781" s="133"/>
      <c r="F2781" s="133"/>
      <c r="G2781" s="133"/>
      <c r="H2781" s="133"/>
      <c r="I2781" s="92"/>
    </row>
    <row r="2782" spans="1:9" hidden="1" outlineLevel="1">
      <c r="A2782" s="418" t="str">
        <f>+'Anlage 2a_Letztverbrauch'!A122</f>
        <v>SNB941283828373</v>
      </c>
      <c r="B2782" s="667">
        <f>+'Anlage 2a_Letztverbrauch'!I122</f>
        <v>60013088</v>
      </c>
      <c r="C2782" s="711">
        <f>+SUMIF('Anlage 2b_Korrekturen'!$B$8:$B$226,A2782,'Anlage 2b_Korrekturen'!$D$8:$D$226)</f>
        <v>0</v>
      </c>
      <c r="D2782" s="135">
        <f t="shared" si="102"/>
        <v>60013088</v>
      </c>
      <c r="E2782" s="133"/>
      <c r="F2782" s="133"/>
      <c r="G2782" s="133"/>
      <c r="H2782" s="133"/>
      <c r="I2782" s="92"/>
    </row>
    <row r="2783" spans="1:9" hidden="1" outlineLevel="1">
      <c r="A2783" s="418" t="str">
        <f>+'Anlage 2a_Letztverbrauch'!A123</f>
        <v>SNB988532040636</v>
      </c>
      <c r="B2783" s="667">
        <f>+'Anlage 2a_Letztverbrauch'!I123</f>
        <v>29526968</v>
      </c>
      <c r="C2783" s="711">
        <f>+SUMIF('Anlage 2b_Korrekturen'!$B$8:$B$226,A2783,'Anlage 2b_Korrekturen'!$D$8:$D$226)</f>
        <v>0</v>
      </c>
      <c r="D2783" s="135">
        <f t="shared" si="102"/>
        <v>29526968</v>
      </c>
      <c r="E2783" s="133"/>
      <c r="F2783" s="133"/>
      <c r="G2783" s="133"/>
      <c r="H2783" s="133"/>
      <c r="I2783" s="92"/>
    </row>
    <row r="2784" spans="1:9" hidden="1" outlineLevel="1">
      <c r="A2784" s="418" t="str">
        <f>+'Anlage 2a_Letztverbrauch'!A124</f>
        <v>SNB922354559020</v>
      </c>
      <c r="B2784" s="667">
        <f>+'Anlage 2a_Letztverbrauch'!I124</f>
        <v>27740280</v>
      </c>
      <c r="C2784" s="711">
        <f>+SUMIF('Anlage 2b_Korrekturen'!$B$8:$B$226,A2784,'Anlage 2b_Korrekturen'!$D$8:$D$226)</f>
        <v>0</v>
      </c>
      <c r="D2784" s="135">
        <f t="shared" si="102"/>
        <v>27740280</v>
      </c>
      <c r="E2784" s="133"/>
      <c r="F2784" s="133"/>
      <c r="G2784" s="133"/>
      <c r="H2784" s="133"/>
      <c r="I2784" s="92"/>
    </row>
    <row r="2785" spans="1:9" hidden="1" outlineLevel="1">
      <c r="A2785" s="418" t="str">
        <f>+'Anlage 2a_Letztverbrauch'!A125</f>
        <v>SNB970223838288</v>
      </c>
      <c r="B2785" s="667">
        <f>+'Anlage 2a_Letztverbrauch'!I125</f>
        <v>83857348</v>
      </c>
      <c r="C2785" s="711">
        <f>+SUMIF('Anlage 2b_Korrekturen'!$B$8:$B$226,A2785,'Anlage 2b_Korrekturen'!$D$8:$D$226)</f>
        <v>0</v>
      </c>
      <c r="D2785" s="135">
        <f t="shared" si="102"/>
        <v>83857348</v>
      </c>
      <c r="E2785" s="133"/>
      <c r="F2785" s="133"/>
      <c r="G2785" s="133"/>
      <c r="H2785" s="133"/>
      <c r="I2785" s="92"/>
    </row>
    <row r="2786" spans="1:9" hidden="1" outlineLevel="1">
      <c r="A2786" s="418" t="str">
        <f>+'Anlage 2a_Letztverbrauch'!A126</f>
        <v>SNB959567240391</v>
      </c>
      <c r="B2786" s="667">
        <f>+'Anlage 2a_Letztverbrauch'!I126</f>
        <v>52884536</v>
      </c>
      <c r="C2786" s="711">
        <f>+SUMIF('Anlage 2b_Korrekturen'!$B$8:$B$226,A2786,'Anlage 2b_Korrekturen'!$D$8:$D$226)</f>
        <v>0</v>
      </c>
      <c r="D2786" s="135">
        <f t="shared" si="102"/>
        <v>52884536</v>
      </c>
      <c r="E2786" s="133"/>
      <c r="F2786" s="133"/>
      <c r="G2786" s="133"/>
      <c r="H2786" s="133"/>
      <c r="I2786" s="92"/>
    </row>
    <row r="2787" spans="1:9" hidden="1" outlineLevel="1">
      <c r="A2787" s="418" t="str">
        <f>+'Anlage 2a_Letztverbrauch'!A127</f>
        <v>SNB936940951426</v>
      </c>
      <c r="B2787" s="667">
        <f>+'Anlage 2a_Letztverbrauch'!I127</f>
        <v>57182478</v>
      </c>
      <c r="C2787" s="711">
        <f>+SUMIF('Anlage 2b_Korrekturen'!$B$8:$B$226,A2787,'Anlage 2b_Korrekturen'!$D$8:$D$226)</f>
        <v>-63080</v>
      </c>
      <c r="D2787" s="135">
        <f t="shared" si="102"/>
        <v>57119398</v>
      </c>
      <c r="E2787" s="133"/>
      <c r="F2787" s="133"/>
      <c r="G2787" s="133"/>
      <c r="H2787" s="133"/>
      <c r="I2787" s="92"/>
    </row>
    <row r="2788" spans="1:9" hidden="1" outlineLevel="1">
      <c r="A2788" s="418" t="str">
        <f>+'Anlage 2a_Letztverbrauch'!A128</f>
        <v>SNB951305396193</v>
      </c>
      <c r="B2788" s="667">
        <f>+'Anlage 2a_Letztverbrauch'!I128</f>
        <v>81641762</v>
      </c>
      <c r="C2788" s="711">
        <f>+SUMIF('Anlage 2b_Korrekturen'!$B$8:$B$226,A2788,'Anlage 2b_Korrekturen'!$D$8:$D$226)</f>
        <v>131427</v>
      </c>
      <c r="D2788" s="135">
        <f t="shared" si="102"/>
        <v>81773189</v>
      </c>
      <c r="E2788" s="133"/>
      <c r="F2788" s="133"/>
      <c r="G2788" s="133"/>
      <c r="H2788" s="133"/>
      <c r="I2788" s="92"/>
    </row>
    <row r="2789" spans="1:9" hidden="1" outlineLevel="1">
      <c r="A2789" s="418" t="str">
        <f>+'Anlage 2a_Letztverbrauch'!A129</f>
        <v>SNB939724292715</v>
      </c>
      <c r="B2789" s="667">
        <f>+'Anlage 2a_Letztverbrauch'!I129</f>
        <v>658283552</v>
      </c>
      <c r="C2789" s="711">
        <f>+SUMIF('Anlage 2b_Korrekturen'!$B$8:$B$226,A2789,'Anlage 2b_Korrekturen'!$D$8:$D$226)</f>
        <v>2716298</v>
      </c>
      <c r="D2789" s="135">
        <f t="shared" si="102"/>
        <v>660999850</v>
      </c>
      <c r="E2789" s="133"/>
      <c r="F2789" s="133"/>
      <c r="G2789" s="133"/>
      <c r="H2789" s="133"/>
      <c r="I2789" s="92"/>
    </row>
    <row r="2790" spans="1:9" hidden="1" outlineLevel="1">
      <c r="A2790" s="418" t="str">
        <f>+'Anlage 2a_Letztverbrauch'!A130</f>
        <v>SNB953495670831</v>
      </c>
      <c r="B2790" s="667">
        <f>+'Anlage 2a_Letztverbrauch'!I130</f>
        <v>75202859</v>
      </c>
      <c r="C2790" s="711">
        <f>+SUMIF('Anlage 2b_Korrekturen'!$B$8:$B$226,A2790,'Anlage 2b_Korrekturen'!$D$8:$D$226)</f>
        <v>0</v>
      </c>
      <c r="D2790" s="135">
        <f t="shared" si="102"/>
        <v>75202859</v>
      </c>
      <c r="E2790" s="133"/>
      <c r="F2790" s="133"/>
      <c r="G2790" s="133"/>
      <c r="H2790" s="133"/>
      <c r="I2790" s="92"/>
    </row>
    <row r="2791" spans="1:9" hidden="1" outlineLevel="1">
      <c r="A2791" s="418" t="str">
        <f>+'Anlage 2a_Letztverbrauch'!A131</f>
        <v>SNB958237843443</v>
      </c>
      <c r="B2791" s="667">
        <f>+'Anlage 2a_Letztverbrauch'!I131</f>
        <v>73439969</v>
      </c>
      <c r="C2791" s="711">
        <f>+SUMIF('Anlage 2b_Korrekturen'!$B$8:$B$226,A2791,'Anlage 2b_Korrekturen'!$D$8:$D$226)</f>
        <v>-342890</v>
      </c>
      <c r="D2791" s="135">
        <f t="shared" si="102"/>
        <v>73097079</v>
      </c>
      <c r="E2791" s="133"/>
      <c r="F2791" s="133"/>
      <c r="G2791" s="133"/>
      <c r="H2791" s="133"/>
      <c r="I2791" s="92"/>
    </row>
    <row r="2792" spans="1:9" hidden="1" outlineLevel="1">
      <c r="A2792" s="418" t="str">
        <f>+'Anlage 2a_Letztverbrauch'!A132</f>
        <v>SNB922861338965</v>
      </c>
      <c r="B2792" s="667">
        <f>+'Anlage 2a_Letztverbrauch'!I132</f>
        <v>78677451</v>
      </c>
      <c r="C2792" s="711">
        <f>+SUMIF('Anlage 2b_Korrekturen'!$B$8:$B$226,A2792,'Anlage 2b_Korrekturen'!$D$8:$D$226)</f>
        <v>0</v>
      </c>
      <c r="D2792" s="135">
        <f t="shared" si="102"/>
        <v>78677451</v>
      </c>
      <c r="E2792" s="133"/>
      <c r="F2792" s="133"/>
      <c r="G2792" s="133"/>
      <c r="H2792" s="133"/>
      <c r="I2792" s="92"/>
    </row>
    <row r="2793" spans="1:9" hidden="1" outlineLevel="1">
      <c r="A2793" s="418" t="str">
        <f>+'Anlage 2a_Letztverbrauch'!A133</f>
        <v>SNB981597332487</v>
      </c>
      <c r="B2793" s="667">
        <f>+'Anlage 2a_Letztverbrauch'!I133</f>
        <v>4456331</v>
      </c>
      <c r="C2793" s="711">
        <f>+SUMIF('Anlage 2b_Korrekturen'!$B$8:$B$226,A2793,'Anlage 2b_Korrekturen'!$D$8:$D$226)</f>
        <v>0</v>
      </c>
      <c r="D2793" s="135">
        <f t="shared" si="102"/>
        <v>4456331</v>
      </c>
      <c r="E2793" s="133"/>
      <c r="F2793" s="133"/>
      <c r="G2793" s="133"/>
      <c r="H2793" s="133"/>
      <c r="I2793" s="92"/>
    </row>
    <row r="2794" spans="1:9" hidden="1" outlineLevel="1">
      <c r="A2794" s="418" t="str">
        <f>+'Anlage 2a_Letztverbrauch'!A134</f>
        <v>SNB942159258331</v>
      </c>
      <c r="B2794" s="667">
        <f>+'Anlage 2a_Letztverbrauch'!I134</f>
        <v>86422412</v>
      </c>
      <c r="C2794" s="711">
        <f>+SUMIF('Anlage 2b_Korrekturen'!$B$8:$B$226,A2794,'Anlage 2b_Korrekturen'!$D$8:$D$226)</f>
        <v>-194875</v>
      </c>
      <c r="D2794" s="135">
        <f t="shared" si="102"/>
        <v>86227537</v>
      </c>
      <c r="E2794" s="133"/>
      <c r="F2794" s="133"/>
      <c r="G2794" s="133"/>
      <c r="H2794" s="133"/>
      <c r="I2794" s="92"/>
    </row>
    <row r="2795" spans="1:9" hidden="1" outlineLevel="1">
      <c r="A2795" s="418" t="str">
        <f>+'Anlage 2a_Letztverbrauch'!A135</f>
        <v>SNB919985327685</v>
      </c>
      <c r="B2795" s="667">
        <f>+'Anlage 2a_Letztverbrauch'!I135</f>
        <v>22926723</v>
      </c>
      <c r="C2795" s="711">
        <f>+SUMIF('Anlage 2b_Korrekturen'!$B$8:$B$226,A2795,'Anlage 2b_Korrekturen'!$D$8:$D$226)</f>
        <v>0</v>
      </c>
      <c r="D2795" s="135">
        <f t="shared" si="102"/>
        <v>22926723</v>
      </c>
      <c r="E2795" s="133"/>
      <c r="F2795" s="133"/>
      <c r="G2795" s="133"/>
      <c r="H2795" s="133"/>
      <c r="I2795" s="92"/>
    </row>
    <row r="2796" spans="1:9" hidden="1" outlineLevel="1">
      <c r="A2796" s="418" t="str">
        <f>+'Anlage 2a_Letztverbrauch'!A136</f>
        <v>SNB979429791342</v>
      </c>
      <c r="B2796" s="667">
        <f>+'Anlage 2a_Letztverbrauch'!I136</f>
        <v>59695915</v>
      </c>
      <c r="C2796" s="711">
        <f>+SUMIF('Anlage 2b_Korrekturen'!$B$8:$B$226,A2796,'Anlage 2b_Korrekturen'!$D$8:$D$226)</f>
        <v>0</v>
      </c>
      <c r="D2796" s="135">
        <f t="shared" ref="D2796:D2827" si="103">+B2796+C2796</f>
        <v>59695915</v>
      </c>
      <c r="E2796" s="133"/>
      <c r="F2796" s="133"/>
      <c r="G2796" s="133"/>
      <c r="H2796" s="133"/>
      <c r="I2796" s="92"/>
    </row>
    <row r="2797" spans="1:9" hidden="1" outlineLevel="1">
      <c r="A2797" s="418" t="str">
        <f>+'Anlage 2a_Letztverbrauch'!A137</f>
        <v>SNB936461984224</v>
      </c>
      <c r="B2797" s="667">
        <f>+'Anlage 2a_Letztverbrauch'!I137</f>
        <v>119422640</v>
      </c>
      <c r="C2797" s="711">
        <f>+SUMIF('Anlage 2b_Korrekturen'!$B$8:$B$226,A2797,'Anlage 2b_Korrekturen'!$D$8:$D$226)</f>
        <v>-244902</v>
      </c>
      <c r="D2797" s="135">
        <f t="shared" si="103"/>
        <v>119177738</v>
      </c>
      <c r="E2797" s="133"/>
      <c r="F2797" s="133"/>
      <c r="G2797" s="133"/>
      <c r="H2797" s="133"/>
      <c r="I2797" s="92"/>
    </row>
    <row r="2798" spans="1:9" hidden="1" outlineLevel="1">
      <c r="A2798" s="418" t="str">
        <f>+'Anlage 2a_Letztverbrauch'!A138</f>
        <v>SNB985072256732</v>
      </c>
      <c r="B2798" s="667">
        <f>+'Anlage 2a_Letztverbrauch'!I138</f>
        <v>41230192</v>
      </c>
      <c r="C2798" s="711">
        <f>+SUMIF('Anlage 2b_Korrekturen'!$B$8:$B$226,A2798,'Anlage 2b_Korrekturen'!$D$8:$D$226)</f>
        <v>0</v>
      </c>
      <c r="D2798" s="135">
        <f t="shared" si="103"/>
        <v>41230192</v>
      </c>
      <c r="E2798" s="133"/>
      <c r="F2798" s="133"/>
      <c r="G2798" s="133"/>
      <c r="H2798" s="133"/>
      <c r="I2798" s="92"/>
    </row>
    <row r="2799" spans="1:9" hidden="1" outlineLevel="1">
      <c r="A2799" s="418" t="str">
        <f>+'Anlage 2a_Letztverbrauch'!A139</f>
        <v>SNB913280322543</v>
      </c>
      <c r="B2799" s="667">
        <f>+'Anlage 2a_Letztverbrauch'!I139</f>
        <v>85398962</v>
      </c>
      <c r="C2799" s="711">
        <f>+SUMIF('Anlage 2b_Korrekturen'!$B$8:$B$226,A2799,'Anlage 2b_Korrekturen'!$D$8:$D$226)</f>
        <v>0</v>
      </c>
      <c r="D2799" s="135">
        <f t="shared" si="103"/>
        <v>85398962</v>
      </c>
      <c r="E2799" s="133"/>
      <c r="F2799" s="133"/>
      <c r="G2799" s="133"/>
      <c r="H2799" s="133"/>
      <c r="I2799" s="92"/>
    </row>
    <row r="2800" spans="1:9" hidden="1" outlineLevel="1">
      <c r="A2800" s="418" t="str">
        <f>+'Anlage 2a_Letztverbrauch'!A140</f>
        <v>SNB913130054136</v>
      </c>
      <c r="B2800" s="667">
        <f>+'Anlage 2a_Letztverbrauch'!I140</f>
        <v>310270780</v>
      </c>
      <c r="C2800" s="711">
        <f>+SUMIF('Anlage 2b_Korrekturen'!$B$8:$B$226,A2800,'Anlage 2b_Korrekturen'!$D$8:$D$226)</f>
        <v>0</v>
      </c>
      <c r="D2800" s="135">
        <f t="shared" si="103"/>
        <v>310270780</v>
      </c>
      <c r="E2800" s="133"/>
      <c r="F2800" s="133"/>
      <c r="G2800" s="133"/>
      <c r="H2800" s="133"/>
      <c r="I2800" s="92"/>
    </row>
    <row r="2801" spans="1:9" hidden="1" outlineLevel="1">
      <c r="A2801" s="418" t="str">
        <f>+'Anlage 2a_Letztverbrauch'!A141</f>
        <v>SNB995034381532</v>
      </c>
      <c r="B2801" s="667">
        <f>+'Anlage 2a_Letztverbrauch'!I141</f>
        <v>69151265</v>
      </c>
      <c r="C2801" s="711">
        <f>+SUMIF('Anlage 2b_Korrekturen'!$B$8:$B$226,A2801,'Anlage 2b_Korrekturen'!$D$8:$D$226)</f>
        <v>0</v>
      </c>
      <c r="D2801" s="135">
        <f t="shared" si="103"/>
        <v>69151265</v>
      </c>
      <c r="E2801" s="133"/>
      <c r="F2801" s="133"/>
      <c r="G2801" s="133"/>
      <c r="H2801" s="133"/>
      <c r="I2801" s="92"/>
    </row>
    <row r="2802" spans="1:9" hidden="1" outlineLevel="1">
      <c r="A2802" s="418" t="str">
        <f>+'Anlage 2a_Letztverbrauch'!A142</f>
        <v>SNB932006596143</v>
      </c>
      <c r="B2802" s="667">
        <f>+'Anlage 2a_Letztverbrauch'!I142</f>
        <v>45375283</v>
      </c>
      <c r="C2802" s="711">
        <f>+SUMIF('Anlage 2b_Korrekturen'!$B$8:$B$226,A2802,'Anlage 2b_Korrekturen'!$D$8:$D$226)</f>
        <v>0</v>
      </c>
      <c r="D2802" s="135">
        <f t="shared" si="103"/>
        <v>45375283</v>
      </c>
      <c r="E2802" s="133"/>
      <c r="F2802" s="133"/>
      <c r="G2802" s="133"/>
      <c r="H2802" s="133"/>
      <c r="I2802" s="92"/>
    </row>
    <row r="2803" spans="1:9" hidden="1" outlineLevel="1">
      <c r="A2803" s="418" t="str">
        <f>+'Anlage 2a_Letztverbrauch'!A143</f>
        <v>SNB987483520273</v>
      </c>
      <c r="B2803" s="667">
        <f>+'Anlage 2a_Letztverbrauch'!I143</f>
        <v>71180783</v>
      </c>
      <c r="C2803" s="711">
        <f>+SUMIF('Anlage 2b_Korrekturen'!$B$8:$B$226,A2803,'Anlage 2b_Korrekturen'!$D$8:$D$226)</f>
        <v>0</v>
      </c>
      <c r="D2803" s="135">
        <f t="shared" si="103"/>
        <v>71180783</v>
      </c>
      <c r="E2803" s="133"/>
      <c r="F2803" s="133"/>
      <c r="G2803" s="133"/>
      <c r="H2803" s="133"/>
      <c r="I2803" s="92"/>
    </row>
    <row r="2804" spans="1:9" hidden="1" outlineLevel="1">
      <c r="A2804" s="418" t="str">
        <f>+'Anlage 2a_Letztverbrauch'!A144</f>
        <v>SNB919657321775</v>
      </c>
      <c r="B2804" s="667">
        <f>+'Anlage 2a_Letztverbrauch'!I144</f>
        <v>85930181</v>
      </c>
      <c r="C2804" s="711">
        <f>+SUMIF('Anlage 2b_Korrekturen'!$B$8:$B$226,A2804,'Anlage 2b_Korrekturen'!$D$8:$D$226)</f>
        <v>-126429</v>
      </c>
      <c r="D2804" s="135">
        <f t="shared" si="103"/>
        <v>85803752</v>
      </c>
      <c r="E2804" s="133"/>
      <c r="F2804" s="133"/>
      <c r="G2804" s="133"/>
      <c r="H2804" s="133"/>
      <c r="I2804" s="92"/>
    </row>
    <row r="2805" spans="1:9" hidden="1" outlineLevel="1">
      <c r="A2805" s="418" t="str">
        <f>+'Anlage 2a_Letztverbrauch'!A145</f>
        <v>SNB926394976090</v>
      </c>
      <c r="B2805" s="667">
        <f>+'Anlage 2a_Letztverbrauch'!I145</f>
        <v>59323776</v>
      </c>
      <c r="C2805" s="711">
        <f>+SUMIF('Anlage 2b_Korrekturen'!$B$8:$B$226,A2805,'Anlage 2b_Korrekturen'!$D$8:$D$226)</f>
        <v>0</v>
      </c>
      <c r="D2805" s="135">
        <f t="shared" si="103"/>
        <v>59323776</v>
      </c>
      <c r="E2805" s="133"/>
      <c r="F2805" s="133"/>
      <c r="G2805" s="133"/>
      <c r="H2805" s="133"/>
      <c r="I2805" s="92"/>
    </row>
    <row r="2806" spans="1:9" hidden="1" outlineLevel="1">
      <c r="A2806" s="418" t="str">
        <f>+'Anlage 2a_Letztverbrauch'!A146</f>
        <v>SNB976240506834</v>
      </c>
      <c r="B2806" s="667">
        <f>+'Anlage 2a_Letztverbrauch'!I146</f>
        <v>18787933</v>
      </c>
      <c r="C2806" s="711">
        <f>+SUMIF('Anlage 2b_Korrekturen'!$B$8:$B$226,A2806,'Anlage 2b_Korrekturen'!$D$8:$D$226)</f>
        <v>0</v>
      </c>
      <c r="D2806" s="135">
        <f t="shared" si="103"/>
        <v>18787933</v>
      </c>
      <c r="E2806" s="133"/>
      <c r="F2806" s="133"/>
      <c r="G2806" s="133"/>
      <c r="H2806" s="133"/>
      <c r="I2806" s="92"/>
    </row>
    <row r="2807" spans="1:9" hidden="1" outlineLevel="1">
      <c r="A2807" s="418" t="str">
        <f>+'Anlage 2a_Letztverbrauch'!A147</f>
        <v>SNB910474681448</v>
      </c>
      <c r="B2807" s="667">
        <f>+'Anlage 2a_Letztverbrauch'!I147</f>
        <v>80019002</v>
      </c>
      <c r="C2807" s="711">
        <f>+SUMIF('Anlage 2b_Korrekturen'!$B$8:$B$226,A2807,'Anlage 2b_Korrekturen'!$D$8:$D$226)</f>
        <v>-312629</v>
      </c>
      <c r="D2807" s="135">
        <f t="shared" si="103"/>
        <v>79706373</v>
      </c>
      <c r="E2807" s="133"/>
      <c r="F2807" s="133"/>
      <c r="G2807" s="133"/>
      <c r="H2807" s="133"/>
      <c r="I2807" s="92"/>
    </row>
    <row r="2808" spans="1:9" hidden="1" outlineLevel="1">
      <c r="A2808" s="418" t="str">
        <f>+'Anlage 2a_Letztverbrauch'!A148</f>
        <v>SNB957404386462</v>
      </c>
      <c r="B2808" s="667">
        <f>+'Anlage 2a_Letztverbrauch'!I148</f>
        <v>88344016</v>
      </c>
      <c r="C2808" s="711">
        <f>+SUMIF('Anlage 2b_Korrekturen'!$B$8:$B$226,A2808,'Anlage 2b_Korrekturen'!$D$8:$D$226)</f>
        <v>0</v>
      </c>
      <c r="D2808" s="135">
        <f t="shared" si="103"/>
        <v>88344016</v>
      </c>
      <c r="E2808" s="133"/>
      <c r="F2808" s="133"/>
      <c r="G2808" s="133"/>
      <c r="H2808" s="133"/>
      <c r="I2808" s="92"/>
    </row>
    <row r="2809" spans="1:9" hidden="1" outlineLevel="1">
      <c r="A2809" s="418" t="str">
        <f>+'Anlage 2a_Letztverbrauch'!A149</f>
        <v>SNB915638224585</v>
      </c>
      <c r="B2809" s="667">
        <f>+'Anlage 2a_Letztverbrauch'!I149</f>
        <v>21060367</v>
      </c>
      <c r="C2809" s="711">
        <f>+SUMIF('Anlage 2b_Korrekturen'!$B$8:$B$226,A2809,'Anlage 2b_Korrekturen'!$D$8:$D$226)</f>
        <v>0</v>
      </c>
      <c r="D2809" s="135">
        <f t="shared" si="103"/>
        <v>21060367</v>
      </c>
      <c r="E2809" s="133"/>
      <c r="F2809" s="133"/>
      <c r="G2809" s="133"/>
      <c r="H2809" s="133"/>
      <c r="I2809" s="92"/>
    </row>
    <row r="2810" spans="1:9" hidden="1" outlineLevel="1">
      <c r="A2810" s="418" t="str">
        <f>+'Anlage 2a_Letztverbrauch'!A150</f>
        <v>SNB915638224585</v>
      </c>
      <c r="B2810" s="667">
        <f>+'Anlage 2a_Letztverbrauch'!I150</f>
        <v>154928899</v>
      </c>
      <c r="C2810" s="711">
        <f>+SUMIF('Anlage 2b_Korrekturen'!$B$8:$B$226,A2810,'Anlage 2b_Korrekturen'!$D$8:$D$226)</f>
        <v>0</v>
      </c>
      <c r="D2810" s="135">
        <f t="shared" si="103"/>
        <v>154928899</v>
      </c>
      <c r="E2810" s="133"/>
      <c r="F2810" s="133"/>
      <c r="G2810" s="133"/>
      <c r="H2810" s="133"/>
      <c r="I2810" s="92"/>
    </row>
    <row r="2811" spans="1:9" hidden="1" outlineLevel="1">
      <c r="A2811" s="418" t="str">
        <f>+'Anlage 2a_Letztverbrauch'!A151</f>
        <v>SNB975846871759</v>
      </c>
      <c r="B2811" s="667">
        <f>+'Anlage 2a_Letztverbrauch'!I151</f>
        <v>68391427</v>
      </c>
      <c r="C2811" s="711">
        <f>+SUMIF('Anlage 2b_Korrekturen'!$B$8:$B$226,A2811,'Anlage 2b_Korrekturen'!$D$8:$D$226)</f>
        <v>0</v>
      </c>
      <c r="D2811" s="135">
        <f t="shared" si="103"/>
        <v>68391427</v>
      </c>
      <c r="E2811" s="133"/>
      <c r="F2811" s="133"/>
      <c r="G2811" s="133"/>
      <c r="H2811" s="133"/>
      <c r="I2811" s="92"/>
    </row>
    <row r="2812" spans="1:9" hidden="1" outlineLevel="1">
      <c r="A2812" s="418" t="str">
        <f>+'Anlage 2a_Letztverbrauch'!A152</f>
        <v>SNB981122608278</v>
      </c>
      <c r="B2812" s="667">
        <f>+'Anlage 2a_Letztverbrauch'!I152</f>
        <v>884273</v>
      </c>
      <c r="C2812" s="711">
        <f>+SUMIF('Anlage 2b_Korrekturen'!$B$8:$B$226,A2812,'Anlage 2b_Korrekturen'!$D$8:$D$226)</f>
        <v>19450</v>
      </c>
      <c r="D2812" s="135">
        <f t="shared" si="103"/>
        <v>903723</v>
      </c>
      <c r="E2812" s="133"/>
      <c r="F2812" s="133"/>
      <c r="G2812" s="133"/>
      <c r="H2812" s="133"/>
      <c r="I2812" s="92"/>
    </row>
    <row r="2813" spans="1:9" hidden="1" outlineLevel="1">
      <c r="A2813" s="418" t="str">
        <f>+'Anlage 2a_Letztverbrauch'!A153</f>
        <v>SNB933869654360</v>
      </c>
      <c r="B2813" s="667">
        <f>+'Anlage 2a_Letztverbrauch'!I153</f>
        <v>53142934</v>
      </c>
      <c r="C2813" s="711">
        <f>+SUMIF('Anlage 2b_Korrekturen'!$B$8:$B$226,A2813,'Anlage 2b_Korrekturen'!$D$8:$D$226)</f>
        <v>226177</v>
      </c>
      <c r="D2813" s="135">
        <f t="shared" si="103"/>
        <v>53369111</v>
      </c>
      <c r="E2813" s="133"/>
      <c r="F2813" s="133"/>
      <c r="G2813" s="133"/>
      <c r="H2813" s="133"/>
      <c r="I2813" s="92"/>
    </row>
    <row r="2814" spans="1:9" hidden="1" outlineLevel="1">
      <c r="A2814" s="418" t="str">
        <f>+'Anlage 2a_Letztverbrauch'!A154</f>
        <v>SNB935760057516</v>
      </c>
      <c r="B2814" s="667">
        <f>+'Anlage 2a_Letztverbrauch'!I154</f>
        <v>153869106</v>
      </c>
      <c r="C2814" s="711">
        <f>+SUMIF('Anlage 2b_Korrekturen'!$B$8:$B$226,A2814,'Anlage 2b_Korrekturen'!$D$8:$D$226)</f>
        <v>0</v>
      </c>
      <c r="D2814" s="135">
        <f t="shared" si="103"/>
        <v>153869106</v>
      </c>
      <c r="E2814" s="133"/>
      <c r="F2814" s="133"/>
      <c r="G2814" s="133"/>
      <c r="H2814" s="133"/>
      <c r="I2814" s="92"/>
    </row>
    <row r="2815" spans="1:9" hidden="1" outlineLevel="1">
      <c r="A2815" s="418" t="str">
        <f>+'Anlage 2a_Letztverbrauch'!A155</f>
        <v>SNB932509765411</v>
      </c>
      <c r="B2815" s="667">
        <f>+'Anlage 2a_Letztverbrauch'!I155</f>
        <v>37548590</v>
      </c>
      <c r="C2815" s="711">
        <f>+SUMIF('Anlage 2b_Korrekturen'!$B$8:$B$226,A2815,'Anlage 2b_Korrekturen'!$D$8:$D$226)</f>
        <v>0</v>
      </c>
      <c r="D2815" s="135">
        <f t="shared" si="103"/>
        <v>37548590</v>
      </c>
      <c r="E2815" s="133"/>
      <c r="F2815" s="133"/>
      <c r="G2815" s="133"/>
      <c r="H2815" s="133"/>
      <c r="I2815" s="92"/>
    </row>
    <row r="2816" spans="1:9" hidden="1" outlineLevel="1">
      <c r="A2816" s="418" t="str">
        <f>+'Anlage 2a_Letztverbrauch'!A156</f>
        <v>SNB933235634552</v>
      </c>
      <c r="B2816" s="667">
        <f>+'Anlage 2a_Letztverbrauch'!I156</f>
        <v>131243351</v>
      </c>
      <c r="C2816" s="711">
        <f>+SUMIF('Anlage 2b_Korrekturen'!$B$8:$B$226,A2816,'Anlage 2b_Korrekturen'!$D$8:$D$226)</f>
        <v>63711</v>
      </c>
      <c r="D2816" s="135">
        <f t="shared" si="103"/>
        <v>131307062</v>
      </c>
      <c r="E2816" s="133"/>
      <c r="F2816" s="133"/>
      <c r="G2816" s="133"/>
      <c r="H2816" s="133"/>
      <c r="I2816" s="92"/>
    </row>
    <row r="2817" spans="1:9" hidden="1" outlineLevel="1">
      <c r="A2817" s="418" t="str">
        <f>+'Anlage 2a_Letztverbrauch'!A157</f>
        <v>SNB957440824454</v>
      </c>
      <c r="B2817" s="667">
        <f>+'Anlage 2a_Letztverbrauch'!I157</f>
        <v>45468994</v>
      </c>
      <c r="C2817" s="711">
        <f>+SUMIF('Anlage 2b_Korrekturen'!$B$8:$B$226,A2817,'Anlage 2b_Korrekturen'!$D$8:$D$226)</f>
        <v>0</v>
      </c>
      <c r="D2817" s="135">
        <f t="shared" si="103"/>
        <v>45468994</v>
      </c>
      <c r="E2817" s="133"/>
      <c r="F2817" s="133"/>
      <c r="G2817" s="133"/>
      <c r="H2817" s="133"/>
      <c r="I2817" s="92"/>
    </row>
    <row r="2818" spans="1:9" hidden="1" outlineLevel="1">
      <c r="A2818" s="418" t="str">
        <f>+'Anlage 2a_Letztverbrauch'!A158</f>
        <v>SNB973505068113</v>
      </c>
      <c r="B2818" s="667">
        <f>+'Anlage 2a_Letztverbrauch'!I158</f>
        <v>68677909</v>
      </c>
      <c r="C2818" s="711">
        <f>+SUMIF('Anlage 2b_Korrekturen'!$B$8:$B$226,A2818,'Anlage 2b_Korrekturen'!$D$8:$D$226)</f>
        <v>0</v>
      </c>
      <c r="D2818" s="135">
        <f t="shared" si="103"/>
        <v>68677909</v>
      </c>
      <c r="E2818" s="133"/>
      <c r="F2818" s="133"/>
      <c r="G2818" s="133"/>
      <c r="H2818" s="133"/>
      <c r="I2818" s="92"/>
    </row>
    <row r="2819" spans="1:9" hidden="1" outlineLevel="1">
      <c r="A2819" s="418" t="str">
        <f>+'Anlage 2a_Letztverbrauch'!A159</f>
        <v>SNB963792700889</v>
      </c>
      <c r="B2819" s="667">
        <f>+'Anlage 2a_Letztverbrauch'!I159</f>
        <v>173839476</v>
      </c>
      <c r="C2819" s="711">
        <f>+SUMIF('Anlage 2b_Korrekturen'!$B$8:$B$226,A2819,'Anlage 2b_Korrekturen'!$D$8:$D$226)</f>
        <v>77334</v>
      </c>
      <c r="D2819" s="135">
        <f t="shared" si="103"/>
        <v>173916810</v>
      </c>
      <c r="E2819" s="133"/>
      <c r="F2819" s="133"/>
      <c r="G2819" s="133"/>
      <c r="H2819" s="133"/>
      <c r="I2819" s="92"/>
    </row>
    <row r="2820" spans="1:9" hidden="1" outlineLevel="1">
      <c r="A2820" s="418" t="str">
        <f>+'Anlage 2a_Letztverbrauch'!A160</f>
        <v>SNB933274941888</v>
      </c>
      <c r="B2820" s="667">
        <f>+'Anlage 2a_Letztverbrauch'!I160</f>
        <v>92565380</v>
      </c>
      <c r="C2820" s="711">
        <f>+SUMIF('Anlage 2b_Korrekturen'!$B$8:$B$226,A2820,'Anlage 2b_Korrekturen'!$D$8:$D$226)</f>
        <v>51749</v>
      </c>
      <c r="D2820" s="135">
        <f t="shared" si="103"/>
        <v>92617129</v>
      </c>
      <c r="E2820" s="133"/>
      <c r="F2820" s="133"/>
      <c r="G2820" s="133"/>
      <c r="H2820" s="133"/>
      <c r="I2820" s="92"/>
    </row>
    <row r="2821" spans="1:9" hidden="1" outlineLevel="1">
      <c r="A2821" s="418" t="str">
        <f>+'Anlage 2a_Letztverbrauch'!A161</f>
        <v>SNB918084816830</v>
      </c>
      <c r="B2821" s="667">
        <f>+'Anlage 2a_Letztverbrauch'!I161</f>
        <v>34475808</v>
      </c>
      <c r="C2821" s="711">
        <f>+SUMIF('Anlage 2b_Korrekturen'!$B$8:$B$226,A2821,'Anlage 2b_Korrekturen'!$D$8:$D$226)</f>
        <v>0</v>
      </c>
      <c r="D2821" s="135">
        <f t="shared" si="103"/>
        <v>34475808</v>
      </c>
      <c r="E2821" s="133"/>
      <c r="F2821" s="133"/>
      <c r="G2821" s="133"/>
      <c r="H2821" s="133"/>
      <c r="I2821" s="92"/>
    </row>
    <row r="2822" spans="1:9" hidden="1" outlineLevel="1">
      <c r="A2822" s="418" t="str">
        <f>+'Anlage 2a_Letztverbrauch'!A162</f>
        <v>SNB962389410347</v>
      </c>
      <c r="B2822" s="667">
        <f>+'Anlage 2a_Letztverbrauch'!I162</f>
        <v>51794355</v>
      </c>
      <c r="C2822" s="711">
        <f>+SUMIF('Anlage 2b_Korrekturen'!$B$8:$B$226,A2822,'Anlage 2b_Korrekturen'!$D$8:$D$226)</f>
        <v>-458649</v>
      </c>
      <c r="D2822" s="135">
        <f t="shared" si="103"/>
        <v>51335706</v>
      </c>
      <c r="E2822" s="133"/>
      <c r="F2822" s="133"/>
      <c r="G2822" s="133"/>
      <c r="H2822" s="133"/>
      <c r="I2822" s="92"/>
    </row>
    <row r="2823" spans="1:9" hidden="1" outlineLevel="1">
      <c r="A2823" s="418" t="str">
        <f>+'Anlage 2a_Letztverbrauch'!A163</f>
        <v>SNB914879260819</v>
      </c>
      <c r="B2823" s="667">
        <f>+'Anlage 2a_Letztverbrauch'!I163</f>
        <v>135674991</v>
      </c>
      <c r="C2823" s="711">
        <f>+SUMIF('Anlage 2b_Korrekturen'!$B$8:$B$226,A2823,'Anlage 2b_Korrekturen'!$D$8:$D$226)</f>
        <v>-258213</v>
      </c>
      <c r="D2823" s="135">
        <f t="shared" si="103"/>
        <v>135416778</v>
      </c>
      <c r="E2823" s="133"/>
      <c r="F2823" s="133"/>
      <c r="G2823" s="133"/>
      <c r="H2823" s="133"/>
      <c r="I2823" s="92"/>
    </row>
    <row r="2824" spans="1:9" hidden="1" outlineLevel="1">
      <c r="A2824" s="418" t="str">
        <f>+'Anlage 2a_Letztverbrauch'!A164</f>
        <v>SNB973501936539</v>
      </c>
      <c r="B2824" s="667">
        <f>+'Anlage 2a_Letztverbrauch'!I164</f>
        <v>92513110</v>
      </c>
      <c r="C2824" s="711">
        <f>+SUMIF('Anlage 2b_Korrekturen'!$B$8:$B$226,A2824,'Anlage 2b_Korrekturen'!$D$8:$D$226)</f>
        <v>0</v>
      </c>
      <c r="D2824" s="135">
        <f t="shared" si="103"/>
        <v>92513110</v>
      </c>
      <c r="E2824" s="133"/>
      <c r="F2824" s="133"/>
      <c r="G2824" s="133"/>
      <c r="H2824" s="133"/>
      <c r="I2824" s="92"/>
    </row>
    <row r="2825" spans="1:9" hidden="1" outlineLevel="1">
      <c r="A2825" s="418" t="str">
        <f>+'Anlage 2a_Letztverbrauch'!A165</f>
        <v>SNB964045995373</v>
      </c>
      <c r="B2825" s="667">
        <f>+'Anlage 2a_Letztverbrauch'!I165</f>
        <v>137264347</v>
      </c>
      <c r="C2825" s="711">
        <f>+SUMIF('Anlage 2b_Korrekturen'!$B$8:$B$226,A2825,'Anlage 2b_Korrekturen'!$D$8:$D$226)</f>
        <v>1592395</v>
      </c>
      <c r="D2825" s="135">
        <f t="shared" si="103"/>
        <v>138856742</v>
      </c>
      <c r="E2825" s="133"/>
      <c r="F2825" s="133"/>
      <c r="G2825" s="133"/>
      <c r="H2825" s="133"/>
      <c r="I2825" s="92"/>
    </row>
    <row r="2826" spans="1:9" hidden="1" outlineLevel="1">
      <c r="A2826" s="418" t="str">
        <f>+'Anlage 2a_Letztverbrauch'!A166</f>
        <v>SNB941081544895</v>
      </c>
      <c r="B2826" s="667">
        <f>+'Anlage 2a_Letztverbrauch'!I166</f>
        <v>54368993</v>
      </c>
      <c r="C2826" s="711">
        <f>+SUMIF('Anlage 2b_Korrekturen'!$B$8:$B$226,A2826,'Anlage 2b_Korrekturen'!$D$8:$D$226)</f>
        <v>0</v>
      </c>
      <c r="D2826" s="135">
        <f t="shared" si="103"/>
        <v>54368993</v>
      </c>
      <c r="E2826" s="133"/>
      <c r="F2826" s="133"/>
      <c r="G2826" s="133"/>
      <c r="H2826" s="133"/>
      <c r="I2826" s="92"/>
    </row>
    <row r="2827" spans="1:9" hidden="1" outlineLevel="1">
      <c r="A2827" s="418" t="str">
        <f>+'Anlage 2a_Letztverbrauch'!A167</f>
        <v>SNB978051166283</v>
      </c>
      <c r="B2827" s="667">
        <f>+'Anlage 2a_Letztverbrauch'!I167</f>
        <v>27014063</v>
      </c>
      <c r="C2827" s="711">
        <f>+SUMIF('Anlage 2b_Korrekturen'!$B$8:$B$226,A2827,'Anlage 2b_Korrekturen'!$D$8:$D$226)</f>
        <v>526132</v>
      </c>
      <c r="D2827" s="135">
        <f t="shared" si="103"/>
        <v>27540195</v>
      </c>
      <c r="E2827" s="133"/>
      <c r="F2827" s="133"/>
      <c r="G2827" s="133"/>
      <c r="H2827" s="133"/>
      <c r="I2827" s="92"/>
    </row>
    <row r="2828" spans="1:9" hidden="1" outlineLevel="1">
      <c r="A2828" s="418" t="str">
        <f>+'Anlage 2a_Letztverbrauch'!A168</f>
        <v>SNB971345683381</v>
      </c>
      <c r="B2828" s="667">
        <f>+'Anlage 2a_Letztverbrauch'!I168</f>
        <v>35304019</v>
      </c>
      <c r="C2828" s="711">
        <f>+SUMIF('Anlage 2b_Korrekturen'!$B$8:$B$226,A2828,'Anlage 2b_Korrekturen'!$D$8:$D$226)</f>
        <v>0</v>
      </c>
      <c r="D2828" s="135">
        <f t="shared" ref="D2828:D2830" si="104">+B2828+C2828</f>
        <v>35304019</v>
      </c>
      <c r="E2828" s="133"/>
      <c r="F2828" s="133"/>
      <c r="G2828" s="133"/>
      <c r="H2828" s="133"/>
      <c r="I2828" s="92"/>
    </row>
    <row r="2829" spans="1:9" hidden="1" outlineLevel="1">
      <c r="A2829" s="418" t="str">
        <f>+'Anlage 2a_Letztverbrauch'!A169</f>
        <v>SNB934355412402</v>
      </c>
      <c r="B2829" s="667">
        <f>+'Anlage 2a_Letztverbrauch'!I169</f>
        <v>24535492</v>
      </c>
      <c r="C2829" s="711">
        <f>+SUMIF('Anlage 2b_Korrekturen'!$B$8:$B$226,A2829,'Anlage 2b_Korrekturen'!$D$8:$D$226)</f>
        <v>-814763</v>
      </c>
      <c r="D2829" s="135">
        <f t="shared" si="104"/>
        <v>23720729</v>
      </c>
      <c r="E2829" s="133"/>
      <c r="F2829" s="133"/>
      <c r="G2829" s="133"/>
      <c r="H2829" s="133"/>
      <c r="I2829" s="92"/>
    </row>
    <row r="2830" spans="1:9" hidden="1" outlineLevel="1">
      <c r="A2830" s="418" t="str">
        <f>+'Anlage 2a_Letztverbrauch'!A170</f>
        <v>SNB963995572245</v>
      </c>
      <c r="B2830" s="667">
        <f>+'Anlage 2a_Letztverbrauch'!I170</f>
        <v>57443264</v>
      </c>
      <c r="C2830" s="711">
        <f>+SUMIF('Anlage 2b_Korrekturen'!$B$8:$B$226,A2830,'Anlage 2b_Korrekturen'!$D$8:$D$226)</f>
        <v>-271730</v>
      </c>
      <c r="D2830" s="135">
        <f t="shared" si="104"/>
        <v>57171534</v>
      </c>
      <c r="E2830" s="133"/>
      <c r="F2830" s="133"/>
      <c r="G2830" s="133"/>
      <c r="H2830" s="133"/>
      <c r="I2830" s="92"/>
    </row>
    <row r="2831" spans="1:9" hidden="1" outlineLevel="1">
      <c r="A2831" s="418" t="str">
        <f>+'Anlage 2a_Letztverbrauch'!A171</f>
        <v>SNB918539636471</v>
      </c>
      <c r="B2831" s="667">
        <f>+'Anlage 2a_Letztverbrauch'!I171</f>
        <v>63684536</v>
      </c>
      <c r="C2831" s="711">
        <f>+SUMIF('Anlage 2b_Korrekturen'!$B$8:$B$226,A2831,'Anlage 2b_Korrekturen'!$D$8:$D$226)</f>
        <v>0</v>
      </c>
      <c r="D2831" s="135">
        <f t="shared" ref="D2831:D2838" si="105">+B2831+C2831</f>
        <v>63684536</v>
      </c>
      <c r="E2831" s="133"/>
      <c r="F2831" s="133"/>
      <c r="G2831" s="133"/>
      <c r="H2831" s="133"/>
      <c r="I2831" s="92"/>
    </row>
    <row r="2832" spans="1:9" hidden="1" outlineLevel="1">
      <c r="A2832" s="418" t="str">
        <f>+'Anlage 2a_Letztverbrauch'!A172</f>
        <v>SNB974684403535</v>
      </c>
      <c r="B2832" s="667">
        <f>+'Anlage 2a_Letztverbrauch'!I172</f>
        <v>44497779</v>
      </c>
      <c r="C2832" s="711">
        <f>+SUMIF('Anlage 2b_Korrekturen'!$B$8:$B$226,A2832,'Anlage 2b_Korrekturen'!$D$8:$D$226)</f>
        <v>0</v>
      </c>
      <c r="D2832" s="135">
        <f t="shared" si="105"/>
        <v>44497779</v>
      </c>
      <c r="E2832" s="133"/>
      <c r="F2832" s="133"/>
      <c r="G2832" s="133"/>
      <c r="H2832" s="133"/>
      <c r="I2832" s="92"/>
    </row>
    <row r="2833" spans="1:10" hidden="1" outlineLevel="1">
      <c r="A2833" s="418" t="str">
        <f>+'Anlage 2a_Letztverbrauch'!A173</f>
        <v>SNB959966681252</v>
      </c>
      <c r="B2833" s="667">
        <f>+'Anlage 2a_Letztverbrauch'!I173</f>
        <v>63360158</v>
      </c>
      <c r="C2833" s="711">
        <f>+SUMIF('Anlage 2b_Korrekturen'!$B$8:$B$226,A2833,'Anlage 2b_Korrekturen'!$D$8:$D$226)</f>
        <v>-1171509</v>
      </c>
      <c r="D2833" s="135">
        <f t="shared" si="105"/>
        <v>62188649</v>
      </c>
      <c r="E2833" s="133"/>
      <c r="F2833" s="133"/>
      <c r="G2833" s="133"/>
      <c r="H2833" s="133"/>
      <c r="I2833" s="92"/>
    </row>
    <row r="2834" spans="1:10" hidden="1" outlineLevel="1">
      <c r="A2834" s="418" t="str">
        <f>+'Anlage 2a_Letztverbrauch'!A174</f>
        <v>SNB925823629552</v>
      </c>
      <c r="B2834" s="667">
        <f>+'Anlage 2a_Letztverbrauch'!I174</f>
        <v>247383596</v>
      </c>
      <c r="C2834" s="711">
        <f>+SUMIF('Anlage 2b_Korrekturen'!$B$8:$B$226,A2834,'Anlage 2b_Korrekturen'!$D$8:$D$226)</f>
        <v>0</v>
      </c>
      <c r="D2834" s="135">
        <f t="shared" si="105"/>
        <v>247383596</v>
      </c>
      <c r="E2834" s="133"/>
      <c r="F2834" s="133"/>
      <c r="G2834" s="133"/>
      <c r="H2834" s="133"/>
      <c r="I2834" s="92"/>
    </row>
    <row r="2835" spans="1:10" hidden="1" outlineLevel="1">
      <c r="A2835" s="418" t="str">
        <f>+'Anlage 2a_Letztverbrauch'!A175</f>
        <v>SNB970821959712</v>
      </c>
      <c r="B2835" s="667">
        <f>+'Anlage 2a_Letztverbrauch'!I175</f>
        <v>2798124917</v>
      </c>
      <c r="C2835" s="711">
        <v>203281042</v>
      </c>
      <c r="D2835" s="135">
        <f t="shared" si="105"/>
        <v>3001405959</v>
      </c>
      <c r="E2835" s="133"/>
      <c r="F2835" s="133"/>
      <c r="G2835" s="133"/>
      <c r="H2835" s="133"/>
      <c r="I2835" s="92"/>
    </row>
    <row r="2836" spans="1:10" hidden="1" outlineLevel="1">
      <c r="A2836" s="418" t="str">
        <f>+'Anlage 2a_Letztverbrauch'!A176</f>
        <v>SNB985414225433</v>
      </c>
      <c r="B2836" s="667">
        <f>+'Anlage 2a_Letztverbrauch'!I176</f>
        <v>7893140</v>
      </c>
      <c r="C2836" s="711">
        <f>+SUMIF('Anlage 2b_Korrekturen'!$B$8:$B$226,A2836,'Anlage 2b_Korrekturen'!$D$8:$D$226)</f>
        <v>0</v>
      </c>
      <c r="D2836" s="135">
        <f t="shared" si="105"/>
        <v>7893140</v>
      </c>
      <c r="E2836" s="133"/>
      <c r="F2836" s="133"/>
      <c r="G2836" s="133"/>
      <c r="H2836" s="133"/>
      <c r="I2836" s="92"/>
    </row>
    <row r="2837" spans="1:10" hidden="1" outlineLevel="1">
      <c r="A2837" s="418" t="str">
        <f>+'Anlage 2a_Letztverbrauch'!A177</f>
        <v>SNB928759560869</v>
      </c>
      <c r="B2837" s="667">
        <f>+'Anlage 2a_Letztverbrauch'!I177</f>
        <v>803671276</v>
      </c>
      <c r="C2837" s="711">
        <f>+SUMIF('Anlage 2b_Korrekturen'!$B$8:$B$226,A2837,'Anlage 2b_Korrekturen'!$D$8:$D$226)</f>
        <v>-3872767</v>
      </c>
      <c r="D2837" s="135">
        <f t="shared" si="105"/>
        <v>799798509</v>
      </c>
      <c r="E2837" s="133"/>
      <c r="F2837" s="133"/>
      <c r="G2837" s="133"/>
      <c r="H2837" s="133"/>
      <c r="I2837" s="92"/>
    </row>
    <row r="2838" spans="1:10" hidden="1" outlineLevel="1">
      <c r="A2838" s="418" t="str">
        <f>+'Anlage 2a_Letztverbrauch'!A178</f>
        <v>SNB988556835096</v>
      </c>
      <c r="B2838" s="667">
        <f>+'Anlage 2a_Letztverbrauch'!I178</f>
        <v>35586538</v>
      </c>
      <c r="C2838" s="711">
        <f>+SUMIF('Anlage 2b_Korrekturen'!$B$8:$B$226,A2838,'Anlage 2b_Korrekturen'!$D$8:$D$226)</f>
        <v>0</v>
      </c>
      <c r="D2838" s="135">
        <f t="shared" si="105"/>
        <v>35586538</v>
      </c>
      <c r="E2838" s="133"/>
      <c r="F2838" s="133"/>
      <c r="G2838" s="133"/>
      <c r="H2838" s="133"/>
      <c r="I2838" s="92"/>
    </row>
    <row r="2839" spans="1:10" collapsed="1">
      <c r="A2839" s="418" t="str">
        <f>A167</f>
        <v>Regelzone Amprion (gesamt)</v>
      </c>
      <c r="B2839" s="1698">
        <f>SUM(B2840:B3073)</f>
        <v>108968934379</v>
      </c>
      <c r="C2839" s="667">
        <f>SUM(C2840:C3073)</f>
        <v>45538625</v>
      </c>
      <c r="D2839" s="135">
        <f>B2839+C2839</f>
        <v>109014473004</v>
      </c>
      <c r="E2839" s="133"/>
      <c r="F2839" s="133"/>
      <c r="G2839" s="133"/>
      <c r="H2839" s="133"/>
    </row>
    <row r="2840" spans="1:10" hidden="1" outlineLevel="1">
      <c r="A2840" s="418" t="str">
        <f t="shared" ref="A2840:A2903" si="106">A1917</f>
        <v>SNB900123507953</v>
      </c>
      <c r="B2840" s="492">
        <v>91100022</v>
      </c>
      <c r="C2840" s="88">
        <f>+SUMIF('Anlage 2b_Korrekturen'!$B$234:$B$693,A2840,'Anlage 2b_Korrekturen'!$D$234:$D$693)</f>
        <v>-3291707</v>
      </c>
      <c r="D2840" s="135">
        <f t="shared" ref="D2840:D2923" si="107">B2840+C2840</f>
        <v>87808315</v>
      </c>
      <c r="E2840" s="133"/>
      <c r="F2840" s="133"/>
      <c r="G2840" s="133"/>
      <c r="H2840" s="133"/>
      <c r="I2840" s="92"/>
      <c r="J2840" s="133" t="str">
        <f t="shared" ref="J2840:J2903" si="108">J1917</f>
        <v>Stadtwerke Steinfurt GmbH</v>
      </c>
    </row>
    <row r="2841" spans="1:10" hidden="1" outlineLevel="1">
      <c r="A2841" s="418" t="str">
        <f t="shared" si="106"/>
        <v>SNB901665585874</v>
      </c>
      <c r="B2841" s="492">
        <v>103801309</v>
      </c>
      <c r="C2841" s="88">
        <f>+SUMIF('Anlage 2b_Korrekturen'!$B$234:$B$693,A2841,'Anlage 2b_Korrekturen'!$D$234:$D$693)</f>
        <v>5686630</v>
      </c>
      <c r="D2841" s="135">
        <f t="shared" si="107"/>
        <v>109487939</v>
      </c>
      <c r="E2841" s="133"/>
      <c r="F2841" s="133"/>
      <c r="G2841" s="133"/>
      <c r="H2841" s="133"/>
      <c r="I2841" s="92"/>
      <c r="J2841" s="133" t="str">
        <f t="shared" si="108"/>
        <v>GETEC net GmbH</v>
      </c>
    </row>
    <row r="2842" spans="1:10" hidden="1" outlineLevel="1">
      <c r="A2842" s="418" t="str">
        <f t="shared" si="106"/>
        <v>SNB910696207785</v>
      </c>
      <c r="B2842" s="492">
        <v>120272069</v>
      </c>
      <c r="C2842" s="88">
        <f>+SUMIF('Anlage 2b_Korrekturen'!$B$234:$B$693,A2842,'Anlage 2b_Korrekturen'!$D$234:$D$693)</f>
        <v>149176</v>
      </c>
      <c r="D2842" s="135">
        <f t="shared" si="107"/>
        <v>120421245</v>
      </c>
      <c r="E2842" s="133"/>
      <c r="F2842" s="133"/>
      <c r="G2842" s="133"/>
      <c r="H2842" s="133"/>
      <c r="I2842" s="92"/>
      <c r="J2842" s="133" t="str">
        <f t="shared" si="108"/>
        <v>Teutoburger Energie Netzwerk eG</v>
      </c>
    </row>
    <row r="2843" spans="1:10" hidden="1" outlineLevel="1">
      <c r="A2843" s="418" t="str">
        <f t="shared" si="106"/>
        <v>SNB911081401368</v>
      </c>
      <c r="B2843" s="492">
        <v>300870709</v>
      </c>
      <c r="C2843" s="88">
        <f>+SUMIF('Anlage 2b_Korrekturen'!$B$234:$B$693,A2843,'Anlage 2b_Korrekturen'!$D$234:$D$693)</f>
        <v>0</v>
      </c>
      <c r="D2843" s="135">
        <f t="shared" si="107"/>
        <v>300870709</v>
      </c>
      <c r="E2843" s="133"/>
      <c r="F2843" s="133"/>
      <c r="G2843" s="133"/>
      <c r="H2843" s="133"/>
      <c r="I2843" s="92"/>
      <c r="J2843" s="133" t="str">
        <f t="shared" si="108"/>
        <v>Aschaffenburger Versorgungs-GmbH</v>
      </c>
    </row>
    <row r="2844" spans="1:10" hidden="1" outlineLevel="1">
      <c r="A2844" s="418" t="str">
        <f t="shared" si="106"/>
        <v>SNB911144461377</v>
      </c>
      <c r="B2844" s="492">
        <v>931023912</v>
      </c>
      <c r="C2844" s="88">
        <f>+SUMIF('Anlage 2b_Korrekturen'!$B$234:$B$693,A2844,'Anlage 2b_Korrekturen'!$D$234:$D$693)</f>
        <v>-930240</v>
      </c>
      <c r="D2844" s="135">
        <f t="shared" si="107"/>
        <v>930093672</v>
      </c>
      <c r="E2844" s="133"/>
      <c r="F2844" s="133"/>
      <c r="G2844" s="133"/>
      <c r="H2844" s="133"/>
      <c r="I2844" s="92"/>
      <c r="J2844" s="133" t="str">
        <f t="shared" si="108"/>
        <v>NGN NETZGESELLSCHAFT NIEDERRHEIN MBH</v>
      </c>
    </row>
    <row r="2845" spans="1:10" hidden="1" outlineLevel="1">
      <c r="A2845" s="418" t="str">
        <f t="shared" si="106"/>
        <v>SNB911521002599</v>
      </c>
      <c r="B2845" s="492">
        <v>167777320</v>
      </c>
      <c r="C2845" s="88">
        <f>+SUMIF('Anlage 2b_Korrekturen'!$B$234:$B$693,A2845,'Anlage 2b_Korrekturen'!$D$234:$D$693)</f>
        <v>1430331</v>
      </c>
      <c r="D2845" s="135">
        <f t="shared" si="107"/>
        <v>169207651</v>
      </c>
      <c r="E2845" s="133"/>
      <c r="F2845" s="133"/>
      <c r="G2845" s="133"/>
      <c r="H2845" s="133"/>
      <c r="I2845" s="92"/>
      <c r="J2845" s="133" t="str">
        <f t="shared" si="108"/>
        <v>EnergieSüdwest Netz GmbH</v>
      </c>
    </row>
    <row r="2846" spans="1:10" hidden="1" outlineLevel="1">
      <c r="A2846" s="418" t="str">
        <f t="shared" si="106"/>
        <v>SNB911602541351</v>
      </c>
      <c r="B2846" s="492">
        <v>123932105</v>
      </c>
      <c r="C2846" s="88">
        <f>+SUMIF('Anlage 2b_Korrekturen'!$B$234:$B$693,A2846,'Anlage 2b_Korrekturen'!$D$234:$D$693)</f>
        <v>0</v>
      </c>
      <c r="D2846" s="135">
        <f t="shared" si="107"/>
        <v>123932105</v>
      </c>
      <c r="E2846" s="133"/>
      <c r="F2846" s="133"/>
      <c r="G2846" s="133"/>
      <c r="H2846" s="133"/>
      <c r="I2846" s="92"/>
      <c r="J2846" s="133" t="str">
        <f t="shared" si="108"/>
        <v>Stadtwerke Backnang GmbH</v>
      </c>
    </row>
    <row r="2847" spans="1:10" hidden="1" outlineLevel="1">
      <c r="A2847" s="418" t="str">
        <f t="shared" si="106"/>
        <v>SNB911641710114</v>
      </c>
      <c r="B2847" s="492">
        <v>2387903944</v>
      </c>
      <c r="C2847" s="88">
        <f>+SUMIF('Anlage 2b_Korrekturen'!$B$234:$B$693,A2847,'Anlage 2b_Korrekturen'!$D$234:$D$693)</f>
        <v>-5733684</v>
      </c>
      <c r="D2847" s="135">
        <f t="shared" si="107"/>
        <v>2382170260</v>
      </c>
      <c r="E2847" s="133"/>
      <c r="F2847" s="133"/>
      <c r="G2847" s="133"/>
      <c r="H2847" s="133"/>
      <c r="I2847" s="92"/>
      <c r="J2847" s="133" t="str">
        <f t="shared" si="108"/>
        <v>Regionetz GmbH</v>
      </c>
    </row>
    <row r="2848" spans="1:10" hidden="1" outlineLevel="1">
      <c r="A2848" s="418" t="str">
        <f t="shared" si="106"/>
        <v>SNB911705062982</v>
      </c>
      <c r="B2848" s="492">
        <v>3568343269</v>
      </c>
      <c r="C2848" s="1647">
        <v>51605356</v>
      </c>
      <c r="D2848" s="135">
        <f t="shared" si="107"/>
        <v>3619948625</v>
      </c>
      <c r="E2848" s="133"/>
      <c r="F2848" s="133"/>
      <c r="G2848" s="133"/>
      <c r="H2848" s="133"/>
      <c r="I2848" s="92"/>
      <c r="J2848" s="133" t="str">
        <f t="shared" si="108"/>
        <v>LEW Verteilnetz GmbH</v>
      </c>
    </row>
    <row r="2849" spans="1:10" hidden="1" outlineLevel="1">
      <c r="A2849" s="418" t="str">
        <f t="shared" si="106"/>
        <v>SNB912063565672</v>
      </c>
      <c r="B2849" s="492">
        <v>122943665</v>
      </c>
      <c r="C2849" s="88">
        <f>+SUMIF('Anlage 2b_Korrekturen'!$B$234:$B$693,A2849,'Anlage 2b_Korrekturen'!$D$234:$D$693)</f>
        <v>2618238</v>
      </c>
      <c r="D2849" s="135">
        <f t="shared" si="107"/>
        <v>125561903</v>
      </c>
      <c r="E2849" s="133"/>
      <c r="F2849" s="133"/>
      <c r="G2849" s="133"/>
      <c r="H2849" s="133"/>
      <c r="I2849" s="92"/>
      <c r="J2849" s="133" t="str">
        <f t="shared" si="108"/>
        <v>Stadtwerke Fröndenberg Wickede GmbH</v>
      </c>
    </row>
    <row r="2850" spans="1:10" hidden="1" outlineLevel="1">
      <c r="A2850" s="418" t="str">
        <f t="shared" si="106"/>
        <v>SNB912239808732</v>
      </c>
      <c r="B2850" s="492">
        <v>148475583</v>
      </c>
      <c r="C2850" s="88">
        <f>+SUMIF('Anlage 2b_Korrekturen'!$B$234:$B$693,A2850,'Anlage 2b_Korrekturen'!$D$234:$D$693)</f>
        <v>-428937</v>
      </c>
      <c r="D2850" s="135">
        <f t="shared" si="107"/>
        <v>148046646</v>
      </c>
      <c r="E2850" s="133"/>
      <c r="F2850" s="133"/>
      <c r="G2850" s="133"/>
      <c r="H2850" s="133"/>
      <c r="I2850" s="92"/>
      <c r="J2850" s="133" t="str">
        <f t="shared" si="108"/>
        <v>Rheinhessische Energie- und Wasserversorgungs-GmbH</v>
      </c>
    </row>
    <row r="2851" spans="1:10" hidden="1" outlineLevel="1">
      <c r="A2851" s="418" t="str">
        <f t="shared" si="106"/>
        <v>SNB912743424114</v>
      </c>
      <c r="B2851" s="492">
        <v>573988146</v>
      </c>
      <c r="C2851" s="88">
        <f>+SUMIF('Anlage 2b_Korrekturen'!$B$234:$B$693,A2851,'Anlage 2b_Korrekturen'!$D$234:$D$693)</f>
        <v>866926</v>
      </c>
      <c r="D2851" s="135">
        <f t="shared" si="107"/>
        <v>574855072</v>
      </c>
      <c r="E2851" s="133"/>
      <c r="F2851" s="133"/>
      <c r="G2851" s="133"/>
      <c r="H2851" s="133"/>
      <c r="I2851" s="92"/>
      <c r="J2851" s="133" t="str">
        <f t="shared" si="108"/>
        <v>Energie- und Wasserversorgung Hamm GmbH</v>
      </c>
    </row>
    <row r="2852" spans="1:10" hidden="1" outlineLevel="1">
      <c r="A2852" s="418" t="str">
        <f t="shared" si="106"/>
        <v>SNB913730249284</v>
      </c>
      <c r="B2852" s="492">
        <v>352546810</v>
      </c>
      <c r="C2852" s="88">
        <f>+SUMIF('Anlage 2b_Korrekturen'!$B$234:$B$693,A2852,'Anlage 2b_Korrekturen'!$D$234:$D$693)</f>
        <v>-1819031</v>
      </c>
      <c r="D2852" s="135">
        <f t="shared" si="107"/>
        <v>350727779</v>
      </c>
      <c r="E2852" s="133"/>
      <c r="F2852" s="133"/>
      <c r="G2852" s="133"/>
      <c r="H2852" s="133"/>
      <c r="I2852" s="92"/>
      <c r="J2852" s="133" t="str">
        <f t="shared" si="108"/>
        <v>Stadtwerke Iserlohn GmbH</v>
      </c>
    </row>
    <row r="2853" spans="1:10" hidden="1" outlineLevel="1">
      <c r="A2853" s="418" t="str">
        <f t="shared" si="106"/>
        <v>SNB913768089142</v>
      </c>
      <c r="B2853" s="492">
        <v>50803789</v>
      </c>
      <c r="C2853" s="88">
        <f>+SUMIF('Anlage 2b_Korrekturen'!$B$234:$B$693,A2853,'Anlage 2b_Korrekturen'!$D$234:$D$693)</f>
        <v>-1500555</v>
      </c>
      <c r="D2853" s="135">
        <f t="shared" si="107"/>
        <v>49303234</v>
      </c>
      <c r="E2853" s="133"/>
      <c r="F2853" s="133"/>
      <c r="G2853" s="133"/>
      <c r="H2853" s="133"/>
      <c r="I2853" s="92"/>
      <c r="J2853" s="133" t="str">
        <f t="shared" si="108"/>
        <v>FASTR GmbH</v>
      </c>
    </row>
    <row r="2854" spans="1:10" hidden="1" outlineLevel="1">
      <c r="A2854" s="418" t="str">
        <f t="shared" si="106"/>
        <v>SNB914027640531</v>
      </c>
      <c r="B2854" s="492">
        <v>32727327</v>
      </c>
      <c r="C2854" s="88">
        <f>+SUMIF('Anlage 2b_Korrekturen'!$B$234:$B$693,A2854,'Anlage 2b_Korrekturen'!$D$234:$D$693)</f>
        <v>1129883</v>
      </c>
      <c r="D2854" s="135">
        <f t="shared" si="107"/>
        <v>33857210</v>
      </c>
      <c r="E2854" s="133"/>
      <c r="F2854" s="133"/>
      <c r="G2854" s="133"/>
      <c r="H2854" s="133"/>
      <c r="I2854" s="92"/>
      <c r="J2854" s="133" t="str">
        <f t="shared" si="108"/>
        <v>SWL Energienetz- und Entsorgungsgesellschaft mbH</v>
      </c>
    </row>
    <row r="2855" spans="1:10" hidden="1" outlineLevel="1">
      <c r="A2855" s="418" t="str">
        <f t="shared" si="106"/>
        <v>SNB914306944756</v>
      </c>
      <c r="B2855" s="492">
        <v>1228525178</v>
      </c>
      <c r="C2855" s="88">
        <f>+SUMIF('Anlage 2b_Korrekturen'!$B$234:$B$693,A2855,'Anlage 2b_Korrekturen'!$D$234:$D$693)</f>
        <v>0</v>
      </c>
      <c r="D2855" s="135">
        <f t="shared" si="107"/>
        <v>1228525178</v>
      </c>
      <c r="E2855" s="133"/>
      <c r="F2855" s="133"/>
      <c r="G2855" s="133"/>
      <c r="H2855" s="133"/>
      <c r="I2855" s="92"/>
      <c r="J2855" s="133" t="str">
        <f t="shared" si="108"/>
        <v>WSW Netz GmbH</v>
      </c>
    </row>
    <row r="2856" spans="1:10" hidden="1" outlineLevel="1">
      <c r="A2856" s="418" t="str">
        <f t="shared" si="106"/>
        <v>SNB914731268120</v>
      </c>
      <c r="B2856" s="492">
        <v>122818731</v>
      </c>
      <c r="C2856" s="88">
        <f>+SUMIF('Anlage 2b_Korrekturen'!$B$234:$B$693,A2856,'Anlage 2b_Korrekturen'!$D$234:$D$693)</f>
        <v>-617083</v>
      </c>
      <c r="D2856" s="135">
        <f t="shared" si="107"/>
        <v>122201648</v>
      </c>
      <c r="E2856" s="133"/>
      <c r="F2856" s="133"/>
      <c r="G2856" s="133"/>
      <c r="H2856" s="133"/>
      <c r="I2856" s="92"/>
      <c r="J2856" s="133" t="str">
        <f t="shared" si="108"/>
        <v>MEGA Monheimer Elektrizitäts- und Gasversorgung GmbH</v>
      </c>
    </row>
    <row r="2857" spans="1:10" hidden="1" outlineLevel="1">
      <c r="A2857" s="418" t="str">
        <f t="shared" si="106"/>
        <v>SNB915100694458</v>
      </c>
      <c r="B2857" s="492">
        <v>958304774</v>
      </c>
      <c r="C2857" s="88">
        <f>+SUMIF('Anlage 2b_Korrekturen'!$B$234:$B$693,A2857,'Anlage 2b_Korrekturen'!$D$234:$D$693)</f>
        <v>1934802</v>
      </c>
      <c r="D2857" s="135">
        <f t="shared" si="107"/>
        <v>960239576</v>
      </c>
      <c r="E2857" s="133"/>
      <c r="F2857" s="133"/>
      <c r="G2857" s="133"/>
      <c r="H2857" s="133"/>
      <c r="I2857" s="92"/>
      <c r="J2857" s="133" t="str">
        <f t="shared" si="108"/>
        <v>Energienetze Offenbach GmbH</v>
      </c>
    </row>
    <row r="2858" spans="1:10" hidden="1" outlineLevel="1">
      <c r="A2858" s="418" t="str">
        <f t="shared" si="106"/>
        <v>SNB915471253889</v>
      </c>
      <c r="B2858" s="492">
        <v>181447356</v>
      </c>
      <c r="C2858" s="88">
        <f>+SUMIF('Anlage 2b_Korrekturen'!$B$234:$B$693,A2858,'Anlage 2b_Korrekturen'!$D$234:$D$693)</f>
        <v>-690746</v>
      </c>
      <c r="D2858" s="135">
        <f t="shared" si="107"/>
        <v>180756610</v>
      </c>
      <c r="E2858" s="133"/>
      <c r="F2858" s="133"/>
      <c r="G2858" s="133"/>
      <c r="H2858" s="133"/>
      <c r="I2858" s="92"/>
      <c r="J2858" s="133" t="str">
        <f t="shared" si="108"/>
        <v>Netzwerke Saarlouis GmbH</v>
      </c>
    </row>
    <row r="2859" spans="1:10" hidden="1" outlineLevel="1">
      <c r="A2859" s="418" t="str">
        <f t="shared" si="106"/>
        <v>SNB916123648602</v>
      </c>
      <c r="B2859" s="492">
        <v>1398419792</v>
      </c>
      <c r="C2859" s="88">
        <f>+SUMIF('Anlage 2b_Korrekturen'!$B$234:$B$693,A2859,'Anlage 2b_Korrekturen'!$D$234:$D$693)</f>
        <v>-28034187</v>
      </c>
      <c r="D2859" s="135">
        <f t="shared" si="107"/>
        <v>1370385605</v>
      </c>
      <c r="E2859" s="133"/>
      <c r="F2859" s="133"/>
      <c r="G2859" s="133"/>
      <c r="H2859" s="133"/>
      <c r="I2859" s="92"/>
      <c r="J2859" s="133" t="str">
        <f t="shared" si="108"/>
        <v>Netze Duisburg GmbH</v>
      </c>
    </row>
    <row r="2860" spans="1:10" hidden="1" outlineLevel="1">
      <c r="A2860" s="418" t="str">
        <f t="shared" si="106"/>
        <v>SNB916617262147</v>
      </c>
      <c r="B2860" s="492">
        <v>10047151</v>
      </c>
      <c r="C2860" s="88">
        <f>+SUMIF('Anlage 2b_Korrekturen'!$B$234:$B$693,A2860,'Anlage 2b_Korrekturen'!$D$234:$D$693)</f>
        <v>-45513</v>
      </c>
      <c r="D2860" s="135">
        <f t="shared" si="107"/>
        <v>10001638</v>
      </c>
      <c r="E2860" s="133"/>
      <c r="F2860" s="133"/>
      <c r="G2860" s="133"/>
      <c r="H2860" s="133"/>
      <c r="I2860" s="92"/>
      <c r="J2860" s="133" t="str">
        <f t="shared" si="108"/>
        <v>Gemeindewerke Rheinzabern</v>
      </c>
    </row>
    <row r="2861" spans="1:10" hidden="1" outlineLevel="1">
      <c r="A2861" s="418" t="str">
        <f t="shared" si="106"/>
        <v>SNB918097788087</v>
      </c>
      <c r="B2861" s="492">
        <v>224061887</v>
      </c>
      <c r="C2861" s="88">
        <f>+SUMIF('Anlage 2b_Korrekturen'!$B$234:$B$693,A2861,'Anlage 2b_Korrekturen'!$D$234:$D$693)</f>
        <v>0</v>
      </c>
      <c r="D2861" s="135">
        <f t="shared" si="107"/>
        <v>224061887</v>
      </c>
      <c r="E2861" s="133"/>
      <c r="F2861" s="133"/>
      <c r="G2861" s="133"/>
      <c r="H2861" s="133"/>
      <c r="I2861" s="92"/>
      <c r="J2861" s="133" t="str">
        <f t="shared" si="108"/>
        <v>Stadtwerke Speyer GmbH</v>
      </c>
    </row>
    <row r="2862" spans="1:10" hidden="1" outlineLevel="1">
      <c r="A2862" s="418" t="str">
        <f t="shared" si="106"/>
        <v>SNB918156808725</v>
      </c>
      <c r="B2862" s="492">
        <v>107370965</v>
      </c>
      <c r="C2862" s="88">
        <f>+SUMIF('Anlage 2b_Korrekturen'!$B$234:$B$693,A2862,'Anlage 2b_Korrekturen'!$D$234:$D$693)</f>
        <v>-18881</v>
      </c>
      <c r="D2862" s="135">
        <f t="shared" si="107"/>
        <v>107352084</v>
      </c>
      <c r="E2862" s="133"/>
      <c r="F2862" s="133"/>
      <c r="G2862" s="133"/>
      <c r="H2862" s="133"/>
      <c r="I2862" s="92"/>
      <c r="J2862" s="133" t="str">
        <f t="shared" si="108"/>
        <v>Stadtwerke Erkrath GmbH</v>
      </c>
    </row>
    <row r="2863" spans="1:10" hidden="1" outlineLevel="1">
      <c r="A2863" s="418" t="str">
        <f t="shared" si="106"/>
        <v>SNB918250928893</v>
      </c>
      <c r="B2863" s="492">
        <v>5445232238</v>
      </c>
      <c r="C2863" s="88">
        <f>+SUMIF('Anlage 2b_Korrekturen'!$B$234:$B$693,A2863,'Anlage 2b_Korrekturen'!$D$234:$D$693)</f>
        <v>51059146</v>
      </c>
      <c r="D2863" s="135">
        <f t="shared" si="107"/>
        <v>5496291384</v>
      </c>
      <c r="E2863" s="133"/>
      <c r="F2863" s="133"/>
      <c r="G2863" s="133"/>
      <c r="H2863" s="133"/>
      <c r="I2863" s="92"/>
      <c r="J2863" s="133" t="str">
        <f t="shared" si="108"/>
        <v>Syna GmbH</v>
      </c>
    </row>
    <row r="2864" spans="1:10" hidden="1" outlineLevel="1">
      <c r="A2864" s="418" t="str">
        <f t="shared" si="106"/>
        <v>SNB918290153354</v>
      </c>
      <c r="B2864" s="492">
        <v>70761900</v>
      </c>
      <c r="C2864" s="88">
        <f>+SUMIF('Anlage 2b_Korrekturen'!$B$234:$B$693,A2864,'Anlage 2b_Korrekturen'!$D$234:$D$693)</f>
        <v>134284</v>
      </c>
      <c r="D2864" s="135">
        <f t="shared" si="107"/>
        <v>70896184</v>
      </c>
      <c r="E2864" s="133"/>
      <c r="F2864" s="133"/>
      <c r="G2864" s="133"/>
      <c r="H2864" s="133"/>
      <c r="I2864" s="92"/>
      <c r="J2864" s="133" t="str">
        <f t="shared" si="108"/>
        <v>Stadtwerke Bad Dürkheim GmbH</v>
      </c>
    </row>
    <row r="2865" spans="1:10" hidden="1" outlineLevel="1">
      <c r="A2865" s="418" t="str">
        <f t="shared" si="106"/>
        <v>SNB918576265276</v>
      </c>
      <c r="B2865" s="492">
        <v>256033564</v>
      </c>
      <c r="C2865" s="88">
        <f>+SUMIF('Anlage 2b_Korrekturen'!$B$234:$B$693,A2865,'Anlage 2b_Korrekturen'!$D$234:$D$693)</f>
        <v>519140</v>
      </c>
      <c r="D2865" s="135">
        <f t="shared" si="107"/>
        <v>256552704</v>
      </c>
      <c r="E2865" s="133"/>
      <c r="F2865" s="133"/>
      <c r="G2865" s="133"/>
      <c r="H2865" s="133"/>
      <c r="I2865" s="92"/>
      <c r="J2865" s="133" t="str">
        <f t="shared" si="108"/>
        <v>stadtwerker GmbH</v>
      </c>
    </row>
    <row r="2866" spans="1:10" hidden="1" outlineLevel="1">
      <c r="A2866" s="418" t="str">
        <f t="shared" si="106"/>
        <v>SNB918689434309</v>
      </c>
      <c r="B2866" s="492">
        <v>28477480</v>
      </c>
      <c r="C2866" s="88">
        <f>+SUMIF('Anlage 2b_Korrekturen'!$B$234:$B$693,A2866,'Anlage 2b_Korrekturen'!$D$234:$D$693)</f>
        <v>-112941</v>
      </c>
      <c r="D2866" s="135">
        <f t="shared" si="107"/>
        <v>28364539</v>
      </c>
      <c r="E2866" s="133"/>
      <c r="F2866" s="133"/>
      <c r="G2866" s="133"/>
      <c r="H2866" s="133"/>
      <c r="I2866" s="92"/>
      <c r="J2866" s="133" t="str">
        <f t="shared" si="108"/>
        <v>EVU Dahn</v>
      </c>
    </row>
    <row r="2867" spans="1:10" hidden="1" outlineLevel="1">
      <c r="A2867" s="418" t="str">
        <f t="shared" si="106"/>
        <v>SNB919708421706</v>
      </c>
      <c r="B2867" s="492">
        <v>4768230</v>
      </c>
      <c r="C2867" s="88">
        <f>+SUMIF('Anlage 2b_Korrekturen'!$B$234:$B$693,A2867,'Anlage 2b_Korrekturen'!$D$234:$D$693)</f>
        <v>233465</v>
      </c>
      <c r="D2867" s="135">
        <f t="shared" si="107"/>
        <v>5001695</v>
      </c>
      <c r="E2867" s="133"/>
      <c r="F2867" s="133"/>
      <c r="G2867" s="133"/>
      <c r="H2867" s="133"/>
      <c r="I2867" s="92"/>
      <c r="J2867" s="133" t="str">
        <f t="shared" si="108"/>
        <v>Gemeindewerke Hütschenhausen</v>
      </c>
    </row>
    <row r="2868" spans="1:10" hidden="1" outlineLevel="1">
      <c r="A2868" s="418" t="str">
        <f t="shared" si="106"/>
        <v>SNB920357766414</v>
      </c>
      <c r="B2868" s="492">
        <v>293965329</v>
      </c>
      <c r="C2868" s="88">
        <f>+SUMIF('Anlage 2b_Korrekturen'!$B$234:$B$693,A2868,'Anlage 2b_Korrekturen'!$D$234:$D$693)</f>
        <v>-1032211</v>
      </c>
      <c r="D2868" s="135">
        <f t="shared" si="107"/>
        <v>292933118</v>
      </c>
      <c r="E2868" s="133"/>
      <c r="F2868" s="133"/>
      <c r="G2868" s="133"/>
      <c r="H2868" s="133"/>
      <c r="I2868" s="92"/>
      <c r="J2868" s="133" t="str">
        <f t="shared" si="108"/>
        <v>Leitungspartner GmbH</v>
      </c>
    </row>
    <row r="2869" spans="1:10" hidden="1" outlineLevel="1">
      <c r="A2869" s="418" t="str">
        <f t="shared" si="106"/>
        <v>SNB921299925846</v>
      </c>
      <c r="B2869" s="492">
        <v>30104096</v>
      </c>
      <c r="C2869" s="88">
        <f>+SUMIF('Anlage 2b_Korrekturen'!$B$234:$B$693,A2869,'Anlage 2b_Korrekturen'!$D$234:$D$693)</f>
        <v>-64755</v>
      </c>
      <c r="D2869" s="135">
        <f t="shared" si="107"/>
        <v>30039341</v>
      </c>
      <c r="E2869" s="133"/>
      <c r="F2869" s="133"/>
      <c r="G2869" s="133"/>
      <c r="H2869" s="133"/>
      <c r="I2869" s="92"/>
      <c r="J2869" s="133" t="str">
        <f t="shared" si="108"/>
        <v>Stadtwerke Bad Bergzabern GmbH</v>
      </c>
    </row>
    <row r="2870" spans="1:10" hidden="1" outlineLevel="1">
      <c r="A2870" s="418" t="str">
        <f t="shared" si="106"/>
        <v>SNB921319639913</v>
      </c>
      <c r="B2870" s="492">
        <v>2081204201</v>
      </c>
      <c r="C2870" s="88">
        <f>+SUMIF('Anlage 2b_Korrekturen'!$B$234:$B$693,A2870,'Anlage 2b_Korrekturen'!$D$234:$D$693)</f>
        <v>-8494098</v>
      </c>
      <c r="D2870" s="135">
        <f t="shared" si="107"/>
        <v>2072710103</v>
      </c>
      <c r="E2870" s="133"/>
      <c r="F2870" s="133"/>
      <c r="G2870" s="133"/>
      <c r="H2870" s="133"/>
      <c r="I2870" s="92"/>
      <c r="J2870" s="133" t="str">
        <f t="shared" si="108"/>
        <v>Enervie Vernetzt GmbH</v>
      </c>
    </row>
    <row r="2871" spans="1:10" hidden="1" outlineLevel="1">
      <c r="A2871" s="418" t="str">
        <f t="shared" si="106"/>
        <v>SNB921550647487</v>
      </c>
      <c r="B2871" s="492">
        <v>5908079</v>
      </c>
      <c r="C2871" s="88">
        <f>+SUMIF('Anlage 2b_Korrekturen'!$B$234:$B$693,A2871,'Anlage 2b_Korrekturen'!$D$234:$D$693)</f>
        <v>-9135</v>
      </c>
      <c r="D2871" s="135">
        <f t="shared" si="107"/>
        <v>5898944</v>
      </c>
      <c r="E2871" s="133"/>
      <c r="F2871" s="133"/>
      <c r="G2871" s="133"/>
      <c r="H2871" s="133"/>
      <c r="I2871" s="92"/>
      <c r="J2871" s="133" t="str">
        <f t="shared" si="108"/>
        <v>E-Werk Meckenheim/Pfalz</v>
      </c>
    </row>
    <row r="2872" spans="1:10" hidden="1" outlineLevel="1">
      <c r="A2872" s="418" t="str">
        <f t="shared" si="106"/>
        <v>SNB921816651920</v>
      </c>
      <c r="B2872" s="492">
        <v>107375610</v>
      </c>
      <c r="C2872" s="88">
        <f>+SUMIF('Anlage 2b_Korrekturen'!$B$234:$B$693,A2872,'Anlage 2b_Korrekturen'!$D$234:$D$693)</f>
        <v>0</v>
      </c>
      <c r="D2872" s="135">
        <f t="shared" si="107"/>
        <v>107375610</v>
      </c>
      <c r="E2872" s="133"/>
      <c r="F2872" s="133"/>
      <c r="G2872" s="133"/>
      <c r="H2872" s="133"/>
      <c r="I2872" s="92"/>
      <c r="J2872" s="133" t="str">
        <f t="shared" si="108"/>
        <v>Stadtwerke Haltern am See GmbH</v>
      </c>
    </row>
    <row r="2873" spans="1:10" hidden="1" outlineLevel="1">
      <c r="A2873" s="418" t="str">
        <f t="shared" si="106"/>
        <v>SNB921897286493</v>
      </c>
      <c r="B2873" s="492">
        <v>22315560645</v>
      </c>
      <c r="C2873" s="1647">
        <f>+SUMIF('Anlage 2b_Korrekturen'!$B$234:$B$693,A2873,'Anlage 2b_Korrekturen'!$D$234:$D$693)+328457</f>
        <v>15826846</v>
      </c>
      <c r="D2873" s="135">
        <f t="shared" si="107"/>
        <v>22331387491</v>
      </c>
      <c r="E2873" s="133"/>
      <c r="F2873" s="133"/>
      <c r="G2873" s="133"/>
      <c r="H2873" s="133"/>
      <c r="I2873" s="92"/>
      <c r="J2873" s="133" t="str">
        <f t="shared" si="108"/>
        <v>WESTNETZ GmbH</v>
      </c>
    </row>
    <row r="2874" spans="1:10" hidden="1" outlineLevel="1">
      <c r="A2874" s="418" t="str">
        <f t="shared" si="106"/>
        <v>SNB922030852827</v>
      </c>
      <c r="B2874" s="492">
        <v>136821001</v>
      </c>
      <c r="C2874" s="88">
        <f>+SUMIF('Anlage 2b_Korrekturen'!$B$234:$B$693,A2874,'Anlage 2b_Korrekturen'!$D$234:$D$693)</f>
        <v>-8763871</v>
      </c>
      <c r="D2874" s="135">
        <f t="shared" si="107"/>
        <v>128057130</v>
      </c>
      <c r="E2874" s="133"/>
      <c r="F2874" s="133"/>
      <c r="G2874" s="133"/>
      <c r="H2874" s="133"/>
      <c r="I2874" s="92"/>
      <c r="J2874" s="133" t="str">
        <f t="shared" si="108"/>
        <v>Stadtwerke EVB Huntetal Netz GmbH</v>
      </c>
    </row>
    <row r="2875" spans="1:10" hidden="1" outlineLevel="1">
      <c r="A2875" s="418" t="str">
        <f t="shared" si="106"/>
        <v>SNB922361841965</v>
      </c>
      <c r="B2875" s="492">
        <v>16566245</v>
      </c>
      <c r="C2875" s="88">
        <f>+SUMIF('Anlage 2b_Korrekturen'!$B$234:$B$693,A2875,'Anlage 2b_Korrekturen'!$D$234:$D$693)</f>
        <v>0</v>
      </c>
      <c r="D2875" s="135">
        <f t="shared" si="107"/>
        <v>16566245</v>
      </c>
      <c r="E2875" s="133"/>
      <c r="F2875" s="133"/>
      <c r="G2875" s="133"/>
      <c r="H2875" s="133"/>
      <c r="I2875" s="92"/>
      <c r="J2875" s="133" t="str">
        <f t="shared" si="108"/>
        <v>Gemeindewerke Budenheim AöR</v>
      </c>
    </row>
    <row r="2876" spans="1:10" hidden="1" outlineLevel="1">
      <c r="A2876" s="418" t="str">
        <f t="shared" si="106"/>
        <v>SNB922514070884</v>
      </c>
      <c r="B2876" s="492">
        <v>59223674</v>
      </c>
      <c r="C2876" s="88">
        <f>+SUMIF('Anlage 2b_Korrekturen'!$B$234:$B$693,A2876,'Anlage 2b_Korrekturen'!$D$234:$D$693)</f>
        <v>225037</v>
      </c>
      <c r="D2876" s="135">
        <f t="shared" si="107"/>
        <v>59448711</v>
      </c>
      <c r="E2876" s="133"/>
      <c r="F2876" s="133"/>
      <c r="G2876" s="133"/>
      <c r="H2876" s="133"/>
      <c r="I2876" s="92"/>
      <c r="J2876" s="133" t="str">
        <f t="shared" si="108"/>
        <v>Stadtwerke Bliestal GmbH</v>
      </c>
    </row>
    <row r="2877" spans="1:10" hidden="1" outlineLevel="1">
      <c r="A2877" s="418" t="str">
        <f t="shared" si="106"/>
        <v>SNB922607376381</v>
      </c>
      <c r="B2877" s="492">
        <v>1251838647</v>
      </c>
      <c r="C2877" s="88">
        <f>+SUMIF('Anlage 2b_Korrekturen'!$B$234:$B$693,A2877,'Anlage 2b_Korrekturen'!$D$234:$D$693)</f>
        <v>-1728775</v>
      </c>
      <c r="D2877" s="135">
        <f t="shared" si="107"/>
        <v>1250109872</v>
      </c>
      <c r="E2877" s="133"/>
      <c r="F2877" s="133"/>
      <c r="G2877" s="133"/>
      <c r="H2877" s="133"/>
      <c r="I2877" s="92"/>
      <c r="J2877" s="133" t="str">
        <f t="shared" si="108"/>
        <v>Stadtwerke Bochum Netz GmbH</v>
      </c>
    </row>
    <row r="2878" spans="1:10" hidden="1" outlineLevel="1">
      <c r="A2878" s="418" t="str">
        <f t="shared" si="106"/>
        <v>SNB922774216633</v>
      </c>
      <c r="B2878" s="492">
        <v>180772100</v>
      </c>
      <c r="C2878" s="88">
        <f>+SUMIF('Anlage 2b_Korrekturen'!$B$234:$B$693,A2878,'Anlage 2b_Korrekturen'!$D$234:$D$693)</f>
        <v>-746065</v>
      </c>
      <c r="D2878" s="135">
        <f t="shared" si="107"/>
        <v>180026035</v>
      </c>
      <c r="E2878" s="133"/>
      <c r="F2878" s="133"/>
      <c r="G2878" s="133"/>
      <c r="H2878" s="133"/>
      <c r="I2878" s="92"/>
      <c r="J2878" s="133" t="str">
        <f t="shared" si="108"/>
        <v>Stadtwerke Menden GmbH</v>
      </c>
    </row>
    <row r="2879" spans="1:10" hidden="1" outlineLevel="1">
      <c r="A2879" s="418" t="str">
        <f t="shared" si="106"/>
        <v>SNB923190544898</v>
      </c>
      <c r="B2879" s="492">
        <v>117592283</v>
      </c>
      <c r="C2879" s="88">
        <f>+SUMIF('Anlage 2b_Korrekturen'!$B$234:$B$693,A2879,'Anlage 2b_Korrekturen'!$D$234:$D$693)</f>
        <v>0</v>
      </c>
      <c r="D2879" s="135">
        <f t="shared" si="107"/>
        <v>117592283</v>
      </c>
      <c r="E2879" s="133"/>
      <c r="F2879" s="133"/>
      <c r="G2879" s="133"/>
      <c r="H2879" s="133"/>
      <c r="I2879" s="92"/>
      <c r="J2879" s="133" t="str">
        <f t="shared" si="108"/>
        <v>Stadtwerke Zweibrücken GmbH</v>
      </c>
    </row>
    <row r="2880" spans="1:10" hidden="1" outlineLevel="1">
      <c r="A2880" s="418" t="str">
        <f t="shared" si="106"/>
        <v>SNB924477581384</v>
      </c>
      <c r="B2880" s="492">
        <v>6599538977</v>
      </c>
      <c r="C2880" s="88">
        <f>+SUMIF('Anlage 2b_Korrekturen'!$B$234:$B$693,A2880,'Anlage 2b_Korrekturen'!$D$234:$D$693)</f>
        <v>-143510820</v>
      </c>
      <c r="D2880" s="135">
        <f t="shared" si="107"/>
        <v>6456028157</v>
      </c>
      <c r="E2880" s="133"/>
      <c r="F2880" s="133"/>
      <c r="G2880" s="133"/>
      <c r="H2880" s="133"/>
      <c r="I2880" s="92"/>
      <c r="J2880" s="133" t="str">
        <f t="shared" si="108"/>
        <v>RheinNetz GmbH</v>
      </c>
    </row>
    <row r="2881" spans="1:10" hidden="1" outlineLevel="1">
      <c r="A2881" s="418" t="str">
        <f t="shared" si="106"/>
        <v>SNB924659713978</v>
      </c>
      <c r="B2881" s="492">
        <v>339535898</v>
      </c>
      <c r="C2881" s="88">
        <f>+SUMIF('Anlage 2b_Korrekturen'!$B$234:$B$693,A2881,'Anlage 2b_Korrekturen'!$D$234:$D$693)</f>
        <v>2635233</v>
      </c>
      <c r="D2881" s="135">
        <f t="shared" si="107"/>
        <v>342171131</v>
      </c>
      <c r="E2881" s="133"/>
      <c r="F2881" s="133"/>
      <c r="G2881" s="133"/>
      <c r="H2881" s="133"/>
      <c r="I2881" s="92"/>
      <c r="J2881" s="133" t="str">
        <f t="shared" si="108"/>
        <v>Stadtwerke Troisdorf GmbH</v>
      </c>
    </row>
    <row r="2882" spans="1:10" hidden="1" outlineLevel="1">
      <c r="A2882" s="418" t="str">
        <f t="shared" si="106"/>
        <v>SNB924685554682</v>
      </c>
      <c r="B2882" s="492">
        <v>68624135</v>
      </c>
      <c r="C2882" s="88">
        <f>+SUMIF('Anlage 2b_Korrekturen'!$B$234:$B$693,A2882,'Anlage 2b_Korrekturen'!$D$234:$D$693)</f>
        <v>132880</v>
      </c>
      <c r="D2882" s="135">
        <f t="shared" si="107"/>
        <v>68757015</v>
      </c>
      <c r="E2882" s="133"/>
      <c r="F2882" s="133"/>
      <c r="G2882" s="133"/>
      <c r="H2882" s="133"/>
      <c r="I2882" s="92"/>
      <c r="J2882" s="133" t="str">
        <f t="shared" si="108"/>
        <v>Stadtwerke Schifferstadt</v>
      </c>
    </row>
    <row r="2883" spans="1:10" hidden="1" outlineLevel="1">
      <c r="A2883" s="418" t="str">
        <f t="shared" si="106"/>
        <v>SNB924747450655</v>
      </c>
      <c r="B2883" s="492">
        <v>438956779</v>
      </c>
      <c r="C2883" s="88">
        <f>+SUMIF('Anlage 2b_Korrekturen'!$B$234:$B$693,A2883,'Anlage 2b_Korrekturen'!$D$234:$D$693)</f>
        <v>640583</v>
      </c>
      <c r="D2883" s="135">
        <f t="shared" si="107"/>
        <v>439597362</v>
      </c>
      <c r="E2883" s="133"/>
      <c r="F2883" s="133"/>
      <c r="G2883" s="133"/>
      <c r="H2883" s="133"/>
      <c r="I2883" s="92"/>
      <c r="J2883" s="133" t="str">
        <f t="shared" si="108"/>
        <v>EWR GmbH</v>
      </c>
    </row>
    <row r="2884" spans="1:10" hidden="1" outlineLevel="1">
      <c r="A2884" s="418" t="str">
        <f t="shared" si="106"/>
        <v>SNB925558752303</v>
      </c>
      <c r="B2884" s="492">
        <v>18931554</v>
      </c>
      <c r="C2884" s="88">
        <f>+SUMIF('Anlage 2b_Korrekturen'!$B$234:$B$693,A2884,'Anlage 2b_Korrekturen'!$D$234:$D$693)</f>
        <v>0</v>
      </c>
      <c r="D2884" s="135">
        <f t="shared" si="107"/>
        <v>18931554</v>
      </c>
      <c r="E2884" s="133"/>
      <c r="F2884" s="133"/>
      <c r="G2884" s="133"/>
      <c r="H2884" s="133"/>
      <c r="I2884" s="92"/>
      <c r="J2884" s="133" t="str">
        <f t="shared" si="108"/>
        <v>Elektrizitätswerk Hindelang eG</v>
      </c>
    </row>
    <row r="2885" spans="1:10" hidden="1" outlineLevel="1">
      <c r="A2885" s="418" t="str">
        <f t="shared" si="106"/>
        <v>SNB925999725461</v>
      </c>
      <c r="B2885" s="492">
        <v>211346278</v>
      </c>
      <c r="C2885" s="88">
        <f>+SUMIF('Anlage 2b_Korrekturen'!$B$234:$B$693,A2885,'Anlage 2b_Korrekturen'!$D$234:$D$693)</f>
        <v>0</v>
      </c>
      <c r="D2885" s="135">
        <f t="shared" si="107"/>
        <v>211346278</v>
      </c>
      <c r="E2885" s="133"/>
      <c r="F2885" s="133"/>
      <c r="G2885" s="133"/>
      <c r="H2885" s="133"/>
      <c r="I2885" s="92"/>
      <c r="J2885" s="133" t="str">
        <f t="shared" si="108"/>
        <v>Stadtwerke Neuwied GmbH</v>
      </c>
    </row>
    <row r="2886" spans="1:10" hidden="1" outlineLevel="1">
      <c r="A2886" s="418" t="str">
        <f t="shared" si="106"/>
        <v>SNB926394308747</v>
      </c>
      <c r="B2886" s="492">
        <v>758012306</v>
      </c>
      <c r="C2886" s="88">
        <f>+SUMIF('Anlage 2b_Korrekturen'!$B$234:$B$693,A2886,'Anlage 2b_Korrekturen'!$D$234:$D$693)</f>
        <v>0</v>
      </c>
      <c r="D2886" s="135">
        <f t="shared" si="107"/>
        <v>758012306</v>
      </c>
      <c r="E2886" s="133"/>
      <c r="F2886" s="133"/>
      <c r="G2886" s="133"/>
      <c r="H2886" s="133"/>
      <c r="I2886" s="92"/>
      <c r="J2886" s="133" t="str">
        <f t="shared" si="108"/>
        <v>AllgäuNetz GmbH &amp; Co. KG</v>
      </c>
    </row>
    <row r="2887" spans="1:10" hidden="1" outlineLevel="1">
      <c r="A2887" s="418" t="str">
        <f t="shared" si="106"/>
        <v>SNB926470603247</v>
      </c>
      <c r="B2887" s="492">
        <v>169759629</v>
      </c>
      <c r="C2887" s="88">
        <f>+SUMIF('Anlage 2b_Korrekturen'!$B$234:$B$693,A2887,'Anlage 2b_Korrekturen'!$D$234:$D$693)</f>
        <v>67805</v>
      </c>
      <c r="D2887" s="135">
        <f t="shared" si="107"/>
        <v>169827434</v>
      </c>
      <c r="E2887" s="133"/>
      <c r="F2887" s="133"/>
      <c r="G2887" s="133"/>
      <c r="H2887" s="133"/>
      <c r="I2887" s="92"/>
      <c r="J2887" s="133" t="str">
        <f t="shared" si="108"/>
        <v>Stadtwerke St. Ingbert GmbH</v>
      </c>
    </row>
    <row r="2888" spans="1:10" hidden="1" outlineLevel="1">
      <c r="A2888" s="418" t="str">
        <f t="shared" si="106"/>
        <v>SNB926480464456</v>
      </c>
      <c r="B2888" s="492">
        <v>14637249</v>
      </c>
      <c r="C2888" s="88">
        <f>+SUMIF('Anlage 2b_Korrekturen'!$B$234:$B$693,A2888,'Anlage 2b_Korrekturen'!$D$234:$D$693)</f>
        <v>723</v>
      </c>
      <c r="D2888" s="135">
        <f t="shared" si="107"/>
        <v>14637972</v>
      </c>
      <c r="E2888" s="133"/>
      <c r="F2888" s="133"/>
      <c r="G2888" s="133"/>
      <c r="H2888" s="133"/>
      <c r="I2888" s="92"/>
      <c r="J2888" s="133" t="str">
        <f t="shared" si="108"/>
        <v>Stadtwerke Weilburg GmbH</v>
      </c>
    </row>
    <row r="2889" spans="1:10" hidden="1" outlineLevel="1">
      <c r="A2889" s="418" t="str">
        <f t="shared" si="106"/>
        <v>SNB926697076725</v>
      </c>
      <c r="B2889" s="492">
        <v>141357783</v>
      </c>
      <c r="C2889" s="88">
        <f>+SUMIF('Anlage 2b_Korrekturen'!$B$234:$B$693,A2889,'Anlage 2b_Korrekturen'!$D$234:$D$693)</f>
        <v>-1115964</v>
      </c>
      <c r="D2889" s="135">
        <f t="shared" si="107"/>
        <v>140241819</v>
      </c>
      <c r="E2889" s="133"/>
      <c r="F2889" s="133"/>
      <c r="G2889" s="133"/>
      <c r="H2889" s="133"/>
      <c r="I2889" s="92"/>
      <c r="J2889" s="133" t="str">
        <f t="shared" si="108"/>
        <v>Stadtwerke Dülmen GmbH</v>
      </c>
    </row>
    <row r="2890" spans="1:10" hidden="1" outlineLevel="1">
      <c r="A2890" s="418" t="str">
        <f t="shared" si="106"/>
        <v>SNB927498960503</v>
      </c>
      <c r="B2890" s="492">
        <v>1245815130</v>
      </c>
      <c r="C2890" s="88">
        <f>+SUMIF('Anlage 2b_Korrekturen'!$B$234:$B$693,A2890,'Anlage 2b_Korrekturen'!$D$234:$D$693)</f>
        <v>1019947</v>
      </c>
      <c r="D2890" s="135">
        <f t="shared" si="107"/>
        <v>1246835077</v>
      </c>
      <c r="E2890" s="133"/>
      <c r="F2890" s="133"/>
      <c r="G2890" s="133"/>
      <c r="H2890" s="133"/>
      <c r="I2890" s="92"/>
      <c r="J2890" s="133" t="str">
        <f t="shared" si="108"/>
        <v>Bonn-Netz GmbH</v>
      </c>
    </row>
    <row r="2891" spans="1:10" hidden="1" outlineLevel="1">
      <c r="A2891" s="418" t="str">
        <f t="shared" si="106"/>
        <v>SNB929088252340</v>
      </c>
      <c r="B2891" s="492">
        <v>107138317</v>
      </c>
      <c r="C2891" s="88">
        <f>+SUMIF('Anlage 2b_Korrekturen'!$B$234:$B$693,A2891,'Anlage 2b_Korrekturen'!$D$234:$D$693)</f>
        <v>1416085</v>
      </c>
      <c r="D2891" s="135">
        <f t="shared" si="107"/>
        <v>108554402</v>
      </c>
      <c r="E2891" s="133"/>
      <c r="F2891" s="133"/>
      <c r="G2891" s="133"/>
      <c r="H2891" s="133"/>
      <c r="I2891" s="92"/>
      <c r="J2891" s="133" t="str">
        <f t="shared" si="108"/>
        <v>Netzwerke Merzig GmbH</v>
      </c>
    </row>
    <row r="2892" spans="1:10" hidden="1" outlineLevel="1">
      <c r="A2892" s="418" t="str">
        <f t="shared" si="106"/>
        <v>SNB929663692172</v>
      </c>
      <c r="B2892" s="492">
        <v>122889507</v>
      </c>
      <c r="C2892" s="88">
        <f>+SUMIF('Anlage 2b_Korrekturen'!$B$234:$B$693,A2892,'Anlage 2b_Korrekturen'!$D$234:$D$693)</f>
        <v>-129734</v>
      </c>
      <c r="D2892" s="135">
        <f t="shared" si="107"/>
        <v>122759773</v>
      </c>
      <c r="E2892" s="133"/>
      <c r="F2892" s="133"/>
      <c r="G2892" s="133"/>
      <c r="H2892" s="133"/>
      <c r="I2892" s="92"/>
      <c r="J2892" s="133" t="str">
        <f t="shared" si="108"/>
        <v>Stadtwerke Landsberg KU</v>
      </c>
    </row>
    <row r="2893" spans="1:10" hidden="1" outlineLevel="1">
      <c r="A2893" s="418" t="str">
        <f t="shared" si="106"/>
        <v>SNB929881052512</v>
      </c>
      <c r="B2893" s="492">
        <v>119293769</v>
      </c>
      <c r="C2893" s="88">
        <f>+SUMIF('Anlage 2b_Korrekturen'!$B$234:$B$693,A2893,'Anlage 2b_Korrekturen'!$D$234:$D$693)</f>
        <v>1249975</v>
      </c>
      <c r="D2893" s="135">
        <f t="shared" si="107"/>
        <v>120543744</v>
      </c>
      <c r="E2893" s="133"/>
      <c r="F2893" s="133"/>
      <c r="G2893" s="133"/>
      <c r="H2893" s="133"/>
      <c r="I2893" s="92"/>
      <c r="J2893" s="133" t="str">
        <f t="shared" si="108"/>
        <v>Westfalen Weser Netz GmbH</v>
      </c>
    </row>
    <row r="2894" spans="1:10" hidden="1" outlineLevel="1">
      <c r="A2894" s="418" t="str">
        <f t="shared" si="106"/>
        <v>SNB930325069232</v>
      </c>
      <c r="B2894" s="492">
        <v>69082</v>
      </c>
      <c r="C2894" s="88">
        <f>+SUMIF('Anlage 2b_Korrekturen'!$B$234:$B$693,A2894,'Anlage 2b_Korrekturen'!$D$234:$D$693)</f>
        <v>0</v>
      </c>
      <c r="D2894" s="135">
        <f t="shared" si="107"/>
        <v>69082</v>
      </c>
      <c r="E2894" s="133"/>
      <c r="F2894" s="133"/>
      <c r="G2894" s="133"/>
      <c r="H2894" s="133"/>
      <c r="I2894" s="92"/>
      <c r="J2894" s="133" t="str">
        <f t="shared" si="108"/>
        <v>SWL Übertragungsnetzgesellschaft mbH</v>
      </c>
    </row>
    <row r="2895" spans="1:10" hidden="1" outlineLevel="1">
      <c r="A2895" s="418" t="str">
        <f t="shared" si="106"/>
        <v>SNB930525911119</v>
      </c>
      <c r="B2895" s="492">
        <v>10818390</v>
      </c>
      <c r="C2895" s="88">
        <f>+SUMIF('Anlage 2b_Korrekturen'!$B$234:$B$693,A2895,'Anlage 2b_Korrekturen'!$D$234:$D$693)</f>
        <v>-403141</v>
      </c>
      <c r="D2895" s="135">
        <f t="shared" si="107"/>
        <v>10415249</v>
      </c>
      <c r="E2895" s="133"/>
      <c r="F2895" s="133"/>
      <c r="G2895" s="133"/>
      <c r="H2895" s="133"/>
      <c r="I2895" s="92"/>
      <c r="J2895" s="133" t="str">
        <f t="shared" si="108"/>
        <v>EGC Infrastruktur und Netz GmbH</v>
      </c>
    </row>
    <row r="2896" spans="1:10" hidden="1" outlineLevel="1">
      <c r="A2896" s="418" t="str">
        <f t="shared" si="106"/>
        <v>SNB930709120863</v>
      </c>
      <c r="B2896" s="492">
        <v>81126185</v>
      </c>
      <c r="C2896" s="88">
        <f>+SUMIF('Anlage 2b_Korrekturen'!$B$234:$B$693,A2896,'Anlage 2b_Korrekturen'!$D$234:$D$693)</f>
        <v>975709</v>
      </c>
      <c r="D2896" s="135">
        <f t="shared" si="107"/>
        <v>82101894</v>
      </c>
      <c r="E2896" s="133"/>
      <c r="F2896" s="133"/>
      <c r="G2896" s="133"/>
      <c r="H2896" s="133"/>
      <c r="I2896" s="92"/>
      <c r="J2896" s="133" t="str">
        <f t="shared" si="108"/>
        <v>Stadtwerke Versmold GmbH</v>
      </c>
    </row>
    <row r="2897" spans="1:10" hidden="1" outlineLevel="1">
      <c r="A2897" s="418" t="str">
        <f t="shared" si="106"/>
        <v>SNB931015724646</v>
      </c>
      <c r="B2897" s="492">
        <v>3592600</v>
      </c>
      <c r="C2897" s="88">
        <f>+SUMIF('Anlage 2b_Korrekturen'!$B$234:$B$693,A2897,'Anlage 2b_Korrekturen'!$D$234:$D$693)</f>
        <v>0</v>
      </c>
      <c r="D2897" s="135">
        <f t="shared" si="107"/>
        <v>3592600</v>
      </c>
      <c r="E2897" s="133"/>
      <c r="F2897" s="133"/>
      <c r="G2897" s="133"/>
      <c r="H2897" s="133"/>
      <c r="I2897" s="92"/>
      <c r="J2897" s="133" t="str">
        <f t="shared" si="108"/>
        <v>Elektrizitätsgenossenschaft Oesterweg eG</v>
      </c>
    </row>
    <row r="2898" spans="1:10" hidden="1" outlineLevel="1">
      <c r="A2898" s="418" t="str">
        <f t="shared" si="106"/>
        <v>SNB931070025696</v>
      </c>
      <c r="B2898" s="492">
        <v>138392239</v>
      </c>
      <c r="C2898" s="88">
        <f>+SUMIF('Anlage 2b_Korrekturen'!$B$234:$B$693,A2898,'Anlage 2b_Korrekturen'!$D$234:$D$693)</f>
        <v>0</v>
      </c>
      <c r="D2898" s="135">
        <f t="shared" si="107"/>
        <v>138392239</v>
      </c>
      <c r="E2898" s="133"/>
      <c r="F2898" s="133"/>
      <c r="G2898" s="133"/>
      <c r="H2898" s="133"/>
      <c r="I2898" s="92"/>
      <c r="J2898" s="133" t="str">
        <f t="shared" si="108"/>
        <v>Alliander Netz Heinsberg GmbH</v>
      </c>
    </row>
    <row r="2899" spans="1:10" hidden="1" outlineLevel="1">
      <c r="A2899" s="418" t="str">
        <f t="shared" si="106"/>
        <v>SNB931164620455</v>
      </c>
      <c r="B2899" s="492">
        <v>92967568</v>
      </c>
      <c r="C2899" s="1647">
        <f>+SUMIF('Anlage 2b_Korrekturen'!$B$234:$B$693,A2899,'Anlage 2b_Korrekturen'!$D$234:$D$693)-43+2063</f>
        <v>777794</v>
      </c>
      <c r="D2899" s="135">
        <f t="shared" si="107"/>
        <v>93745362</v>
      </c>
      <c r="E2899" s="133"/>
      <c r="F2899" s="133"/>
      <c r="G2899" s="133"/>
      <c r="H2899" s="133"/>
      <c r="I2899" s="92"/>
      <c r="J2899" s="133" t="str">
        <f t="shared" si="108"/>
        <v>SWV Regional GmbH</v>
      </c>
    </row>
    <row r="2900" spans="1:10" hidden="1" outlineLevel="1">
      <c r="A2900" s="418" t="str">
        <f t="shared" si="106"/>
        <v>SNB931546188436</v>
      </c>
      <c r="B2900" s="492">
        <v>304195675</v>
      </c>
      <c r="C2900" s="88">
        <f>+SUMIF('Anlage 2b_Korrekturen'!$B$234:$B$693,A2900,'Anlage 2b_Korrekturen'!$D$234:$D$693)</f>
        <v>0</v>
      </c>
      <c r="D2900" s="135">
        <f t="shared" si="107"/>
        <v>304195675</v>
      </c>
      <c r="E2900" s="133"/>
      <c r="F2900" s="133"/>
      <c r="G2900" s="133"/>
      <c r="H2900" s="133"/>
      <c r="I2900" s="92"/>
      <c r="J2900" s="133" t="str">
        <f t="shared" si="108"/>
        <v>Netzgesellschaft Gütersloh mbH</v>
      </c>
    </row>
    <row r="2901" spans="1:10" hidden="1" outlineLevel="1">
      <c r="A2901" s="418" t="str">
        <f t="shared" si="106"/>
        <v>SNB931774737192</v>
      </c>
      <c r="B2901" s="492">
        <v>19253498</v>
      </c>
      <c r="C2901" s="88">
        <f>+SUMIF('Anlage 2b_Korrekturen'!$B$234:$B$693,A2901,'Anlage 2b_Korrekturen'!$D$234:$D$693)</f>
        <v>0</v>
      </c>
      <c r="D2901" s="135">
        <f t="shared" si="107"/>
        <v>19253498</v>
      </c>
      <c r="E2901" s="133"/>
      <c r="F2901" s="133"/>
      <c r="G2901" s="133"/>
      <c r="H2901" s="133"/>
      <c r="I2901" s="92"/>
      <c r="J2901" s="133" t="str">
        <f t="shared" si="108"/>
        <v>Gemeindewerke Stockstadt Eigenbetrieb Stockstadt am Main</v>
      </c>
    </row>
    <row r="2902" spans="1:10" hidden="1" outlineLevel="1">
      <c r="A2902" s="418" t="str">
        <f t="shared" si="106"/>
        <v>SNB931930462517</v>
      </c>
      <c r="B2902" s="492">
        <v>178803943</v>
      </c>
      <c r="C2902" s="88">
        <f>+SUMIF('Anlage 2b_Korrekturen'!$B$234:$B$693,A2902,'Anlage 2b_Korrekturen'!$D$234:$D$693)</f>
        <v>-570912</v>
      </c>
      <c r="D2902" s="135">
        <f t="shared" si="107"/>
        <v>178233031</v>
      </c>
      <c r="E2902" s="133"/>
      <c r="F2902" s="133"/>
      <c r="G2902" s="133"/>
      <c r="H2902" s="133"/>
      <c r="I2902" s="92"/>
      <c r="J2902" s="133" t="str">
        <f t="shared" si="108"/>
        <v>Energieversorgung Rüsselsheim GmbH</v>
      </c>
    </row>
    <row r="2903" spans="1:10" hidden="1" outlineLevel="1">
      <c r="A2903" s="418" t="str">
        <f t="shared" si="106"/>
        <v>SNB932161540975</v>
      </c>
      <c r="B2903" s="492">
        <v>11082353</v>
      </c>
      <c r="C2903" s="88">
        <f>+SUMIF('Anlage 2b_Korrekturen'!$B$234:$B$693,A2903,'Anlage 2b_Korrekturen'!$D$234:$D$693)</f>
        <v>156310</v>
      </c>
      <c r="D2903" s="135">
        <f t="shared" si="107"/>
        <v>11238663</v>
      </c>
      <c r="E2903" s="133"/>
      <c r="F2903" s="133"/>
      <c r="G2903" s="133"/>
      <c r="H2903" s="133"/>
      <c r="I2903" s="92"/>
      <c r="J2903" s="133" t="str">
        <f t="shared" si="108"/>
        <v>Verbandsgemeindewerke Enkenbach-Alsenborn</v>
      </c>
    </row>
    <row r="2904" spans="1:10" hidden="1" outlineLevel="1">
      <c r="A2904" s="418" t="str">
        <f t="shared" ref="A2904:A2967" si="109">A1981</f>
        <v>SNB932375556731</v>
      </c>
      <c r="B2904" s="492">
        <v>335573197</v>
      </c>
      <c r="C2904" s="88">
        <f>+SUMIF('Anlage 2b_Korrekturen'!$B$234:$B$693,A2904,'Anlage 2b_Korrekturen'!$D$234:$D$693)</f>
        <v>0</v>
      </c>
      <c r="D2904" s="135">
        <f t="shared" si="107"/>
        <v>335573197</v>
      </c>
      <c r="E2904" s="133"/>
      <c r="F2904" s="133"/>
      <c r="G2904" s="133"/>
      <c r="H2904" s="133"/>
      <c r="I2904" s="92"/>
      <c r="J2904" s="133" t="str">
        <f t="shared" ref="J2904:J2967" si="110">J1981</f>
        <v>Stadtwerke Ostmünsterland GmbH &amp; Co. KG</v>
      </c>
    </row>
    <row r="2905" spans="1:10" hidden="1" outlineLevel="1">
      <c r="A2905" s="418" t="str">
        <f t="shared" si="109"/>
        <v>SNB932516649124</v>
      </c>
      <c r="B2905" s="492">
        <v>246294688</v>
      </c>
      <c r="C2905" s="88">
        <f>+SUMIF('Anlage 2b_Korrekturen'!$B$234:$B$693,A2905,'Anlage 2b_Korrekturen'!$D$234:$D$693)</f>
        <v>0</v>
      </c>
      <c r="D2905" s="135">
        <f t="shared" si="107"/>
        <v>246294688</v>
      </c>
      <c r="E2905" s="133"/>
      <c r="F2905" s="133"/>
      <c r="G2905" s="133"/>
      <c r="H2905" s="133"/>
      <c r="I2905" s="92"/>
      <c r="J2905" s="133" t="str">
        <f t="shared" si="110"/>
        <v>Energie- und Wasserversorgung Rheine GmbH</v>
      </c>
    </row>
    <row r="2906" spans="1:10" hidden="1" outlineLevel="1">
      <c r="A2906" s="418" t="str">
        <f t="shared" si="109"/>
        <v>SNB932788203468</v>
      </c>
      <c r="B2906" s="492">
        <v>135401359</v>
      </c>
      <c r="C2906" s="88">
        <f>+SUMIF('Anlage 2b_Korrekturen'!$B$234:$B$693,A2906,'Anlage 2b_Korrekturen'!$D$234:$D$693)</f>
        <v>1404132</v>
      </c>
      <c r="D2906" s="135">
        <f t="shared" si="107"/>
        <v>136805491</v>
      </c>
      <c r="E2906" s="133"/>
      <c r="F2906" s="133"/>
      <c r="G2906" s="133"/>
      <c r="H2906" s="133"/>
      <c r="I2906" s="92"/>
      <c r="J2906" s="133" t="str">
        <f t="shared" si="110"/>
        <v>Stadtwerke Schwerte GmbH</v>
      </c>
    </row>
    <row r="2907" spans="1:10" hidden="1" outlineLevel="1">
      <c r="A2907" s="418" t="str">
        <f t="shared" si="109"/>
        <v>SNB933760214908</v>
      </c>
      <c r="B2907" s="492">
        <v>30526791</v>
      </c>
      <c r="C2907" s="88">
        <f>+SUMIF('Anlage 2b_Korrekturen'!$B$234:$B$693,A2907,'Anlage 2b_Korrekturen'!$D$234:$D$693)</f>
        <v>0</v>
      </c>
      <c r="D2907" s="135">
        <f t="shared" si="107"/>
        <v>30526791</v>
      </c>
      <c r="E2907" s="133"/>
      <c r="F2907" s="133"/>
      <c r="G2907" s="133"/>
      <c r="H2907" s="133"/>
      <c r="I2907" s="92"/>
      <c r="J2907" s="133" t="str">
        <f t="shared" si="110"/>
        <v>Veolia Industriepark Deutschland GmbH</v>
      </c>
    </row>
    <row r="2908" spans="1:10" hidden="1" outlineLevel="1">
      <c r="A2908" s="418" t="str">
        <f t="shared" si="109"/>
        <v>SNB933767388565</v>
      </c>
      <c r="B2908" s="492">
        <v>132416577</v>
      </c>
      <c r="C2908" s="88">
        <f>+SUMIF('Anlage 2b_Korrekturen'!$B$234:$B$693,A2908,'Anlage 2b_Korrekturen'!$D$234:$D$693)</f>
        <v>-3653994</v>
      </c>
      <c r="D2908" s="135">
        <f t="shared" si="107"/>
        <v>128762583</v>
      </c>
      <c r="E2908" s="133"/>
      <c r="F2908" s="133"/>
      <c r="G2908" s="133"/>
      <c r="H2908" s="133"/>
      <c r="I2908" s="92"/>
      <c r="J2908" s="133" t="str">
        <f t="shared" si="110"/>
        <v>Netzgesellschaft Ahlen mbH</v>
      </c>
    </row>
    <row r="2909" spans="1:10" hidden="1" outlineLevel="1">
      <c r="A2909" s="418" t="str">
        <f t="shared" si="109"/>
        <v>SNB933956506145</v>
      </c>
      <c r="B2909" s="492">
        <v>2591975272</v>
      </c>
      <c r="C2909" s="88">
        <f>+SUMIF('Anlage 2b_Korrekturen'!$B$234:$B$693,A2909,'Anlage 2b_Korrekturen'!$D$234:$D$693)</f>
        <v>5612193</v>
      </c>
      <c r="D2909" s="135">
        <f t="shared" si="107"/>
        <v>2597587465</v>
      </c>
      <c r="E2909" s="133"/>
      <c r="F2909" s="133"/>
      <c r="G2909" s="133"/>
      <c r="H2909" s="133"/>
      <c r="I2909" s="92"/>
      <c r="J2909" s="133" t="str">
        <f t="shared" si="110"/>
        <v>Netzgesellschaft Düsseldorf mbH</v>
      </c>
    </row>
    <row r="2910" spans="1:10" hidden="1" outlineLevel="1">
      <c r="A2910" s="418" t="str">
        <f t="shared" si="109"/>
        <v>SNB934068635945</v>
      </c>
      <c r="B2910" s="492">
        <v>285032111</v>
      </c>
      <c r="C2910" s="88">
        <f>+SUMIF('Anlage 2b_Korrekturen'!$B$234:$B$693,A2910,'Anlage 2b_Korrekturen'!$D$234:$D$693)</f>
        <v>0</v>
      </c>
      <c r="D2910" s="135">
        <f t="shared" si="107"/>
        <v>285032111</v>
      </c>
      <c r="E2910" s="133"/>
      <c r="F2910" s="133"/>
      <c r="G2910" s="133"/>
      <c r="H2910" s="133"/>
      <c r="I2910" s="92"/>
      <c r="J2910" s="133" t="str">
        <f t="shared" si="110"/>
        <v>Stadtwerke Ulm/Neu-Ulm Netze GmbH</v>
      </c>
    </row>
    <row r="2911" spans="1:10" hidden="1" outlineLevel="1">
      <c r="A2911" s="418" t="str">
        <f t="shared" si="109"/>
        <v>SNB934185023519</v>
      </c>
      <c r="B2911" s="492">
        <v>83776931</v>
      </c>
      <c r="C2911" s="88">
        <f>+SUMIF('Anlage 2b_Korrekturen'!$B$234:$B$693,A2911,'Anlage 2b_Korrekturen'!$D$234:$D$693)</f>
        <v>-145629</v>
      </c>
      <c r="D2911" s="135">
        <f t="shared" si="107"/>
        <v>83631302</v>
      </c>
      <c r="E2911" s="133"/>
      <c r="F2911" s="133"/>
      <c r="G2911" s="133"/>
      <c r="H2911" s="133"/>
      <c r="I2911" s="92"/>
      <c r="J2911" s="133" t="str">
        <f t="shared" si="110"/>
        <v>Netzgesellschaft Lübbecke mbH</v>
      </c>
    </row>
    <row r="2912" spans="1:10" hidden="1" outlineLevel="1">
      <c r="A2912" s="418" t="str">
        <f t="shared" si="109"/>
        <v>SNB934949020686</v>
      </c>
      <c r="B2912" s="492">
        <v>156502824</v>
      </c>
      <c r="C2912" s="88">
        <f>+SUMIF('Anlage 2b_Korrekturen'!$B$234:$B$693,A2912,'Anlage 2b_Korrekturen'!$D$234:$D$693)</f>
        <v>6354514</v>
      </c>
      <c r="D2912" s="135">
        <f t="shared" si="107"/>
        <v>162857338</v>
      </c>
      <c r="E2912" s="133"/>
      <c r="F2912" s="133"/>
      <c r="G2912" s="133"/>
      <c r="H2912" s="133"/>
      <c r="I2912" s="92"/>
      <c r="J2912" s="133" t="str">
        <f t="shared" si="110"/>
        <v>Stadtwerke Gronau GmbH</v>
      </c>
    </row>
    <row r="2913" spans="1:10" hidden="1" outlineLevel="1">
      <c r="A2913" s="418" t="str">
        <f t="shared" si="109"/>
        <v>SNB934961797092</v>
      </c>
      <c r="B2913" s="492">
        <v>76157058</v>
      </c>
      <c r="C2913" s="88">
        <f>+SUMIF('Anlage 2b_Korrekturen'!$B$234:$B$693,A2913,'Anlage 2b_Korrekturen'!$D$234:$D$693)</f>
        <v>-48112</v>
      </c>
      <c r="D2913" s="135">
        <f t="shared" si="107"/>
        <v>76108946</v>
      </c>
      <c r="E2913" s="133"/>
      <c r="F2913" s="133"/>
      <c r="G2913" s="133"/>
      <c r="H2913" s="133"/>
      <c r="I2913" s="92"/>
      <c r="J2913" s="133" t="str">
        <f t="shared" si="110"/>
        <v>Stadtwerke Ochtrup</v>
      </c>
    </row>
    <row r="2914" spans="1:10" hidden="1" outlineLevel="1">
      <c r="A2914" s="418" t="str">
        <f t="shared" si="109"/>
        <v>SNB935578300972</v>
      </c>
      <c r="B2914" s="492">
        <v>460440746</v>
      </c>
      <c r="C2914" s="88">
        <f>+SUMIF('Anlage 2b_Korrekturen'!$B$234:$B$693,A2914,'Anlage 2b_Korrekturen'!$D$234:$D$693)</f>
        <v>-1733491</v>
      </c>
      <c r="D2914" s="135">
        <f t="shared" si="107"/>
        <v>458707255</v>
      </c>
      <c r="E2914" s="133"/>
      <c r="F2914" s="133"/>
      <c r="G2914" s="133"/>
      <c r="H2914" s="133"/>
      <c r="I2914" s="92"/>
      <c r="J2914" s="133" t="str">
        <f t="shared" si="110"/>
        <v>TWL Netze GmbH</v>
      </c>
    </row>
    <row r="2915" spans="1:10" hidden="1" outlineLevel="1">
      <c r="A2915" s="418" t="str">
        <f t="shared" si="109"/>
        <v>SNB935600499711</v>
      </c>
      <c r="B2915" s="492">
        <v>338424560</v>
      </c>
      <c r="C2915" s="88">
        <f>+SUMIF('Anlage 2b_Korrekturen'!$B$234:$B$693,A2915,'Anlage 2b_Korrekturen'!$D$234:$D$693)</f>
        <v>4794312</v>
      </c>
      <c r="D2915" s="135">
        <f t="shared" si="107"/>
        <v>343218872</v>
      </c>
      <c r="E2915" s="133"/>
      <c r="F2915" s="133"/>
      <c r="G2915" s="133"/>
      <c r="H2915" s="133"/>
      <c r="I2915" s="92"/>
      <c r="J2915" s="133" t="str">
        <f t="shared" si="110"/>
        <v>GSW Gemeinschaftsstadtwerke GmbH Kamen, Bönen, Bergkamen</v>
      </c>
    </row>
    <row r="2916" spans="1:10" hidden="1" outlineLevel="1">
      <c r="A2916" s="418" t="str">
        <f t="shared" si="109"/>
        <v>SNB935814055062</v>
      </c>
      <c r="B2916" s="492">
        <v>172549686</v>
      </c>
      <c r="C2916" s="88">
        <f>+SUMIF('Anlage 2b_Korrekturen'!$B$234:$B$693,A2916,'Anlage 2b_Korrekturen'!$D$234:$D$693)</f>
        <v>713938</v>
      </c>
      <c r="D2916" s="135">
        <f t="shared" si="107"/>
        <v>173263624</v>
      </c>
      <c r="E2916" s="133"/>
      <c r="F2916" s="133"/>
      <c r="G2916" s="133"/>
      <c r="H2916" s="133"/>
      <c r="I2916" s="92"/>
      <c r="J2916" s="133" t="str">
        <f t="shared" si="110"/>
        <v>Stadtwerke Kleve GmbH</v>
      </c>
    </row>
    <row r="2917" spans="1:10" hidden="1" outlineLevel="1">
      <c r="A2917" s="418" t="str">
        <f t="shared" si="109"/>
        <v>SNB939191427887</v>
      </c>
      <c r="B2917" s="492">
        <v>14295751</v>
      </c>
      <c r="C2917" s="88">
        <f>+SUMIF('Anlage 2b_Korrekturen'!$B$234:$B$693,A2917,'Anlage 2b_Korrekturen'!$D$234:$D$693)</f>
        <v>0</v>
      </c>
      <c r="D2917" s="135">
        <f t="shared" si="107"/>
        <v>14295751</v>
      </c>
      <c r="E2917" s="133"/>
      <c r="F2917" s="133"/>
      <c r="G2917" s="133"/>
      <c r="H2917" s="133"/>
      <c r="I2917" s="92"/>
      <c r="J2917" s="133" t="str">
        <f t="shared" si="110"/>
        <v>Gelsenkirchen Raffinerie Netz GmbH</v>
      </c>
    </row>
    <row r="2918" spans="1:10" hidden="1" outlineLevel="1">
      <c r="A2918" s="418" t="str">
        <f t="shared" si="109"/>
        <v>SNB939688186686</v>
      </c>
      <c r="B2918" s="492">
        <v>10557323</v>
      </c>
      <c r="C2918" s="88">
        <f>+SUMIF('Anlage 2b_Korrekturen'!$B$234:$B$693,A2918,'Anlage 2b_Korrekturen'!$D$234:$D$693)</f>
        <v>-102351</v>
      </c>
      <c r="D2918" s="135">
        <f t="shared" si="107"/>
        <v>10454972</v>
      </c>
      <c r="E2918" s="133"/>
      <c r="F2918" s="133"/>
      <c r="G2918" s="133"/>
      <c r="H2918" s="133"/>
      <c r="I2918" s="92"/>
      <c r="J2918" s="133" t="str">
        <f t="shared" si="110"/>
        <v>Abita Energie Otterberg GmbH</v>
      </c>
    </row>
    <row r="2919" spans="1:10" hidden="1" outlineLevel="1">
      <c r="A2919" s="418" t="str">
        <f t="shared" si="109"/>
        <v>SNB940122004213</v>
      </c>
      <c r="B2919" s="492">
        <v>74723488</v>
      </c>
      <c r="C2919" s="88">
        <f>+SUMIF('Anlage 2b_Korrekturen'!$B$234:$B$693,A2919,'Anlage 2b_Korrekturen'!$D$234:$D$693)</f>
        <v>-19658</v>
      </c>
      <c r="D2919" s="135">
        <f t="shared" si="107"/>
        <v>74703830</v>
      </c>
      <c r="E2919" s="133"/>
      <c r="F2919" s="133"/>
      <c r="G2919" s="133"/>
      <c r="H2919" s="133"/>
      <c r="I2919" s="92"/>
      <c r="J2919" s="133" t="str">
        <f t="shared" si="110"/>
        <v>Verteilnetze Energie Weißenhorn GmbH &amp; Co. KG</v>
      </c>
    </row>
    <row r="2920" spans="1:10" hidden="1" outlineLevel="1">
      <c r="A2920" s="418" t="str">
        <f t="shared" si="109"/>
        <v>SNB940133714842</v>
      </c>
      <c r="B2920" s="492">
        <v>101288285</v>
      </c>
      <c r="C2920" s="88">
        <f>+SUMIF('Anlage 2b_Korrekturen'!$B$234:$B$693,A2920,'Anlage 2b_Korrekturen'!$D$234:$D$693)</f>
        <v>0</v>
      </c>
      <c r="D2920" s="135">
        <f t="shared" si="107"/>
        <v>101288285</v>
      </c>
      <c r="E2920" s="133"/>
      <c r="F2920" s="133"/>
      <c r="G2920" s="133"/>
      <c r="H2920" s="133"/>
      <c r="I2920" s="92"/>
      <c r="J2920" s="133" t="str">
        <f t="shared" si="110"/>
        <v>Creos Deutschland GmbH</v>
      </c>
    </row>
    <row r="2921" spans="1:10" hidden="1" outlineLevel="1">
      <c r="A2921" s="418" t="str">
        <f t="shared" si="109"/>
        <v>SNB940437318166</v>
      </c>
      <c r="B2921" s="492">
        <v>2324900725</v>
      </c>
      <c r="C2921" s="88">
        <f>+SUMIF('Anlage 2b_Korrekturen'!$B$234:$B$693,A2921,'Anlage 2b_Korrekturen'!$D$234:$D$693)</f>
        <v>-27201810</v>
      </c>
      <c r="D2921" s="135">
        <f t="shared" si="107"/>
        <v>2297698915</v>
      </c>
      <c r="E2921" s="133"/>
      <c r="F2921" s="133"/>
      <c r="G2921" s="133"/>
      <c r="H2921" s="133"/>
      <c r="I2921" s="92"/>
      <c r="J2921" s="133" t="str">
        <f t="shared" si="110"/>
        <v>NEW Netz GmbH</v>
      </c>
    </row>
    <row r="2922" spans="1:10" hidden="1" outlineLevel="1">
      <c r="A2922" s="418" t="str">
        <f t="shared" si="109"/>
        <v>SNB941004899811</v>
      </c>
      <c r="B2922" s="492">
        <v>46459398</v>
      </c>
      <c r="C2922" s="88">
        <f>+SUMIF('Anlage 2b_Korrekturen'!$B$234:$B$693,A2922,'Anlage 2b_Korrekturen'!$D$234:$D$693)</f>
        <v>0</v>
      </c>
      <c r="D2922" s="135">
        <f t="shared" si="107"/>
        <v>46459398</v>
      </c>
      <c r="E2922" s="133"/>
      <c r="F2922" s="133"/>
      <c r="G2922" s="133"/>
      <c r="H2922" s="133"/>
      <c r="I2922" s="92"/>
      <c r="J2922" s="133" t="str">
        <f t="shared" si="110"/>
        <v>Stadtwerke Goch GmbH</v>
      </c>
    </row>
    <row r="2923" spans="1:10" hidden="1" outlineLevel="1">
      <c r="A2923" s="418" t="str">
        <f t="shared" si="109"/>
        <v>SNB941650885558</v>
      </c>
      <c r="B2923" s="492">
        <v>40101433</v>
      </c>
      <c r="C2923" s="88">
        <f>+SUMIF('Anlage 2b_Korrekturen'!$B$234:$B$693,A2923,'Anlage 2b_Korrekturen'!$D$234:$D$693)</f>
        <v>-16629044</v>
      </c>
      <c r="D2923" s="135">
        <f t="shared" si="107"/>
        <v>23472389</v>
      </c>
      <c r="E2923" s="133"/>
      <c r="F2923" s="133"/>
      <c r="G2923" s="133"/>
      <c r="H2923" s="133"/>
      <c r="I2923" s="92"/>
      <c r="J2923" s="133" t="str">
        <f t="shared" si="110"/>
        <v>VSE Verteilnetz GmbH</v>
      </c>
    </row>
    <row r="2924" spans="1:10" hidden="1" outlineLevel="1">
      <c r="A2924" s="418" t="str">
        <f t="shared" si="109"/>
        <v>SNB942111583372</v>
      </c>
      <c r="B2924" s="492">
        <v>253911010</v>
      </c>
      <c r="C2924" s="88">
        <f>+SUMIF('Anlage 2b_Korrekturen'!$B$234:$B$693,A2924,'Anlage 2b_Korrekturen'!$D$234:$D$693)</f>
        <v>3701616</v>
      </c>
      <c r="D2924" s="135">
        <f t="shared" ref="D2924:D2987" si="111">B2924+C2924</f>
        <v>257612626</v>
      </c>
      <c r="E2924" s="133"/>
      <c r="F2924" s="133"/>
      <c r="G2924" s="133"/>
      <c r="H2924" s="133"/>
      <c r="I2924" s="92"/>
      <c r="J2924" s="133" t="str">
        <f t="shared" si="110"/>
        <v>Stadtwerke Lünen GmbH</v>
      </c>
    </row>
    <row r="2925" spans="1:10" hidden="1" outlineLevel="1">
      <c r="A2925" s="418" t="str">
        <f t="shared" si="109"/>
        <v>SNB942173666990</v>
      </c>
      <c r="B2925" s="492">
        <v>103334201</v>
      </c>
      <c r="C2925" s="88">
        <f>+SUMIF('Anlage 2b_Korrekturen'!$B$234:$B$693,A2925,'Anlage 2b_Korrekturen'!$D$234:$D$693)</f>
        <v>1136219</v>
      </c>
      <c r="D2925" s="135">
        <f t="shared" si="111"/>
        <v>104470420</v>
      </c>
      <c r="E2925" s="133"/>
      <c r="F2925" s="133"/>
      <c r="G2925" s="133"/>
      <c r="H2925" s="133"/>
      <c r="I2925" s="92"/>
      <c r="J2925" s="133" t="str">
        <f t="shared" si="110"/>
        <v>Energieversorgung Beckum GmbH &amp; Co. KG</v>
      </c>
    </row>
    <row r="2926" spans="1:10" hidden="1" outlineLevel="1">
      <c r="A2926" s="418" t="str">
        <f t="shared" si="109"/>
        <v>SNB942182027607</v>
      </c>
      <c r="B2926" s="492">
        <v>3713815216</v>
      </c>
      <c r="C2926" s="88">
        <f>+SUMIF('Anlage 2b_Korrekturen'!$B$234:$B$693,A2926,'Anlage 2b_Korrekturen'!$D$234:$D$693)</f>
        <v>-2854554</v>
      </c>
      <c r="D2926" s="135">
        <f t="shared" si="111"/>
        <v>3710960662</v>
      </c>
      <c r="E2926" s="133"/>
      <c r="F2926" s="133"/>
      <c r="G2926" s="133"/>
      <c r="H2926" s="133"/>
      <c r="I2926" s="92"/>
      <c r="J2926" s="133" t="str">
        <f t="shared" si="110"/>
        <v>DB Energie GmbH</v>
      </c>
    </row>
    <row r="2927" spans="1:10" hidden="1" outlineLevel="1">
      <c r="A2927" s="418" t="str">
        <f t="shared" si="109"/>
        <v>SNB942305388936</v>
      </c>
      <c r="B2927" s="492">
        <v>138394395</v>
      </c>
      <c r="C2927" s="88">
        <f>+SUMIF('Anlage 2b_Korrekturen'!$B$234:$B$693,A2927,'Anlage 2b_Korrekturen'!$D$234:$D$693)</f>
        <v>1536110</v>
      </c>
      <c r="D2927" s="135">
        <f t="shared" si="111"/>
        <v>139930505</v>
      </c>
      <c r="E2927" s="133"/>
      <c r="F2927" s="133"/>
      <c r="G2927" s="133"/>
      <c r="H2927" s="133"/>
      <c r="I2927" s="92"/>
      <c r="J2927" s="133" t="str">
        <f t="shared" si="110"/>
        <v>Stadtwerke Neustadt an der Weinstraße GmbH</v>
      </c>
    </row>
    <row r="2928" spans="1:10" hidden="1" outlineLevel="1">
      <c r="A2928" s="418" t="str">
        <f t="shared" si="109"/>
        <v>SNB942804093577</v>
      </c>
      <c r="B2928" s="492">
        <v>30544472</v>
      </c>
      <c r="C2928" s="88">
        <f>+SUMIF('Anlage 2b_Korrekturen'!$B$234:$B$693,A2928,'Anlage 2b_Korrekturen'!$D$234:$D$693)</f>
        <v>-649676</v>
      </c>
      <c r="D2928" s="135">
        <f t="shared" si="111"/>
        <v>29894796</v>
      </c>
      <c r="E2928" s="133"/>
      <c r="F2928" s="133"/>
      <c r="G2928" s="133"/>
      <c r="H2928" s="133"/>
      <c r="I2928" s="92"/>
      <c r="J2928" s="133" t="str">
        <f t="shared" si="110"/>
        <v>Queichtal Energie Offenbach Netz GmbH</v>
      </c>
    </row>
    <row r="2929" spans="1:10" hidden="1" outlineLevel="1">
      <c r="A2929" s="418" t="str">
        <f t="shared" si="109"/>
        <v>SNB943042904373</v>
      </c>
      <c r="B2929" s="492">
        <v>115478152</v>
      </c>
      <c r="C2929" s="88">
        <f>+SUMIF('Anlage 2b_Korrekturen'!$B$234:$B$693,A2929,'Anlage 2b_Korrekturen'!$D$234:$D$693)</f>
        <v>4113917</v>
      </c>
      <c r="D2929" s="135">
        <f t="shared" si="111"/>
        <v>119592069</v>
      </c>
      <c r="E2929" s="133"/>
      <c r="F2929" s="133"/>
      <c r="G2929" s="133"/>
      <c r="H2929" s="133"/>
      <c r="I2929" s="92"/>
      <c r="J2929" s="133" t="str">
        <f t="shared" si="110"/>
        <v>Stadtwerke Kempen GmbH</v>
      </c>
    </row>
    <row r="2930" spans="1:10" hidden="1" outlineLevel="1">
      <c r="A2930" s="418" t="str">
        <f t="shared" si="109"/>
        <v>SNB943170046990</v>
      </c>
      <c r="B2930" s="492">
        <v>2075239</v>
      </c>
      <c r="C2930" s="88">
        <f>+SUMIF('Anlage 2b_Korrekturen'!$B$234:$B$693,A2930,'Anlage 2b_Korrekturen'!$D$234:$D$693)</f>
        <v>0</v>
      </c>
      <c r="D2930" s="135">
        <f t="shared" si="111"/>
        <v>2075239</v>
      </c>
      <c r="E2930" s="133"/>
      <c r="F2930" s="133"/>
      <c r="G2930" s="133"/>
      <c r="H2930" s="133"/>
      <c r="I2930" s="92"/>
      <c r="J2930" s="133" t="str">
        <f t="shared" si="110"/>
        <v>mve eurokom GmbH</v>
      </c>
    </row>
    <row r="2931" spans="1:10" hidden="1" outlineLevel="1">
      <c r="A2931" s="418" t="str">
        <f t="shared" si="109"/>
        <v>SNB943170046990</v>
      </c>
      <c r="B2931" s="492">
        <v>37961239</v>
      </c>
      <c r="C2931" s="88">
        <f>+SUMIF('Anlage 2b_Korrekturen'!$B$234:$B$693,A2931,'Anlage 2b_Korrekturen'!$D$234:$D$693)</f>
        <v>0</v>
      </c>
      <c r="D2931" s="1649">
        <v>37961239</v>
      </c>
      <c r="E2931" s="133"/>
      <c r="F2931" s="133"/>
      <c r="G2931" s="133"/>
      <c r="H2931" s="133"/>
      <c r="I2931" s="92"/>
      <c r="J2931" s="133" t="str">
        <f t="shared" si="110"/>
        <v>mve eurokom GmbH</v>
      </c>
    </row>
    <row r="2932" spans="1:10" hidden="1" outlineLevel="1">
      <c r="A2932" s="418" t="str">
        <f t="shared" si="109"/>
        <v>SNB943261073362</v>
      </c>
      <c r="B2932" s="492">
        <v>68654271</v>
      </c>
      <c r="C2932" s="88">
        <f>+SUMIF('Anlage 2b_Korrekturen'!$B$234:$B$693,A2932,'Anlage 2b_Korrekturen'!$D$234:$D$693)</f>
        <v>-76070</v>
      </c>
      <c r="D2932" s="135">
        <f t="shared" si="111"/>
        <v>68578201</v>
      </c>
      <c r="E2932" s="133"/>
      <c r="F2932" s="133"/>
      <c r="G2932" s="133"/>
      <c r="H2932" s="133"/>
      <c r="I2932" s="92"/>
      <c r="J2932" s="133" t="str">
        <f t="shared" si="110"/>
        <v>Stadtwerke Sulzbach/Saar GmbH</v>
      </c>
    </row>
    <row r="2933" spans="1:10" hidden="1" outlineLevel="1">
      <c r="A2933" s="418" t="str">
        <f t="shared" si="109"/>
        <v>SNB943480673763</v>
      </c>
      <c r="B2933" s="492">
        <v>142837881</v>
      </c>
      <c r="C2933" s="88">
        <f>+SUMIF('Anlage 2b_Korrekturen'!$B$234:$B$693,A2933,'Anlage 2b_Korrekturen'!$D$234:$D$693)</f>
        <v>41428</v>
      </c>
      <c r="D2933" s="135">
        <f t="shared" si="111"/>
        <v>142879309</v>
      </c>
      <c r="E2933" s="133"/>
      <c r="F2933" s="133"/>
      <c r="G2933" s="133"/>
      <c r="H2933" s="133"/>
      <c r="I2933" s="92"/>
      <c r="J2933" s="133" t="str">
        <f t="shared" si="110"/>
        <v>Stadtwerke Coesfeld GmbH</v>
      </c>
    </row>
    <row r="2934" spans="1:10" hidden="1" outlineLevel="1">
      <c r="A2934" s="418" t="str">
        <f t="shared" si="109"/>
        <v>SNB943662886851</v>
      </c>
      <c r="B2934" s="492">
        <v>606750785</v>
      </c>
      <c r="C2934" s="88">
        <f>+SUMIF('Anlage 2b_Korrekturen'!$B$234:$B$693,A2934,'Anlage 2b_Korrekturen'!$D$234:$D$693)</f>
        <v>-1406175</v>
      </c>
      <c r="D2934" s="135">
        <f t="shared" si="111"/>
        <v>605344610</v>
      </c>
      <c r="E2934" s="133"/>
      <c r="F2934" s="133"/>
      <c r="G2934" s="133"/>
      <c r="H2934" s="133"/>
      <c r="I2934" s="92"/>
      <c r="J2934" s="133" t="str">
        <f t="shared" si="110"/>
        <v>SWO Netz GmbH</v>
      </c>
    </row>
    <row r="2935" spans="1:10" hidden="1" outlineLevel="1">
      <c r="A2935" s="418" t="str">
        <f t="shared" si="109"/>
        <v>SNB943841101959</v>
      </c>
      <c r="B2935" s="492">
        <v>267897709</v>
      </c>
      <c r="C2935" s="88">
        <f>+SUMIF('Anlage 2b_Korrekturen'!$B$234:$B$693,A2935,'Anlage 2b_Korrekturen'!$D$234:$D$693)</f>
        <v>11521</v>
      </c>
      <c r="D2935" s="135">
        <f t="shared" si="111"/>
        <v>267909230</v>
      </c>
      <c r="E2935" s="133"/>
      <c r="F2935" s="133"/>
      <c r="G2935" s="133"/>
      <c r="H2935" s="133"/>
      <c r="I2935" s="92"/>
      <c r="J2935" s="133" t="str">
        <f t="shared" si="110"/>
        <v>KEW Kommunale Energie- und Wasserversorgung AG</v>
      </c>
    </row>
    <row r="2936" spans="1:10" hidden="1" outlineLevel="1">
      <c r="A2936" s="418" t="str">
        <f t="shared" si="109"/>
        <v>SNB944057190867</v>
      </c>
      <c r="B2936" s="492">
        <v>275268211</v>
      </c>
      <c r="C2936" s="88">
        <f>+SUMIF('Anlage 2b_Korrekturen'!$B$234:$B$693,A2936,'Anlage 2b_Korrekturen'!$D$234:$D$693)</f>
        <v>0</v>
      </c>
      <c r="D2936" s="135">
        <f t="shared" si="111"/>
        <v>275268211</v>
      </c>
      <c r="E2936" s="133"/>
      <c r="F2936" s="133"/>
      <c r="G2936" s="133"/>
      <c r="H2936" s="133"/>
      <c r="I2936" s="92"/>
      <c r="J2936" s="133" t="str">
        <f t="shared" si="110"/>
        <v>BEW Netze GmbH</v>
      </c>
    </row>
    <row r="2937" spans="1:10" hidden="1" outlineLevel="1">
      <c r="A2937" s="418" t="str">
        <f t="shared" si="109"/>
        <v>SNB944150243392</v>
      </c>
      <c r="B2937" s="492">
        <v>163992006</v>
      </c>
      <c r="C2937" s="88">
        <f>+SUMIF('Anlage 2b_Korrekturen'!$B$234:$B$693,A2937,'Anlage 2b_Korrekturen'!$D$234:$D$693)</f>
        <v>1094829</v>
      </c>
      <c r="D2937" s="135">
        <f t="shared" si="111"/>
        <v>165086835</v>
      </c>
      <c r="E2937" s="133"/>
      <c r="F2937" s="133"/>
      <c r="G2937" s="133"/>
      <c r="H2937" s="133"/>
      <c r="I2937" s="92"/>
      <c r="J2937" s="133" t="str">
        <f t="shared" si="110"/>
        <v>Stadtwerke Unna GmbH</v>
      </c>
    </row>
    <row r="2938" spans="1:10" hidden="1" outlineLevel="1">
      <c r="A2938" s="418" t="str">
        <f t="shared" si="109"/>
        <v>SNB944294076061</v>
      </c>
      <c r="B2938" s="492">
        <v>97926420</v>
      </c>
      <c r="C2938" s="88">
        <f>+SUMIF('Anlage 2b_Korrekturen'!$B$234:$B$693,A2938,'Anlage 2b_Korrekturen'!$D$234:$D$693)</f>
        <v>1426406</v>
      </c>
      <c r="D2938" s="135">
        <f t="shared" si="111"/>
        <v>99352826</v>
      </c>
      <c r="E2938" s="133"/>
      <c r="F2938" s="133"/>
      <c r="G2938" s="133"/>
      <c r="H2938" s="133"/>
      <c r="I2938" s="92"/>
      <c r="J2938" s="133" t="str">
        <f t="shared" si="110"/>
        <v>Stadtwerke Schüttorf-Emsbüren GmbH</v>
      </c>
    </row>
    <row r="2939" spans="1:10" hidden="1" outlineLevel="1">
      <c r="A2939" s="418" t="str">
        <f t="shared" si="109"/>
        <v>SNB945021456095</v>
      </c>
      <c r="B2939" s="492">
        <v>15256127</v>
      </c>
      <c r="C2939" s="88">
        <f>+SUMIF('Anlage 2b_Korrekturen'!$B$234:$B$693,A2939,'Anlage 2b_Korrekturen'!$D$234:$D$693)</f>
        <v>0</v>
      </c>
      <c r="D2939" s="135">
        <f t="shared" si="111"/>
        <v>15256127</v>
      </c>
      <c r="E2939" s="133"/>
      <c r="F2939" s="133"/>
      <c r="G2939" s="133"/>
      <c r="H2939" s="133"/>
      <c r="I2939" s="92"/>
      <c r="J2939" s="133" t="str">
        <f t="shared" si="110"/>
        <v>Stadtwerke Kusel GmbH</v>
      </c>
    </row>
    <row r="2940" spans="1:10" hidden="1" outlineLevel="1">
      <c r="A2940" s="418" t="str">
        <f t="shared" si="109"/>
        <v>SNB945413736880</v>
      </c>
      <c r="B2940" s="492">
        <v>118942175</v>
      </c>
      <c r="C2940" s="88">
        <f>+SUMIF('Anlage 2b_Korrekturen'!$B$234:$B$693,A2940,'Anlage 2b_Korrekturen'!$D$234:$D$693)</f>
        <v>11492</v>
      </c>
      <c r="D2940" s="135">
        <f t="shared" si="111"/>
        <v>118953667</v>
      </c>
      <c r="E2940" s="133"/>
      <c r="F2940" s="133"/>
      <c r="G2940" s="133"/>
      <c r="H2940" s="133"/>
      <c r="I2940" s="92"/>
      <c r="J2940" s="133" t="str">
        <f t="shared" si="110"/>
        <v>Stadtwerke Völklingen Netz GmbH</v>
      </c>
    </row>
    <row r="2941" spans="1:10" hidden="1" outlineLevel="1">
      <c r="A2941" s="418" t="str">
        <f t="shared" si="109"/>
        <v>SNB945532057606</v>
      </c>
      <c r="B2941" s="492">
        <v>269828343</v>
      </c>
      <c r="C2941" s="88">
        <f>+SUMIF('Anlage 2b_Korrekturen'!$B$234:$B$693,A2941,'Anlage 2b_Korrekturen'!$D$234:$D$693)</f>
        <v>0</v>
      </c>
      <c r="D2941" s="135">
        <f t="shared" si="111"/>
        <v>269828343</v>
      </c>
      <c r="E2941" s="133"/>
      <c r="F2941" s="133"/>
      <c r="G2941" s="133"/>
      <c r="H2941" s="133"/>
      <c r="I2941" s="92"/>
      <c r="J2941" s="133" t="str">
        <f t="shared" si="110"/>
        <v>nvb Nordhorner Versorgungsbetriebe GmbH</v>
      </c>
    </row>
    <row r="2942" spans="1:10" hidden="1" outlineLevel="1">
      <c r="A2942" s="418" t="str">
        <f t="shared" si="109"/>
        <v>SNB945750197795</v>
      </c>
      <c r="B2942" s="492">
        <v>17034811</v>
      </c>
      <c r="C2942" s="88">
        <f>+SUMIF('Anlage 2b_Korrekturen'!$B$234:$B$693,A2942,'Anlage 2b_Korrekturen'!$D$234:$D$693)</f>
        <v>-93888</v>
      </c>
      <c r="D2942" s="135">
        <f t="shared" si="111"/>
        <v>16940923</v>
      </c>
      <c r="E2942" s="133"/>
      <c r="F2942" s="133"/>
      <c r="G2942" s="133"/>
      <c r="H2942" s="133"/>
      <c r="I2942" s="92"/>
      <c r="J2942" s="133" t="str">
        <f t="shared" si="110"/>
        <v>EVU Weilerbach</v>
      </c>
    </row>
    <row r="2943" spans="1:10" hidden="1" outlineLevel="1">
      <c r="A2943" s="418" t="str">
        <f t="shared" si="109"/>
        <v>SNB947698671429</v>
      </c>
      <c r="B2943" s="492">
        <v>169248099</v>
      </c>
      <c r="C2943" s="88">
        <f>+SUMIF('Anlage 2b_Korrekturen'!$B$234:$B$693,A2943,'Anlage 2b_Korrekturen'!$D$234:$D$693)</f>
        <v>1418496</v>
      </c>
      <c r="D2943" s="135">
        <f t="shared" si="111"/>
        <v>170666595</v>
      </c>
      <c r="E2943" s="133"/>
      <c r="F2943" s="133"/>
      <c r="G2943" s="133"/>
      <c r="H2943" s="133"/>
      <c r="I2943" s="92"/>
      <c r="J2943" s="133" t="str">
        <f t="shared" si="110"/>
        <v>Stadtwerke Dreieich GmbH</v>
      </c>
    </row>
    <row r="2944" spans="1:10" hidden="1" outlineLevel="1">
      <c r="A2944" s="418" t="str">
        <f t="shared" si="109"/>
        <v>SNB948311994307</v>
      </c>
      <c r="B2944" s="492">
        <v>5910304</v>
      </c>
      <c r="C2944" s="88">
        <f>+SUMIF('Anlage 2b_Korrekturen'!$B$234:$B$693,A2944,'Anlage 2b_Korrekturen'!$D$234:$D$693)</f>
        <v>-1091</v>
      </c>
      <c r="D2944" s="135">
        <f t="shared" si="111"/>
        <v>5909213</v>
      </c>
      <c r="E2944" s="133"/>
      <c r="F2944" s="133"/>
      <c r="G2944" s="133"/>
      <c r="H2944" s="133"/>
      <c r="I2944" s="92"/>
      <c r="J2944" s="133" t="str">
        <f t="shared" si="110"/>
        <v>Netze BW GmbH</v>
      </c>
    </row>
    <row r="2945" spans="1:10" hidden="1" outlineLevel="1">
      <c r="A2945" s="418" t="str">
        <f t="shared" si="109"/>
        <v>SNB948485211972</v>
      </c>
      <c r="B2945" s="492">
        <v>92039737</v>
      </c>
      <c r="C2945" s="88">
        <f>+SUMIF('Anlage 2b_Korrekturen'!$B$234:$B$693,A2945,'Anlage 2b_Korrekturen'!$D$234:$D$693)</f>
        <v>9117</v>
      </c>
      <c r="D2945" s="135">
        <f t="shared" si="111"/>
        <v>92048854</v>
      </c>
      <c r="E2945" s="133"/>
      <c r="F2945" s="133"/>
      <c r="G2945" s="133"/>
      <c r="H2945" s="133"/>
      <c r="I2945" s="92"/>
      <c r="J2945" s="133" t="str">
        <f t="shared" si="110"/>
        <v>YNCORIS GmbH &amp; Co. KG</v>
      </c>
    </row>
    <row r="2946" spans="1:10" hidden="1" outlineLevel="1">
      <c r="A2946" s="418" t="str">
        <f t="shared" si="109"/>
        <v>SNB948741734467</v>
      </c>
      <c r="B2946" s="492">
        <v>59677939</v>
      </c>
      <c r="C2946" s="88">
        <f>+SUMIF('Anlage 2b_Korrekturen'!$B$234:$B$693,A2946,'Anlage 2b_Korrekturen'!$D$234:$D$693)</f>
        <v>0</v>
      </c>
      <c r="D2946" s="135">
        <f t="shared" si="111"/>
        <v>59677939</v>
      </c>
      <c r="E2946" s="133"/>
      <c r="F2946" s="133"/>
      <c r="G2946" s="133"/>
      <c r="H2946" s="133"/>
      <c r="I2946" s="92"/>
      <c r="J2946" s="133" t="str">
        <f t="shared" si="110"/>
        <v>Stadtwerke Bad Wörishofen</v>
      </c>
    </row>
    <row r="2947" spans="1:10" hidden="1" outlineLevel="1">
      <c r="A2947" s="418" t="str">
        <f t="shared" si="109"/>
        <v>SNB950006175489</v>
      </c>
      <c r="B2947" s="492">
        <v>397072547</v>
      </c>
      <c r="C2947" s="88">
        <f>+SUMIF('Anlage 2b_Korrekturen'!$B$234:$B$693,A2947,'Anlage 2b_Korrekturen'!$D$234:$D$693)</f>
        <v>0</v>
      </c>
      <c r="D2947" s="135">
        <f t="shared" si="111"/>
        <v>397072547</v>
      </c>
      <c r="E2947" s="133"/>
      <c r="F2947" s="133"/>
      <c r="G2947" s="133"/>
      <c r="H2947" s="133"/>
      <c r="I2947" s="92"/>
      <c r="J2947" s="133" t="str">
        <f t="shared" si="110"/>
        <v>SWTE Netz GmbH &amp; Co. KG</v>
      </c>
    </row>
    <row r="2948" spans="1:10" hidden="1" outlineLevel="1">
      <c r="A2948" s="418" t="str">
        <f t="shared" si="109"/>
        <v>SNB950584553167</v>
      </c>
      <c r="B2948" s="492">
        <v>976127122</v>
      </c>
      <c r="C2948" s="88">
        <f>+SUMIF('Anlage 2b_Korrekturen'!$B$234:$B$693,A2948,'Anlage 2b_Korrekturen'!$D$234:$D$693)</f>
        <v>14914304</v>
      </c>
      <c r="D2948" s="135">
        <f t="shared" si="111"/>
        <v>991041426</v>
      </c>
      <c r="E2948" s="133"/>
      <c r="F2948" s="133"/>
      <c r="G2948" s="133"/>
      <c r="H2948" s="133"/>
      <c r="I2948" s="92"/>
      <c r="J2948" s="133" t="str">
        <f t="shared" si="110"/>
        <v>Stadtwerke Wiesbaden Netz GmbH</v>
      </c>
    </row>
    <row r="2949" spans="1:10" hidden="1" outlineLevel="1">
      <c r="A2949" s="418" t="str">
        <f t="shared" si="109"/>
        <v>SNB950724684287</v>
      </c>
      <c r="B2949" s="492">
        <v>10257029</v>
      </c>
      <c r="C2949" s="88">
        <f>+SUMIF('Anlage 2b_Korrekturen'!$B$234:$B$693,A2949,'Anlage 2b_Korrekturen'!$D$234:$D$693)</f>
        <v>118461</v>
      </c>
      <c r="D2949" s="135">
        <f t="shared" si="111"/>
        <v>10375490</v>
      </c>
      <c r="E2949" s="133"/>
      <c r="F2949" s="133"/>
      <c r="G2949" s="133"/>
      <c r="H2949" s="133"/>
      <c r="I2949" s="92"/>
      <c r="J2949" s="133" t="str">
        <f t="shared" si="110"/>
        <v>Gemeindewerke Dudenhofen</v>
      </c>
    </row>
    <row r="2950" spans="1:10" hidden="1" outlineLevel="1">
      <c r="A2950" s="418" t="str">
        <f t="shared" si="109"/>
        <v>SNB950829478767</v>
      </c>
      <c r="B2950" s="492">
        <v>7234661</v>
      </c>
      <c r="C2950" s="88">
        <f>+SUMIF('Anlage 2b_Korrekturen'!$B$234:$B$693,A2950,'Anlage 2b_Korrekturen'!$D$234:$D$693)</f>
        <v>6244357</v>
      </c>
      <c r="D2950" s="135">
        <f t="shared" si="111"/>
        <v>13479018</v>
      </c>
      <c r="E2950" s="133"/>
      <c r="F2950" s="133"/>
      <c r="G2950" s="133"/>
      <c r="H2950" s="133"/>
      <c r="I2950" s="92"/>
      <c r="J2950" s="133" t="str">
        <f t="shared" si="110"/>
        <v>TCA Sustainable Energy Solutions GmbH</v>
      </c>
    </row>
    <row r="2951" spans="1:10" hidden="1" outlineLevel="1">
      <c r="A2951" s="418" t="str">
        <f t="shared" si="109"/>
        <v>SNB951760950909</v>
      </c>
      <c r="B2951" s="492">
        <v>47339227</v>
      </c>
      <c r="C2951" s="88">
        <f>+SUMIF('Anlage 2b_Korrekturen'!$B$234:$B$693,A2951,'Anlage 2b_Korrekturen'!$D$234:$D$693)</f>
        <v>62346</v>
      </c>
      <c r="D2951" s="135">
        <f t="shared" si="111"/>
        <v>47401573</v>
      </c>
      <c r="E2951" s="133"/>
      <c r="F2951" s="133"/>
      <c r="G2951" s="133"/>
      <c r="H2951" s="133"/>
      <c r="I2951" s="92"/>
      <c r="J2951" s="133" t="str">
        <f t="shared" si="110"/>
        <v>KEEP - Kommunale Eisenberger Energiepartner GmbH</v>
      </c>
    </row>
    <row r="2952" spans="1:10" hidden="1" outlineLevel="1">
      <c r="A2952" s="418" t="str">
        <f t="shared" si="109"/>
        <v>SNB953661539375</v>
      </c>
      <c r="B2952" s="492">
        <v>355953902</v>
      </c>
      <c r="C2952" s="88">
        <f>+SUMIF('Anlage 2b_Korrekturen'!$B$234:$B$693,A2952,'Anlage 2b_Korrekturen'!$D$234:$D$693)</f>
        <v>0</v>
      </c>
      <c r="D2952" s="135">
        <f t="shared" si="111"/>
        <v>355953902</v>
      </c>
      <c r="E2952" s="133"/>
      <c r="F2952" s="133"/>
      <c r="G2952" s="133"/>
      <c r="H2952" s="133"/>
      <c r="I2952" s="92"/>
      <c r="J2952" s="133" t="str">
        <f t="shared" si="110"/>
        <v>Stadtwerke Ratingen GmbH</v>
      </c>
    </row>
    <row r="2953" spans="1:10" hidden="1" outlineLevel="1">
      <c r="A2953" s="418" t="str">
        <f t="shared" si="109"/>
        <v>SNB954537392643</v>
      </c>
      <c r="B2953" s="492">
        <v>110028526</v>
      </c>
      <c r="C2953" s="88">
        <f>+SUMIF('Anlage 2b_Korrekturen'!$B$234:$B$693,A2953,'Anlage 2b_Korrekturen'!$D$234:$D$693)</f>
        <v>0</v>
      </c>
      <c r="D2953" s="135">
        <f t="shared" si="111"/>
        <v>110028526</v>
      </c>
      <c r="E2953" s="133"/>
      <c r="F2953" s="133"/>
      <c r="G2953" s="133"/>
      <c r="H2953" s="133"/>
      <c r="I2953" s="92"/>
      <c r="J2953" s="133" t="str">
        <f t="shared" si="110"/>
        <v>Stadtwerke Homburg GmbH</v>
      </c>
    </row>
    <row r="2954" spans="1:10" hidden="1" outlineLevel="1">
      <c r="A2954" s="418" t="str">
        <f t="shared" si="109"/>
        <v>SNB955001358523</v>
      </c>
      <c r="B2954" s="492">
        <v>142988841</v>
      </c>
      <c r="C2954" s="88">
        <f>+SUMIF('Anlage 2b_Korrekturen'!$B$234:$B$693,A2954,'Anlage 2b_Korrekturen'!$D$234:$D$693)</f>
        <v>-199638</v>
      </c>
      <c r="D2954" s="135">
        <f t="shared" si="111"/>
        <v>142789203</v>
      </c>
      <c r="E2954" s="133"/>
      <c r="F2954" s="133"/>
      <c r="G2954" s="133"/>
      <c r="H2954" s="133"/>
      <c r="I2954" s="92"/>
      <c r="J2954" s="133" t="str">
        <f t="shared" si="110"/>
        <v>Stadtwerke Pirmasens Versorgungs GmbH</v>
      </c>
    </row>
    <row r="2955" spans="1:10" hidden="1" outlineLevel="1">
      <c r="A2955" s="418" t="str">
        <f t="shared" si="109"/>
        <v>SNB955266506998</v>
      </c>
      <c r="B2955" s="492">
        <v>30152323</v>
      </c>
      <c r="C2955" s="88">
        <f>+SUMIF('Anlage 2b_Korrekturen'!$B$234:$B$693,A2955,'Anlage 2b_Korrekturen'!$D$234:$D$693)</f>
        <v>0</v>
      </c>
      <c r="D2955" s="135">
        <f t="shared" si="111"/>
        <v>30152323</v>
      </c>
      <c r="E2955" s="133"/>
      <c r="F2955" s="133"/>
      <c r="G2955" s="133"/>
      <c r="H2955" s="133"/>
      <c r="I2955" s="92"/>
      <c r="J2955" s="133" t="str">
        <f t="shared" si="110"/>
        <v>Stadtwerke Bramsche GmbH</v>
      </c>
    </row>
    <row r="2956" spans="1:10" hidden="1" outlineLevel="1">
      <c r="A2956" s="418" t="str">
        <f t="shared" si="109"/>
        <v>SNB955586052717</v>
      </c>
      <c r="B2956" s="492">
        <v>53214318</v>
      </c>
      <c r="C2956" s="88">
        <f>+SUMIF('Anlage 2b_Korrekturen'!$B$234:$B$693,A2956,'Anlage 2b_Korrekturen'!$D$234:$D$693)</f>
        <v>0</v>
      </c>
      <c r="D2956" s="135">
        <f t="shared" si="111"/>
        <v>53214318</v>
      </c>
      <c r="E2956" s="133"/>
      <c r="F2956" s="133"/>
      <c r="G2956" s="133"/>
      <c r="H2956" s="133"/>
      <c r="I2956" s="92"/>
      <c r="J2956" s="133" t="str">
        <f t="shared" si="110"/>
        <v>Stadtwerke Bexbach GmbH</v>
      </c>
    </row>
    <row r="2957" spans="1:10" hidden="1" outlineLevel="1">
      <c r="A2957" s="418" t="str">
        <f t="shared" si="109"/>
        <v>SNB956923775696</v>
      </c>
      <c r="B2957" s="492">
        <v>55226272</v>
      </c>
      <c r="C2957" s="88">
        <f>+SUMIF('Anlage 2b_Korrekturen'!$B$234:$B$693,A2957,'Anlage 2b_Korrekturen'!$D$234:$D$693)</f>
        <v>0</v>
      </c>
      <c r="D2957" s="135">
        <f t="shared" si="111"/>
        <v>55226272</v>
      </c>
      <c r="E2957" s="133"/>
      <c r="F2957" s="133"/>
      <c r="G2957" s="133"/>
      <c r="H2957" s="133"/>
      <c r="I2957" s="92"/>
      <c r="J2957" s="133" t="str">
        <f t="shared" si="110"/>
        <v>CPM Netz GmbH</v>
      </c>
    </row>
    <row r="2958" spans="1:10" hidden="1" outlineLevel="1">
      <c r="A2958" s="418" t="str">
        <f t="shared" si="109"/>
        <v>SNB956958990736</v>
      </c>
      <c r="B2958" s="492">
        <v>2379493806</v>
      </c>
      <c r="C2958" s="88">
        <f>+SUMIF('Anlage 2b_Korrekturen'!$B$234:$B$693,A2958,'Anlage 2b_Korrekturen'!$D$234:$D$693)</f>
        <v>122680722</v>
      </c>
      <c r="D2958" s="135">
        <f t="shared" si="111"/>
        <v>2502174528</v>
      </c>
      <c r="E2958" s="133"/>
      <c r="F2958" s="133"/>
      <c r="G2958" s="133"/>
      <c r="H2958" s="133"/>
      <c r="I2958" s="92"/>
      <c r="J2958" s="133" t="str">
        <f t="shared" si="110"/>
        <v>e-netz Südhessen AG</v>
      </c>
    </row>
    <row r="2959" spans="1:10" hidden="1" outlineLevel="1">
      <c r="A2959" s="418" t="str">
        <f t="shared" si="109"/>
        <v>SNB956986612075</v>
      </c>
      <c r="B2959" s="492">
        <v>26073385</v>
      </c>
      <c r="C2959" s="88">
        <f>+SUMIF('Anlage 2b_Korrekturen'!$B$234:$B$693,A2959,'Anlage 2b_Korrekturen'!$D$234:$D$693)</f>
        <v>215327</v>
      </c>
      <c r="D2959" s="135">
        <f t="shared" si="111"/>
        <v>26288712</v>
      </c>
      <c r="E2959" s="133"/>
      <c r="F2959" s="133"/>
      <c r="G2959" s="133"/>
      <c r="H2959" s="133"/>
      <c r="I2959" s="92"/>
      <c r="J2959" s="133" t="str">
        <f t="shared" si="110"/>
        <v>Saerbecker Ver- und Entsorgungsnetzgesellschaft mbH</v>
      </c>
    </row>
    <row r="2960" spans="1:10" hidden="1" outlineLevel="1">
      <c r="A2960" s="418" t="str">
        <f t="shared" si="109"/>
        <v>SNB958070514050</v>
      </c>
      <c r="B2960" s="492">
        <v>91159976</v>
      </c>
      <c r="C2960" s="88">
        <f>+SUMIF('Anlage 2b_Korrekturen'!$B$234:$B$693,A2960,'Anlage 2b_Korrekturen'!$D$234:$D$693)</f>
        <v>-77064</v>
      </c>
      <c r="D2960" s="135">
        <f t="shared" si="111"/>
        <v>91082912</v>
      </c>
      <c r="E2960" s="133"/>
      <c r="F2960" s="133"/>
      <c r="G2960" s="133"/>
      <c r="H2960" s="133"/>
      <c r="I2960" s="92"/>
      <c r="J2960" s="133" t="str">
        <f t="shared" si="110"/>
        <v>Stadtwerke Grünstadt GmbH</v>
      </c>
    </row>
    <row r="2961" spans="1:10" hidden="1" outlineLevel="1">
      <c r="A2961" s="418" t="str">
        <f t="shared" si="109"/>
        <v>SNB958077102830</v>
      </c>
      <c r="B2961" s="492">
        <v>1009015999</v>
      </c>
      <c r="C2961" s="88">
        <f>+SUMIF('Anlage 2b_Korrekturen'!$B$234:$B$693,A2961,'Anlage 2b_Korrekturen'!$D$234:$D$693)</f>
        <v>-2119682</v>
      </c>
      <c r="D2961" s="135">
        <f t="shared" si="111"/>
        <v>1006896317</v>
      </c>
      <c r="E2961" s="133"/>
      <c r="F2961" s="133"/>
      <c r="G2961" s="133"/>
      <c r="H2961" s="133"/>
      <c r="I2961" s="92"/>
      <c r="J2961" s="133" t="str">
        <f t="shared" si="110"/>
        <v>swa Netze GmbH</v>
      </c>
    </row>
    <row r="2962" spans="1:10" hidden="1" outlineLevel="1">
      <c r="A2962" s="418" t="str">
        <f t="shared" si="109"/>
        <v>SNB958116260552</v>
      </c>
      <c r="B2962" s="492">
        <v>89052886</v>
      </c>
      <c r="C2962" s="88">
        <f>+SUMIF('Anlage 2b_Korrekturen'!$B$234:$B$693,A2962,'Anlage 2b_Korrekturen'!$D$234:$D$693)</f>
        <v>0</v>
      </c>
      <c r="D2962" s="135">
        <f t="shared" si="111"/>
        <v>89052886</v>
      </c>
      <c r="E2962" s="133"/>
      <c r="F2962" s="133"/>
      <c r="G2962" s="133"/>
      <c r="H2962" s="133"/>
      <c r="I2962" s="92"/>
      <c r="J2962" s="133" t="str">
        <f t="shared" si="110"/>
        <v>Flughafen Düsseldorf GmbH</v>
      </c>
    </row>
    <row r="2963" spans="1:10" hidden="1" outlineLevel="1">
      <c r="A2963" s="418" t="str">
        <f t="shared" si="109"/>
        <v>SNB958416423039</v>
      </c>
      <c r="B2963" s="492">
        <v>116022297</v>
      </c>
      <c r="C2963" s="88">
        <f>+SUMIF('Anlage 2b_Korrekturen'!$B$234:$B$693,A2963,'Anlage 2b_Korrekturen'!$D$234:$D$693)</f>
        <v>148701</v>
      </c>
      <c r="D2963" s="135">
        <f t="shared" si="111"/>
        <v>116170998</v>
      </c>
      <c r="E2963" s="133"/>
      <c r="F2963" s="133"/>
      <c r="G2963" s="133"/>
      <c r="H2963" s="133"/>
      <c r="I2963" s="92"/>
      <c r="J2963" s="133" t="str">
        <f t="shared" si="110"/>
        <v>Stadtwerke Emsdetten GmbH</v>
      </c>
    </row>
    <row r="2964" spans="1:10" hidden="1" outlineLevel="1">
      <c r="A2964" s="418" t="str">
        <f t="shared" si="109"/>
        <v>SNB959523885956</v>
      </c>
      <c r="B2964" s="492">
        <v>1312017590</v>
      </c>
      <c r="C2964" s="88">
        <f>+SUMIF('Anlage 2b_Korrekturen'!$B$234:$B$693,A2964,'Anlage 2b_Korrekturen'!$D$234:$D$693)</f>
        <v>-34418423</v>
      </c>
      <c r="D2964" s="135">
        <f t="shared" si="111"/>
        <v>1277599167</v>
      </c>
      <c r="E2964" s="133"/>
      <c r="F2964" s="133"/>
      <c r="G2964" s="133"/>
      <c r="H2964" s="133"/>
      <c r="I2964" s="92"/>
      <c r="J2964" s="133" t="str">
        <f t="shared" si="110"/>
        <v>Mainzer Netze GmbH</v>
      </c>
    </row>
    <row r="2965" spans="1:10" hidden="1" outlineLevel="1">
      <c r="A2965" s="418" t="str">
        <f t="shared" si="109"/>
        <v>SNB959585826225</v>
      </c>
      <c r="B2965" s="492">
        <v>11606467</v>
      </c>
      <c r="C2965" s="88">
        <f>+SUMIF('Anlage 2b_Korrekturen'!$B$234:$B$693,A2965,'Anlage 2b_Korrekturen'!$D$234:$D$693)</f>
        <v>-26522</v>
      </c>
      <c r="D2965" s="135">
        <f t="shared" si="111"/>
        <v>11579945</v>
      </c>
      <c r="E2965" s="133"/>
      <c r="F2965" s="133"/>
      <c r="G2965" s="133"/>
      <c r="H2965" s="133"/>
      <c r="I2965" s="92"/>
      <c r="J2965" s="133" t="str">
        <f t="shared" si="110"/>
        <v>Stadtwerke Lambrecht (Pfalz) GmbH</v>
      </c>
    </row>
    <row r="2966" spans="1:10" hidden="1" outlineLevel="1">
      <c r="A2966" s="418" t="str">
        <f t="shared" si="109"/>
        <v>SNB960263813482</v>
      </c>
      <c r="B2966" s="492">
        <v>171589164</v>
      </c>
      <c r="C2966" s="88">
        <f>+SUMIF('Anlage 2b_Korrekturen'!$B$234:$B$693,A2966,'Anlage 2b_Korrekturen'!$D$234:$D$693)</f>
        <v>-1144441</v>
      </c>
      <c r="D2966" s="135">
        <f t="shared" si="111"/>
        <v>170444723</v>
      </c>
      <c r="E2966" s="133"/>
      <c r="F2966" s="133"/>
      <c r="G2966" s="133"/>
      <c r="H2966" s="133"/>
      <c r="I2966" s="92"/>
      <c r="J2966" s="133" t="str">
        <f t="shared" si="110"/>
        <v>DB Energie GmbH</v>
      </c>
    </row>
    <row r="2967" spans="1:10" hidden="1" outlineLevel="1">
      <c r="A2967" s="418" t="str">
        <f t="shared" si="109"/>
        <v>SNB960797798422</v>
      </c>
      <c r="B2967" s="492">
        <v>129824478</v>
      </c>
      <c r="C2967" s="88">
        <f>+SUMIF('Anlage 2b_Korrekturen'!$B$234:$B$693,A2967,'Anlage 2b_Korrekturen'!$D$234:$D$693)</f>
        <v>0</v>
      </c>
      <c r="D2967" s="135">
        <f t="shared" si="111"/>
        <v>129824478</v>
      </c>
      <c r="E2967" s="133"/>
      <c r="F2967" s="133"/>
      <c r="G2967" s="133"/>
      <c r="H2967" s="133"/>
      <c r="I2967" s="92"/>
      <c r="J2967" s="133" t="str">
        <f t="shared" si="110"/>
        <v>Stadtwerke Neu-Isenburg GmbH</v>
      </c>
    </row>
    <row r="2968" spans="1:10" hidden="1" outlineLevel="1">
      <c r="A2968" s="418" t="str">
        <f t="shared" ref="A2968:A3031" si="112">A2045</f>
        <v>SNB960884494671</v>
      </c>
      <c r="B2968" s="492">
        <v>86540861</v>
      </c>
      <c r="C2968" s="88">
        <f>+SUMIF('Anlage 2b_Korrekturen'!$B$234:$B$693,A2968,'Anlage 2b_Korrekturen'!$D$234:$D$693)</f>
        <v>0</v>
      </c>
      <c r="D2968" s="135">
        <f t="shared" si="111"/>
        <v>86540861</v>
      </c>
      <c r="E2968" s="133"/>
      <c r="F2968" s="133"/>
      <c r="G2968" s="133"/>
      <c r="H2968" s="133"/>
      <c r="I2968" s="92"/>
      <c r="J2968" s="133" t="str">
        <f t="shared" ref="J2968:J3031" si="113">J2045</f>
        <v>InfraServ GmbH &amp; Co. Wiesbaden KG</v>
      </c>
    </row>
    <row r="2969" spans="1:10" hidden="1" outlineLevel="1">
      <c r="A2969" s="418" t="str">
        <f t="shared" si="112"/>
        <v>SNB961322866920</v>
      </c>
      <c r="B2969" s="492">
        <v>29621081</v>
      </c>
      <c r="C2969" s="88">
        <f>+SUMIF('Anlage 2b_Korrekturen'!$B$234:$B$693,A2969,'Anlage 2b_Korrekturen'!$D$234:$D$693)</f>
        <v>-116321</v>
      </c>
      <c r="D2969" s="135">
        <f t="shared" si="111"/>
        <v>29504760</v>
      </c>
      <c r="E2969" s="133"/>
      <c r="F2969" s="133"/>
      <c r="G2969" s="133"/>
      <c r="H2969" s="133"/>
      <c r="I2969" s="92"/>
      <c r="J2969" s="133" t="str">
        <f t="shared" si="113"/>
        <v>Gemeindewerke Herxheim - Elektrizitätswerk -</v>
      </c>
    </row>
    <row r="2970" spans="1:10" hidden="1" outlineLevel="1">
      <c r="A2970" s="418" t="str">
        <f t="shared" si="112"/>
        <v>SNB961471621746</v>
      </c>
      <c r="B2970" s="492">
        <v>1812784782</v>
      </c>
      <c r="C2970" s="88">
        <f>+SUMIF('Anlage 2b_Korrekturen'!$B$234:$B$693,A2970,'Anlage 2b_Korrekturen'!$D$234:$D$693)</f>
        <v>0</v>
      </c>
      <c r="D2970" s="135">
        <f t="shared" si="111"/>
        <v>1812784782</v>
      </c>
      <c r="E2970" s="133"/>
      <c r="F2970" s="133"/>
      <c r="G2970" s="133"/>
      <c r="H2970" s="133"/>
      <c r="I2970" s="92"/>
      <c r="J2970" s="133" t="str">
        <f t="shared" si="113"/>
        <v>Pfalzwerke Netz AG</v>
      </c>
    </row>
    <row r="2971" spans="1:10" hidden="1" outlineLevel="1">
      <c r="A2971" s="418" t="str">
        <f t="shared" si="112"/>
        <v>SNB961497906636</v>
      </c>
      <c r="B2971" s="492">
        <v>394969917</v>
      </c>
      <c r="C2971" s="88">
        <f>+SUMIF('Anlage 2b_Korrekturen'!$B$234:$B$693,A2971,'Anlage 2b_Korrekturen'!$D$234:$D$693)</f>
        <v>-9194450</v>
      </c>
      <c r="D2971" s="135">
        <f t="shared" si="111"/>
        <v>385775467</v>
      </c>
      <c r="E2971" s="133"/>
      <c r="F2971" s="133"/>
      <c r="G2971" s="133"/>
      <c r="H2971" s="133"/>
      <c r="I2971" s="92"/>
      <c r="J2971" s="133" t="str">
        <f t="shared" si="113"/>
        <v>GELSENWASSER Energienetze GmbH</v>
      </c>
    </row>
    <row r="2972" spans="1:10" hidden="1" outlineLevel="1">
      <c r="A2972" s="418" t="str">
        <f t="shared" si="112"/>
        <v>SNB961745390019</v>
      </c>
      <c r="B2972" s="492">
        <v>217661630</v>
      </c>
      <c r="C2972" s="88">
        <f>+SUMIF('Anlage 2b_Korrekturen'!$B$234:$B$693,A2972,'Anlage 2b_Korrekturen'!$D$234:$D$693)</f>
        <v>463854</v>
      </c>
      <c r="D2972" s="135">
        <f t="shared" si="111"/>
        <v>218125484</v>
      </c>
      <c r="E2972" s="133"/>
      <c r="F2972" s="133"/>
      <c r="G2972" s="133"/>
      <c r="H2972" s="133"/>
      <c r="I2972" s="92"/>
      <c r="J2972" s="133" t="str">
        <f t="shared" si="113"/>
        <v>Stadtwerke Frankenthal GmbH</v>
      </c>
    </row>
    <row r="2973" spans="1:10" hidden="1" outlineLevel="1">
      <c r="A2973" s="418" t="str">
        <f t="shared" si="112"/>
        <v>SNB962064980332</v>
      </c>
      <c r="B2973" s="492">
        <v>15205087</v>
      </c>
      <c r="C2973" s="88">
        <f>+SUMIF('Anlage 2b_Korrekturen'!$B$234:$B$693,A2973,'Anlage 2b_Korrekturen'!$D$234:$D$693)</f>
        <v>-156274</v>
      </c>
      <c r="D2973" s="135">
        <f t="shared" si="111"/>
        <v>15048813</v>
      </c>
      <c r="E2973" s="133"/>
      <c r="F2973" s="133"/>
      <c r="G2973" s="133"/>
      <c r="H2973" s="133"/>
      <c r="I2973" s="92"/>
      <c r="J2973" s="133" t="str">
        <f t="shared" si="113"/>
        <v>Nahwerk-Energie GmbH &amp; Co. KG</v>
      </c>
    </row>
    <row r="2974" spans="1:10" hidden="1" outlineLevel="1">
      <c r="A2974" s="418" t="str">
        <f t="shared" si="112"/>
        <v>SNB963671951227</v>
      </c>
      <c r="B2974" s="492">
        <v>427510570</v>
      </c>
      <c r="C2974" s="88">
        <f>+SUMIF('Anlage 2b_Korrekturen'!$B$234:$B$693,A2974,'Anlage 2b_Korrekturen'!$D$234:$D$693)</f>
        <v>-5966259</v>
      </c>
      <c r="D2974" s="135">
        <f t="shared" si="111"/>
        <v>421544311</v>
      </c>
      <c r="E2974" s="133"/>
      <c r="F2974" s="133"/>
      <c r="G2974" s="133"/>
      <c r="H2974" s="133"/>
      <c r="I2974" s="92"/>
      <c r="J2974" s="133" t="str">
        <f t="shared" si="113"/>
        <v>Stadtwerke Herne AG</v>
      </c>
    </row>
    <row r="2975" spans="1:10" hidden="1" outlineLevel="1">
      <c r="A2975" s="418" t="str">
        <f t="shared" si="112"/>
        <v>SNB964262506406</v>
      </c>
      <c r="B2975" s="492">
        <v>89345297</v>
      </c>
      <c r="C2975" s="88">
        <f>+SUMIF('Anlage 2b_Korrekturen'!$B$234:$B$693,A2975,'Anlage 2b_Korrekturen'!$D$234:$D$693)</f>
        <v>0</v>
      </c>
      <c r="D2975" s="135">
        <f t="shared" si="111"/>
        <v>89345297</v>
      </c>
      <c r="E2975" s="133"/>
      <c r="F2975" s="133"/>
      <c r="G2975" s="133"/>
      <c r="H2975" s="133"/>
      <c r="I2975" s="92"/>
      <c r="J2975" s="133" t="str">
        <f t="shared" si="113"/>
        <v>Stadtwerke Radevormwald GmbH</v>
      </c>
    </row>
    <row r="2976" spans="1:10" hidden="1" outlineLevel="1">
      <c r="A2976" s="418" t="str">
        <f t="shared" si="112"/>
        <v>SNB964592501355</v>
      </c>
      <c r="B2976" s="492">
        <v>173355701</v>
      </c>
      <c r="C2976" s="88">
        <f>+SUMIF('Anlage 2b_Korrekturen'!$B$234:$B$693,A2976,'Anlage 2b_Korrekturen'!$D$234:$D$693)</f>
        <v>53241</v>
      </c>
      <c r="D2976" s="135">
        <f t="shared" si="111"/>
        <v>173408942</v>
      </c>
      <c r="E2976" s="133"/>
      <c r="F2976" s="133"/>
      <c r="G2976" s="133"/>
      <c r="H2976" s="133"/>
      <c r="I2976" s="92"/>
      <c r="J2976" s="133" t="str">
        <f t="shared" si="113"/>
        <v>Hertener Stadtwerke GmbH</v>
      </c>
    </row>
    <row r="2977" spans="1:10" hidden="1" outlineLevel="1">
      <c r="A2977" s="418" t="str">
        <f t="shared" si="112"/>
        <v>SNB965107360993</v>
      </c>
      <c r="B2977" s="492">
        <v>119445183</v>
      </c>
      <c r="C2977" s="88">
        <f>+SUMIF('Anlage 2b_Korrekturen'!$B$234:$B$693,A2977,'Anlage 2b_Korrekturen'!$D$234:$D$693)</f>
        <v>81790</v>
      </c>
      <c r="D2977" s="135">
        <f t="shared" si="111"/>
        <v>119526973</v>
      </c>
      <c r="E2977" s="133"/>
      <c r="F2977" s="133"/>
      <c r="G2977" s="133"/>
      <c r="H2977" s="133"/>
      <c r="I2977" s="92"/>
      <c r="J2977" s="133" t="str">
        <f t="shared" si="113"/>
        <v>Stadtwerke Geldern Netz GmbH</v>
      </c>
    </row>
    <row r="2978" spans="1:10" hidden="1" outlineLevel="1">
      <c r="A2978" s="418" t="str">
        <f t="shared" si="112"/>
        <v>SNB965118678667</v>
      </c>
      <c r="B2978" s="492">
        <v>162126286</v>
      </c>
      <c r="C2978" s="88">
        <f>+SUMIF('Anlage 2b_Korrekturen'!$B$234:$B$693,A2978,'Anlage 2b_Korrekturen'!$D$234:$D$693)</f>
        <v>421765</v>
      </c>
      <c r="D2978" s="135">
        <f t="shared" si="111"/>
        <v>162548051</v>
      </c>
      <c r="E2978" s="133"/>
      <c r="F2978" s="133"/>
      <c r="G2978" s="133"/>
      <c r="H2978" s="133"/>
      <c r="I2978" s="92"/>
      <c r="J2978" s="133" t="str">
        <f t="shared" si="113"/>
        <v>Stadtwerke Soest GmbH</v>
      </c>
    </row>
    <row r="2979" spans="1:10" hidden="1" outlineLevel="1">
      <c r="A2979" s="418" t="str">
        <f t="shared" si="112"/>
        <v>SNB965164398427</v>
      </c>
      <c r="B2979" s="492">
        <v>264015871</v>
      </c>
      <c r="C2979" s="88">
        <f>+SUMIF('Anlage 2b_Korrekturen'!$B$234:$B$693,A2979,'Anlage 2b_Korrekturen'!$D$234:$D$693)</f>
        <v>0</v>
      </c>
      <c r="D2979" s="135">
        <f t="shared" si="111"/>
        <v>264015871</v>
      </c>
      <c r="E2979" s="133"/>
      <c r="F2979" s="133"/>
      <c r="G2979" s="133"/>
      <c r="H2979" s="133"/>
      <c r="I2979" s="92"/>
      <c r="J2979" s="133" t="str">
        <f t="shared" si="113"/>
        <v>Fraport AG</v>
      </c>
    </row>
    <row r="2980" spans="1:10" hidden="1" outlineLevel="1">
      <c r="A2980" s="418" t="str">
        <f t="shared" si="112"/>
        <v>SNB965281540327</v>
      </c>
      <c r="B2980" s="492">
        <v>232774554</v>
      </c>
      <c r="C2980" s="88">
        <f>+SUMIF('Anlage 2b_Korrekturen'!$B$234:$B$693,A2980,'Anlage 2b_Korrekturen'!$D$234:$D$693)</f>
        <v>-13888841</v>
      </c>
      <c r="D2980" s="135">
        <f t="shared" si="111"/>
        <v>218885713</v>
      </c>
      <c r="E2980" s="133"/>
      <c r="F2980" s="133"/>
      <c r="G2980" s="133"/>
      <c r="H2980" s="133"/>
      <c r="I2980" s="92"/>
      <c r="J2980" s="133" t="str">
        <f t="shared" si="113"/>
        <v>Energieversorgung Limburg GmbH</v>
      </c>
    </row>
    <row r="2981" spans="1:10" hidden="1" outlineLevel="1">
      <c r="A2981" s="418" t="str">
        <f t="shared" si="112"/>
        <v>SNB965379905076</v>
      </c>
      <c r="B2981" s="492">
        <v>139043207</v>
      </c>
      <c r="C2981" s="88">
        <f>+SUMIF('Anlage 2b_Korrekturen'!$B$234:$B$693,A2981,'Anlage 2b_Korrekturen'!$D$234:$D$693)</f>
        <v>0</v>
      </c>
      <c r="D2981" s="135">
        <f t="shared" si="111"/>
        <v>139043207</v>
      </c>
      <c r="E2981" s="133"/>
      <c r="F2981" s="133"/>
      <c r="G2981" s="133"/>
      <c r="H2981" s="133"/>
      <c r="I2981" s="92"/>
      <c r="J2981" s="133" t="str">
        <f t="shared" si="113"/>
        <v>Stadtwerke Langen GmbH</v>
      </c>
    </row>
    <row r="2982" spans="1:10" hidden="1" outlineLevel="1">
      <c r="A2982" s="418" t="str">
        <f t="shared" si="112"/>
        <v>SNB966808200267</v>
      </c>
      <c r="B2982" s="492">
        <v>347740306</v>
      </c>
      <c r="C2982" s="88">
        <f>+SUMIF('Anlage 2b_Korrekturen'!$B$234:$B$693,A2982,'Anlage 2b_Korrekturen'!$D$234:$D$693)</f>
        <v>0</v>
      </c>
      <c r="D2982" s="135">
        <f t="shared" si="111"/>
        <v>347740306</v>
      </c>
      <c r="E2982" s="133"/>
      <c r="F2982" s="133"/>
      <c r="G2982" s="133"/>
      <c r="H2982" s="133"/>
      <c r="I2982" s="92"/>
      <c r="J2982" s="133" t="str">
        <f t="shared" si="113"/>
        <v>Vereinigte Wertach-Elektrizitätswerke GmbH</v>
      </c>
    </row>
    <row r="2983" spans="1:10" hidden="1" outlineLevel="1">
      <c r="A2983" s="418" t="str">
        <f t="shared" si="112"/>
        <v>SNB966809778161</v>
      </c>
      <c r="B2983" s="492">
        <v>105988231</v>
      </c>
      <c r="C2983" s="88">
        <f>+SUMIF('Anlage 2b_Korrekturen'!$B$234:$B$693,A2983,'Anlage 2b_Korrekturen'!$D$234:$D$693)</f>
        <v>0</v>
      </c>
      <c r="D2983" s="135">
        <f t="shared" si="111"/>
        <v>105988231</v>
      </c>
      <c r="E2983" s="133"/>
      <c r="F2983" s="133"/>
      <c r="G2983" s="133"/>
      <c r="H2983" s="133"/>
      <c r="I2983" s="92"/>
      <c r="J2983" s="133" t="str">
        <f t="shared" si="113"/>
        <v>Stadtwerke Groß-Gerau Versorgungs GmbH</v>
      </c>
    </row>
    <row r="2984" spans="1:10" hidden="1" outlineLevel="1">
      <c r="A2984" s="418" t="str">
        <f t="shared" si="112"/>
        <v>SNB966813503780</v>
      </c>
      <c r="B2984" s="492">
        <v>446270674</v>
      </c>
      <c r="C2984" s="88">
        <f>+SUMIF('Anlage 2b_Korrekturen'!$B$234:$B$693,A2984,'Anlage 2b_Korrekturen'!$D$234:$D$693)</f>
        <v>-4127660</v>
      </c>
      <c r="D2984" s="135">
        <f t="shared" si="111"/>
        <v>442143014</v>
      </c>
      <c r="E2984" s="133"/>
      <c r="F2984" s="133"/>
      <c r="G2984" s="133"/>
      <c r="H2984" s="133"/>
      <c r="I2984" s="92"/>
      <c r="J2984" s="133" t="str">
        <f t="shared" si="113"/>
        <v>SWT Stadtwerke Trier Versorgungs-GmbH</v>
      </c>
    </row>
    <row r="2985" spans="1:10" hidden="1" outlineLevel="1">
      <c r="A2985" s="418" t="str">
        <f t="shared" si="112"/>
        <v>SNB966823215826</v>
      </c>
      <c r="B2985" s="492">
        <v>3025603</v>
      </c>
      <c r="C2985" s="88">
        <f>+SUMIF('Anlage 2b_Korrekturen'!$B$234:$B$693,A2985,'Anlage 2b_Korrekturen'!$D$234:$D$693)</f>
        <v>43709</v>
      </c>
      <c r="D2985" s="135">
        <f t="shared" si="111"/>
        <v>3069312</v>
      </c>
      <c r="E2985" s="133"/>
      <c r="F2985" s="133"/>
      <c r="G2985" s="133"/>
      <c r="H2985" s="133"/>
      <c r="I2985" s="92"/>
      <c r="J2985" s="133" t="str">
        <f t="shared" si="113"/>
        <v>Talwerk GmbH</v>
      </c>
    </row>
    <row r="2986" spans="1:10" hidden="1" outlineLevel="1">
      <c r="A2986" s="418" t="str">
        <f t="shared" si="112"/>
        <v>SNB967148688999</v>
      </c>
      <c r="B2986" s="492">
        <v>117102884</v>
      </c>
      <c r="C2986" s="88">
        <f>+SUMIF('Anlage 2b_Korrekturen'!$B$234:$B$693,A2986,'Anlage 2b_Korrekturen'!$D$234:$D$693)</f>
        <v>4658334</v>
      </c>
      <c r="D2986" s="135">
        <f t="shared" si="111"/>
        <v>121761218</v>
      </c>
      <c r="E2986" s="133"/>
      <c r="F2986" s="133"/>
      <c r="G2986" s="133"/>
      <c r="H2986" s="133"/>
      <c r="I2986" s="92"/>
      <c r="J2986" s="133" t="str">
        <f t="shared" si="113"/>
        <v>SWL Verteilungsnetzgesellschaft mbH</v>
      </c>
    </row>
    <row r="2987" spans="1:10" hidden="1" outlineLevel="1">
      <c r="A2987" s="418" t="str">
        <f t="shared" si="112"/>
        <v>SNB967794191157</v>
      </c>
      <c r="B2987" s="492">
        <v>693611943</v>
      </c>
      <c r="C2987" s="88">
        <f>+SUMIF('Anlage 2b_Korrekturen'!$B$234:$B$693,A2987,'Anlage 2b_Korrekturen'!$D$234:$D$693)</f>
        <v>6562347</v>
      </c>
      <c r="D2987" s="135">
        <f t="shared" si="111"/>
        <v>700174290</v>
      </c>
      <c r="E2987" s="133"/>
      <c r="F2987" s="133"/>
      <c r="G2987" s="133"/>
      <c r="H2987" s="133"/>
      <c r="I2987" s="92"/>
      <c r="J2987" s="133" t="str">
        <f t="shared" si="113"/>
        <v>AVU Netz GmbH</v>
      </c>
    </row>
    <row r="2988" spans="1:10" hidden="1" outlineLevel="1">
      <c r="A2988" s="418" t="str">
        <f t="shared" si="112"/>
        <v>SNB968648650424</v>
      </c>
      <c r="B2988" s="492">
        <v>10742421</v>
      </c>
      <c r="C2988" s="88">
        <f>+SUMIF('Anlage 2b_Korrekturen'!$B$234:$B$693,A2988,'Anlage 2b_Korrekturen'!$D$234:$D$693)</f>
        <v>-16113</v>
      </c>
      <c r="D2988" s="135">
        <f t="shared" ref="D2988:D3051" si="114">B2988+C2988</f>
        <v>10726308</v>
      </c>
      <c r="E2988" s="133"/>
      <c r="F2988" s="133"/>
      <c r="G2988" s="133"/>
      <c r="H2988" s="133"/>
      <c r="I2988" s="92"/>
      <c r="J2988" s="133" t="str">
        <f t="shared" si="113"/>
        <v>Stadtwerke Wachenheim</v>
      </c>
    </row>
    <row r="2989" spans="1:10" hidden="1" outlineLevel="1">
      <c r="A2989" s="418" t="str">
        <f t="shared" si="112"/>
        <v>SNB968670865650</v>
      </c>
      <c r="B2989" s="492">
        <v>489979982</v>
      </c>
      <c r="C2989" s="88">
        <f>+SUMIF('Anlage 2b_Korrekturen'!$B$234:$B$693,A2989,'Anlage 2b_Korrekturen'!$D$234:$D$693)</f>
        <v>4312765</v>
      </c>
      <c r="D2989" s="135">
        <f t="shared" si="114"/>
        <v>494292747</v>
      </c>
      <c r="E2989" s="133"/>
      <c r="F2989" s="133"/>
      <c r="G2989" s="133"/>
      <c r="H2989" s="133"/>
      <c r="I2989" s="92"/>
      <c r="J2989" s="133" t="str">
        <f t="shared" si="113"/>
        <v>GGEW, Gruppen-Gas- und Elektrizitätswerk Bergstraße AG</v>
      </c>
    </row>
    <row r="2990" spans="1:10" hidden="1" outlineLevel="1">
      <c r="A2990" s="418" t="str">
        <f t="shared" si="112"/>
        <v>SNB968694358282</v>
      </c>
      <c r="B2990" s="492">
        <v>91100480</v>
      </c>
      <c r="C2990" s="88">
        <f>+SUMIF('Anlage 2b_Korrekturen'!$B$234:$B$693,A2990,'Anlage 2b_Korrekturen'!$D$234:$D$693)</f>
        <v>0</v>
      </c>
      <c r="D2990" s="135">
        <f t="shared" si="114"/>
        <v>91100480</v>
      </c>
      <c r="E2990" s="133"/>
      <c r="F2990" s="133"/>
      <c r="G2990" s="133"/>
      <c r="H2990" s="133"/>
      <c r="I2990" s="92"/>
      <c r="J2990" s="133" t="str">
        <f t="shared" si="113"/>
        <v>Stadtwerke Heiligenhaus GmbH</v>
      </c>
    </row>
    <row r="2991" spans="1:10" hidden="1" outlineLevel="1">
      <c r="A2991" s="418" t="str">
        <f t="shared" si="112"/>
        <v>SNB969058795651</v>
      </c>
      <c r="B2991" s="492">
        <v>248457752</v>
      </c>
      <c r="C2991" s="88">
        <f>+SUMIF('Anlage 2b_Korrekturen'!$B$234:$B$693,A2991,'Anlage 2b_Korrekturen'!$D$234:$D$693)</f>
        <v>-13994582</v>
      </c>
      <c r="D2991" s="135">
        <f t="shared" si="114"/>
        <v>234463170</v>
      </c>
      <c r="E2991" s="133"/>
      <c r="F2991" s="133"/>
      <c r="G2991" s="133"/>
      <c r="H2991" s="133"/>
      <c r="I2991" s="92"/>
      <c r="J2991" s="133" t="str">
        <f t="shared" si="113"/>
        <v>Stadtwerke Waiblingen GmbH</v>
      </c>
    </row>
    <row r="2992" spans="1:10" hidden="1" outlineLevel="1">
      <c r="A2992" s="418" t="str">
        <f t="shared" si="112"/>
        <v>SNB969068596941</v>
      </c>
      <c r="B2992" s="492">
        <v>1240078623</v>
      </c>
      <c r="C2992" s="88">
        <f>+SUMIF('Anlage 2b_Korrekturen'!$B$234:$B$693,A2992,'Anlage 2b_Korrekturen'!$D$234:$D$693)</f>
        <v>-10500181</v>
      </c>
      <c r="D2992" s="135">
        <f t="shared" si="114"/>
        <v>1229578442</v>
      </c>
      <c r="E2992" s="133"/>
      <c r="F2992" s="133"/>
      <c r="G2992" s="133"/>
      <c r="H2992" s="133"/>
      <c r="I2992" s="92"/>
      <c r="J2992" s="133" t="str">
        <f t="shared" si="113"/>
        <v>EWR Netz GmbH</v>
      </c>
    </row>
    <row r="2993" spans="1:10" hidden="1" outlineLevel="1">
      <c r="A2993" s="418" t="str">
        <f t="shared" si="112"/>
        <v>SNB969345305204</v>
      </c>
      <c r="B2993" s="492">
        <v>117888175</v>
      </c>
      <c r="C2993" s="88">
        <f>+SUMIF('Anlage 2b_Korrekturen'!$B$234:$B$693,A2993,'Anlage 2b_Korrekturen'!$D$234:$D$693)</f>
        <v>-89725</v>
      </c>
      <c r="D2993" s="135">
        <f t="shared" si="114"/>
        <v>117798450</v>
      </c>
      <c r="E2993" s="133"/>
      <c r="F2993" s="133"/>
      <c r="G2993" s="133"/>
      <c r="H2993" s="133"/>
      <c r="I2993" s="92"/>
      <c r="J2993" s="133" t="str">
        <f t="shared" si="113"/>
        <v>Stadtwerke Warendorf GmbH</v>
      </c>
    </row>
    <row r="2994" spans="1:10" hidden="1" outlineLevel="1">
      <c r="A2994" s="418" t="str">
        <f t="shared" si="112"/>
        <v>SNB969362778135</v>
      </c>
      <c r="B2994" s="492">
        <v>510095750</v>
      </c>
      <c r="C2994" s="88">
        <f>+SUMIF('Anlage 2b_Korrekturen'!$B$234:$B$693,A2994,'Anlage 2b_Korrekturen'!$D$234:$D$693)</f>
        <v>0</v>
      </c>
      <c r="D2994" s="135">
        <f t="shared" si="114"/>
        <v>510095750</v>
      </c>
      <c r="E2994" s="133"/>
      <c r="F2994" s="133"/>
      <c r="G2994" s="133"/>
      <c r="H2994" s="133"/>
      <c r="I2994" s="92"/>
      <c r="J2994" s="133" t="str">
        <f t="shared" si="113"/>
        <v>SWS Netze Solingen GmbH</v>
      </c>
    </row>
    <row r="2995" spans="1:10" hidden="1" outlineLevel="1">
      <c r="A2995" s="418" t="str">
        <f t="shared" si="112"/>
        <v>SNB969688824103</v>
      </c>
      <c r="B2995" s="492">
        <v>30970705</v>
      </c>
      <c r="C2995" s="88">
        <f>+SUMIF('Anlage 2b_Korrekturen'!$B$234:$B$693,A2995,'Anlage 2b_Korrekturen'!$D$234:$D$693)</f>
        <v>129934</v>
      </c>
      <c r="D2995" s="135">
        <f t="shared" si="114"/>
        <v>31100639</v>
      </c>
      <c r="E2995" s="133"/>
      <c r="F2995" s="133"/>
      <c r="G2995" s="133"/>
      <c r="H2995" s="133"/>
      <c r="I2995" s="92"/>
      <c r="J2995" s="133" t="str">
        <f t="shared" si="113"/>
        <v>Gemeindewerke Kirkel GmbH</v>
      </c>
    </row>
    <row r="2996" spans="1:10" hidden="1" outlineLevel="1">
      <c r="A2996" s="418" t="str">
        <f t="shared" si="112"/>
        <v>SNB969826201797</v>
      </c>
      <c r="B2996" s="492">
        <v>213204511</v>
      </c>
      <c r="C2996" s="88">
        <f>+SUMIF('Anlage 2b_Korrekturen'!$B$234:$B$693,A2996,'Anlage 2b_Korrekturen'!$D$234:$D$693)</f>
        <v>3539643</v>
      </c>
      <c r="D2996" s="135">
        <f t="shared" si="114"/>
        <v>216744154</v>
      </c>
      <c r="E2996" s="133"/>
      <c r="F2996" s="133"/>
      <c r="G2996" s="133"/>
      <c r="H2996" s="133"/>
      <c r="I2996" s="92"/>
      <c r="J2996" s="133" t="str">
        <f t="shared" si="113"/>
        <v>Stadtwerke Hilden GmbH</v>
      </c>
    </row>
    <row r="2997" spans="1:10" hidden="1" outlineLevel="1">
      <c r="A2997" s="418" t="str">
        <f t="shared" si="112"/>
        <v>SNB971007500575</v>
      </c>
      <c r="B2997" s="492">
        <v>170690422</v>
      </c>
      <c r="C2997" s="88">
        <f>+SUMIF('Anlage 2b_Korrekturen'!$B$234:$B$693,A2997,'Anlage 2b_Korrekturen'!$D$234:$D$693)</f>
        <v>0</v>
      </c>
      <c r="D2997" s="135">
        <f t="shared" si="114"/>
        <v>170690422</v>
      </c>
      <c r="E2997" s="133"/>
      <c r="F2997" s="133"/>
      <c r="G2997" s="133"/>
      <c r="H2997" s="133"/>
      <c r="I2997" s="92"/>
      <c r="J2997" s="133" t="str">
        <f t="shared" si="113"/>
        <v>Stadtwerke Witten GmbH</v>
      </c>
    </row>
    <row r="2998" spans="1:10" hidden="1" outlineLevel="1">
      <c r="A2998" s="418" t="str">
        <f t="shared" si="112"/>
        <v>SNB971155221315</v>
      </c>
      <c r="B2998" s="492">
        <v>82040711</v>
      </c>
      <c r="C2998" s="88">
        <f>+SUMIF('Anlage 2b_Korrekturen'!$B$234:$B$693,A2998,'Anlage 2b_Korrekturen'!$D$234:$D$693)</f>
        <v>0</v>
      </c>
      <c r="D2998" s="135">
        <f t="shared" si="114"/>
        <v>82040711</v>
      </c>
      <c r="E2998" s="133"/>
      <c r="F2998" s="133"/>
      <c r="G2998" s="133"/>
      <c r="H2998" s="133"/>
      <c r="I2998" s="92"/>
      <c r="J2998" s="133" t="str">
        <f t="shared" si="113"/>
        <v>Flughafen Köln/Bonn GmbH</v>
      </c>
    </row>
    <row r="2999" spans="1:10" hidden="1" outlineLevel="1">
      <c r="A2999" s="418" t="str">
        <f t="shared" si="112"/>
        <v>SNB971169136186</v>
      </c>
      <c r="B2999" s="492">
        <v>45152831</v>
      </c>
      <c r="C2999" s="88">
        <f>+SUMIF('Anlage 2b_Korrekturen'!$B$234:$B$693,A2999,'Anlage 2b_Korrekturen'!$D$234:$D$693)</f>
        <v>0</v>
      </c>
      <c r="D2999" s="135">
        <f t="shared" si="114"/>
        <v>45152831</v>
      </c>
      <c r="E2999" s="133"/>
      <c r="F2999" s="133"/>
      <c r="G2999" s="133"/>
      <c r="H2999" s="133"/>
      <c r="I2999" s="92"/>
      <c r="J2999" s="133" t="str">
        <f t="shared" si="113"/>
        <v>Weißachtal-Kraftwerke eG</v>
      </c>
    </row>
    <row r="3000" spans="1:10" hidden="1" outlineLevel="1">
      <c r="A3000" s="418" t="str">
        <f t="shared" si="112"/>
        <v>SNB971311555230</v>
      </c>
      <c r="B3000" s="492">
        <v>289570799</v>
      </c>
      <c r="C3000" s="88">
        <f>+SUMIF('Anlage 2b_Korrekturen'!$B$234:$B$693,A3000,'Anlage 2b_Korrekturen'!$D$234:$D$693)</f>
        <v>-1052536</v>
      </c>
      <c r="D3000" s="135">
        <f t="shared" si="114"/>
        <v>288518263</v>
      </c>
      <c r="E3000" s="133"/>
      <c r="F3000" s="133"/>
      <c r="G3000" s="133"/>
      <c r="H3000" s="133"/>
      <c r="I3000" s="92"/>
      <c r="J3000" s="133" t="str">
        <f t="shared" si="113"/>
        <v>EAM Netz GmbH</v>
      </c>
    </row>
    <row r="3001" spans="1:10" hidden="1" outlineLevel="1">
      <c r="A3001" s="418" t="str">
        <f t="shared" si="112"/>
        <v>SNB971503120734</v>
      </c>
      <c r="B3001" s="492">
        <v>377835265</v>
      </c>
      <c r="C3001" s="88">
        <f>+SUMIF('Anlage 2b_Korrekturen'!$B$234:$B$693,A3001,'Anlage 2b_Korrekturen'!$D$234:$D$693)</f>
        <v>-4710751</v>
      </c>
      <c r="D3001" s="135">
        <f t="shared" si="114"/>
        <v>373124514</v>
      </c>
      <c r="E3001" s="133"/>
      <c r="F3001" s="133"/>
      <c r="G3001" s="133"/>
      <c r="H3001" s="133"/>
      <c r="I3001" s="92"/>
      <c r="J3001" s="133" t="str">
        <f t="shared" si="113"/>
        <v>Stadtwerke Service Meerbusch Willich GmbH &amp; Co. KG</v>
      </c>
    </row>
    <row r="3002" spans="1:10" hidden="1" outlineLevel="1">
      <c r="A3002" s="418" t="str">
        <f t="shared" si="112"/>
        <v>SNB972040623122</v>
      </c>
      <c r="B3002" s="492">
        <v>28926493</v>
      </c>
      <c r="C3002" s="88">
        <f>+SUMIF('Anlage 2b_Korrekturen'!$B$234:$B$693,A3002,'Anlage 2b_Korrekturen'!$D$234:$D$693)</f>
        <v>-554688</v>
      </c>
      <c r="D3002" s="135">
        <f t="shared" si="114"/>
        <v>28371805</v>
      </c>
      <c r="E3002" s="133"/>
      <c r="F3002" s="133"/>
      <c r="G3002" s="133"/>
      <c r="H3002" s="133"/>
      <c r="I3002" s="92"/>
      <c r="J3002" s="133" t="str">
        <f t="shared" si="113"/>
        <v>Stadtwerke Annweiler</v>
      </c>
    </row>
    <row r="3003" spans="1:10" hidden="1" outlineLevel="1">
      <c r="A3003" s="418" t="str">
        <f t="shared" si="112"/>
        <v>SNB972046955654</v>
      </c>
      <c r="B3003" s="492">
        <v>114003563</v>
      </c>
      <c r="C3003" s="1647">
        <f>+SUMIF('Anlage 2b_Korrekturen'!$B$234:$B$693,A3003,'Anlage 2b_Korrekturen'!$D$234:$D$693)-468327</f>
        <v>4925650</v>
      </c>
      <c r="D3003" s="135">
        <f t="shared" si="114"/>
        <v>118929213</v>
      </c>
      <c r="E3003" s="133"/>
      <c r="F3003" s="133"/>
      <c r="G3003" s="133"/>
      <c r="H3003" s="133"/>
      <c r="I3003" s="92"/>
      <c r="J3003" s="133" t="str">
        <f t="shared" si="113"/>
        <v>Stadtwerke Harsewinkel GmbH</v>
      </c>
    </row>
    <row r="3004" spans="1:10" hidden="1" outlineLevel="1">
      <c r="A3004" s="418" t="str">
        <f t="shared" si="112"/>
        <v>SNB972265030262</v>
      </c>
      <c r="B3004" s="492">
        <v>9641637</v>
      </c>
      <c r="C3004" s="88">
        <f>+SUMIF('Anlage 2b_Korrekturen'!$B$234:$B$693,A3004,'Anlage 2b_Korrekturen'!$D$234:$D$693)</f>
        <v>104973</v>
      </c>
      <c r="D3004" s="135">
        <f t="shared" si="114"/>
        <v>9746610</v>
      </c>
      <c r="E3004" s="133"/>
      <c r="F3004" s="133"/>
      <c r="G3004" s="133"/>
      <c r="H3004" s="133"/>
      <c r="I3004" s="92"/>
      <c r="J3004" s="133" t="str">
        <f t="shared" si="113"/>
        <v>Gemeindewerke Münchweiler a.d. Rodalb AöR</v>
      </c>
    </row>
    <row r="3005" spans="1:10" hidden="1" outlineLevel="1">
      <c r="A3005" s="418" t="str">
        <f t="shared" si="112"/>
        <v>SNB973074326355</v>
      </c>
      <c r="B3005" s="492">
        <v>1207604664</v>
      </c>
      <c r="C3005" s="88">
        <f>+SUMIF('Anlage 2b_Korrekturen'!$B$234:$B$693,A3005,'Anlage 2b_Korrekturen'!$D$234:$D$693)</f>
        <v>25956797</v>
      </c>
      <c r="D3005" s="135">
        <f t="shared" si="114"/>
        <v>1233561461</v>
      </c>
      <c r="E3005" s="133"/>
      <c r="F3005" s="133"/>
      <c r="G3005" s="133"/>
      <c r="H3005" s="133"/>
      <c r="I3005" s="92"/>
      <c r="J3005" s="133" t="str">
        <f t="shared" si="113"/>
        <v>ELE Verteilnetz GmbH</v>
      </c>
    </row>
    <row r="3006" spans="1:10" hidden="1" outlineLevel="1">
      <c r="A3006" s="418" t="str">
        <f t="shared" si="112"/>
        <v>SNB973356062049</v>
      </c>
      <c r="B3006" s="492">
        <v>68985915</v>
      </c>
      <c r="C3006" s="88">
        <f>+SUMIF('Anlage 2b_Korrekturen'!$B$234:$B$693,A3006,'Anlage 2b_Korrekturen'!$D$234:$D$693)</f>
        <v>794104</v>
      </c>
      <c r="D3006" s="135">
        <f t="shared" si="114"/>
        <v>69780019</v>
      </c>
      <c r="E3006" s="133"/>
      <c r="F3006" s="133"/>
      <c r="G3006" s="133"/>
      <c r="H3006" s="133"/>
      <c r="I3006" s="92"/>
      <c r="J3006" s="133" t="str">
        <f t="shared" si="113"/>
        <v>Bad Honnef AG</v>
      </c>
    </row>
    <row r="3007" spans="1:10" hidden="1" outlineLevel="1">
      <c r="A3007" s="418" t="str">
        <f t="shared" si="112"/>
        <v>SNB973672371320</v>
      </c>
      <c r="B3007" s="492">
        <v>79845275</v>
      </c>
      <c r="C3007" s="88">
        <f>+SUMIF('Anlage 2b_Korrekturen'!$B$234:$B$693,A3007,'Anlage 2b_Korrekturen'!$D$234:$D$693)</f>
        <v>1064062</v>
      </c>
      <c r="D3007" s="135">
        <f t="shared" si="114"/>
        <v>80909337</v>
      </c>
      <c r="E3007" s="133"/>
      <c r="F3007" s="133"/>
      <c r="G3007" s="133"/>
      <c r="H3007" s="133"/>
      <c r="I3007" s="92"/>
      <c r="J3007" s="133" t="str">
        <f t="shared" si="113"/>
        <v>Stadtwerke Jülich GmbH</v>
      </c>
    </row>
    <row r="3008" spans="1:10" hidden="1" outlineLevel="1">
      <c r="A3008" s="418" t="str">
        <f t="shared" si="112"/>
        <v>SNB974319144116</v>
      </c>
      <c r="B3008" s="492">
        <v>24017071</v>
      </c>
      <c r="C3008" s="88">
        <f>+SUMIF('Anlage 2b_Korrekturen'!$B$234:$B$693,A3008,'Anlage 2b_Korrekturen'!$D$234:$D$693)</f>
        <v>0</v>
      </c>
      <c r="D3008" s="135">
        <f t="shared" si="114"/>
        <v>24017071</v>
      </c>
      <c r="E3008" s="133"/>
      <c r="F3008" s="133"/>
      <c r="G3008" s="133"/>
      <c r="H3008" s="133"/>
      <c r="I3008" s="92"/>
      <c r="J3008" s="133" t="str">
        <f t="shared" si="113"/>
        <v>IGS Netze GmbH</v>
      </c>
    </row>
    <row r="3009" spans="1:10" hidden="1" outlineLevel="1">
      <c r="A3009" s="418" t="str">
        <f t="shared" si="112"/>
        <v>SNB974492211483</v>
      </c>
      <c r="B3009" s="492">
        <v>340046631</v>
      </c>
      <c r="C3009" s="88">
        <f>+SUMIF('Anlage 2b_Korrekturen'!$B$234:$B$693,A3009,'Anlage 2b_Korrekturen'!$D$234:$D$693)</f>
        <v>0</v>
      </c>
      <c r="D3009" s="135">
        <f t="shared" si="114"/>
        <v>340046631</v>
      </c>
      <c r="E3009" s="133"/>
      <c r="F3009" s="133"/>
      <c r="G3009" s="133"/>
      <c r="H3009" s="133"/>
      <c r="I3009" s="92"/>
      <c r="J3009" s="133" t="str">
        <f t="shared" si="113"/>
        <v>Stadtwerke Velbert GmbH</v>
      </c>
    </row>
    <row r="3010" spans="1:10" hidden="1" outlineLevel="1">
      <c r="A3010" s="418" t="str">
        <f t="shared" si="112"/>
        <v>SNB974556654430</v>
      </c>
      <c r="B3010" s="492">
        <v>91972517</v>
      </c>
      <c r="C3010" s="88">
        <f>+SUMIF('Anlage 2b_Korrekturen'!$B$234:$B$693,A3010,'Anlage 2b_Korrekturen'!$D$234:$D$693)</f>
        <v>-66386</v>
      </c>
      <c r="D3010" s="135">
        <f t="shared" si="114"/>
        <v>91906131</v>
      </c>
      <c r="E3010" s="133"/>
      <c r="F3010" s="133"/>
      <c r="G3010" s="133"/>
      <c r="H3010" s="133"/>
      <c r="I3010" s="92"/>
      <c r="J3010" s="133" t="str">
        <f t="shared" si="113"/>
        <v>Donau-Stadtwerke Dillingen-Lauingen</v>
      </c>
    </row>
    <row r="3011" spans="1:10" hidden="1" outlineLevel="1">
      <c r="A3011" s="418" t="str">
        <f t="shared" si="112"/>
        <v>SNB974711150357</v>
      </c>
      <c r="B3011" s="492">
        <v>951678202</v>
      </c>
      <c r="C3011" s="88">
        <f>+SUMIF('Anlage 2b_Korrekturen'!$B$234:$B$693,A3011,'Anlage 2b_Korrekturen'!$D$234:$D$693)</f>
        <v>0</v>
      </c>
      <c r="D3011" s="135">
        <f t="shared" si="114"/>
        <v>951678202</v>
      </c>
      <c r="E3011" s="133"/>
      <c r="F3011" s="133"/>
      <c r="G3011" s="133"/>
      <c r="H3011" s="133"/>
      <c r="I3011" s="92"/>
      <c r="J3011" s="133" t="str">
        <f t="shared" si="113"/>
        <v>Netcur GmbH</v>
      </c>
    </row>
    <row r="3012" spans="1:10" hidden="1" outlineLevel="1">
      <c r="A3012" s="418" t="str">
        <f t="shared" si="112"/>
        <v>SNB974739102161</v>
      </c>
      <c r="B3012" s="492">
        <v>46614398</v>
      </c>
      <c r="C3012" s="88">
        <f>+SUMIF('Anlage 2b_Korrekturen'!$B$234:$B$693,A3012,'Anlage 2b_Korrekturen'!$D$234:$D$693)</f>
        <v>-137176</v>
      </c>
      <c r="D3012" s="135">
        <f t="shared" si="114"/>
        <v>46477222</v>
      </c>
      <c r="E3012" s="133"/>
      <c r="F3012" s="133"/>
      <c r="G3012" s="133"/>
      <c r="H3012" s="133"/>
      <c r="I3012" s="92"/>
      <c r="J3012" s="133" t="str">
        <f t="shared" si="113"/>
        <v>T.W.O. Technische Werke Osning GmbH</v>
      </c>
    </row>
    <row r="3013" spans="1:10" hidden="1" outlineLevel="1">
      <c r="A3013" s="418" t="str">
        <f t="shared" si="112"/>
        <v>SNB975680234468</v>
      </c>
      <c r="B3013" s="492">
        <v>125354173</v>
      </c>
      <c r="C3013" s="88">
        <f>+SUMIF('Anlage 2b_Korrekturen'!$B$234:$B$693,A3013,'Anlage 2b_Korrekturen'!$D$234:$D$693)</f>
        <v>0</v>
      </c>
      <c r="D3013" s="135">
        <f t="shared" si="114"/>
        <v>125354173</v>
      </c>
      <c r="E3013" s="133"/>
      <c r="F3013" s="133"/>
      <c r="G3013" s="133"/>
      <c r="H3013" s="133"/>
      <c r="I3013" s="92"/>
      <c r="J3013" s="133" t="str">
        <f t="shared" si="113"/>
        <v>Stadtwerke Witten Mittelspannungsnetz GmbH</v>
      </c>
    </row>
    <row r="3014" spans="1:10" hidden="1" outlineLevel="1">
      <c r="A3014" s="418" t="str">
        <f t="shared" si="112"/>
        <v>SNB976379598847</v>
      </c>
      <c r="B3014" s="492">
        <v>1172376853</v>
      </c>
      <c r="C3014" s="88">
        <f>+SUMIF('Anlage 2b_Korrekturen'!$B$234:$B$693,A3014,'Anlage 2b_Korrekturen'!$D$234:$D$693)</f>
        <v>-1716830</v>
      </c>
      <c r="D3014" s="135">
        <f t="shared" si="114"/>
        <v>1170660023</v>
      </c>
      <c r="E3014" s="133"/>
      <c r="F3014" s="133"/>
      <c r="G3014" s="133"/>
      <c r="H3014" s="133"/>
      <c r="I3014" s="92"/>
      <c r="J3014" s="133" t="str">
        <f t="shared" si="113"/>
        <v>energis-Netzgesellschaft mbH</v>
      </c>
    </row>
    <row r="3015" spans="1:10" hidden="1" outlineLevel="1">
      <c r="A3015" s="418" t="str">
        <f t="shared" si="112"/>
        <v>SNB976890256486</v>
      </c>
      <c r="B3015" s="492">
        <v>2919540943</v>
      </c>
      <c r="C3015" s="88">
        <f>+SUMIF('Anlage 2b_Korrekturen'!$B$234:$B$693,A3015,'Anlage 2b_Korrekturen'!$D$234:$D$693)</f>
        <v>0</v>
      </c>
      <c r="D3015" s="135">
        <f t="shared" si="114"/>
        <v>2919540943</v>
      </c>
      <c r="E3015" s="133"/>
      <c r="F3015" s="133"/>
      <c r="G3015" s="133"/>
      <c r="H3015" s="133"/>
      <c r="I3015" s="92"/>
      <c r="J3015" s="133" t="str">
        <f t="shared" si="113"/>
        <v>Amprion GmbH</v>
      </c>
    </row>
    <row r="3016" spans="1:10" hidden="1" outlineLevel="1">
      <c r="A3016" s="418" t="str">
        <f t="shared" si="112"/>
        <v>SNB977443469322</v>
      </c>
      <c r="B3016" s="492">
        <v>201993241</v>
      </c>
      <c r="C3016" s="1650">
        <v>12893906</v>
      </c>
      <c r="D3016" s="135">
        <f t="shared" si="114"/>
        <v>214887147</v>
      </c>
      <c r="E3016" s="133"/>
      <c r="F3016" s="133"/>
      <c r="G3016" s="133"/>
      <c r="H3016" s="133"/>
      <c r="I3016" s="92"/>
      <c r="J3016" s="133" t="str">
        <f t="shared" si="113"/>
        <v>LokalWerke GmbH</v>
      </c>
    </row>
    <row r="3017" spans="1:10" hidden="1" outlineLevel="1">
      <c r="A3017" s="418" t="str">
        <f t="shared" si="112"/>
        <v>SNB977443469322</v>
      </c>
      <c r="B3017" s="492">
        <v>163144153</v>
      </c>
      <c r="C3017" s="1650">
        <v>2340726</v>
      </c>
      <c r="D3017" s="1649">
        <v>163144153</v>
      </c>
      <c r="E3017" s="133"/>
      <c r="F3017" s="133"/>
      <c r="G3017" s="133"/>
      <c r="H3017" s="133"/>
      <c r="I3017" s="92"/>
      <c r="J3017" s="133" t="str">
        <f t="shared" si="113"/>
        <v>LokalWerke GmbH</v>
      </c>
    </row>
    <row r="3018" spans="1:10" hidden="1" outlineLevel="1">
      <c r="A3018" s="418" t="str">
        <f t="shared" si="112"/>
        <v>SNB977451702473</v>
      </c>
      <c r="B3018" s="492">
        <v>4959848</v>
      </c>
      <c r="C3018" s="88">
        <f>+SUMIF('Anlage 2b_Korrekturen'!$B$234:$B$693,A3018,'Anlage 2b_Korrekturen'!$D$234:$D$693)</f>
        <v>367155</v>
      </c>
      <c r="D3018" s="135">
        <f t="shared" si="114"/>
        <v>5327003</v>
      </c>
      <c r="E3018" s="133"/>
      <c r="F3018" s="133"/>
      <c r="G3018" s="133"/>
      <c r="H3018" s="133"/>
      <c r="I3018" s="92"/>
      <c r="J3018" s="133" t="str">
        <f t="shared" si="113"/>
        <v>Stromkontor Griesheim GmbH</v>
      </c>
    </row>
    <row r="3019" spans="1:10" hidden="1" outlineLevel="1">
      <c r="A3019" s="418" t="str">
        <f t="shared" si="112"/>
        <v>SNB977481237679</v>
      </c>
      <c r="B3019" s="492">
        <v>97189734</v>
      </c>
      <c r="C3019" s="88">
        <f>+SUMIF('Anlage 2b_Korrekturen'!$B$234:$B$693,A3019,'Anlage 2b_Korrekturen'!$D$234:$D$693)</f>
        <v>244381</v>
      </c>
      <c r="D3019" s="135">
        <f t="shared" si="114"/>
        <v>97434115</v>
      </c>
      <c r="E3019" s="133"/>
      <c r="F3019" s="133"/>
      <c r="G3019" s="133"/>
      <c r="H3019" s="133"/>
      <c r="I3019" s="92"/>
      <c r="J3019" s="133" t="str">
        <f t="shared" si="113"/>
        <v>Stadtwerke Georgsmarienhütte Netz GmbH</v>
      </c>
    </row>
    <row r="3020" spans="1:10" hidden="1" outlineLevel="1">
      <c r="A3020" s="418" t="str">
        <f t="shared" si="112"/>
        <v>SNB977535807001</v>
      </c>
      <c r="B3020" s="492">
        <v>916355952</v>
      </c>
      <c r="C3020" s="88">
        <f>+SUMIF('Anlage 2b_Korrekturen'!$B$234:$B$693,A3020,'Anlage 2b_Korrekturen'!$D$234:$D$693)</f>
        <v>0</v>
      </c>
      <c r="D3020" s="135">
        <f t="shared" si="114"/>
        <v>916355952</v>
      </c>
      <c r="E3020" s="133"/>
      <c r="F3020" s="133"/>
      <c r="G3020" s="133"/>
      <c r="H3020" s="133"/>
      <c r="I3020" s="92"/>
      <c r="J3020" s="133" t="str">
        <f t="shared" si="113"/>
        <v>Infraserv Netze GmbH</v>
      </c>
    </row>
    <row r="3021" spans="1:10" hidden="1" outlineLevel="1">
      <c r="A3021" s="418" t="str">
        <f t="shared" si="112"/>
        <v>SNB978108787379</v>
      </c>
      <c r="B3021" s="492">
        <v>93609585</v>
      </c>
      <c r="C3021" s="88">
        <f>+SUMIF('Anlage 2b_Korrekturen'!$B$234:$B$693,A3021,'Anlage 2b_Korrekturen'!$D$234:$D$693)</f>
        <v>0</v>
      </c>
      <c r="D3021" s="135">
        <f t="shared" si="114"/>
        <v>93609585</v>
      </c>
      <c r="E3021" s="133"/>
      <c r="F3021" s="133"/>
      <c r="G3021" s="133"/>
      <c r="H3021" s="133"/>
      <c r="I3021" s="92"/>
      <c r="J3021" s="133" t="str">
        <f t="shared" si="113"/>
        <v>NHL Netzgesellschaft Heilbronner Land GmbH &amp; Co. KG</v>
      </c>
    </row>
    <row r="3022" spans="1:10" hidden="1" outlineLevel="1">
      <c r="A3022" s="418" t="str">
        <f t="shared" si="112"/>
        <v>SNB978730380269</v>
      </c>
      <c r="B3022" s="492">
        <v>48911180</v>
      </c>
      <c r="C3022" s="88">
        <f>+SUMIF('Anlage 2b_Korrekturen'!$B$234:$B$693,A3022,'Anlage 2b_Korrekturen'!$D$234:$D$693)</f>
        <v>0</v>
      </c>
      <c r="D3022" s="135">
        <f t="shared" si="114"/>
        <v>48911180</v>
      </c>
      <c r="E3022" s="133"/>
      <c r="F3022" s="133"/>
      <c r="G3022" s="133"/>
      <c r="H3022" s="133"/>
      <c r="I3022" s="92"/>
      <c r="J3022" s="133" t="str">
        <f t="shared" si="113"/>
        <v>Stadtwerke Ludwigsburg-Kornwestheim GmbH</v>
      </c>
    </row>
    <row r="3023" spans="1:10" hidden="1" outlineLevel="1">
      <c r="A3023" s="418" t="str">
        <f t="shared" si="112"/>
        <v>SNB979326623005</v>
      </c>
      <c r="B3023" s="492">
        <v>57073093</v>
      </c>
      <c r="C3023" s="88">
        <f>+SUMIF('Anlage 2b_Korrekturen'!$B$234:$B$693,A3023,'Anlage 2b_Korrekturen'!$D$234:$D$693)</f>
        <v>2052412</v>
      </c>
      <c r="D3023" s="135">
        <f t="shared" si="114"/>
        <v>59125505</v>
      </c>
      <c r="E3023" s="133"/>
      <c r="F3023" s="133"/>
      <c r="G3023" s="133"/>
      <c r="H3023" s="133"/>
      <c r="I3023" s="92"/>
      <c r="J3023" s="133" t="str">
        <f t="shared" si="113"/>
        <v>stadtwerker Versorgungs GmbH</v>
      </c>
    </row>
    <row r="3024" spans="1:10" hidden="1" outlineLevel="1">
      <c r="A3024" s="418" t="str">
        <f t="shared" si="112"/>
        <v>SNB979980141082</v>
      </c>
      <c r="B3024" s="492">
        <v>107326044</v>
      </c>
      <c r="C3024" s="88">
        <f>+SUMIF('Anlage 2b_Korrekturen'!$B$234:$B$693,A3024,'Anlage 2b_Korrekturen'!$D$234:$D$693)</f>
        <v>0</v>
      </c>
      <c r="D3024" s="135">
        <f t="shared" si="114"/>
        <v>107326044</v>
      </c>
      <c r="E3024" s="133"/>
      <c r="F3024" s="133"/>
      <c r="G3024" s="133"/>
      <c r="H3024" s="133"/>
      <c r="I3024" s="92"/>
      <c r="J3024" s="133" t="str">
        <f t="shared" si="113"/>
        <v>Stadtwerke Werl GmbH</v>
      </c>
    </row>
    <row r="3025" spans="1:10" hidden="1" outlineLevel="1">
      <c r="A3025" s="418" t="str">
        <f t="shared" si="112"/>
        <v>SNB980055629275</v>
      </c>
      <c r="B3025" s="492">
        <v>1467295442</v>
      </c>
      <c r="C3025" s="1647">
        <f>+SUMIF('Anlage 2b_Korrekturen'!$B$234:$B$693,A3025,'Anlage 2b_Korrekturen'!$D$234:$D$693)-13406-127954-9649-646-646</f>
        <v>16467172</v>
      </c>
      <c r="D3025" s="135">
        <f t="shared" si="114"/>
        <v>1483762614</v>
      </c>
      <c r="E3025" s="133"/>
      <c r="F3025" s="133"/>
      <c r="G3025" s="133"/>
      <c r="H3025" s="133"/>
      <c r="I3025" s="92"/>
      <c r="J3025" s="133" t="str">
        <f t="shared" si="113"/>
        <v>Energienetze Mittelrhein GmbH &amp; Co. KG</v>
      </c>
    </row>
    <row r="3026" spans="1:10" hidden="1" outlineLevel="1">
      <c r="A3026" s="418" t="str">
        <f t="shared" si="112"/>
        <v>SNB980362940834</v>
      </c>
      <c r="B3026" s="492">
        <v>784499</v>
      </c>
      <c r="C3026" s="88">
        <f>+SUMIF('Anlage 2b_Korrekturen'!$B$234:$B$693,A3026,'Anlage 2b_Korrekturen'!$D$234:$D$693)</f>
        <v>446927</v>
      </c>
      <c r="D3026" s="135">
        <f t="shared" si="114"/>
        <v>1231426</v>
      </c>
      <c r="E3026" s="133"/>
      <c r="F3026" s="133"/>
      <c r="G3026" s="133"/>
      <c r="H3026" s="133"/>
      <c r="I3026" s="92"/>
      <c r="J3026" s="133" t="str">
        <f t="shared" si="113"/>
        <v>Stromnetz24 GmbH</v>
      </c>
    </row>
    <row r="3027" spans="1:10" hidden="1" outlineLevel="1">
      <c r="A3027" s="418" t="str">
        <f t="shared" si="112"/>
        <v>SNB980883363112</v>
      </c>
      <c r="B3027" s="492">
        <v>1114758435</v>
      </c>
      <c r="C3027" s="88">
        <f>+SUMIF('Anlage 2b_Korrekturen'!$B$234:$B$693,A3027,'Anlage 2b_Korrekturen'!$D$234:$D$693)</f>
        <v>-11645375</v>
      </c>
      <c r="D3027" s="135">
        <f t="shared" si="114"/>
        <v>1103113060</v>
      </c>
      <c r="E3027" s="133"/>
      <c r="F3027" s="133"/>
      <c r="G3027" s="133"/>
      <c r="H3027" s="133"/>
      <c r="I3027" s="92"/>
      <c r="J3027" s="133" t="str">
        <f t="shared" si="113"/>
        <v>Stadtnetze Münster GmbH</v>
      </c>
    </row>
    <row r="3028" spans="1:10" hidden="1" outlineLevel="1">
      <c r="A3028" s="418" t="str">
        <f t="shared" si="112"/>
        <v>SNB981060961299</v>
      </c>
      <c r="B3028" s="492">
        <v>1862098351</v>
      </c>
      <c r="C3028" s="88">
        <f>+SUMIF('Anlage 2b_Korrekturen'!$B$234:$B$693,A3028,'Anlage 2b_Korrekturen'!$D$234:$D$693)</f>
        <v>8629392</v>
      </c>
      <c r="D3028" s="135">
        <f t="shared" si="114"/>
        <v>1870727743</v>
      </c>
      <c r="E3028" s="133"/>
      <c r="F3028" s="133"/>
      <c r="G3028" s="133"/>
      <c r="H3028" s="133"/>
      <c r="I3028" s="92"/>
      <c r="J3028" s="133" t="str">
        <f t="shared" si="113"/>
        <v>Dortmunder Netz GmbH</v>
      </c>
    </row>
    <row r="3029" spans="1:10" hidden="1" outlineLevel="1">
      <c r="A3029" s="418" t="str">
        <f t="shared" si="112"/>
        <v>SNB981122608278</v>
      </c>
      <c r="B3029" s="492">
        <v>8969786</v>
      </c>
      <c r="C3029" s="88">
        <f>+SUMIF('Anlage 2b_Korrekturen'!$B$234:$B$693,A3029,'Anlage 2b_Korrekturen'!$D$234:$D$693)</f>
        <v>1279791</v>
      </c>
      <c r="D3029" s="135">
        <f t="shared" si="114"/>
        <v>10249577</v>
      </c>
      <c r="E3029" s="133"/>
      <c r="F3029" s="133"/>
      <c r="G3029" s="133"/>
      <c r="H3029" s="133"/>
      <c r="I3029" s="92"/>
      <c r="J3029" s="133" t="str">
        <f t="shared" si="113"/>
        <v>Stromkontor Netzgesellschaft mbH</v>
      </c>
    </row>
    <row r="3030" spans="1:10" hidden="1" outlineLevel="1">
      <c r="A3030" s="418" t="str">
        <f t="shared" si="112"/>
        <v>SNB981335690930</v>
      </c>
      <c r="B3030" s="492">
        <v>119089991</v>
      </c>
      <c r="C3030" s="88">
        <f>+SUMIF('Anlage 2b_Korrekturen'!$B$234:$B$693,A3030,'Anlage 2b_Korrekturen'!$D$234:$D$693)</f>
        <v>1839166</v>
      </c>
      <c r="D3030" s="135">
        <f t="shared" si="114"/>
        <v>120929157</v>
      </c>
      <c r="E3030" s="133"/>
      <c r="F3030" s="133"/>
      <c r="G3030" s="133"/>
      <c r="H3030" s="133"/>
      <c r="I3030" s="92"/>
      <c r="J3030" s="133" t="str">
        <f t="shared" si="113"/>
        <v>Stadtwerke Andernach Energie GmbH</v>
      </c>
    </row>
    <row r="3031" spans="1:10" hidden="1" outlineLevel="1">
      <c r="A3031" s="418" t="str">
        <f t="shared" si="112"/>
        <v>SNB982030394239</v>
      </c>
      <c r="B3031" s="492">
        <v>210573005</v>
      </c>
      <c r="C3031" s="88">
        <f>+SUMIF('Anlage 2b_Korrekturen'!$B$234:$B$693,A3031,'Anlage 2b_Korrekturen'!$D$234:$D$693)</f>
        <v>-637681</v>
      </c>
      <c r="D3031" s="135">
        <f t="shared" si="114"/>
        <v>209935324</v>
      </c>
      <c r="E3031" s="133"/>
      <c r="F3031" s="133"/>
      <c r="G3031" s="133"/>
      <c r="H3031" s="133"/>
      <c r="I3031" s="92"/>
      <c r="J3031" s="133" t="str">
        <f t="shared" si="113"/>
        <v>Stadtwerke Lingen GmbH</v>
      </c>
    </row>
    <row r="3032" spans="1:10" hidden="1" outlineLevel="1">
      <c r="A3032" s="418" t="str">
        <f t="shared" ref="A3032:A3073" si="115">A2109</f>
        <v>SNB982049301273</v>
      </c>
      <c r="B3032" s="492">
        <v>63638499</v>
      </c>
      <c r="C3032" s="88">
        <f>+SUMIF('Anlage 2b_Korrekturen'!$B$234:$B$693,A3032,'Anlage 2b_Korrekturen'!$D$234:$D$693)</f>
        <v>9446185</v>
      </c>
      <c r="D3032" s="135">
        <f t="shared" si="114"/>
        <v>73084684</v>
      </c>
      <c r="E3032" s="133"/>
      <c r="F3032" s="133"/>
      <c r="G3032" s="133"/>
      <c r="H3032" s="133"/>
      <c r="I3032" s="92"/>
      <c r="J3032" s="133" t="str">
        <f t="shared" ref="J3032:J3073" si="116">J2109</f>
        <v>Stadtwerke Germersheim GmbH</v>
      </c>
    </row>
    <row r="3033" spans="1:10" hidden="1" outlineLevel="1">
      <c r="A3033" s="418" t="str">
        <f t="shared" si="115"/>
        <v>SNB982394830312</v>
      </c>
      <c r="B3033" s="492">
        <v>431577003</v>
      </c>
      <c r="C3033" s="88">
        <f>+SUMIF('Anlage 2b_Korrekturen'!$B$234:$B$693,A3033,'Anlage 2b_Korrekturen'!$D$234:$D$693)</f>
        <v>-5047844</v>
      </c>
      <c r="D3033" s="135">
        <f t="shared" si="114"/>
        <v>426529159</v>
      </c>
      <c r="E3033" s="133"/>
      <c r="F3033" s="133"/>
      <c r="G3033" s="133"/>
      <c r="H3033" s="133"/>
      <c r="I3033" s="92"/>
      <c r="J3033" s="133" t="str">
        <f t="shared" si="116"/>
        <v>SWK Stadtwerke Kaiserslautern Versorgungs-AG</v>
      </c>
    </row>
    <row r="3034" spans="1:10" hidden="1" outlineLevel="1">
      <c r="A3034" s="418" t="str">
        <f t="shared" si="115"/>
        <v>SNB982432856366</v>
      </c>
      <c r="B3034" s="492">
        <v>135592817</v>
      </c>
      <c r="C3034" s="88">
        <f>+SUMIF('Anlage 2b_Korrekturen'!$B$234:$B$693,A3034,'Anlage 2b_Korrekturen'!$D$234:$D$693)</f>
        <v>-4637877</v>
      </c>
      <c r="D3034" s="135">
        <f t="shared" si="114"/>
        <v>130954940</v>
      </c>
      <c r="E3034" s="133"/>
      <c r="F3034" s="133"/>
      <c r="G3034" s="133"/>
      <c r="H3034" s="133"/>
      <c r="I3034" s="92"/>
      <c r="J3034" s="133" t="str">
        <f t="shared" si="116"/>
        <v>Stadtwerke Borken/Westf. GmbH</v>
      </c>
    </row>
    <row r="3035" spans="1:10" hidden="1" outlineLevel="1">
      <c r="A3035" s="418" t="str">
        <f t="shared" si="115"/>
        <v>SNB982660786343</v>
      </c>
      <c r="B3035" s="492">
        <v>1805168</v>
      </c>
      <c r="C3035" s="88">
        <f>+SUMIF('Anlage 2b_Korrekturen'!$B$234:$B$693,A3035,'Anlage 2b_Korrekturen'!$D$234:$D$693)</f>
        <v>-1581</v>
      </c>
      <c r="D3035" s="135">
        <f t="shared" si="114"/>
        <v>1803587</v>
      </c>
      <c r="E3035" s="133"/>
      <c r="F3035" s="133"/>
      <c r="G3035" s="133"/>
      <c r="H3035" s="133"/>
      <c r="I3035" s="92"/>
      <c r="J3035" s="133" t="str">
        <f t="shared" si="116"/>
        <v>Stadtwerke Schwäbisch Hall GmbH</v>
      </c>
    </row>
    <row r="3036" spans="1:10" hidden="1" outlineLevel="1">
      <c r="A3036" s="418" t="str">
        <f t="shared" si="115"/>
        <v>SNB983315496327</v>
      </c>
      <c r="B3036" s="492">
        <v>96580968</v>
      </c>
      <c r="C3036" s="88">
        <f>+SUMIF('Anlage 2b_Korrekturen'!$B$234:$B$693,A3036,'Anlage 2b_Korrekturen'!$D$234:$D$693)</f>
        <v>-233711</v>
      </c>
      <c r="D3036" s="135">
        <f t="shared" si="114"/>
        <v>96347257</v>
      </c>
      <c r="E3036" s="133"/>
      <c r="F3036" s="133"/>
      <c r="G3036" s="133"/>
      <c r="H3036" s="133"/>
      <c r="I3036" s="92"/>
      <c r="J3036" s="133" t="str">
        <f t="shared" si="116"/>
        <v>Ahrtal-Werke GmbH</v>
      </c>
    </row>
    <row r="3037" spans="1:10" hidden="1" outlineLevel="1">
      <c r="A3037" s="418" t="str">
        <f t="shared" si="115"/>
        <v>SNB983444187332</v>
      </c>
      <c r="B3037" s="492">
        <v>141193456</v>
      </c>
      <c r="C3037" s="88">
        <f>+SUMIF('Anlage 2b_Korrekturen'!$B$234:$B$693,A3037,'Anlage 2b_Korrekturen'!$D$234:$D$693)</f>
        <v>5440498</v>
      </c>
      <c r="D3037" s="135">
        <f t="shared" si="114"/>
        <v>146633954</v>
      </c>
      <c r="E3037" s="133"/>
      <c r="F3037" s="133"/>
      <c r="G3037" s="133"/>
      <c r="H3037" s="133"/>
      <c r="I3037" s="92"/>
      <c r="J3037" s="133" t="str">
        <f t="shared" si="116"/>
        <v>Stadtwerke Brühl GmbH</v>
      </c>
    </row>
    <row r="3038" spans="1:10" hidden="1" outlineLevel="1">
      <c r="A3038" s="418" t="str">
        <f t="shared" si="115"/>
        <v>SNB983526428810</v>
      </c>
      <c r="B3038" s="492">
        <v>149245948</v>
      </c>
      <c r="C3038" s="88">
        <f>+SUMIF('Anlage 2b_Korrekturen'!$B$234:$B$693,A3038,'Anlage 2b_Korrekturen'!$D$234:$D$693)</f>
        <v>-390500</v>
      </c>
      <c r="D3038" s="135">
        <f t="shared" si="114"/>
        <v>148855448</v>
      </c>
      <c r="E3038" s="133"/>
      <c r="F3038" s="133"/>
      <c r="G3038" s="133"/>
      <c r="H3038" s="133"/>
      <c r="I3038" s="92"/>
      <c r="J3038" s="133" t="str">
        <f t="shared" si="116"/>
        <v>Mainnetz GmbH</v>
      </c>
    </row>
    <row r="3039" spans="1:10" hidden="1" outlineLevel="1">
      <c r="A3039" s="418" t="str">
        <f t="shared" si="115"/>
        <v>SNB983792571722</v>
      </c>
      <c r="B3039" s="492">
        <v>36642545</v>
      </c>
      <c r="C3039" s="88">
        <f>+SUMIF('Anlage 2b_Korrekturen'!$B$234:$B$693,A3039,'Anlage 2b_Korrekturen'!$D$234:$D$693)</f>
        <v>-23252</v>
      </c>
      <c r="D3039" s="135">
        <f t="shared" si="114"/>
        <v>36619293</v>
      </c>
      <c r="E3039" s="133"/>
      <c r="F3039" s="133"/>
      <c r="G3039" s="133"/>
      <c r="H3039" s="133"/>
      <c r="I3039" s="92"/>
      <c r="J3039" s="133" t="str">
        <f t="shared" si="116"/>
        <v>Gemeindewerke Wadgassen GmbH</v>
      </c>
    </row>
    <row r="3040" spans="1:10" hidden="1" outlineLevel="1">
      <c r="A3040" s="418" t="str">
        <f t="shared" si="115"/>
        <v>SNB984269982003</v>
      </c>
      <c r="B3040" s="492">
        <v>17046766</v>
      </c>
      <c r="C3040" s="88">
        <f>+SUMIF('Anlage 2b_Korrekturen'!$B$234:$B$693,A3040,'Anlage 2b_Korrekturen'!$D$234:$D$693)</f>
        <v>0</v>
      </c>
      <c r="D3040" s="135">
        <f t="shared" si="114"/>
        <v>17046766</v>
      </c>
      <c r="E3040" s="133"/>
      <c r="F3040" s="133"/>
      <c r="G3040" s="133"/>
      <c r="H3040" s="133"/>
      <c r="I3040" s="92"/>
      <c r="J3040" s="133" t="str">
        <f t="shared" si="116"/>
        <v>Stadtwerke Deidesheim GmbH</v>
      </c>
    </row>
    <row r="3041" spans="1:10" hidden="1" outlineLevel="1">
      <c r="A3041" s="418" t="str">
        <f t="shared" si="115"/>
        <v>SNB984338214660</v>
      </c>
      <c r="B3041" s="492">
        <v>22702298</v>
      </c>
      <c r="C3041" s="88">
        <f>+SUMIF('Anlage 2b_Korrekturen'!$B$234:$B$693,A3041,'Anlage 2b_Korrekturen'!$D$234:$D$693)</f>
        <v>16093</v>
      </c>
      <c r="D3041" s="135">
        <f t="shared" si="114"/>
        <v>22718391</v>
      </c>
      <c r="E3041" s="133"/>
      <c r="F3041" s="133"/>
      <c r="G3041" s="133"/>
      <c r="H3041" s="133"/>
      <c r="I3041" s="92"/>
      <c r="J3041" s="133" t="str">
        <f t="shared" si="116"/>
        <v>Gemeinde-Elektrizitäts- und Wasserwerk Burtenbach</v>
      </c>
    </row>
    <row r="3042" spans="1:10" hidden="1" outlineLevel="1">
      <c r="A3042" s="418" t="str">
        <f t="shared" si="115"/>
        <v>SNB985069443664</v>
      </c>
      <c r="B3042" s="492">
        <v>54434761</v>
      </c>
      <c r="C3042" s="88">
        <f>+SUMIF('Anlage 2b_Korrekturen'!$B$234:$B$693,A3042,'Anlage 2b_Korrekturen'!$D$234:$D$693)</f>
        <v>0</v>
      </c>
      <c r="D3042" s="135">
        <f t="shared" si="114"/>
        <v>54434761</v>
      </c>
      <c r="E3042" s="133"/>
      <c r="F3042" s="133"/>
      <c r="G3042" s="133"/>
      <c r="H3042" s="133"/>
      <c r="I3042" s="92"/>
      <c r="J3042" s="133" t="str">
        <f t="shared" si="116"/>
        <v>OXEA Services GmbH</v>
      </c>
    </row>
    <row r="3043" spans="1:10" hidden="1" outlineLevel="1">
      <c r="A3043" s="418" t="str">
        <f t="shared" si="115"/>
        <v>SNB985098042388</v>
      </c>
      <c r="B3043" s="492">
        <v>245766451</v>
      </c>
      <c r="C3043" s="88">
        <f>+SUMIF('Anlage 2b_Korrekturen'!$B$234:$B$693,A3043,'Anlage 2b_Korrekturen'!$D$234:$D$693)</f>
        <v>-3026152</v>
      </c>
      <c r="D3043" s="135">
        <f t="shared" si="114"/>
        <v>242740299</v>
      </c>
      <c r="E3043" s="133"/>
      <c r="F3043" s="133"/>
      <c r="G3043" s="133"/>
      <c r="H3043" s="133"/>
      <c r="I3043" s="92"/>
      <c r="J3043" s="133" t="str">
        <f t="shared" si="116"/>
        <v>Stadtwerke Lippstadt GmbH</v>
      </c>
    </row>
    <row r="3044" spans="1:10" hidden="1" outlineLevel="1">
      <c r="A3044" s="418" t="str">
        <f t="shared" si="115"/>
        <v>SNB985347645049</v>
      </c>
      <c r="B3044" s="492">
        <v>140746290</v>
      </c>
      <c r="C3044" s="88">
        <f>+SUMIF('Anlage 2b_Korrekturen'!$B$234:$B$693,A3044,'Anlage 2b_Korrekturen'!$D$234:$D$693)</f>
        <v>283878</v>
      </c>
      <c r="D3044" s="135">
        <f t="shared" si="114"/>
        <v>141030168</v>
      </c>
      <c r="E3044" s="133"/>
      <c r="F3044" s="133"/>
      <c r="G3044" s="133"/>
      <c r="H3044" s="133"/>
      <c r="I3044" s="92"/>
      <c r="J3044" s="133" t="str">
        <f t="shared" si="116"/>
        <v>Stadtwerke Nettetal GmbH</v>
      </c>
    </row>
    <row r="3045" spans="1:10" hidden="1" outlineLevel="1">
      <c r="A3045" s="418" t="str">
        <f t="shared" si="115"/>
        <v>SNB985382489820</v>
      </c>
      <c r="B3045" s="492">
        <v>825149953</v>
      </c>
      <c r="C3045" s="88">
        <f>+SUMIF('Anlage 2b_Korrekturen'!$B$234:$B$693,A3045,'Anlage 2b_Korrekturen'!$D$234:$D$693)</f>
        <v>-6666771</v>
      </c>
      <c r="D3045" s="135">
        <f t="shared" si="114"/>
        <v>818483182</v>
      </c>
      <c r="E3045" s="133"/>
      <c r="F3045" s="133"/>
      <c r="G3045" s="133"/>
      <c r="H3045" s="133"/>
      <c r="I3045" s="92"/>
      <c r="J3045" s="133" t="str">
        <f t="shared" si="116"/>
        <v>Stadtwerke Saarbrücken Netz AG</v>
      </c>
    </row>
    <row r="3046" spans="1:10" hidden="1" outlineLevel="1">
      <c r="A3046" s="418" t="str">
        <f t="shared" si="115"/>
        <v>SNB985431470335</v>
      </c>
      <c r="B3046" s="492">
        <v>195076668</v>
      </c>
      <c r="C3046" s="88">
        <f>+SUMIF('Anlage 2b_Korrekturen'!$B$234:$B$693,A3046,'Anlage 2b_Korrekturen'!$D$234:$D$693)</f>
        <v>3121062</v>
      </c>
      <c r="D3046" s="135">
        <f t="shared" si="114"/>
        <v>198197730</v>
      </c>
      <c r="E3046" s="133"/>
      <c r="F3046" s="133"/>
      <c r="G3046" s="133"/>
      <c r="H3046" s="133"/>
      <c r="I3046" s="92"/>
      <c r="J3046" s="133" t="str">
        <f t="shared" si="116"/>
        <v>Stadtwerke GmbH Bad Kreuznach</v>
      </c>
    </row>
    <row r="3047" spans="1:10" hidden="1" outlineLevel="1">
      <c r="A3047" s="418" t="str">
        <f t="shared" si="115"/>
        <v>SNB985871274975</v>
      </c>
      <c r="B3047" s="492">
        <v>33057080</v>
      </c>
      <c r="C3047" s="88">
        <f>+SUMIF('Anlage 2b_Korrekturen'!$B$234:$B$693,A3047,'Anlage 2b_Korrekturen'!$D$234:$D$693)</f>
        <v>0</v>
      </c>
      <c r="D3047" s="135">
        <f t="shared" si="114"/>
        <v>33057080</v>
      </c>
      <c r="E3047" s="133"/>
      <c r="F3047" s="133"/>
      <c r="G3047" s="133"/>
      <c r="H3047" s="133"/>
      <c r="I3047" s="92"/>
      <c r="J3047" s="133" t="str">
        <f t="shared" si="116"/>
        <v>Kommunalunternehmen Gemeindewerke Peißenberg</v>
      </c>
    </row>
    <row r="3048" spans="1:10" hidden="1" outlineLevel="1">
      <c r="A3048" s="418" t="str">
        <f t="shared" si="115"/>
        <v>SNB986042567117</v>
      </c>
      <c r="B3048" s="492">
        <v>81905877</v>
      </c>
      <c r="C3048" s="88">
        <f>+SUMIF('Anlage 2b_Korrekturen'!$B$234:$B$693,A3048,'Anlage 2b_Korrekturen'!$D$234:$D$693)</f>
        <v>0</v>
      </c>
      <c r="D3048" s="135">
        <f t="shared" si="114"/>
        <v>81905877</v>
      </c>
      <c r="E3048" s="133"/>
      <c r="F3048" s="133"/>
      <c r="G3048" s="133"/>
      <c r="H3048" s="133"/>
      <c r="I3048" s="92"/>
      <c r="J3048" s="133" t="str">
        <f t="shared" si="116"/>
        <v>Stadtwerke Mühlheim am Main GmbH</v>
      </c>
    </row>
    <row r="3049" spans="1:10" hidden="1" outlineLevel="1">
      <c r="A3049" s="418" t="str">
        <f t="shared" si="115"/>
        <v>SNB986190606218</v>
      </c>
      <c r="B3049" s="492">
        <v>157101718</v>
      </c>
      <c r="C3049" s="88">
        <f>+SUMIF('Anlage 2b_Korrekturen'!$B$234:$B$693,A3049,'Anlage 2b_Korrekturen'!$D$234:$D$693)</f>
        <v>178575</v>
      </c>
      <c r="D3049" s="135">
        <f t="shared" si="114"/>
        <v>157280293</v>
      </c>
      <c r="E3049" s="133"/>
      <c r="F3049" s="133"/>
      <c r="G3049" s="133"/>
      <c r="H3049" s="133"/>
      <c r="I3049" s="92"/>
      <c r="J3049" s="133" t="str">
        <f t="shared" si="116"/>
        <v>Stadtwerke Emmerich GmbH</v>
      </c>
    </row>
    <row r="3050" spans="1:10" hidden="1" outlineLevel="1">
      <c r="A3050" s="418" t="str">
        <f t="shared" si="115"/>
        <v>SNB986403410816</v>
      </c>
      <c r="B3050" s="492">
        <v>10167076</v>
      </c>
      <c r="C3050" s="88">
        <f>+SUMIF('Anlage 2b_Korrekturen'!$B$234:$B$693,A3050,'Anlage 2b_Korrekturen'!$D$234:$D$693)</f>
        <v>0</v>
      </c>
      <c r="D3050" s="135">
        <f t="shared" si="114"/>
        <v>10167076</v>
      </c>
      <c r="E3050" s="133"/>
      <c r="F3050" s="133"/>
      <c r="G3050" s="133"/>
      <c r="H3050" s="133"/>
      <c r="I3050" s="92"/>
      <c r="J3050" s="133" t="str">
        <f t="shared" si="116"/>
        <v>Elektrizitätsgenossenschaft Rettenberg eG</v>
      </c>
    </row>
    <row r="3051" spans="1:10" hidden="1" outlineLevel="1">
      <c r="A3051" s="418" t="str">
        <f t="shared" si="115"/>
        <v>SNB986916159257</v>
      </c>
      <c r="B3051" s="492">
        <v>415483508</v>
      </c>
      <c r="C3051" s="88">
        <f>+SUMIF('Anlage 2b_Korrekturen'!$B$234:$B$693,A3051,'Anlage 2b_Korrekturen'!$D$234:$D$693)</f>
        <v>0</v>
      </c>
      <c r="D3051" s="135">
        <f t="shared" si="114"/>
        <v>415483508</v>
      </c>
      <c r="E3051" s="133"/>
      <c r="F3051" s="133"/>
      <c r="G3051" s="133"/>
      <c r="H3051" s="133"/>
      <c r="I3051" s="92"/>
      <c r="J3051" s="133" t="str">
        <f t="shared" si="116"/>
        <v>ThyssenKrupp Steel Europe AG</v>
      </c>
    </row>
    <row r="3052" spans="1:10" hidden="1" outlineLevel="1">
      <c r="A3052" s="418" t="str">
        <f t="shared" si="115"/>
        <v>SNB986916159257</v>
      </c>
      <c r="B3052" s="1646">
        <v>25894549</v>
      </c>
      <c r="C3052" s="88">
        <f>+SUMIF('Anlage 2b_Korrekturen'!$B$234:$B$693,A3052,'Anlage 2b_Korrekturen'!$D$234:$D$693)</f>
        <v>0</v>
      </c>
      <c r="D3052" s="135">
        <f t="shared" ref="D3052:D3073" si="117">B3052+C3052</f>
        <v>25894549</v>
      </c>
      <c r="E3052" s="133"/>
      <c r="F3052" s="133"/>
      <c r="G3052" s="133"/>
      <c r="H3052" s="133"/>
      <c r="I3052" s="92"/>
      <c r="J3052" s="133" t="str">
        <f t="shared" si="116"/>
        <v>ThyssenKrupp Steel Europe AG</v>
      </c>
    </row>
    <row r="3053" spans="1:10" hidden="1" outlineLevel="1">
      <c r="A3053" s="418" t="str">
        <f t="shared" si="115"/>
        <v>SNB986916159257</v>
      </c>
      <c r="B3053" s="1646">
        <v>311812294</v>
      </c>
      <c r="C3053" s="88">
        <f>+SUMIF('Anlage 2b_Korrekturen'!$B$234:$B$693,A3053,'Anlage 2b_Korrekturen'!$D$234:$D$693)</f>
        <v>0</v>
      </c>
      <c r="D3053" s="135">
        <f t="shared" si="117"/>
        <v>311812294</v>
      </c>
      <c r="E3053" s="133"/>
      <c r="F3053" s="133"/>
      <c r="G3053" s="133"/>
      <c r="H3053" s="133"/>
      <c r="I3053" s="92"/>
      <c r="J3053" s="133" t="str">
        <f t="shared" si="116"/>
        <v>ThyssenKrupp Steel Europe AG</v>
      </c>
    </row>
    <row r="3054" spans="1:10" hidden="1" outlineLevel="1">
      <c r="A3054" s="418" t="str">
        <f t="shared" si="115"/>
        <v>SNB986931195988</v>
      </c>
      <c r="B3054" s="492">
        <v>19491065</v>
      </c>
      <c r="C3054" s="88">
        <f>+SUMIF('Anlage 2b_Korrekturen'!$B$234:$B$693,A3054,'Anlage 2b_Korrekturen'!$D$234:$D$693)</f>
        <v>-85429</v>
      </c>
      <c r="D3054" s="135">
        <f t="shared" si="117"/>
        <v>19405636</v>
      </c>
      <c r="E3054" s="133"/>
      <c r="F3054" s="133"/>
      <c r="G3054" s="133"/>
      <c r="H3054" s="133"/>
      <c r="I3054" s="92"/>
      <c r="J3054" s="133" t="str">
        <f t="shared" si="116"/>
        <v>Gemeindewerke Enkenbach-Alsenborn</v>
      </c>
    </row>
    <row r="3055" spans="1:10" hidden="1" outlineLevel="1">
      <c r="A3055" s="418" t="str">
        <f t="shared" si="115"/>
        <v>SNB987153361809</v>
      </c>
      <c r="B3055" s="492">
        <v>67925900</v>
      </c>
      <c r="C3055" s="88">
        <f>+SUMIF('Anlage 2b_Korrekturen'!$B$234:$B$693,A3055,'Anlage 2b_Korrekturen'!$D$234:$D$693)</f>
        <v>1269709</v>
      </c>
      <c r="D3055" s="135">
        <f t="shared" si="117"/>
        <v>69195609</v>
      </c>
      <c r="E3055" s="133"/>
      <c r="F3055" s="133"/>
      <c r="G3055" s="133"/>
      <c r="H3055" s="133"/>
      <c r="I3055" s="92"/>
      <c r="J3055" s="133" t="str">
        <f t="shared" si="116"/>
        <v>Gemeindewerke Nümbrecht GmbH</v>
      </c>
    </row>
    <row r="3056" spans="1:10" hidden="1" outlineLevel="1">
      <c r="A3056" s="418" t="str">
        <f t="shared" si="115"/>
        <v>SNB987451707521</v>
      </c>
      <c r="B3056" s="492">
        <v>32835943</v>
      </c>
      <c r="C3056" s="88">
        <f>+SUMIF('Anlage 2b_Korrekturen'!$B$234:$B$693,A3056,'Anlage 2b_Korrekturen'!$D$234:$D$693)</f>
        <v>-341813</v>
      </c>
      <c r="D3056" s="135">
        <f t="shared" si="117"/>
        <v>32494130</v>
      </c>
      <c r="E3056" s="133"/>
      <c r="F3056" s="133"/>
      <c r="G3056" s="133"/>
      <c r="H3056" s="133"/>
      <c r="I3056" s="92"/>
      <c r="J3056" s="133" t="str">
        <f t="shared" si="116"/>
        <v>Elektrizitätswerk Bruchmühlbach-Miesau</v>
      </c>
    </row>
    <row r="3057" spans="1:10" hidden="1" outlineLevel="1">
      <c r="A3057" s="418" t="str">
        <f t="shared" si="115"/>
        <v>SNB987569421388</v>
      </c>
      <c r="B3057" s="492">
        <v>37519179</v>
      </c>
      <c r="C3057" s="88">
        <f>+SUMIF('Anlage 2b_Korrekturen'!$B$234:$B$693,A3057,'Anlage 2b_Korrekturen'!$D$234:$D$693)</f>
        <v>366556</v>
      </c>
      <c r="D3057" s="135">
        <f t="shared" si="117"/>
        <v>37885735</v>
      </c>
      <c r="E3057" s="133"/>
      <c r="F3057" s="133"/>
      <c r="G3057" s="133"/>
      <c r="H3057" s="133"/>
      <c r="I3057" s="92"/>
      <c r="J3057" s="133" t="str">
        <f t="shared" si="116"/>
        <v>Stadtwerke Ramstein-Miesenbach GmbH</v>
      </c>
    </row>
    <row r="3058" spans="1:10" hidden="1" outlineLevel="1">
      <c r="A3058" s="418" t="str">
        <f t="shared" si="115"/>
        <v>SNB988556835096</v>
      </c>
      <c r="B3058" s="492">
        <v>1213784717</v>
      </c>
      <c r="C3058" s="88">
        <f>+SUMIF('Anlage 2b_Korrekturen'!$B$234:$B$693,A3058,'Anlage 2b_Korrekturen'!$D$234:$D$693)</f>
        <v>0</v>
      </c>
      <c r="D3058" s="135">
        <f t="shared" si="117"/>
        <v>1213784717</v>
      </c>
      <c r="E3058" s="133"/>
      <c r="F3058" s="133"/>
      <c r="G3058" s="133"/>
      <c r="H3058" s="133"/>
      <c r="I3058" s="92"/>
      <c r="J3058" s="133" t="str">
        <f t="shared" si="116"/>
        <v>e-shelter power grid GmbH</v>
      </c>
    </row>
    <row r="3059" spans="1:10" hidden="1" outlineLevel="1">
      <c r="A3059" s="418" t="str">
        <f t="shared" si="115"/>
        <v>SNB989025785690</v>
      </c>
      <c r="B3059" s="492">
        <v>95247598</v>
      </c>
      <c r="C3059" s="88">
        <f>+SUMIF('Anlage 2b_Korrekturen'!$B$234:$B$693,A3059,'Anlage 2b_Korrekturen'!$D$234:$D$693)</f>
        <v>1954700</v>
      </c>
      <c r="D3059" s="135">
        <f t="shared" si="117"/>
        <v>97202298</v>
      </c>
      <c r="E3059" s="133"/>
      <c r="F3059" s="133"/>
      <c r="G3059" s="133"/>
      <c r="H3059" s="133"/>
      <c r="I3059" s="92"/>
      <c r="J3059" s="133" t="str">
        <f t="shared" si="116"/>
        <v>SSW Netz GmbH</v>
      </c>
    </row>
    <row r="3060" spans="1:10" hidden="1" outlineLevel="1">
      <c r="A3060" s="418" t="str">
        <f t="shared" si="115"/>
        <v>SNB990174285078</v>
      </c>
      <c r="B3060" s="492">
        <v>432818760</v>
      </c>
      <c r="C3060" s="88">
        <f>+SUMIF('Anlage 2b_Korrekturen'!$B$234:$B$693,A3060,'Anlage 2b_Korrekturen'!$D$234:$D$693)</f>
        <v>-5800304</v>
      </c>
      <c r="D3060" s="135">
        <f t="shared" si="117"/>
        <v>427018456</v>
      </c>
      <c r="E3060" s="133"/>
      <c r="F3060" s="133"/>
      <c r="G3060" s="133"/>
      <c r="H3060" s="133"/>
      <c r="I3060" s="92"/>
      <c r="J3060" s="133" t="str">
        <f t="shared" si="116"/>
        <v>BIGGE ENERGIE GmbH &amp; Co. KG</v>
      </c>
    </row>
    <row r="3061" spans="1:10" hidden="1" outlineLevel="1">
      <c r="A3061" s="418" t="str">
        <f t="shared" si="115"/>
        <v>SNB990887002092</v>
      </c>
      <c r="B3061" s="1646">
        <v>40080498</v>
      </c>
      <c r="C3061" s="88">
        <f>+SUMIF('Anlage 2b_Korrekturen'!$B$234:$B$693,A3061,'Anlage 2b_Korrekturen'!$D$234:$D$693)</f>
        <v>0</v>
      </c>
      <c r="D3061" s="135">
        <f t="shared" si="117"/>
        <v>40080498</v>
      </c>
      <c r="E3061" s="133"/>
      <c r="F3061" s="133"/>
      <c r="G3061" s="133"/>
      <c r="H3061" s="133"/>
      <c r="I3061" s="92"/>
      <c r="J3061" s="133" t="str">
        <f t="shared" si="116"/>
        <v>Thüga Energienetze GmbH</v>
      </c>
    </row>
    <row r="3062" spans="1:10" hidden="1" outlineLevel="1">
      <c r="A3062" s="418" t="str">
        <f t="shared" si="115"/>
        <v>SNB990887002092</v>
      </c>
      <c r="B3062" s="1646">
        <v>5002767</v>
      </c>
      <c r="C3062" s="88">
        <f>+SUMIF('Anlage 2b_Korrekturen'!$B$234:$B$693,A3062,'Anlage 2b_Korrekturen'!$D$234:$D$693)</f>
        <v>0</v>
      </c>
      <c r="D3062" s="135">
        <f t="shared" si="117"/>
        <v>5002767</v>
      </c>
      <c r="E3062" s="133"/>
      <c r="F3062" s="133"/>
      <c r="G3062" s="133"/>
      <c r="H3062" s="133"/>
      <c r="I3062" s="92"/>
      <c r="J3062" s="133" t="str">
        <f t="shared" si="116"/>
        <v>Thüga Energienetze GmbH</v>
      </c>
    </row>
    <row r="3063" spans="1:10" hidden="1" outlineLevel="1">
      <c r="A3063" s="418" t="str">
        <f t="shared" si="115"/>
        <v>SNB990887002092</v>
      </c>
      <c r="B3063" s="1646">
        <v>24900242</v>
      </c>
      <c r="C3063" s="88">
        <f>+SUMIF('Anlage 2b_Korrekturen'!$B$234:$B$693,A3063,'Anlage 2b_Korrekturen'!$D$234:$D$693)</f>
        <v>0</v>
      </c>
      <c r="D3063" s="135">
        <f t="shared" si="117"/>
        <v>24900242</v>
      </c>
      <c r="E3063" s="133"/>
      <c r="F3063" s="133"/>
      <c r="G3063" s="133"/>
      <c r="H3063" s="133"/>
      <c r="I3063" s="92"/>
      <c r="J3063" s="133" t="str">
        <f t="shared" si="116"/>
        <v>Thüga Energienetze GmbH</v>
      </c>
    </row>
    <row r="3064" spans="1:10" hidden="1" outlineLevel="1">
      <c r="A3064" s="418" t="str">
        <f t="shared" si="115"/>
        <v>SNB991381724831</v>
      </c>
      <c r="B3064" s="492">
        <v>3972235</v>
      </c>
      <c r="C3064" s="88">
        <f>+SUMIF('Anlage 2b_Korrekturen'!$B$234:$B$693,A3064,'Anlage 2b_Korrekturen'!$D$234:$D$693)</f>
        <v>0</v>
      </c>
      <c r="D3064" s="135">
        <f t="shared" si="117"/>
        <v>3972235</v>
      </c>
      <c r="E3064" s="133"/>
      <c r="F3064" s="133"/>
      <c r="G3064" s="133"/>
      <c r="H3064" s="133"/>
      <c r="I3064" s="92"/>
      <c r="J3064" s="133" t="str">
        <f t="shared" si="116"/>
        <v>Fürstlich Fugger von Glött`sche E-Werks GmbH &amp; Co. KG</v>
      </c>
    </row>
    <row r="3065" spans="1:10" hidden="1" outlineLevel="1">
      <c r="A3065" s="418" t="str">
        <f t="shared" si="115"/>
        <v>SNB991400668603</v>
      </c>
      <c r="B3065" s="492">
        <v>51409865</v>
      </c>
      <c r="C3065" s="88">
        <f>+SUMIF('Anlage 2b_Korrekturen'!$B$234:$B$693,A3065,'Anlage 2b_Korrekturen'!$D$234:$D$693)</f>
        <v>-95032</v>
      </c>
      <c r="D3065" s="135">
        <f t="shared" si="117"/>
        <v>51314833</v>
      </c>
      <c r="E3065" s="133"/>
      <c r="F3065" s="133"/>
      <c r="G3065" s="133"/>
      <c r="H3065" s="133"/>
      <c r="I3065" s="92"/>
      <c r="J3065" s="133" t="str">
        <f t="shared" si="116"/>
        <v>Gemeindewerke Haßloch GmbH</v>
      </c>
    </row>
    <row r="3066" spans="1:10" hidden="1" outlineLevel="1">
      <c r="A3066" s="418" t="str">
        <f t="shared" si="115"/>
        <v>SNB991561247815</v>
      </c>
      <c r="B3066" s="492">
        <v>60856284</v>
      </c>
      <c r="C3066" s="88">
        <f>+SUMIF('Anlage 2b_Korrekturen'!$B$234:$B$693,A3066,'Anlage 2b_Korrekturen'!$D$234:$D$693)</f>
        <v>0</v>
      </c>
      <c r="D3066" s="135">
        <f t="shared" si="117"/>
        <v>60856284</v>
      </c>
      <c r="E3066" s="133"/>
      <c r="F3066" s="133"/>
      <c r="G3066" s="133"/>
      <c r="H3066" s="133"/>
      <c r="I3066" s="92"/>
      <c r="J3066" s="133" t="str">
        <f t="shared" si="116"/>
        <v>Stadtwerke Dillingen/Saar Netzgesellschaft mbH</v>
      </c>
    </row>
    <row r="3067" spans="1:10" hidden="1" outlineLevel="1">
      <c r="A3067" s="418" t="str">
        <f t="shared" si="115"/>
        <v>SNB992672107807</v>
      </c>
      <c r="B3067" s="492">
        <v>639014427</v>
      </c>
      <c r="C3067" s="88">
        <f>+SUMIF('Anlage 2b_Korrekturen'!$B$234:$B$693,A3067,'Anlage 2b_Korrekturen'!$D$234:$D$693)</f>
        <v>0</v>
      </c>
      <c r="D3067" s="135">
        <f t="shared" si="117"/>
        <v>639014427</v>
      </c>
      <c r="E3067" s="133"/>
      <c r="F3067" s="133"/>
      <c r="G3067" s="133"/>
      <c r="H3067" s="133"/>
      <c r="I3067" s="92"/>
      <c r="J3067" s="133" t="str">
        <f t="shared" si="116"/>
        <v>Oberhausener Netzgesellschaft mbH</v>
      </c>
    </row>
    <row r="3068" spans="1:10" hidden="1" outlineLevel="1">
      <c r="A3068" s="418" t="str">
        <f t="shared" si="115"/>
        <v>SNB993724515038</v>
      </c>
      <c r="B3068" s="492">
        <v>47235828</v>
      </c>
      <c r="C3068" s="88">
        <f>+SUMIF('Anlage 2b_Korrekturen'!$B$234:$B$693,A3068,'Anlage 2b_Korrekturen'!$D$234:$D$693)</f>
        <v>0</v>
      </c>
      <c r="D3068" s="135">
        <f t="shared" si="117"/>
        <v>47235828</v>
      </c>
      <c r="E3068" s="133"/>
      <c r="F3068" s="133"/>
      <c r="G3068" s="133"/>
      <c r="H3068" s="133"/>
      <c r="I3068" s="92"/>
      <c r="J3068" s="133" t="str">
        <f t="shared" si="116"/>
        <v>Gemeindewerke Grefrath GmbH</v>
      </c>
    </row>
    <row r="3069" spans="1:10" hidden="1" outlineLevel="1">
      <c r="A3069" s="418" t="str">
        <f t="shared" si="115"/>
        <v>SNB994887596117</v>
      </c>
      <c r="B3069" s="492">
        <v>116360048</v>
      </c>
      <c r="C3069" s="88">
        <f>+SUMIF('Anlage 2b_Korrekturen'!$B$234:$B$693,A3069,'Anlage 2b_Korrekturen'!$D$234:$D$693)</f>
        <v>0</v>
      </c>
      <c r="D3069" s="135">
        <f t="shared" si="117"/>
        <v>116360048</v>
      </c>
      <c r="E3069" s="133"/>
      <c r="F3069" s="133"/>
      <c r="G3069" s="133"/>
      <c r="H3069" s="133"/>
      <c r="I3069" s="92"/>
      <c r="J3069" s="133" t="str">
        <f t="shared" si="116"/>
        <v>SOLVAY GmbH</v>
      </c>
    </row>
    <row r="3070" spans="1:10" hidden="1" outlineLevel="1">
      <c r="A3070" s="418" t="str">
        <f t="shared" si="115"/>
        <v>SNB995332374861</v>
      </c>
      <c r="B3070" s="492">
        <v>27564485</v>
      </c>
      <c r="C3070" s="88">
        <f>+SUMIF('Anlage 2b_Korrekturen'!$B$234:$B$693,A3070,'Anlage 2b_Korrekturen'!$D$234:$D$693)</f>
        <v>-78159</v>
      </c>
      <c r="D3070" s="135">
        <f t="shared" si="117"/>
        <v>27486326</v>
      </c>
      <c r="E3070" s="133"/>
      <c r="F3070" s="133"/>
      <c r="G3070" s="133"/>
      <c r="H3070" s="133"/>
      <c r="I3070" s="92"/>
      <c r="J3070" s="133" t="str">
        <f t="shared" si="116"/>
        <v>GETEC Quartier GmbH</v>
      </c>
    </row>
    <row r="3071" spans="1:10" hidden="1" outlineLevel="1">
      <c r="A3071" s="418" t="str">
        <f t="shared" si="115"/>
        <v>SNB997465895442</v>
      </c>
      <c r="B3071" s="492">
        <v>12514148</v>
      </c>
      <c r="C3071" s="88">
        <f>+SUMIF('Anlage 2b_Korrekturen'!$B$234:$B$693,A3071,'Anlage 2b_Korrekturen'!$D$234:$D$693)</f>
        <v>90788</v>
      </c>
      <c r="D3071" s="135">
        <f t="shared" si="117"/>
        <v>12604936</v>
      </c>
      <c r="E3071" s="133"/>
      <c r="F3071" s="133"/>
      <c r="G3071" s="133"/>
      <c r="H3071" s="133"/>
      <c r="I3071" s="92"/>
      <c r="J3071" s="133" t="str">
        <f t="shared" si="116"/>
        <v>Energie- und Bäderbetrieb Hauenstein</v>
      </c>
    </row>
    <row r="3072" spans="1:10" hidden="1" outlineLevel="1">
      <c r="A3072" s="418" t="str">
        <f t="shared" si="115"/>
        <v>SNB998044089535</v>
      </c>
      <c r="B3072" s="492">
        <v>145612188</v>
      </c>
      <c r="C3072" s="88">
        <f>+SUMIF('Anlage 2b_Korrekturen'!$B$234:$B$693,A3072,'Anlage 2b_Korrekturen'!$D$234:$D$693)</f>
        <v>0</v>
      </c>
      <c r="D3072" s="135">
        <f t="shared" si="117"/>
        <v>145612188</v>
      </c>
      <c r="E3072" s="133"/>
      <c r="F3072" s="133"/>
      <c r="G3072" s="133"/>
      <c r="H3072" s="133"/>
      <c r="I3072" s="92"/>
      <c r="J3072" s="133" t="str">
        <f t="shared" si="116"/>
        <v>Stadtwerke Greven GmbH</v>
      </c>
    </row>
    <row r="3073" spans="1:10" hidden="1" outlineLevel="1">
      <c r="A3073" s="418" t="str">
        <f t="shared" si="115"/>
        <v>SNB931639626302</v>
      </c>
      <c r="B3073" s="1646">
        <v>0</v>
      </c>
      <c r="C3073" s="88">
        <f>+SUMIF('Anlage 2b_Korrekturen'!$B$234:$B$693,A3073,'Anlage 2b_Korrekturen'!$D$234:$D$693)</f>
        <v>10834376</v>
      </c>
      <c r="D3073" s="135">
        <f t="shared" si="117"/>
        <v>10834376</v>
      </c>
      <c r="E3073" s="133"/>
      <c r="F3073" s="133"/>
      <c r="G3073" s="133"/>
      <c r="H3073" s="133"/>
      <c r="I3073" s="92"/>
      <c r="J3073" s="133" t="str">
        <f t="shared" si="116"/>
        <v>Stadtwerke Hemer GmbH</v>
      </c>
    </row>
    <row r="3074" spans="1:10" collapsed="1">
      <c r="A3074" s="418" t="str">
        <f>A403</f>
        <v>Regelzone TenneT (gesamt)</v>
      </c>
      <c r="B3074" s="1728">
        <f>SUM(B3075:B3441)</f>
        <v>105833907035.01601</v>
      </c>
      <c r="C3074" s="1726">
        <f>SUM(C3075:C3443)</f>
        <v>-57651471.330000021</v>
      </c>
      <c r="D3074" s="135">
        <f t="shared" ref="D3074:D3137" si="118">B3074+C3074</f>
        <v>105776255563.686</v>
      </c>
      <c r="E3074" s="133"/>
      <c r="F3074" s="133"/>
      <c r="G3074" s="133"/>
      <c r="H3074" s="133"/>
    </row>
    <row r="3075" spans="1:10" hidden="1" outlineLevel="1">
      <c r="A3075" s="418" t="s">
        <v>2193</v>
      </c>
      <c r="B3075" s="406">
        <v>5899945.2300000004</v>
      </c>
      <c r="C3075" s="88">
        <f>+SUMIF('Anlage 2b_Korrekturen'!$B$700:$B$1160,A3075,'Anlage 2b_Korrekturen'!$D$700:$D$1160)</f>
        <v>0</v>
      </c>
      <c r="D3075" s="135">
        <f t="shared" si="118"/>
        <v>5899945.2300000004</v>
      </c>
      <c r="E3075" s="133" t="s">
        <v>2194</v>
      </c>
      <c r="F3075" s="133"/>
      <c r="G3075" s="133"/>
      <c r="H3075" s="133"/>
    </row>
    <row r="3076" spans="1:10" hidden="1" outlineLevel="1">
      <c r="A3076" s="418" t="s">
        <v>1738</v>
      </c>
      <c r="B3076" s="406">
        <v>19466990</v>
      </c>
      <c r="C3076" s="88">
        <f>+SUMIF('Anlage 2b_Korrekturen'!$B$700:$B$1160,A3076,'Anlage 2b_Korrekturen'!$D$700:$D$1160)</f>
        <v>0</v>
      </c>
      <c r="D3076" s="135">
        <f t="shared" si="118"/>
        <v>19466990</v>
      </c>
      <c r="E3076" s="133" t="s">
        <v>1739</v>
      </c>
      <c r="F3076" s="133"/>
      <c r="G3076" s="133"/>
      <c r="H3076" s="133"/>
    </row>
    <row r="3077" spans="1:10" hidden="1" outlineLevel="1">
      <c r="A3077" s="418" t="s">
        <v>1812</v>
      </c>
      <c r="B3077" s="406">
        <v>31582325</v>
      </c>
      <c r="C3077" s="88">
        <f>+SUMIF('Anlage 2b_Korrekturen'!$B$700:$B$1160,A3077,'Anlage 2b_Korrekturen'!$D$700:$D$1160)</f>
        <v>92654</v>
      </c>
      <c r="D3077" s="135">
        <f t="shared" si="118"/>
        <v>31674979</v>
      </c>
      <c r="E3077" s="133" t="s">
        <v>1813</v>
      </c>
      <c r="F3077" s="133"/>
      <c r="G3077" s="133"/>
      <c r="H3077" s="133"/>
    </row>
    <row r="3078" spans="1:10" hidden="1" outlineLevel="1">
      <c r="A3078" s="418" t="s">
        <v>1246</v>
      </c>
      <c r="B3078" s="406">
        <v>23860122</v>
      </c>
      <c r="C3078" s="88">
        <f>+SUMIF('Anlage 2b_Korrekturen'!$B$700:$B$1160,A3078,'Anlage 2b_Korrekturen'!$D$700:$D$1160)</f>
        <v>-101314</v>
      </c>
      <c r="D3078" s="135">
        <f t="shared" si="118"/>
        <v>23758808</v>
      </c>
      <c r="E3078" s="133" t="s">
        <v>1247</v>
      </c>
      <c r="F3078" s="133"/>
      <c r="G3078" s="133"/>
      <c r="H3078" s="133"/>
    </row>
    <row r="3079" spans="1:10" hidden="1" outlineLevel="1">
      <c r="A3079" s="418" t="s">
        <v>1582</v>
      </c>
      <c r="B3079" s="406">
        <v>40505511</v>
      </c>
      <c r="C3079" s="88">
        <f>+SUMIF('Anlage 2b_Korrekturen'!$B$700:$B$1160,A3079,'Anlage 2b_Korrekturen'!$D$700:$D$1160)</f>
        <v>767528</v>
      </c>
      <c r="D3079" s="135">
        <f t="shared" si="118"/>
        <v>41273039</v>
      </c>
      <c r="E3079" s="133" t="s">
        <v>1583</v>
      </c>
      <c r="F3079" s="133"/>
      <c r="G3079" s="133"/>
      <c r="H3079" s="133"/>
    </row>
    <row r="3080" spans="1:10" hidden="1" outlineLevel="1">
      <c r="A3080" s="418" t="s">
        <v>1518</v>
      </c>
      <c r="B3080" s="406">
        <v>80362878</v>
      </c>
      <c r="C3080" s="88">
        <f>+SUMIF('Anlage 2b_Korrekturen'!$B$700:$B$1160,A3080,'Anlage 2b_Korrekturen'!$D$700:$D$1160)</f>
        <v>0</v>
      </c>
      <c r="D3080" s="135">
        <f t="shared" si="118"/>
        <v>80362878</v>
      </c>
      <c r="E3080" s="133" t="s">
        <v>1519</v>
      </c>
      <c r="F3080" s="133"/>
      <c r="G3080" s="133"/>
      <c r="H3080" s="133"/>
    </row>
    <row r="3081" spans="1:10" hidden="1" outlineLevel="1">
      <c r="A3081" s="418" t="s">
        <v>1570</v>
      </c>
      <c r="B3081" s="406">
        <v>166166958</v>
      </c>
      <c r="C3081" s="88">
        <f>+SUMIF('Anlage 2b_Korrekturen'!$B$700:$B$1160,A3081,'Anlage 2b_Korrekturen'!$D$700:$D$1160)</f>
        <v>0</v>
      </c>
      <c r="D3081" s="135">
        <f t="shared" si="118"/>
        <v>166166958</v>
      </c>
      <c r="E3081" s="133" t="s">
        <v>1571</v>
      </c>
      <c r="F3081" s="133"/>
      <c r="G3081" s="133"/>
      <c r="H3081" s="133"/>
    </row>
    <row r="3082" spans="1:10" hidden="1" outlineLevel="1">
      <c r="A3082" s="418" t="s">
        <v>1386</v>
      </c>
      <c r="B3082" s="406">
        <v>24953831</v>
      </c>
      <c r="C3082" s="88">
        <f>+SUMIF('Anlage 2b_Korrekturen'!$B$700:$B$1160,A3082,'Anlage 2b_Korrekturen'!$D$700:$D$1160)</f>
        <v>0</v>
      </c>
      <c r="D3082" s="135">
        <f t="shared" si="118"/>
        <v>24953831</v>
      </c>
      <c r="E3082" s="133" t="s">
        <v>1387</v>
      </c>
      <c r="F3082" s="133"/>
      <c r="G3082" s="133"/>
      <c r="H3082" s="133"/>
    </row>
    <row r="3083" spans="1:10" hidden="1" outlineLevel="1">
      <c r="A3083" s="418" t="s">
        <v>1320</v>
      </c>
      <c r="B3083" s="406">
        <v>386750658</v>
      </c>
      <c r="C3083" s="88">
        <f>+SUMIF('Anlage 2b_Korrekturen'!$B$700:$B$1160,A3083,'Anlage 2b_Korrekturen'!$D$700:$D$1160)</f>
        <v>0</v>
      </c>
      <c r="D3083" s="135">
        <f t="shared" si="118"/>
        <v>386750658</v>
      </c>
      <c r="E3083" s="133" t="s">
        <v>1321</v>
      </c>
      <c r="F3083" s="133"/>
      <c r="G3083" s="133"/>
      <c r="H3083" s="133"/>
    </row>
    <row r="3084" spans="1:10" hidden="1" outlineLevel="1">
      <c r="A3084" s="418" t="s">
        <v>1458</v>
      </c>
      <c r="B3084" s="406">
        <v>27981153</v>
      </c>
      <c r="C3084" s="88">
        <f>+SUMIF('Anlage 2b_Korrekturen'!$B$700:$B$1160,A3084,'Anlage 2b_Korrekturen'!$D$700:$D$1160)</f>
        <v>-4997</v>
      </c>
      <c r="D3084" s="135">
        <f t="shared" si="118"/>
        <v>27976156</v>
      </c>
      <c r="E3084" s="133" t="s">
        <v>1459</v>
      </c>
      <c r="F3084" s="133"/>
      <c r="G3084" s="133"/>
      <c r="H3084" s="133"/>
    </row>
    <row r="3085" spans="1:10" hidden="1" outlineLevel="1">
      <c r="A3085" s="418" t="s">
        <v>1225</v>
      </c>
      <c r="B3085" s="406">
        <v>28206434</v>
      </c>
      <c r="C3085" s="88">
        <f>+SUMIF('Anlage 2b_Korrekturen'!$B$700:$B$1160,A3085,'Anlage 2b_Korrekturen'!$D$700:$D$1160)</f>
        <v>0</v>
      </c>
      <c r="D3085" s="135">
        <f t="shared" si="118"/>
        <v>28206434</v>
      </c>
      <c r="E3085" s="133" t="s">
        <v>1226</v>
      </c>
      <c r="F3085" s="133"/>
      <c r="G3085" s="133"/>
      <c r="H3085" s="133"/>
    </row>
    <row r="3086" spans="1:10" hidden="1" outlineLevel="1">
      <c r="A3086" s="418" t="s">
        <v>692</v>
      </c>
      <c r="B3086" s="406">
        <v>41308580</v>
      </c>
      <c r="C3086" s="88">
        <f>+SUMIF('Anlage 2b_Korrekturen'!$B$700:$B$1160,A3086,'Anlage 2b_Korrekturen'!$D$700:$D$1160)</f>
        <v>0</v>
      </c>
      <c r="D3086" s="135">
        <f t="shared" si="118"/>
        <v>41308580</v>
      </c>
      <c r="E3086" s="133" t="s">
        <v>1668</v>
      </c>
      <c r="F3086" s="133"/>
      <c r="G3086" s="133"/>
      <c r="H3086" s="133"/>
    </row>
    <row r="3087" spans="1:10" hidden="1" outlineLevel="1">
      <c r="A3087" s="418" t="s">
        <v>1484</v>
      </c>
      <c r="B3087" s="406">
        <v>53079898</v>
      </c>
      <c r="C3087" s="88">
        <f>+SUMIF('Anlage 2b_Korrekturen'!$B$700:$B$1160,A3087,'Anlage 2b_Korrekturen'!$D$700:$D$1160)</f>
        <v>134455</v>
      </c>
      <c r="D3087" s="135">
        <f t="shared" si="118"/>
        <v>53214353</v>
      </c>
      <c r="E3087" s="133" t="s">
        <v>1485</v>
      </c>
      <c r="F3087" s="133"/>
      <c r="G3087" s="133"/>
      <c r="H3087" s="133"/>
    </row>
    <row r="3088" spans="1:10" hidden="1" outlineLevel="1">
      <c r="A3088" s="418" t="s">
        <v>1283</v>
      </c>
      <c r="B3088" s="406">
        <v>178350089.80000001</v>
      </c>
      <c r="C3088" s="88">
        <f>+SUMIF('Anlage 2b_Korrekturen'!$B$700:$B$1160,A3088,'Anlage 2b_Korrekturen'!$D$700:$D$1160)</f>
        <v>435234.2</v>
      </c>
      <c r="D3088" s="135">
        <f t="shared" si="118"/>
        <v>178785324</v>
      </c>
      <c r="E3088" s="133" t="s">
        <v>1284</v>
      </c>
      <c r="F3088" s="133"/>
      <c r="G3088" s="133"/>
      <c r="H3088" s="133"/>
    </row>
    <row r="3089" spans="1:8" hidden="1" outlineLevel="1">
      <c r="A3089" s="418" t="s">
        <v>1227</v>
      </c>
      <c r="B3089" s="406">
        <v>196600076</v>
      </c>
      <c r="C3089" s="88">
        <f>+SUMIF('Anlage 2b_Korrekturen'!$B$700:$B$1160,A3089,'Anlage 2b_Korrekturen'!$D$700:$D$1160)</f>
        <v>-11796</v>
      </c>
      <c r="D3089" s="135">
        <f t="shared" si="118"/>
        <v>196588280</v>
      </c>
      <c r="E3089" s="133" t="s">
        <v>1228</v>
      </c>
      <c r="F3089" s="133"/>
      <c r="G3089" s="133"/>
      <c r="H3089" s="133"/>
    </row>
    <row r="3090" spans="1:8" hidden="1" outlineLevel="1">
      <c r="A3090" s="418" t="s">
        <v>1644</v>
      </c>
      <c r="B3090" s="406">
        <v>60439153</v>
      </c>
      <c r="C3090" s="88">
        <f>+SUMIF('Anlage 2b_Korrekturen'!$B$700:$B$1160,A3090,'Anlage 2b_Korrekturen'!$D$700:$D$1160)</f>
        <v>0</v>
      </c>
      <c r="D3090" s="135">
        <f t="shared" si="118"/>
        <v>60439153</v>
      </c>
      <c r="E3090" s="133" t="s">
        <v>1645</v>
      </c>
      <c r="F3090" s="133"/>
      <c r="G3090" s="133"/>
      <c r="H3090" s="133"/>
    </row>
    <row r="3091" spans="1:8" hidden="1" outlineLevel="1">
      <c r="A3091" s="418" t="s">
        <v>1598</v>
      </c>
      <c r="B3091" s="406">
        <v>38826725</v>
      </c>
      <c r="C3091" s="88">
        <f>+SUMIF('Anlage 2b_Korrekturen'!$B$700:$B$1160,A3091,'Anlage 2b_Korrekturen'!$D$700:$D$1160)</f>
        <v>0</v>
      </c>
      <c r="D3091" s="135">
        <f t="shared" si="118"/>
        <v>38826725</v>
      </c>
      <c r="E3091" s="133" t="s">
        <v>1599</v>
      </c>
      <c r="F3091" s="133"/>
      <c r="G3091" s="133"/>
      <c r="H3091" s="133"/>
    </row>
    <row r="3092" spans="1:8" hidden="1" outlineLevel="1">
      <c r="A3092" s="418" t="s">
        <v>1556</v>
      </c>
      <c r="B3092" s="406">
        <v>187140187</v>
      </c>
      <c r="C3092" s="88">
        <f>+SUMIF('Anlage 2b_Korrekturen'!$B$700:$B$1160,A3092,'Anlage 2b_Korrekturen'!$D$700:$D$1160)</f>
        <v>224269</v>
      </c>
      <c r="D3092" s="135">
        <f t="shared" si="118"/>
        <v>187364456</v>
      </c>
      <c r="E3092" s="133" t="s">
        <v>1557</v>
      </c>
      <c r="F3092" s="133"/>
      <c r="G3092" s="133"/>
      <c r="H3092" s="133"/>
    </row>
    <row r="3093" spans="1:8" hidden="1" outlineLevel="1">
      <c r="A3093" s="418" t="s">
        <v>1626</v>
      </c>
      <c r="B3093" s="406">
        <v>7041169</v>
      </c>
      <c r="C3093" s="88">
        <f>+SUMIF('Anlage 2b_Korrekturen'!$B$700:$B$1160,A3093,'Anlage 2b_Korrekturen'!$D$700:$D$1160)</f>
        <v>7709</v>
      </c>
      <c r="D3093" s="135">
        <f t="shared" si="118"/>
        <v>7048878</v>
      </c>
      <c r="E3093" s="133" t="s">
        <v>1627</v>
      </c>
      <c r="F3093" s="133"/>
      <c r="G3093" s="133"/>
      <c r="H3093" s="133"/>
    </row>
    <row r="3094" spans="1:8" hidden="1" outlineLevel="1">
      <c r="A3094" s="418" t="s">
        <v>1669</v>
      </c>
      <c r="B3094" s="406">
        <v>101539118</v>
      </c>
      <c r="C3094" s="88">
        <f>+SUMIF('Anlage 2b_Korrekturen'!$B$700:$B$1160,A3094,'Anlage 2b_Korrekturen'!$D$700:$D$1160)</f>
        <v>0</v>
      </c>
      <c r="D3094" s="135">
        <f t="shared" si="118"/>
        <v>101539118</v>
      </c>
      <c r="E3094" s="133" t="s">
        <v>1670</v>
      </c>
      <c r="F3094" s="133"/>
      <c r="G3094" s="133"/>
      <c r="H3094" s="133"/>
    </row>
    <row r="3095" spans="1:8" hidden="1" outlineLevel="1">
      <c r="A3095" s="418" t="s">
        <v>1758</v>
      </c>
      <c r="B3095" s="406">
        <v>128273556</v>
      </c>
      <c r="C3095" s="88">
        <f>+SUMIF('Anlage 2b_Korrekturen'!$B$700:$B$1160,A3095,'Anlage 2b_Korrekturen'!$D$700:$D$1160)</f>
        <v>8002297</v>
      </c>
      <c r="D3095" s="135">
        <f t="shared" si="118"/>
        <v>136275853</v>
      </c>
      <c r="E3095" s="133" t="s">
        <v>1759</v>
      </c>
      <c r="F3095" s="133"/>
      <c r="G3095" s="133"/>
      <c r="H3095" s="133"/>
    </row>
    <row r="3096" spans="1:8" hidden="1" outlineLevel="1">
      <c r="A3096" s="418" t="s">
        <v>2195</v>
      </c>
      <c r="B3096" s="406">
        <v>28589435</v>
      </c>
      <c r="C3096" s="88">
        <f>+SUMIF('Anlage 2b_Korrekturen'!$B$700:$B$1160,A3096,'Anlage 2b_Korrekturen'!$D$700:$D$1160)</f>
        <v>-88176</v>
      </c>
      <c r="D3096" s="135">
        <f t="shared" si="118"/>
        <v>28501259</v>
      </c>
      <c r="E3096" s="133" t="s">
        <v>2196</v>
      </c>
      <c r="F3096" s="133"/>
      <c r="G3096" s="133"/>
      <c r="H3096" s="133"/>
    </row>
    <row r="3097" spans="1:8" hidden="1" outlineLevel="1">
      <c r="A3097" s="418" t="s">
        <v>1722</v>
      </c>
      <c r="B3097" s="406">
        <v>46586220</v>
      </c>
      <c r="C3097" s="88">
        <f>+SUMIF('Anlage 2b_Korrekturen'!$B$700:$B$1160,A3097,'Anlage 2b_Korrekturen'!$D$700:$D$1160)</f>
        <v>0</v>
      </c>
      <c r="D3097" s="135">
        <f t="shared" si="118"/>
        <v>46586220</v>
      </c>
      <c r="E3097" s="133" t="s">
        <v>1723</v>
      </c>
      <c r="F3097" s="133"/>
      <c r="G3097" s="133"/>
      <c r="H3097" s="133"/>
    </row>
    <row r="3098" spans="1:8" hidden="1" outlineLevel="1">
      <c r="A3098" s="418" t="s">
        <v>1496</v>
      </c>
      <c r="B3098" s="406">
        <v>177358195.60299999</v>
      </c>
      <c r="C3098" s="88">
        <f>+SUMIF('Anlage 2b_Korrekturen'!$B$700:$B$1160,A3098,'Anlage 2b_Korrekturen'!$D$700:$D$1160)</f>
        <v>0</v>
      </c>
      <c r="D3098" s="135">
        <f t="shared" si="118"/>
        <v>177358195.60299999</v>
      </c>
      <c r="E3098" s="133" t="s">
        <v>1497</v>
      </c>
      <c r="F3098" s="133"/>
      <c r="G3098" s="133"/>
      <c r="H3098" s="133"/>
    </row>
    <row r="3099" spans="1:8" hidden="1" outlineLevel="1">
      <c r="A3099" s="418" t="s">
        <v>1236</v>
      </c>
      <c r="B3099" s="406">
        <v>187883510</v>
      </c>
      <c r="C3099" s="88">
        <f>+SUMIF('Anlage 2b_Korrekturen'!$B$700:$B$1160,A3099,'Anlage 2b_Korrekturen'!$D$700:$D$1160)</f>
        <v>722173</v>
      </c>
      <c r="D3099" s="135">
        <f t="shared" si="118"/>
        <v>188605683</v>
      </c>
      <c r="E3099" s="133" t="s">
        <v>1237</v>
      </c>
      <c r="F3099" s="133"/>
      <c r="G3099" s="133"/>
      <c r="H3099" s="133"/>
    </row>
    <row r="3100" spans="1:8" hidden="1" outlineLevel="1">
      <c r="A3100" s="418" t="s">
        <v>1348</v>
      </c>
      <c r="B3100" s="406">
        <v>71993902</v>
      </c>
      <c r="C3100" s="88">
        <f>+SUMIF('Anlage 2b_Korrekturen'!$B$700:$B$1160,A3100,'Anlage 2b_Korrekturen'!$D$700:$D$1160)</f>
        <v>0</v>
      </c>
      <c r="D3100" s="135">
        <f t="shared" si="118"/>
        <v>71993902</v>
      </c>
      <c r="E3100" s="133" t="s">
        <v>1349</v>
      </c>
      <c r="F3100" s="133"/>
      <c r="G3100" s="133"/>
      <c r="H3100" s="133"/>
    </row>
    <row r="3101" spans="1:8" hidden="1" outlineLevel="1">
      <c r="A3101" s="418" t="s">
        <v>1814</v>
      </c>
      <c r="B3101" s="406">
        <v>145019427</v>
      </c>
      <c r="C3101" s="88">
        <f>+SUMIF('Anlage 2b_Korrekturen'!$B$700:$B$1160,A3101,'Anlage 2b_Korrekturen'!$D$700:$D$1160)</f>
        <v>0</v>
      </c>
      <c r="D3101" s="135">
        <f t="shared" si="118"/>
        <v>145019427</v>
      </c>
      <c r="E3101" s="133" t="s">
        <v>1815</v>
      </c>
      <c r="F3101" s="133"/>
      <c r="G3101" s="133"/>
      <c r="H3101" s="133"/>
    </row>
    <row r="3102" spans="1:8" hidden="1" outlineLevel="1">
      <c r="A3102" s="418" t="s">
        <v>1240</v>
      </c>
      <c r="B3102" s="406">
        <v>458170550</v>
      </c>
      <c r="C3102" s="88">
        <f>+SUMIF('Anlage 2b_Korrekturen'!$B$700:$B$1160,A3102,'Anlage 2b_Korrekturen'!$D$700:$D$1160)</f>
        <v>-8112582.4619999994</v>
      </c>
      <c r="D3102" s="135">
        <f t="shared" si="118"/>
        <v>450057967.53799999</v>
      </c>
      <c r="E3102" s="133" t="s">
        <v>1241</v>
      </c>
      <c r="F3102" s="133"/>
      <c r="G3102" s="133"/>
      <c r="H3102" s="133"/>
    </row>
    <row r="3103" spans="1:8" hidden="1" outlineLevel="1">
      <c r="A3103" s="418" t="s">
        <v>1404</v>
      </c>
      <c r="B3103" s="406">
        <v>16305874</v>
      </c>
      <c r="C3103" s="88">
        <f>+SUMIF('Anlage 2b_Korrekturen'!$B$700:$B$1160,A3103,'Anlage 2b_Korrekturen'!$D$700:$D$1160)</f>
        <v>280342</v>
      </c>
      <c r="D3103" s="135">
        <f t="shared" si="118"/>
        <v>16586216</v>
      </c>
      <c r="E3103" s="133" t="s">
        <v>1405</v>
      </c>
      <c r="F3103" s="133"/>
      <c r="G3103" s="133"/>
      <c r="H3103" s="133"/>
    </row>
    <row r="3104" spans="1:8" hidden="1" outlineLevel="1">
      <c r="A3104" s="418" t="s">
        <v>1584</v>
      </c>
      <c r="B3104" s="406">
        <v>114938905</v>
      </c>
      <c r="C3104" s="88">
        <f>+SUMIF('Anlage 2b_Korrekturen'!$B$700:$B$1160,A3104,'Anlage 2b_Korrekturen'!$D$700:$D$1160)</f>
        <v>0</v>
      </c>
      <c r="D3104" s="135">
        <f t="shared" si="118"/>
        <v>114938905</v>
      </c>
      <c r="E3104" s="133" t="s">
        <v>1585</v>
      </c>
      <c r="F3104" s="133"/>
      <c r="G3104" s="133"/>
      <c r="H3104" s="133"/>
    </row>
    <row r="3105" spans="1:8" hidden="1" outlineLevel="1">
      <c r="A3105" s="418" t="s">
        <v>1420</v>
      </c>
      <c r="B3105" s="406">
        <v>13898514</v>
      </c>
      <c r="C3105" s="88">
        <f>+SUMIF('Anlage 2b_Korrekturen'!$B$700:$B$1160,A3105,'Anlage 2b_Korrekturen'!$D$700:$D$1160)</f>
        <v>0</v>
      </c>
      <c r="D3105" s="135">
        <f t="shared" si="118"/>
        <v>13898514</v>
      </c>
      <c r="E3105" s="133" t="s">
        <v>1421</v>
      </c>
      <c r="F3105" s="133"/>
      <c r="G3105" s="133"/>
      <c r="H3105" s="133"/>
    </row>
    <row r="3106" spans="1:8" hidden="1" outlineLevel="1">
      <c r="A3106" s="418" t="s">
        <v>1438</v>
      </c>
      <c r="B3106" s="406">
        <v>138982629</v>
      </c>
      <c r="C3106" s="88">
        <f>+SUMIF('Anlage 2b_Korrekturen'!$B$700:$B$1160,A3106,'Anlage 2b_Korrekturen'!$D$700:$D$1160)</f>
        <v>0</v>
      </c>
      <c r="D3106" s="135">
        <f t="shared" si="118"/>
        <v>138982629</v>
      </c>
      <c r="E3106" s="133" t="s">
        <v>1439</v>
      </c>
      <c r="F3106" s="133"/>
      <c r="G3106" s="133"/>
      <c r="H3106" s="133"/>
    </row>
    <row r="3107" spans="1:8" hidden="1" outlineLevel="1">
      <c r="A3107" s="418" t="s">
        <v>1504</v>
      </c>
      <c r="B3107" s="406">
        <v>455168438.56600004</v>
      </c>
      <c r="C3107" s="88">
        <f>+SUMIF('Anlage 2b_Korrekturen'!$B$700:$B$1160,A3107,'Anlage 2b_Korrekturen'!$D$700:$D$1160)</f>
        <v>0</v>
      </c>
      <c r="D3107" s="135">
        <f t="shared" si="118"/>
        <v>455168438.56600004</v>
      </c>
      <c r="E3107" s="133" t="s">
        <v>1505</v>
      </c>
      <c r="F3107" s="133"/>
      <c r="G3107" s="133"/>
      <c r="H3107" s="133"/>
    </row>
    <row r="3108" spans="1:8" hidden="1" outlineLevel="1">
      <c r="A3108" s="418" t="s">
        <v>1275</v>
      </c>
      <c r="B3108" s="406">
        <v>11384606</v>
      </c>
      <c r="C3108" s="88">
        <f>+SUMIF('Anlage 2b_Korrekturen'!$B$700:$B$1160,A3108,'Anlage 2b_Korrekturen'!$D$700:$D$1160)</f>
        <v>0</v>
      </c>
      <c r="D3108" s="135">
        <f t="shared" si="118"/>
        <v>11384606</v>
      </c>
      <c r="E3108" s="133" t="s">
        <v>1276</v>
      </c>
      <c r="F3108" s="133"/>
      <c r="G3108" s="133"/>
      <c r="H3108" s="133"/>
    </row>
    <row r="3109" spans="1:8" hidden="1" outlineLevel="1">
      <c r="A3109" s="418" t="s">
        <v>1562</v>
      </c>
      <c r="B3109" s="406">
        <v>2350855</v>
      </c>
      <c r="C3109" s="88">
        <f>+SUMIF('Anlage 2b_Korrekturen'!$B$700:$B$1160,A3109,'Anlage 2b_Korrekturen'!$D$700:$D$1160)</f>
        <v>0</v>
      </c>
      <c r="D3109" s="135">
        <f t="shared" si="118"/>
        <v>2350855</v>
      </c>
      <c r="E3109" s="133" t="s">
        <v>1563</v>
      </c>
      <c r="F3109" s="133"/>
      <c r="G3109" s="133"/>
      <c r="H3109" s="133"/>
    </row>
    <row r="3110" spans="1:8" hidden="1" outlineLevel="1">
      <c r="A3110" s="418" t="s">
        <v>2197</v>
      </c>
      <c r="B3110" s="406">
        <v>5787854</v>
      </c>
      <c r="C3110" s="88">
        <f>+SUMIF('Anlage 2b_Korrekturen'!$B$700:$B$1160,A3110,'Anlage 2b_Korrekturen'!$D$700:$D$1160)</f>
        <v>0</v>
      </c>
      <c r="D3110" s="135">
        <f t="shared" si="118"/>
        <v>5787854</v>
      </c>
      <c r="E3110" s="133" t="s">
        <v>2198</v>
      </c>
      <c r="F3110" s="133"/>
      <c r="G3110" s="133"/>
      <c r="H3110" s="133"/>
    </row>
    <row r="3111" spans="1:8" hidden="1" outlineLevel="1">
      <c r="A3111" s="418" t="s">
        <v>1706</v>
      </c>
      <c r="B3111" s="406">
        <v>227105740</v>
      </c>
      <c r="C3111" s="88">
        <f>+SUMIF('Anlage 2b_Korrekturen'!$B$700:$B$1160,A3111,'Anlage 2b_Korrekturen'!$D$700:$D$1160)</f>
        <v>-1659398</v>
      </c>
      <c r="D3111" s="135">
        <f t="shared" si="118"/>
        <v>225446342</v>
      </c>
      <c r="E3111" s="133" t="s">
        <v>1707</v>
      </c>
      <c r="F3111" s="133"/>
      <c r="G3111" s="133"/>
      <c r="H3111" s="133"/>
    </row>
    <row r="3112" spans="1:8" hidden="1" outlineLevel="1">
      <c r="A3112" s="418" t="s">
        <v>1454</v>
      </c>
      <c r="B3112" s="406">
        <v>100098053.34999999</v>
      </c>
      <c r="C3112" s="88">
        <f>+SUMIF('Anlage 2b_Korrekturen'!$B$700:$B$1160,A3112,'Anlage 2b_Korrekturen'!$D$700:$D$1160)</f>
        <v>68152.44</v>
      </c>
      <c r="D3112" s="135">
        <f t="shared" si="118"/>
        <v>100166205.78999999</v>
      </c>
      <c r="E3112" s="133" t="s">
        <v>1455</v>
      </c>
      <c r="F3112" s="133"/>
      <c r="G3112" s="133"/>
      <c r="H3112" s="133"/>
    </row>
    <row r="3113" spans="1:8" hidden="1" outlineLevel="1">
      <c r="A3113" s="418" t="s">
        <v>1412</v>
      </c>
      <c r="B3113" s="406">
        <v>205159897</v>
      </c>
      <c r="C3113" s="88">
        <f>+SUMIF('Anlage 2b_Korrekturen'!$B$700:$B$1160,A3113,'Anlage 2b_Korrekturen'!$D$700:$D$1160)</f>
        <v>0</v>
      </c>
      <c r="D3113" s="135">
        <f t="shared" si="118"/>
        <v>205159897</v>
      </c>
      <c r="E3113" s="133" t="s">
        <v>1413</v>
      </c>
      <c r="F3113" s="133"/>
      <c r="G3113" s="133"/>
      <c r="H3113" s="133"/>
    </row>
    <row r="3114" spans="1:8" hidden="1" outlineLevel="1">
      <c r="A3114" s="418" t="s">
        <v>1548</v>
      </c>
      <c r="B3114" s="406">
        <v>21488089</v>
      </c>
      <c r="C3114" s="88">
        <f>+SUMIF('Anlage 2b_Korrekturen'!$B$700:$B$1160,A3114,'Anlage 2b_Korrekturen'!$D$700:$D$1160)</f>
        <v>-127211</v>
      </c>
      <c r="D3114" s="135">
        <f t="shared" si="118"/>
        <v>21360878</v>
      </c>
      <c r="E3114" s="133" t="s">
        <v>1549</v>
      </c>
      <c r="F3114" s="133"/>
      <c r="G3114" s="133"/>
      <c r="H3114" s="133"/>
    </row>
    <row r="3115" spans="1:8" hidden="1" outlineLevel="1">
      <c r="A3115" s="418" t="s">
        <v>1656</v>
      </c>
      <c r="B3115" s="406">
        <v>1429193676</v>
      </c>
      <c r="C3115" s="88">
        <f>+SUMIF('Anlage 2b_Korrekturen'!$B$700:$B$1160,A3115,'Anlage 2b_Korrekturen'!$D$700:$D$1160)</f>
        <v>5315437</v>
      </c>
      <c r="D3115" s="135">
        <f t="shared" si="118"/>
        <v>1434509113</v>
      </c>
      <c r="E3115" s="133" t="s">
        <v>1657</v>
      </c>
      <c r="F3115" s="133"/>
      <c r="G3115" s="133"/>
      <c r="H3115" s="133"/>
    </row>
    <row r="3116" spans="1:8" hidden="1" outlineLevel="1">
      <c r="A3116" s="418" t="s">
        <v>1221</v>
      </c>
      <c r="B3116" s="406">
        <v>572831968.51499999</v>
      </c>
      <c r="C3116" s="88">
        <f>+SUMIF('Anlage 2b_Korrekturen'!$B$700:$B$1160,A3116,'Anlage 2b_Korrekturen'!$D$700:$D$1160)</f>
        <v>-9887871.756000001</v>
      </c>
      <c r="D3116" s="135">
        <f t="shared" si="118"/>
        <v>562944096.75899994</v>
      </c>
      <c r="E3116" s="133" t="s">
        <v>1222</v>
      </c>
      <c r="F3116" s="133"/>
      <c r="G3116" s="133"/>
      <c r="H3116" s="133"/>
    </row>
    <row r="3117" spans="1:8" hidden="1" outlineLevel="1">
      <c r="A3117" s="418" t="s">
        <v>1366</v>
      </c>
      <c r="B3117" s="406">
        <v>33437483</v>
      </c>
      <c r="C3117" s="88">
        <f>+SUMIF('Anlage 2b_Korrekturen'!$B$700:$B$1160,A3117,'Anlage 2b_Korrekturen'!$D$700:$D$1160)</f>
        <v>8348</v>
      </c>
      <c r="D3117" s="135">
        <f t="shared" si="118"/>
        <v>33445831</v>
      </c>
      <c r="E3117" s="133" t="s">
        <v>1367</v>
      </c>
      <c r="F3117" s="133"/>
      <c r="G3117" s="133"/>
      <c r="H3117" s="133"/>
    </row>
    <row r="3118" spans="1:8" hidden="1" outlineLevel="1">
      <c r="A3118" s="418" t="s">
        <v>1610</v>
      </c>
      <c r="B3118" s="406">
        <v>47273310.850000001</v>
      </c>
      <c r="C3118" s="88">
        <f>+SUMIF('Anlage 2b_Korrekturen'!$B$700:$B$1160,A3118,'Anlage 2b_Korrekturen'!$D$700:$D$1160)</f>
        <v>0</v>
      </c>
      <c r="D3118" s="135">
        <f t="shared" si="118"/>
        <v>47273310.850000001</v>
      </c>
      <c r="E3118" s="133" t="s">
        <v>1611</v>
      </c>
      <c r="F3118" s="133"/>
      <c r="G3118" s="133"/>
      <c r="H3118" s="133"/>
    </row>
    <row r="3119" spans="1:8" hidden="1" outlineLevel="1">
      <c r="A3119" s="418" t="s">
        <v>1474</v>
      </c>
      <c r="B3119" s="406">
        <v>15048294</v>
      </c>
      <c r="C3119" s="88">
        <f>+SUMIF('Anlage 2b_Korrekturen'!$B$700:$B$1160,A3119,'Anlage 2b_Korrekturen'!$D$700:$D$1160)</f>
        <v>0</v>
      </c>
      <c r="D3119" s="135">
        <f t="shared" si="118"/>
        <v>15048294</v>
      </c>
      <c r="E3119" s="133" t="s">
        <v>1475</v>
      </c>
      <c r="F3119" s="133"/>
      <c r="G3119" s="133"/>
      <c r="H3119" s="133"/>
    </row>
    <row r="3120" spans="1:8" hidden="1" outlineLevel="1">
      <c r="A3120" s="418" t="s">
        <v>580</v>
      </c>
      <c r="B3120" s="406">
        <v>273133847</v>
      </c>
      <c r="C3120" s="88">
        <f>+SUMIF('Anlage 2b_Korrekturen'!$B$700:$B$1160,A3120,'Anlage 2b_Korrekturen'!$D$700:$D$1160)</f>
        <v>-204149</v>
      </c>
      <c r="D3120" s="135">
        <f t="shared" si="118"/>
        <v>272929698</v>
      </c>
      <c r="E3120" s="133" t="s">
        <v>581</v>
      </c>
      <c r="F3120" s="133"/>
      <c r="G3120" s="133"/>
      <c r="H3120" s="133"/>
    </row>
    <row r="3121" spans="1:8" hidden="1" outlineLevel="1">
      <c r="A3121" s="418" t="s">
        <v>1592</v>
      </c>
      <c r="B3121" s="406">
        <v>119006163</v>
      </c>
      <c r="C3121" s="88">
        <f>+SUMIF('Anlage 2b_Korrekturen'!$B$700:$B$1160,A3121,'Anlage 2b_Korrekturen'!$D$700:$D$1160)</f>
        <v>375342</v>
      </c>
      <c r="D3121" s="135">
        <f t="shared" si="118"/>
        <v>119381505</v>
      </c>
      <c r="E3121" s="133" t="s">
        <v>1593</v>
      </c>
      <c r="F3121" s="133"/>
      <c r="G3121" s="133"/>
      <c r="H3121" s="133"/>
    </row>
    <row r="3122" spans="1:8" hidden="1" outlineLevel="1">
      <c r="A3122" s="418" t="s">
        <v>1792</v>
      </c>
      <c r="B3122" s="406">
        <v>35456182.869999997</v>
      </c>
      <c r="C3122" s="88">
        <f>+SUMIF('Anlage 2b_Korrekturen'!$B$700:$B$1160,A3122,'Anlage 2b_Korrekturen'!$D$700:$D$1160)</f>
        <v>0</v>
      </c>
      <c r="D3122" s="135">
        <f t="shared" si="118"/>
        <v>35456182.869999997</v>
      </c>
      <c r="E3122" s="133" t="s">
        <v>1793</v>
      </c>
      <c r="F3122" s="133"/>
      <c r="G3122" s="133"/>
      <c r="H3122" s="133"/>
    </row>
    <row r="3123" spans="1:8" hidden="1" outlineLevel="1">
      <c r="A3123" s="418" t="s">
        <v>1322</v>
      </c>
      <c r="B3123" s="406">
        <v>11189983</v>
      </c>
      <c r="C3123" s="88">
        <f>+SUMIF('Anlage 2b_Korrekturen'!$B$700:$B$1160,A3123,'Anlage 2b_Korrekturen'!$D$700:$D$1160)</f>
        <v>5675</v>
      </c>
      <c r="D3123" s="135">
        <f t="shared" si="118"/>
        <v>11195658</v>
      </c>
      <c r="E3123" s="133" t="s">
        <v>1323</v>
      </c>
      <c r="F3123" s="133"/>
      <c r="G3123" s="133"/>
      <c r="H3123" s="133"/>
    </row>
    <row r="3124" spans="1:8" hidden="1" outlineLevel="1">
      <c r="A3124" s="418" t="s">
        <v>1618</v>
      </c>
      <c r="B3124" s="406">
        <v>23840338</v>
      </c>
      <c r="C3124" s="88">
        <f>+SUMIF('Anlage 2b_Korrekturen'!$B$700:$B$1160,A3124,'Anlage 2b_Korrekturen'!$D$700:$D$1160)</f>
        <v>-374212</v>
      </c>
      <c r="D3124" s="135">
        <f t="shared" si="118"/>
        <v>23466126</v>
      </c>
      <c r="E3124" s="133" t="s">
        <v>1619</v>
      </c>
      <c r="F3124" s="133"/>
      <c r="G3124" s="133"/>
      <c r="H3124" s="133"/>
    </row>
    <row r="3125" spans="1:8" hidden="1" outlineLevel="1">
      <c r="A3125" s="418" t="s">
        <v>1806</v>
      </c>
      <c r="B3125" s="406">
        <v>61722346</v>
      </c>
      <c r="C3125" s="88">
        <f>+SUMIF('Anlage 2b_Korrekturen'!$B$700:$B$1160,A3125,'Anlage 2b_Korrekturen'!$D$700:$D$1160)</f>
        <v>0</v>
      </c>
      <c r="D3125" s="135">
        <f t="shared" si="118"/>
        <v>61722346</v>
      </c>
      <c r="E3125" s="133" t="s">
        <v>2199</v>
      </c>
      <c r="F3125" s="133"/>
      <c r="G3125" s="133"/>
      <c r="H3125" s="133"/>
    </row>
    <row r="3126" spans="1:8" hidden="1" outlineLevel="1">
      <c r="A3126" s="418" t="s">
        <v>1342</v>
      </c>
      <c r="B3126" s="406">
        <v>126456129</v>
      </c>
      <c r="C3126" s="88">
        <f>+SUMIF('Anlage 2b_Korrekturen'!$B$700:$B$1160,A3126,'Anlage 2b_Korrekturen'!$D$700:$D$1160)</f>
        <v>0</v>
      </c>
      <c r="D3126" s="135">
        <f t="shared" si="118"/>
        <v>126456129</v>
      </c>
      <c r="E3126" s="133" t="s">
        <v>1343</v>
      </c>
      <c r="F3126" s="133"/>
      <c r="G3126" s="133"/>
      <c r="H3126" s="133"/>
    </row>
    <row r="3127" spans="1:8" hidden="1" outlineLevel="1">
      <c r="A3127" s="418" t="s">
        <v>1340</v>
      </c>
      <c r="B3127" s="406">
        <v>35787459</v>
      </c>
      <c r="C3127" s="88">
        <f>+SUMIF('Anlage 2b_Korrekturen'!$B$700:$B$1160,A3127,'Anlage 2b_Korrekturen'!$D$700:$D$1160)</f>
        <v>0</v>
      </c>
      <c r="D3127" s="135">
        <f t="shared" si="118"/>
        <v>35787459</v>
      </c>
      <c r="E3127" s="133" t="s">
        <v>1341</v>
      </c>
      <c r="F3127" s="133"/>
      <c r="G3127" s="133"/>
      <c r="H3127" s="133"/>
    </row>
    <row r="3128" spans="1:8" hidden="1" outlineLevel="1">
      <c r="A3128" s="418" t="s">
        <v>1326</v>
      </c>
      <c r="B3128" s="406">
        <v>97423495.465000004</v>
      </c>
      <c r="C3128" s="88">
        <f>+SUMIF('Anlage 2b_Korrekturen'!$B$700:$B$1160,A3128,'Anlage 2b_Korrekturen'!$D$700:$D$1160)</f>
        <v>-294158</v>
      </c>
      <c r="D3128" s="135">
        <f t="shared" si="118"/>
        <v>97129337.465000004</v>
      </c>
      <c r="E3128" s="133" t="s">
        <v>1327</v>
      </c>
      <c r="F3128" s="133"/>
      <c r="G3128" s="133"/>
      <c r="H3128" s="133"/>
    </row>
    <row r="3129" spans="1:8" hidden="1" outlineLevel="1">
      <c r="A3129" s="418" t="s">
        <v>1376</v>
      </c>
      <c r="B3129" s="406">
        <v>112019162</v>
      </c>
      <c r="C3129" s="88">
        <f>+SUMIF('Anlage 2b_Korrekturen'!$B$700:$B$1160,A3129,'Anlage 2b_Korrekturen'!$D$700:$D$1160)</f>
        <v>0</v>
      </c>
      <c r="D3129" s="135">
        <f t="shared" si="118"/>
        <v>112019162</v>
      </c>
      <c r="E3129" s="133" t="s">
        <v>1377</v>
      </c>
      <c r="F3129" s="133"/>
      <c r="G3129" s="133"/>
      <c r="H3129" s="133"/>
    </row>
    <row r="3130" spans="1:8" hidden="1" outlineLevel="1">
      <c r="A3130" s="418" t="s">
        <v>1628</v>
      </c>
      <c r="B3130" s="406">
        <v>131704312</v>
      </c>
      <c r="C3130" s="88">
        <f>+SUMIF('Anlage 2b_Korrekturen'!$B$700:$B$1160,A3130,'Anlage 2b_Korrekturen'!$D$700:$D$1160)</f>
        <v>1501796</v>
      </c>
      <c r="D3130" s="135">
        <f t="shared" si="118"/>
        <v>133206108</v>
      </c>
      <c r="E3130" s="133" t="s">
        <v>1629</v>
      </c>
      <c r="F3130" s="133"/>
      <c r="G3130" s="133"/>
      <c r="H3130" s="133"/>
    </row>
    <row r="3131" spans="1:8" hidden="1" outlineLevel="1">
      <c r="A3131" s="418" t="s">
        <v>2200</v>
      </c>
      <c r="B3131" s="406">
        <v>5144942.3099999996</v>
      </c>
      <c r="C3131" s="88">
        <f>+SUMIF('Anlage 2b_Korrekturen'!$B$700:$B$1160,A3131,'Anlage 2b_Korrekturen'!$D$700:$D$1160)</f>
        <v>0</v>
      </c>
      <c r="D3131" s="135">
        <f t="shared" si="118"/>
        <v>5144942.3099999996</v>
      </c>
      <c r="E3131" s="133" t="s">
        <v>2201</v>
      </c>
      <c r="F3131" s="133"/>
      <c r="G3131" s="133"/>
      <c r="H3131" s="133"/>
    </row>
    <row r="3132" spans="1:8" hidden="1" outlineLevel="1">
      <c r="A3132" s="418" t="s">
        <v>1293</v>
      </c>
      <c r="B3132" s="406">
        <v>261491358</v>
      </c>
      <c r="C3132" s="88">
        <f>+SUMIF('Anlage 2b_Korrekturen'!$B$700:$B$1160,A3132,'Anlage 2b_Korrekturen'!$D$700:$D$1160)</f>
        <v>0</v>
      </c>
      <c r="D3132" s="135">
        <f t="shared" si="118"/>
        <v>261491358</v>
      </c>
      <c r="E3132" s="133" t="s">
        <v>1294</v>
      </c>
      <c r="F3132" s="133"/>
      <c r="G3132" s="133"/>
      <c r="H3132" s="133"/>
    </row>
    <row r="3133" spans="1:8" hidden="1" outlineLevel="1">
      <c r="A3133" s="418" t="s">
        <v>1590</v>
      </c>
      <c r="B3133" s="406">
        <v>16539706</v>
      </c>
      <c r="C3133" s="88">
        <f>+SUMIF('Anlage 2b_Korrekturen'!$B$700:$B$1160,A3133,'Anlage 2b_Korrekturen'!$D$700:$D$1160)</f>
        <v>-24900</v>
      </c>
      <c r="D3133" s="135">
        <f t="shared" si="118"/>
        <v>16514806</v>
      </c>
      <c r="E3133" s="133" t="s">
        <v>1591</v>
      </c>
      <c r="F3133" s="133"/>
      <c r="G3133" s="133"/>
      <c r="H3133" s="133"/>
    </row>
    <row r="3134" spans="1:8" hidden="1" outlineLevel="1">
      <c r="A3134" s="418" t="s">
        <v>1464</v>
      </c>
      <c r="B3134" s="406">
        <v>45628277</v>
      </c>
      <c r="C3134" s="88">
        <f>+SUMIF('Anlage 2b_Korrekturen'!$B$700:$B$1160,A3134,'Anlage 2b_Korrekturen'!$D$700:$D$1160)</f>
        <v>0</v>
      </c>
      <c r="D3134" s="135">
        <f t="shared" si="118"/>
        <v>45628277</v>
      </c>
      <c r="E3134" s="133" t="s">
        <v>1465</v>
      </c>
      <c r="F3134" s="133"/>
      <c r="G3134" s="133"/>
      <c r="H3134" s="133"/>
    </row>
    <row r="3135" spans="1:8" hidden="1" outlineLevel="1">
      <c r="A3135" s="418" t="s">
        <v>2202</v>
      </c>
      <c r="B3135" s="406">
        <v>6468775</v>
      </c>
      <c r="C3135" s="88">
        <f>+SUMIF('Anlage 2b_Korrekturen'!$B$700:$B$1160,A3135,'Anlage 2b_Korrekturen'!$D$700:$D$1160)</f>
        <v>0</v>
      </c>
      <c r="D3135" s="135">
        <f t="shared" si="118"/>
        <v>6468775</v>
      </c>
      <c r="E3135" s="133" t="s">
        <v>2203</v>
      </c>
      <c r="F3135" s="133"/>
      <c r="G3135" s="133"/>
      <c r="H3135" s="133"/>
    </row>
    <row r="3136" spans="1:8" hidden="1" outlineLevel="1">
      <c r="A3136" s="418" t="s">
        <v>1586</v>
      </c>
      <c r="B3136" s="406">
        <v>26326187</v>
      </c>
      <c r="C3136" s="88">
        <f>+SUMIF('Anlage 2b_Korrekturen'!$B$700:$B$1160,A3136,'Anlage 2b_Korrekturen'!$D$700:$D$1160)</f>
        <v>0</v>
      </c>
      <c r="D3136" s="135">
        <f t="shared" si="118"/>
        <v>26326187</v>
      </c>
      <c r="E3136" s="133" t="s">
        <v>1587</v>
      </c>
      <c r="F3136" s="133"/>
      <c r="G3136" s="133"/>
      <c r="H3136" s="133"/>
    </row>
    <row r="3137" spans="1:8" hidden="1" outlineLevel="1">
      <c r="A3137" s="418" t="s">
        <v>1232</v>
      </c>
      <c r="B3137" s="406">
        <v>504967552</v>
      </c>
      <c r="C3137" s="88">
        <f>+SUMIF('Anlage 2b_Korrekturen'!$B$700:$B$1160,A3137,'Anlage 2b_Korrekturen'!$D$700:$D$1160)</f>
        <v>0</v>
      </c>
      <c r="D3137" s="135">
        <f t="shared" si="118"/>
        <v>504967552</v>
      </c>
      <c r="E3137" s="133" t="s">
        <v>1233</v>
      </c>
      <c r="F3137" s="133"/>
      <c r="G3137" s="133"/>
      <c r="H3137" s="133"/>
    </row>
    <row r="3138" spans="1:8" hidden="1" outlineLevel="1">
      <c r="A3138" s="418" t="s">
        <v>1444</v>
      </c>
      <c r="B3138" s="406">
        <v>911256968</v>
      </c>
      <c r="C3138" s="88">
        <f>+SUMIF('Anlage 2b_Korrekturen'!$B$700:$B$1160,A3138,'Anlage 2b_Korrekturen'!$D$700:$D$1160)</f>
        <v>-4388123</v>
      </c>
      <c r="D3138" s="135">
        <f t="shared" ref="D3138:D3201" si="119">B3138+C3138</f>
        <v>906868845</v>
      </c>
      <c r="E3138" s="133" t="s">
        <v>1445</v>
      </c>
      <c r="F3138" s="133"/>
      <c r="G3138" s="133"/>
      <c r="H3138" s="133"/>
    </row>
    <row r="3139" spans="1:8" hidden="1" outlineLevel="1">
      <c r="A3139" s="418" t="s">
        <v>1248</v>
      </c>
      <c r="B3139" s="406">
        <v>108809197</v>
      </c>
      <c r="C3139" s="88">
        <f>+SUMIF('Anlage 2b_Korrekturen'!$B$700:$B$1160,A3139,'Anlage 2b_Korrekturen'!$D$700:$D$1160)</f>
        <v>1301866.6199999999</v>
      </c>
      <c r="D3139" s="135">
        <f t="shared" si="119"/>
        <v>110111063.62</v>
      </c>
      <c r="E3139" s="133" t="s">
        <v>1249</v>
      </c>
      <c r="F3139" s="133"/>
      <c r="G3139" s="133"/>
      <c r="H3139" s="133"/>
    </row>
    <row r="3140" spans="1:8" hidden="1" outlineLevel="1">
      <c r="A3140" s="418" t="s">
        <v>1675</v>
      </c>
      <c r="B3140" s="406">
        <v>290900313</v>
      </c>
      <c r="C3140" s="88">
        <f>+SUMIF('Anlage 2b_Korrekturen'!$B$700:$B$1160,A3140,'Anlage 2b_Korrekturen'!$D$700:$D$1160)</f>
        <v>0</v>
      </c>
      <c r="D3140" s="135">
        <f t="shared" si="119"/>
        <v>290900313</v>
      </c>
      <c r="E3140" s="133" t="s">
        <v>1676</v>
      </c>
      <c r="F3140" s="133"/>
      <c r="G3140" s="133"/>
      <c r="H3140" s="133"/>
    </row>
    <row r="3141" spans="1:8" hidden="1" outlineLevel="1">
      <c r="A3141" s="418" t="s">
        <v>1536</v>
      </c>
      <c r="B3141" s="406">
        <v>21417615</v>
      </c>
      <c r="C3141" s="88">
        <f>+SUMIF('Anlage 2b_Korrekturen'!$B$700:$B$1160,A3141,'Anlage 2b_Korrekturen'!$D$700:$D$1160)</f>
        <v>143429</v>
      </c>
      <c r="D3141" s="135">
        <f t="shared" si="119"/>
        <v>21561044</v>
      </c>
      <c r="E3141" s="133" t="s">
        <v>1537</v>
      </c>
      <c r="F3141" s="133"/>
      <c r="G3141" s="133"/>
      <c r="H3141" s="133"/>
    </row>
    <row r="3142" spans="1:8" hidden="1" outlineLevel="1">
      <c r="A3142" s="418" t="s">
        <v>1374</v>
      </c>
      <c r="B3142" s="406">
        <v>81358310.488000005</v>
      </c>
      <c r="C3142" s="88">
        <f>+SUMIF('Anlage 2b_Korrekturen'!$B$700:$B$1160,A3142,'Anlage 2b_Korrekturen'!$D$700:$D$1160)</f>
        <v>1346822</v>
      </c>
      <c r="D3142" s="135">
        <f t="shared" si="119"/>
        <v>82705132.488000005</v>
      </c>
      <c r="E3142" s="133" t="s">
        <v>1375</v>
      </c>
      <c r="F3142" s="133"/>
      <c r="G3142" s="133"/>
      <c r="H3142" s="133"/>
    </row>
    <row r="3143" spans="1:8" hidden="1" outlineLevel="1">
      <c r="A3143" s="418" t="s">
        <v>1257</v>
      </c>
      <c r="B3143" s="406">
        <v>45744117</v>
      </c>
      <c r="C3143" s="88">
        <f>+SUMIF('Anlage 2b_Korrekturen'!$B$700:$B$1160,A3143,'Anlage 2b_Korrekturen'!$D$700:$D$1160)</f>
        <v>374710</v>
      </c>
      <c r="D3143" s="135">
        <f t="shared" si="119"/>
        <v>46118827</v>
      </c>
      <c r="E3143" s="133" t="s">
        <v>1258</v>
      </c>
      <c r="F3143" s="133"/>
      <c r="G3143" s="133"/>
      <c r="H3143" s="133"/>
    </row>
    <row r="3144" spans="1:8" hidden="1" outlineLevel="1">
      <c r="A3144" s="418" t="s">
        <v>1714</v>
      </c>
      <c r="B3144" s="406">
        <v>175473449.84299999</v>
      </c>
      <c r="C3144" s="88">
        <f>+SUMIF('Anlage 2b_Korrekturen'!$B$700:$B$1160,A3144,'Anlage 2b_Korrekturen'!$D$700:$D$1160)</f>
        <v>0</v>
      </c>
      <c r="D3144" s="135">
        <f t="shared" si="119"/>
        <v>175473449.84299999</v>
      </c>
      <c r="E3144" s="133" t="s">
        <v>1715</v>
      </c>
      <c r="F3144" s="133"/>
      <c r="G3144" s="133"/>
      <c r="H3144" s="133"/>
    </row>
    <row r="3145" spans="1:8" hidden="1" outlineLevel="1">
      <c r="A3145" s="418" t="s">
        <v>1542</v>
      </c>
      <c r="B3145" s="406">
        <v>40210092</v>
      </c>
      <c r="C3145" s="88">
        <f>+SUMIF('Anlage 2b_Korrekturen'!$B$700:$B$1160,A3145,'Anlage 2b_Korrekturen'!$D$700:$D$1160)</f>
        <v>0</v>
      </c>
      <c r="D3145" s="135">
        <f t="shared" si="119"/>
        <v>40210092</v>
      </c>
      <c r="E3145" s="133" t="s">
        <v>1543</v>
      </c>
      <c r="F3145" s="133"/>
      <c r="G3145" s="133"/>
      <c r="H3145" s="133"/>
    </row>
    <row r="3146" spans="1:8" hidden="1" outlineLevel="1">
      <c r="A3146" s="418" t="s">
        <v>1526</v>
      </c>
      <c r="B3146" s="406">
        <v>50212528</v>
      </c>
      <c r="C3146" s="88">
        <f>+SUMIF('Anlage 2b_Korrekturen'!$B$700:$B$1160,A3146,'Anlage 2b_Korrekturen'!$D$700:$D$1160)</f>
        <v>0</v>
      </c>
      <c r="D3146" s="135">
        <f t="shared" si="119"/>
        <v>50212528</v>
      </c>
      <c r="E3146" s="133" t="s">
        <v>1527</v>
      </c>
      <c r="F3146" s="133"/>
      <c r="G3146" s="133"/>
      <c r="H3146" s="133"/>
    </row>
    <row r="3147" spans="1:8" hidden="1" outlineLevel="1">
      <c r="A3147" s="418" t="s">
        <v>1356</v>
      </c>
      <c r="B3147" s="406">
        <v>37914235</v>
      </c>
      <c r="C3147" s="88">
        <f>+SUMIF('Anlage 2b_Korrekturen'!$B$700:$B$1160,A3147,'Anlage 2b_Korrekturen'!$D$700:$D$1160)</f>
        <v>100847</v>
      </c>
      <c r="D3147" s="135">
        <f t="shared" si="119"/>
        <v>38015082</v>
      </c>
      <c r="E3147" s="133" t="s">
        <v>1357</v>
      </c>
      <c r="F3147" s="133"/>
      <c r="G3147" s="133"/>
      <c r="H3147" s="133"/>
    </row>
    <row r="3148" spans="1:8" hidden="1" outlineLevel="1">
      <c r="A3148" s="418" t="s">
        <v>1712</v>
      </c>
      <c r="B3148" s="406">
        <v>15650550</v>
      </c>
      <c r="C3148" s="88">
        <f>+SUMIF('Anlage 2b_Korrekturen'!$B$700:$B$1160,A3148,'Anlage 2b_Korrekturen'!$D$700:$D$1160)</f>
        <v>0</v>
      </c>
      <c r="D3148" s="135">
        <f t="shared" si="119"/>
        <v>15650550</v>
      </c>
      <c r="E3148" s="133" t="s">
        <v>1713</v>
      </c>
      <c r="F3148" s="133"/>
      <c r="G3148" s="133"/>
      <c r="H3148" s="133"/>
    </row>
    <row r="3149" spans="1:8" hidden="1" outlineLevel="1">
      <c r="A3149" s="418" t="s">
        <v>1299</v>
      </c>
      <c r="B3149" s="406">
        <v>11789945</v>
      </c>
      <c r="C3149" s="88">
        <f>+SUMIF('Anlage 2b_Korrekturen'!$B$700:$B$1160,A3149,'Anlage 2b_Korrekturen'!$D$700:$D$1160)</f>
        <v>-68666</v>
      </c>
      <c r="D3149" s="135">
        <f t="shared" si="119"/>
        <v>11721279</v>
      </c>
      <c r="E3149" s="133" t="s">
        <v>1300</v>
      </c>
      <c r="F3149" s="133"/>
      <c r="G3149" s="133"/>
      <c r="H3149" s="133"/>
    </row>
    <row r="3150" spans="1:8" hidden="1" outlineLevel="1">
      <c r="A3150" s="418" t="s">
        <v>1754</v>
      </c>
      <c r="B3150" s="406">
        <v>20890802</v>
      </c>
      <c r="C3150" s="88">
        <f>+SUMIF('Anlage 2b_Korrekturen'!$B$700:$B$1160,A3150,'Anlage 2b_Korrekturen'!$D$700:$D$1160)</f>
        <v>-3536</v>
      </c>
      <c r="D3150" s="135">
        <f t="shared" si="119"/>
        <v>20887266</v>
      </c>
      <c r="E3150" s="133" t="s">
        <v>1755</v>
      </c>
      <c r="F3150" s="133"/>
      <c r="G3150" s="133"/>
      <c r="H3150" s="133"/>
    </row>
    <row r="3151" spans="1:8" hidden="1" outlineLevel="1">
      <c r="A3151" s="418" t="s">
        <v>1690</v>
      </c>
      <c r="B3151" s="406">
        <v>91776009</v>
      </c>
      <c r="C3151" s="88">
        <f>+SUMIF('Anlage 2b_Korrekturen'!$B$700:$B$1160,A3151,'Anlage 2b_Korrekturen'!$D$700:$D$1160)</f>
        <v>-104190</v>
      </c>
      <c r="D3151" s="135">
        <f t="shared" si="119"/>
        <v>91671819</v>
      </c>
      <c r="E3151" s="133" t="s">
        <v>1691</v>
      </c>
      <c r="F3151" s="133"/>
      <c r="G3151" s="133"/>
      <c r="H3151" s="133"/>
    </row>
    <row r="3152" spans="1:8" hidden="1" outlineLevel="1">
      <c r="A3152" s="418" t="s">
        <v>1251</v>
      </c>
      <c r="B3152" s="406">
        <v>42512827</v>
      </c>
      <c r="C3152" s="88">
        <f>+SUMIF('Anlage 2b_Korrekturen'!$B$700:$B$1160,A3152,'Anlage 2b_Korrekturen'!$D$700:$D$1160)</f>
        <v>0</v>
      </c>
      <c r="D3152" s="135">
        <f t="shared" si="119"/>
        <v>42512827</v>
      </c>
      <c r="E3152" s="133" t="s">
        <v>1252</v>
      </c>
      <c r="F3152" s="133"/>
      <c r="G3152" s="133"/>
      <c r="H3152" s="133"/>
    </row>
    <row r="3153" spans="1:8" hidden="1" outlineLevel="1">
      <c r="A3153" s="418" t="s">
        <v>1392</v>
      </c>
      <c r="B3153" s="406">
        <v>51875465</v>
      </c>
      <c r="C3153" s="88">
        <f>+SUMIF('Anlage 2b_Korrekturen'!$B$700:$B$1160,A3153,'Anlage 2b_Korrekturen'!$D$700:$D$1160)</f>
        <v>-23912</v>
      </c>
      <c r="D3153" s="135">
        <f t="shared" si="119"/>
        <v>51851553</v>
      </c>
      <c r="E3153" s="133" t="s">
        <v>1393</v>
      </c>
      <c r="F3153" s="133"/>
      <c r="G3153" s="133"/>
      <c r="H3153" s="133"/>
    </row>
    <row r="3154" spans="1:8" hidden="1" outlineLevel="1">
      <c r="A3154" s="418" t="s">
        <v>1662</v>
      </c>
      <c r="B3154" s="406">
        <v>14084951</v>
      </c>
      <c r="C3154" s="88">
        <f>+SUMIF('Anlage 2b_Korrekturen'!$B$700:$B$1160,A3154,'Anlage 2b_Korrekturen'!$D$700:$D$1160)</f>
        <v>-54321</v>
      </c>
      <c r="D3154" s="135">
        <f t="shared" si="119"/>
        <v>14030630</v>
      </c>
      <c r="E3154" s="133" t="s">
        <v>1663</v>
      </c>
      <c r="F3154" s="133"/>
      <c r="G3154" s="133"/>
      <c r="H3154" s="133"/>
    </row>
    <row r="3155" spans="1:8" hidden="1" outlineLevel="1">
      <c r="A3155" s="418" t="s">
        <v>1660</v>
      </c>
      <c r="B3155" s="406">
        <v>17498403</v>
      </c>
      <c r="C3155" s="88">
        <f>+SUMIF('Anlage 2b_Korrekturen'!$B$700:$B$1160,A3155,'Anlage 2b_Korrekturen'!$D$700:$D$1160)</f>
        <v>-9838</v>
      </c>
      <c r="D3155" s="135">
        <f t="shared" si="119"/>
        <v>17488565</v>
      </c>
      <c r="E3155" s="133" t="s">
        <v>1661</v>
      </c>
      <c r="F3155" s="133"/>
      <c r="G3155" s="133"/>
      <c r="H3155" s="133"/>
    </row>
    <row r="3156" spans="1:8" hidden="1" outlineLevel="1">
      <c r="A3156" s="418" t="s">
        <v>1564</v>
      </c>
      <c r="B3156" s="406">
        <v>5573230</v>
      </c>
      <c r="C3156" s="88">
        <f>+SUMIF('Anlage 2b_Korrekturen'!$B$700:$B$1160,A3156,'Anlage 2b_Korrekturen'!$D$700:$D$1160)</f>
        <v>0</v>
      </c>
      <c r="D3156" s="135">
        <f t="shared" si="119"/>
        <v>5573230</v>
      </c>
      <c r="E3156" s="133" t="s">
        <v>1565</v>
      </c>
      <c r="F3156" s="133"/>
      <c r="G3156" s="133"/>
      <c r="H3156" s="133"/>
    </row>
    <row r="3157" spans="1:8" hidden="1" outlineLevel="1">
      <c r="A3157" s="418" t="s">
        <v>1612</v>
      </c>
      <c r="B3157" s="406">
        <v>53435303</v>
      </c>
      <c r="C3157" s="88">
        <f>+SUMIF('Anlage 2b_Korrekturen'!$B$700:$B$1160,A3157,'Anlage 2b_Korrekturen'!$D$700:$D$1160)</f>
        <v>165716</v>
      </c>
      <c r="D3157" s="135">
        <f t="shared" si="119"/>
        <v>53601019</v>
      </c>
      <c r="E3157" s="133" t="s">
        <v>1613</v>
      </c>
      <c r="F3157" s="133"/>
      <c r="G3157" s="133"/>
      <c r="H3157" s="133"/>
    </row>
    <row r="3158" spans="1:8" hidden="1" outlineLevel="1">
      <c r="A3158" s="418" t="s">
        <v>1544</v>
      </c>
      <c r="B3158" s="406">
        <v>7498134</v>
      </c>
      <c r="C3158" s="88">
        <f>+SUMIF('Anlage 2b_Korrekturen'!$B$700:$B$1160,A3158,'Anlage 2b_Korrekturen'!$D$700:$D$1160)</f>
        <v>0</v>
      </c>
      <c r="D3158" s="135">
        <f t="shared" si="119"/>
        <v>7498134</v>
      </c>
      <c r="E3158" s="133" t="s">
        <v>1545</v>
      </c>
      <c r="F3158" s="133"/>
      <c r="G3158" s="133"/>
      <c r="H3158" s="133"/>
    </row>
    <row r="3159" spans="1:8" hidden="1" outlineLevel="1">
      <c r="A3159" s="418" t="s">
        <v>1530</v>
      </c>
      <c r="B3159" s="406">
        <v>67029848.450000003</v>
      </c>
      <c r="C3159" s="88">
        <f>+SUMIF('Anlage 2b_Korrekturen'!$B$700:$B$1160,A3159,'Anlage 2b_Korrekturen'!$D$700:$D$1160)</f>
        <v>0</v>
      </c>
      <c r="D3159" s="135">
        <f t="shared" si="119"/>
        <v>67029848.450000003</v>
      </c>
      <c r="E3159" s="133" t="s">
        <v>1531</v>
      </c>
      <c r="F3159" s="133"/>
      <c r="G3159" s="133"/>
      <c r="H3159" s="133"/>
    </row>
    <row r="3160" spans="1:8" hidden="1" outlineLevel="1">
      <c r="A3160" s="418" t="s">
        <v>1452</v>
      </c>
      <c r="B3160" s="406">
        <v>127163083</v>
      </c>
      <c r="C3160" s="88">
        <f>+SUMIF('Anlage 2b_Korrekturen'!$B$700:$B$1160,A3160,'Anlage 2b_Korrekturen'!$D$700:$D$1160)</f>
        <v>0</v>
      </c>
      <c r="D3160" s="135">
        <f t="shared" si="119"/>
        <v>127163083</v>
      </c>
      <c r="E3160" s="133" t="s">
        <v>1453</v>
      </c>
      <c r="F3160" s="133"/>
      <c r="G3160" s="133"/>
      <c r="H3160" s="133"/>
    </row>
    <row r="3161" spans="1:8" hidden="1" outlineLevel="1">
      <c r="A3161" s="418" t="s">
        <v>1774</v>
      </c>
      <c r="B3161" s="406">
        <v>239593730</v>
      </c>
      <c r="C3161" s="88">
        <f>+SUMIF('Anlage 2b_Korrekturen'!$B$700:$B$1160,A3161,'Anlage 2b_Korrekturen'!$D$700:$D$1160)</f>
        <v>-189427</v>
      </c>
      <c r="D3161" s="135">
        <f t="shared" si="119"/>
        <v>239404303</v>
      </c>
      <c r="E3161" s="133" t="s">
        <v>1775</v>
      </c>
      <c r="F3161" s="133"/>
      <c r="G3161" s="133"/>
      <c r="H3161" s="133"/>
    </row>
    <row r="3162" spans="1:8" hidden="1" outlineLevel="1">
      <c r="A3162" s="418" t="s">
        <v>1402</v>
      </c>
      <c r="B3162" s="406">
        <v>789220458.38</v>
      </c>
      <c r="C3162" s="88">
        <f>+SUMIF('Anlage 2b_Korrekturen'!$B$700:$B$1160,A3162,'Anlage 2b_Korrekturen'!$D$700:$D$1160)</f>
        <v>-6492496.4120000005</v>
      </c>
      <c r="D3162" s="135">
        <f t="shared" si="119"/>
        <v>782727961.96799994</v>
      </c>
      <c r="E3162" s="133" t="s">
        <v>1403</v>
      </c>
      <c r="F3162" s="133"/>
      <c r="G3162" s="133"/>
      <c r="H3162" s="133"/>
    </row>
    <row r="3163" spans="1:8" hidden="1" outlineLevel="1">
      <c r="A3163" s="418" t="s">
        <v>1440</v>
      </c>
      <c r="B3163" s="406">
        <v>85520637.75</v>
      </c>
      <c r="C3163" s="88">
        <f>+SUMIF('Anlage 2b_Korrekturen'!$B$700:$B$1160,A3163,'Anlage 2b_Korrekturen'!$D$700:$D$1160)</f>
        <v>0</v>
      </c>
      <c r="D3163" s="135">
        <f t="shared" si="119"/>
        <v>85520637.75</v>
      </c>
      <c r="E3163" s="133" t="s">
        <v>1441</v>
      </c>
      <c r="F3163" s="133"/>
      <c r="G3163" s="133"/>
      <c r="H3163" s="133"/>
    </row>
    <row r="3164" spans="1:8" hidden="1" outlineLevel="1">
      <c r="A3164" s="418" t="s">
        <v>1606</v>
      </c>
      <c r="B3164" s="406">
        <v>17529155</v>
      </c>
      <c r="C3164" s="88">
        <f>+SUMIF('Anlage 2b_Korrekturen'!$B$700:$B$1160,A3164,'Anlage 2b_Korrekturen'!$D$700:$D$1160)</f>
        <v>0</v>
      </c>
      <c r="D3164" s="135">
        <f t="shared" si="119"/>
        <v>17529155</v>
      </c>
      <c r="E3164" s="133" t="s">
        <v>1607</v>
      </c>
      <c r="F3164" s="133"/>
      <c r="G3164" s="133"/>
      <c r="H3164" s="133"/>
    </row>
    <row r="3165" spans="1:8" hidden="1" outlineLevel="1">
      <c r="A3165" s="418" t="s">
        <v>1408</v>
      </c>
      <c r="B3165" s="406">
        <v>621086344</v>
      </c>
      <c r="C3165" s="88">
        <f>+SUMIF('Anlage 2b_Korrekturen'!$B$700:$B$1160,A3165,'Anlage 2b_Korrekturen'!$D$700:$D$1160)</f>
        <v>0</v>
      </c>
      <c r="D3165" s="135">
        <f t="shared" si="119"/>
        <v>621086344</v>
      </c>
      <c r="E3165" s="133" t="s">
        <v>1409</v>
      </c>
      <c r="F3165" s="133"/>
      <c r="G3165" s="133"/>
      <c r="H3165" s="133"/>
    </row>
    <row r="3166" spans="1:8" hidden="1" outlineLevel="1">
      <c r="A3166" s="418" t="s">
        <v>1253</v>
      </c>
      <c r="B3166" s="406">
        <v>7714812</v>
      </c>
      <c r="C3166" s="88">
        <f>+SUMIF('Anlage 2b_Korrekturen'!$B$700:$B$1160,A3166,'Anlage 2b_Korrekturen'!$D$700:$D$1160)</f>
        <v>-175358</v>
      </c>
      <c r="D3166" s="135">
        <f t="shared" si="119"/>
        <v>7539454</v>
      </c>
      <c r="E3166" s="133" t="s">
        <v>1254</v>
      </c>
      <c r="F3166" s="133"/>
      <c r="G3166" s="133"/>
      <c r="H3166" s="133"/>
    </row>
    <row r="3167" spans="1:8" hidden="1" outlineLevel="1">
      <c r="A3167" s="418" t="s">
        <v>1434</v>
      </c>
      <c r="B3167" s="406">
        <v>91472854</v>
      </c>
      <c r="C3167" s="88">
        <f>+SUMIF('Anlage 2b_Korrekturen'!$B$700:$B$1160,A3167,'Anlage 2b_Korrekturen'!$D$700:$D$1160)</f>
        <v>0</v>
      </c>
      <c r="D3167" s="135">
        <f t="shared" si="119"/>
        <v>91472854</v>
      </c>
      <c r="E3167" s="133" t="s">
        <v>1435</v>
      </c>
      <c r="F3167" s="133"/>
      <c r="G3167" s="133"/>
      <c r="H3167" s="133"/>
    </row>
    <row r="3168" spans="1:8" hidden="1" outlineLevel="1">
      <c r="A3168" s="418" t="s">
        <v>1702</v>
      </c>
      <c r="B3168" s="406">
        <v>21872898.550000001</v>
      </c>
      <c r="C3168" s="88">
        <f>+SUMIF('Anlage 2b_Korrekturen'!$B$700:$B$1160,A3168,'Anlage 2b_Korrekturen'!$D$700:$D$1160)</f>
        <v>0</v>
      </c>
      <c r="D3168" s="135">
        <f t="shared" si="119"/>
        <v>21872898.550000001</v>
      </c>
      <c r="E3168" s="133" t="s">
        <v>1703</v>
      </c>
      <c r="F3168" s="133"/>
      <c r="G3168" s="133"/>
      <c r="H3168" s="133"/>
    </row>
    <row r="3169" spans="1:8" hidden="1" outlineLevel="1">
      <c r="A3169" s="418" t="s">
        <v>1269</v>
      </c>
      <c r="B3169" s="406">
        <v>35081878</v>
      </c>
      <c r="C3169" s="88">
        <f>+SUMIF('Anlage 2b_Korrekturen'!$B$700:$B$1160,A3169,'Anlage 2b_Korrekturen'!$D$700:$D$1160)</f>
        <v>0</v>
      </c>
      <c r="D3169" s="135">
        <f t="shared" si="119"/>
        <v>35081878</v>
      </c>
      <c r="E3169" s="133" t="s">
        <v>1270</v>
      </c>
      <c r="F3169" s="133"/>
      <c r="G3169" s="133"/>
      <c r="H3169" s="133"/>
    </row>
    <row r="3170" spans="1:8" hidden="1" outlineLevel="1">
      <c r="A3170" s="418" t="s">
        <v>1259</v>
      </c>
      <c r="B3170" s="406">
        <v>24351317</v>
      </c>
      <c r="C3170" s="88">
        <f>+SUMIF('Anlage 2b_Korrekturen'!$B$700:$B$1160,A3170,'Anlage 2b_Korrekturen'!$D$700:$D$1160)</f>
        <v>0</v>
      </c>
      <c r="D3170" s="135">
        <f t="shared" si="119"/>
        <v>24351317</v>
      </c>
      <c r="E3170" s="133" t="s">
        <v>1260</v>
      </c>
      <c r="F3170" s="133"/>
      <c r="G3170" s="133"/>
      <c r="H3170" s="133"/>
    </row>
    <row r="3171" spans="1:8" hidden="1" outlineLevel="1">
      <c r="A3171" s="418" t="s">
        <v>1470</v>
      </c>
      <c r="B3171" s="406">
        <v>43917190</v>
      </c>
      <c r="C3171" s="88">
        <f>+SUMIF('Anlage 2b_Korrekturen'!$B$700:$B$1160,A3171,'Anlage 2b_Korrekturen'!$D$700:$D$1160)</f>
        <v>0</v>
      </c>
      <c r="D3171" s="135">
        <f t="shared" si="119"/>
        <v>43917190</v>
      </c>
      <c r="E3171" s="133" t="s">
        <v>1471</v>
      </c>
      <c r="F3171" s="133"/>
      <c r="G3171" s="133"/>
      <c r="H3171" s="133"/>
    </row>
    <row r="3172" spans="1:8" hidden="1" outlineLevel="1">
      <c r="A3172" s="418" t="s">
        <v>1742</v>
      </c>
      <c r="B3172" s="406">
        <v>25457600</v>
      </c>
      <c r="C3172" s="88">
        <f>+SUMIF('Anlage 2b_Korrekturen'!$B$700:$B$1160,A3172,'Anlage 2b_Korrekturen'!$D$700:$D$1160)</f>
        <v>0</v>
      </c>
      <c r="D3172" s="135">
        <f t="shared" si="119"/>
        <v>25457600</v>
      </c>
      <c r="E3172" s="133" t="s">
        <v>1743</v>
      </c>
      <c r="F3172" s="133"/>
      <c r="G3172" s="133"/>
      <c r="H3172" s="133"/>
    </row>
    <row r="3173" spans="1:8" hidden="1" outlineLevel="1">
      <c r="A3173" s="418" t="s">
        <v>1350</v>
      </c>
      <c r="B3173" s="406">
        <v>40749516</v>
      </c>
      <c r="C3173" s="88">
        <f>+SUMIF('Anlage 2b_Korrekturen'!$B$700:$B$1160,A3173,'Anlage 2b_Korrekturen'!$D$700:$D$1160)</f>
        <v>0</v>
      </c>
      <c r="D3173" s="135">
        <f t="shared" si="119"/>
        <v>40749516</v>
      </c>
      <c r="E3173" s="133" t="s">
        <v>1351</v>
      </c>
      <c r="F3173" s="133"/>
      <c r="G3173" s="133"/>
      <c r="H3173" s="133"/>
    </row>
    <row r="3174" spans="1:8" hidden="1" outlineLevel="1">
      <c r="A3174" s="418" t="s">
        <v>1424</v>
      </c>
      <c r="B3174" s="406">
        <v>60533312</v>
      </c>
      <c r="C3174" s="88">
        <f>+SUMIF('Anlage 2b_Korrekturen'!$B$700:$B$1160,A3174,'Anlage 2b_Korrekturen'!$D$700:$D$1160)</f>
        <v>0</v>
      </c>
      <c r="D3174" s="135">
        <f t="shared" si="119"/>
        <v>60533312</v>
      </c>
      <c r="E3174" s="133" t="s">
        <v>1425</v>
      </c>
      <c r="F3174" s="133"/>
      <c r="G3174" s="133"/>
      <c r="H3174" s="133"/>
    </row>
    <row r="3175" spans="1:8" hidden="1" outlineLevel="1">
      <c r="A3175" s="418" t="s">
        <v>1486</v>
      </c>
      <c r="B3175" s="406">
        <v>53127774</v>
      </c>
      <c r="C3175" s="88">
        <f>+SUMIF('Anlage 2b_Korrekturen'!$B$700:$B$1160,A3175,'Anlage 2b_Korrekturen'!$D$700:$D$1160)</f>
        <v>199424</v>
      </c>
      <c r="D3175" s="135">
        <f t="shared" si="119"/>
        <v>53327198</v>
      </c>
      <c r="E3175" s="133" t="s">
        <v>1487</v>
      </c>
      <c r="F3175" s="133"/>
      <c r="G3175" s="133"/>
      <c r="H3175" s="133"/>
    </row>
    <row r="3176" spans="1:8" hidden="1" outlineLevel="1">
      <c r="A3176" s="418" t="s">
        <v>1532</v>
      </c>
      <c r="B3176" s="406">
        <v>166821415</v>
      </c>
      <c r="C3176" s="88">
        <f>+SUMIF('Anlage 2b_Korrekturen'!$B$700:$B$1160,A3176,'Anlage 2b_Korrekturen'!$D$700:$D$1160)</f>
        <v>1392570</v>
      </c>
      <c r="D3176" s="135">
        <f t="shared" si="119"/>
        <v>168213985</v>
      </c>
      <c r="E3176" s="133" t="s">
        <v>1533</v>
      </c>
      <c r="F3176" s="133"/>
      <c r="G3176" s="133"/>
      <c r="H3176" s="133"/>
    </row>
    <row r="3177" spans="1:8" hidden="1" outlineLevel="1">
      <c r="A3177" s="418" t="s">
        <v>1406</v>
      </c>
      <c r="B3177" s="406">
        <v>25072749</v>
      </c>
      <c r="C3177" s="88">
        <f>+SUMIF('Anlage 2b_Korrekturen'!$B$700:$B$1160,A3177,'Anlage 2b_Korrekturen'!$D$700:$D$1160)</f>
        <v>0</v>
      </c>
      <c r="D3177" s="135">
        <f t="shared" si="119"/>
        <v>25072749</v>
      </c>
      <c r="E3177" s="133" t="s">
        <v>1407</v>
      </c>
      <c r="F3177" s="133"/>
      <c r="G3177" s="133"/>
      <c r="H3177" s="133"/>
    </row>
    <row r="3178" spans="1:8" hidden="1" outlineLevel="1">
      <c r="A3178" s="418" t="s">
        <v>1820</v>
      </c>
      <c r="B3178" s="406">
        <v>170599913.09</v>
      </c>
      <c r="C3178" s="88">
        <f>+SUMIF('Anlage 2b_Korrekturen'!$B$700:$B$1160,A3178,'Anlage 2b_Korrekturen'!$D$700:$D$1160)</f>
        <v>-199284.38999999996</v>
      </c>
      <c r="D3178" s="135">
        <f t="shared" si="119"/>
        <v>170400628.70000002</v>
      </c>
      <c r="E3178" s="133" t="s">
        <v>1821</v>
      </c>
      <c r="F3178" s="133"/>
      <c r="G3178" s="133"/>
      <c r="H3178" s="133"/>
    </row>
    <row r="3179" spans="1:8" hidden="1" outlineLevel="1">
      <c r="A3179" s="418" t="s">
        <v>1673</v>
      </c>
      <c r="B3179" s="406">
        <v>113048557</v>
      </c>
      <c r="C3179" s="88">
        <f>+SUMIF('Anlage 2b_Korrekturen'!$B$700:$B$1160,A3179,'Anlage 2b_Korrekturen'!$D$700:$D$1160)</f>
        <v>0</v>
      </c>
      <c r="D3179" s="135">
        <f t="shared" si="119"/>
        <v>113048557</v>
      </c>
      <c r="E3179" s="133" t="s">
        <v>1674</v>
      </c>
      <c r="F3179" s="133"/>
      <c r="G3179" s="133"/>
      <c r="H3179" s="133"/>
    </row>
    <row r="3180" spans="1:8" hidden="1" outlineLevel="1">
      <c r="A3180" s="418" t="s">
        <v>1580</v>
      </c>
      <c r="B3180" s="406">
        <v>73648294</v>
      </c>
      <c r="C3180" s="88">
        <f>+SUMIF('Anlage 2b_Korrekturen'!$B$700:$B$1160,A3180,'Anlage 2b_Korrekturen'!$D$700:$D$1160)</f>
        <v>1676937</v>
      </c>
      <c r="D3180" s="135">
        <f t="shared" si="119"/>
        <v>75325231</v>
      </c>
      <c r="E3180" s="133" t="s">
        <v>1581</v>
      </c>
      <c r="F3180" s="133"/>
      <c r="G3180" s="133"/>
      <c r="H3180" s="133"/>
    </row>
    <row r="3181" spans="1:8" hidden="1" outlineLevel="1">
      <c r="A3181" s="418" t="s">
        <v>1588</v>
      </c>
      <c r="B3181" s="406">
        <v>142439307</v>
      </c>
      <c r="C3181" s="88">
        <f>+SUMIF('Anlage 2b_Korrekturen'!$B$700:$B$1160,A3181,'Anlage 2b_Korrekturen'!$D$700:$D$1160)</f>
        <v>-300249</v>
      </c>
      <c r="D3181" s="135">
        <f t="shared" si="119"/>
        <v>142139058</v>
      </c>
      <c r="E3181" s="133" t="s">
        <v>1589</v>
      </c>
      <c r="F3181" s="133"/>
      <c r="G3181" s="133"/>
      <c r="H3181" s="133"/>
    </row>
    <row r="3182" spans="1:8" hidden="1" outlineLevel="1">
      <c r="A3182" s="418" t="s">
        <v>1568</v>
      </c>
      <c r="B3182" s="406">
        <v>8404307</v>
      </c>
      <c r="C3182" s="88">
        <f>+SUMIF('Anlage 2b_Korrekturen'!$B$700:$B$1160,A3182,'Anlage 2b_Korrekturen'!$D$700:$D$1160)</f>
        <v>226664</v>
      </c>
      <c r="D3182" s="135">
        <f t="shared" si="119"/>
        <v>8630971</v>
      </c>
      <c r="E3182" s="133" t="s">
        <v>1569</v>
      </c>
      <c r="F3182" s="133"/>
      <c r="G3182" s="133"/>
      <c r="H3182" s="133"/>
    </row>
    <row r="3183" spans="1:8" hidden="1" outlineLevel="1">
      <c r="A3183" s="418" t="s">
        <v>1482</v>
      </c>
      <c r="B3183" s="406">
        <v>116139748</v>
      </c>
      <c r="C3183" s="88">
        <f>+SUMIF('Anlage 2b_Korrekturen'!$B$700:$B$1160,A3183,'Anlage 2b_Korrekturen'!$D$700:$D$1160)</f>
        <v>0</v>
      </c>
      <c r="D3183" s="135">
        <f t="shared" si="119"/>
        <v>116139748</v>
      </c>
      <c r="E3183" s="133" t="s">
        <v>1483</v>
      </c>
      <c r="F3183" s="133"/>
      <c r="G3183" s="133"/>
      <c r="H3183" s="133"/>
    </row>
    <row r="3184" spans="1:8" hidden="1" outlineLevel="1">
      <c r="A3184" s="418" t="s">
        <v>1506</v>
      </c>
      <c r="B3184" s="406">
        <v>75084152</v>
      </c>
      <c r="C3184" s="88">
        <f>+SUMIF('Anlage 2b_Korrekturen'!$B$700:$B$1160,A3184,'Anlage 2b_Korrekturen'!$D$700:$D$1160)</f>
        <v>-134223</v>
      </c>
      <c r="D3184" s="135">
        <f t="shared" si="119"/>
        <v>74949929</v>
      </c>
      <c r="E3184" s="133" t="s">
        <v>1507</v>
      </c>
      <c r="F3184" s="133"/>
      <c r="G3184" s="133"/>
      <c r="H3184" s="133"/>
    </row>
    <row r="3185" spans="1:8" hidden="1" outlineLevel="1">
      <c r="A3185" s="418" t="s">
        <v>1596</v>
      </c>
      <c r="B3185" s="406">
        <v>55943830.670999996</v>
      </c>
      <c r="C3185" s="88">
        <f>+SUMIF('Anlage 2b_Korrekturen'!$B$700:$B$1160,A3185,'Anlage 2b_Korrekturen'!$D$700:$D$1160)</f>
        <v>0</v>
      </c>
      <c r="D3185" s="135">
        <f t="shared" si="119"/>
        <v>55943830.670999996</v>
      </c>
      <c r="E3185" s="133" t="s">
        <v>1597</v>
      </c>
      <c r="F3185" s="133"/>
      <c r="G3185" s="133"/>
      <c r="H3185" s="133"/>
    </row>
    <row r="3186" spans="1:8" hidden="1" outlineLevel="1">
      <c r="A3186" s="418" t="s">
        <v>1330</v>
      </c>
      <c r="B3186" s="406">
        <v>229210463</v>
      </c>
      <c r="C3186" s="88">
        <f>+SUMIF('Anlage 2b_Korrekturen'!$B$700:$B$1160,A3186,'Anlage 2b_Korrekturen'!$D$700:$D$1160)</f>
        <v>1610067</v>
      </c>
      <c r="D3186" s="135">
        <f t="shared" si="119"/>
        <v>230820530</v>
      </c>
      <c r="E3186" s="133" t="s">
        <v>1331</v>
      </c>
      <c r="F3186" s="133"/>
      <c r="G3186" s="133"/>
      <c r="H3186" s="133"/>
    </row>
    <row r="3187" spans="1:8" hidden="1" outlineLevel="1">
      <c r="A3187" s="418" t="s">
        <v>1746</v>
      </c>
      <c r="B3187" s="406">
        <v>45850326.666000001</v>
      </c>
      <c r="C3187" s="88">
        <f>+SUMIF('Anlage 2b_Korrekturen'!$B$700:$B$1160,A3187,'Anlage 2b_Korrekturen'!$D$700:$D$1160)</f>
        <v>0</v>
      </c>
      <c r="D3187" s="135">
        <f t="shared" si="119"/>
        <v>45850326.666000001</v>
      </c>
      <c r="E3187" s="133" t="s">
        <v>1747</v>
      </c>
      <c r="F3187" s="133"/>
      <c r="G3187" s="133"/>
      <c r="H3187" s="133"/>
    </row>
    <row r="3188" spans="1:8" hidden="1" outlineLevel="1">
      <c r="A3188" s="418" t="s">
        <v>1390</v>
      </c>
      <c r="B3188" s="406">
        <v>59940448</v>
      </c>
      <c r="C3188" s="88">
        <f>+SUMIF('Anlage 2b_Korrekturen'!$B$700:$B$1160,A3188,'Anlage 2b_Korrekturen'!$D$700:$D$1160)</f>
        <v>969484</v>
      </c>
      <c r="D3188" s="135">
        <f t="shared" si="119"/>
        <v>60909932</v>
      </c>
      <c r="E3188" s="133" t="s">
        <v>1391</v>
      </c>
      <c r="F3188" s="133"/>
      <c r="G3188" s="133"/>
      <c r="H3188" s="133"/>
    </row>
    <row r="3189" spans="1:8" hidden="1" outlineLevel="1">
      <c r="A3189" s="418" t="s">
        <v>1642</v>
      </c>
      <c r="B3189" s="406">
        <v>113460088</v>
      </c>
      <c r="C3189" s="88">
        <f>+SUMIF('Anlage 2b_Korrekturen'!$B$700:$B$1160,A3189,'Anlage 2b_Korrekturen'!$D$700:$D$1160)</f>
        <v>0</v>
      </c>
      <c r="D3189" s="135">
        <f t="shared" si="119"/>
        <v>113460088</v>
      </c>
      <c r="E3189" s="133" t="s">
        <v>1643</v>
      </c>
      <c r="F3189" s="133"/>
      <c r="G3189" s="133"/>
      <c r="H3189" s="133"/>
    </row>
    <row r="3190" spans="1:8" hidden="1" outlineLevel="1">
      <c r="A3190" s="418" t="s">
        <v>1574</v>
      </c>
      <c r="B3190" s="406">
        <v>40614609</v>
      </c>
      <c r="C3190" s="88">
        <f>+SUMIF('Anlage 2b_Korrekturen'!$B$700:$B$1160,A3190,'Anlage 2b_Korrekturen'!$D$700:$D$1160)</f>
        <v>0</v>
      </c>
      <c r="D3190" s="135">
        <f t="shared" si="119"/>
        <v>40614609</v>
      </c>
      <c r="E3190" s="133" t="s">
        <v>1575</v>
      </c>
      <c r="F3190" s="133"/>
      <c r="G3190" s="133"/>
      <c r="H3190" s="133"/>
    </row>
    <row r="3191" spans="1:8" hidden="1" outlineLevel="1">
      <c r="A3191" s="418" t="s">
        <v>1229</v>
      </c>
      <c r="B3191" s="406">
        <v>71868581</v>
      </c>
      <c r="C3191" s="88">
        <f>+SUMIF('Anlage 2b_Korrekturen'!$B$700:$B$1160,A3191,'Anlage 2b_Korrekturen'!$D$700:$D$1160)</f>
        <v>-136470</v>
      </c>
      <c r="D3191" s="135">
        <f t="shared" si="119"/>
        <v>71732111</v>
      </c>
      <c r="E3191" s="133" t="s">
        <v>1230</v>
      </c>
      <c r="F3191" s="133"/>
      <c r="G3191" s="133"/>
      <c r="H3191" s="133"/>
    </row>
    <row r="3192" spans="1:8" hidden="1" outlineLevel="1">
      <c r="A3192" s="418" t="s">
        <v>1572</v>
      </c>
      <c r="B3192" s="406">
        <v>97183853</v>
      </c>
      <c r="C3192" s="88">
        <f>+SUMIF('Anlage 2b_Korrekturen'!$B$700:$B$1160,A3192,'Anlage 2b_Korrekturen'!$D$700:$D$1160)</f>
        <v>528144</v>
      </c>
      <c r="D3192" s="135">
        <f t="shared" si="119"/>
        <v>97711997</v>
      </c>
      <c r="E3192" s="133" t="s">
        <v>1573</v>
      </c>
      <c r="F3192" s="133"/>
      <c r="G3192" s="133"/>
      <c r="H3192" s="133"/>
    </row>
    <row r="3193" spans="1:8" hidden="1" outlineLevel="1">
      <c r="A3193" s="418" t="s">
        <v>1436</v>
      </c>
      <c r="B3193" s="406">
        <v>106241002</v>
      </c>
      <c r="C3193" s="88">
        <f>+SUMIF('Anlage 2b_Korrekturen'!$B$700:$B$1160,A3193,'Anlage 2b_Korrekturen'!$D$700:$D$1160)</f>
        <v>0</v>
      </c>
      <c r="D3193" s="135">
        <f t="shared" si="119"/>
        <v>106241002</v>
      </c>
      <c r="E3193" s="133" t="s">
        <v>1437</v>
      </c>
      <c r="F3193" s="133"/>
      <c r="G3193" s="133"/>
      <c r="H3193" s="133"/>
    </row>
    <row r="3194" spans="1:8" hidden="1" outlineLevel="1">
      <c r="A3194" s="418" t="s">
        <v>1600</v>
      </c>
      <c r="B3194" s="406">
        <v>60449262</v>
      </c>
      <c r="C3194" s="88">
        <f>+SUMIF('Anlage 2b_Korrekturen'!$B$700:$B$1160,A3194,'Anlage 2b_Korrekturen'!$D$700:$D$1160)</f>
        <v>0</v>
      </c>
      <c r="D3194" s="135">
        <f t="shared" si="119"/>
        <v>60449262</v>
      </c>
      <c r="E3194" s="133" t="s">
        <v>1601</v>
      </c>
      <c r="F3194" s="133"/>
      <c r="G3194" s="133"/>
      <c r="H3194" s="133"/>
    </row>
    <row r="3195" spans="1:8" hidden="1" outlineLevel="1">
      <c r="A3195" s="418" t="s">
        <v>1698</v>
      </c>
      <c r="B3195" s="406">
        <v>94101611</v>
      </c>
      <c r="C3195" s="88">
        <f>+SUMIF('Anlage 2b_Korrekturen'!$B$700:$B$1160,A3195,'Anlage 2b_Korrekturen'!$D$700:$D$1160)</f>
        <v>449049</v>
      </c>
      <c r="D3195" s="135">
        <f t="shared" si="119"/>
        <v>94550660</v>
      </c>
      <c r="E3195" s="133" t="s">
        <v>1699</v>
      </c>
      <c r="F3195" s="133"/>
      <c r="G3195" s="133"/>
      <c r="H3195" s="133"/>
    </row>
    <row r="3196" spans="1:8" hidden="1" outlineLevel="1">
      <c r="A3196" s="418" t="s">
        <v>1616</v>
      </c>
      <c r="B3196" s="406">
        <v>116863782</v>
      </c>
      <c r="C3196" s="88">
        <f>+SUMIF('Anlage 2b_Korrekturen'!$B$700:$B$1160,A3196,'Anlage 2b_Korrekturen'!$D$700:$D$1160)</f>
        <v>7581154</v>
      </c>
      <c r="D3196" s="135">
        <f t="shared" si="119"/>
        <v>124444936</v>
      </c>
      <c r="E3196" s="133" t="s">
        <v>1617</v>
      </c>
      <c r="F3196" s="133"/>
      <c r="G3196" s="133"/>
      <c r="H3196" s="133"/>
    </row>
    <row r="3197" spans="1:8" hidden="1" outlineLevel="1">
      <c r="A3197" s="418" t="s">
        <v>1604</v>
      </c>
      <c r="B3197" s="406">
        <v>72541227</v>
      </c>
      <c r="C3197" s="88">
        <f>+SUMIF('Anlage 2b_Korrekturen'!$B$700:$B$1160,A3197,'Anlage 2b_Korrekturen'!$D$700:$D$1160)</f>
        <v>0</v>
      </c>
      <c r="D3197" s="135">
        <f t="shared" si="119"/>
        <v>72541227</v>
      </c>
      <c r="E3197" s="133" t="s">
        <v>1605</v>
      </c>
      <c r="F3197" s="133"/>
      <c r="G3197" s="133"/>
      <c r="H3197" s="133"/>
    </row>
    <row r="3198" spans="1:8" hidden="1" outlineLevel="1">
      <c r="A3198" s="418" t="s">
        <v>1554</v>
      </c>
      <c r="B3198" s="406">
        <v>28905104</v>
      </c>
      <c r="C3198" s="88">
        <f>+SUMIF('Anlage 2b_Korrekturen'!$B$700:$B$1160,A3198,'Anlage 2b_Korrekturen'!$D$700:$D$1160)</f>
        <v>151844</v>
      </c>
      <c r="D3198" s="135">
        <f t="shared" si="119"/>
        <v>29056948</v>
      </c>
      <c r="E3198" s="133" t="s">
        <v>1555</v>
      </c>
      <c r="F3198" s="133"/>
      <c r="G3198" s="133"/>
      <c r="H3198" s="133"/>
    </row>
    <row r="3199" spans="1:8" hidden="1" outlineLevel="1">
      <c r="A3199" s="418" t="s">
        <v>1679</v>
      </c>
      <c r="B3199" s="406">
        <v>23833605</v>
      </c>
      <c r="C3199" s="88">
        <f>+SUMIF('Anlage 2b_Korrekturen'!$B$700:$B$1160,A3199,'Anlage 2b_Korrekturen'!$D$700:$D$1160)</f>
        <v>0</v>
      </c>
      <c r="D3199" s="135">
        <f t="shared" si="119"/>
        <v>23833605</v>
      </c>
      <c r="E3199" s="133" t="s">
        <v>1680</v>
      </c>
      <c r="F3199" s="133"/>
      <c r="G3199" s="133"/>
      <c r="H3199" s="133"/>
    </row>
    <row r="3200" spans="1:8" hidden="1" outlineLevel="1">
      <c r="A3200" s="418" t="s">
        <v>1756</v>
      </c>
      <c r="B3200" s="406">
        <v>958975660.36800003</v>
      </c>
      <c r="C3200" s="88">
        <f>+SUMIF('Anlage 2b_Korrekturen'!$B$700:$B$1160,A3200,'Anlage 2b_Korrekturen'!$D$700:$D$1160)</f>
        <v>97447398.933999985</v>
      </c>
      <c r="D3200" s="135">
        <f t="shared" si="119"/>
        <v>1056423059.302</v>
      </c>
      <c r="E3200" s="133" t="s">
        <v>1757</v>
      </c>
      <c r="F3200" s="133"/>
      <c r="G3200" s="133"/>
      <c r="H3200" s="133"/>
    </row>
    <row r="3201" spans="1:8" hidden="1" outlineLevel="1">
      <c r="A3201" s="418" t="s">
        <v>891</v>
      </c>
      <c r="B3201" s="406">
        <v>20745687.772999998</v>
      </c>
      <c r="C3201" s="88">
        <f>+SUMIF('Anlage 2b_Korrekturen'!$B$700:$B$1160,A3201,'Anlage 2b_Korrekturen'!$D$700:$D$1160)</f>
        <v>0</v>
      </c>
      <c r="D3201" s="135">
        <f t="shared" si="119"/>
        <v>20745687.772999998</v>
      </c>
      <c r="E3201" s="133" t="s">
        <v>892</v>
      </c>
      <c r="F3201" s="133"/>
      <c r="G3201" s="133"/>
      <c r="H3201" s="133"/>
    </row>
    <row r="3202" spans="1:8" hidden="1" outlineLevel="1">
      <c r="A3202" s="418" t="s">
        <v>1336</v>
      </c>
      <c r="B3202" s="406">
        <v>36082798</v>
      </c>
      <c r="C3202" s="88">
        <f>+SUMIF('Anlage 2b_Korrekturen'!$B$700:$B$1160,A3202,'Anlage 2b_Korrekturen'!$D$700:$D$1160)</f>
        <v>-188411</v>
      </c>
      <c r="D3202" s="135">
        <f t="shared" ref="D3202:D3265" si="120">B3202+C3202</f>
        <v>35894387</v>
      </c>
      <c r="E3202" s="133" t="s">
        <v>1337</v>
      </c>
      <c r="F3202" s="133"/>
      <c r="G3202" s="133"/>
      <c r="H3202" s="133"/>
    </row>
    <row r="3203" spans="1:8" hidden="1" outlineLevel="1">
      <c r="A3203" s="418" t="s">
        <v>1550</v>
      </c>
      <c r="B3203" s="406">
        <v>32894147</v>
      </c>
      <c r="C3203" s="88">
        <f>+SUMIF('Anlage 2b_Korrekturen'!$B$700:$B$1160,A3203,'Anlage 2b_Korrekturen'!$D$700:$D$1160)</f>
        <v>0</v>
      </c>
      <c r="D3203" s="135">
        <f t="shared" si="120"/>
        <v>32894147</v>
      </c>
      <c r="E3203" s="133" t="s">
        <v>1551</v>
      </c>
      <c r="F3203" s="133"/>
      <c r="G3203" s="133"/>
      <c r="H3203" s="133"/>
    </row>
    <row r="3204" spans="1:8" hidden="1" outlineLevel="1">
      <c r="A3204" s="418" t="s">
        <v>1528</v>
      </c>
      <c r="B3204" s="406">
        <v>80143040</v>
      </c>
      <c r="C3204" s="88">
        <f>+SUMIF('Anlage 2b_Korrekturen'!$B$700:$B$1160,A3204,'Anlage 2b_Korrekturen'!$D$700:$D$1160)</f>
        <v>561901</v>
      </c>
      <c r="D3204" s="135">
        <f t="shared" si="120"/>
        <v>80704941</v>
      </c>
      <c r="E3204" s="133" t="s">
        <v>1529</v>
      </c>
      <c r="F3204" s="133"/>
      <c r="G3204" s="133"/>
      <c r="H3204" s="133"/>
    </row>
    <row r="3205" spans="1:8" hidden="1" outlineLevel="1">
      <c r="A3205" s="418" t="s">
        <v>1360</v>
      </c>
      <c r="B3205" s="406">
        <v>40865585</v>
      </c>
      <c r="C3205" s="88">
        <f>+SUMIF('Anlage 2b_Korrekturen'!$B$700:$B$1160,A3205,'Anlage 2b_Korrekturen'!$D$700:$D$1160)</f>
        <v>0</v>
      </c>
      <c r="D3205" s="135">
        <f t="shared" si="120"/>
        <v>40865585</v>
      </c>
      <c r="E3205" s="133" t="s">
        <v>1361</v>
      </c>
      <c r="F3205" s="133"/>
      <c r="G3205" s="133"/>
      <c r="H3205" s="133"/>
    </row>
    <row r="3206" spans="1:8" hidden="1" outlineLevel="1">
      <c r="A3206" s="418" t="s">
        <v>1648</v>
      </c>
      <c r="B3206" s="406">
        <v>118584508</v>
      </c>
      <c r="C3206" s="88">
        <f>+SUMIF('Anlage 2b_Korrekturen'!$B$700:$B$1160,A3206,'Anlage 2b_Korrekturen'!$D$700:$D$1160)</f>
        <v>-353890</v>
      </c>
      <c r="D3206" s="135">
        <f t="shared" si="120"/>
        <v>118230618</v>
      </c>
      <c r="E3206" s="133" t="s">
        <v>1649</v>
      </c>
      <c r="F3206" s="133"/>
      <c r="G3206" s="133"/>
      <c r="H3206" s="133"/>
    </row>
    <row r="3207" spans="1:8" hidden="1" outlineLevel="1">
      <c r="A3207" s="418" t="s">
        <v>1494</v>
      </c>
      <c r="B3207" s="406">
        <v>76493984</v>
      </c>
      <c r="C3207" s="88">
        <f>+SUMIF('Anlage 2b_Korrekturen'!$B$700:$B$1160,A3207,'Anlage 2b_Korrekturen'!$D$700:$D$1160)</f>
        <v>0</v>
      </c>
      <c r="D3207" s="135">
        <f t="shared" si="120"/>
        <v>76493984</v>
      </c>
      <c r="E3207" s="133" t="s">
        <v>1495</v>
      </c>
      <c r="F3207" s="133"/>
      <c r="G3207" s="133"/>
      <c r="H3207" s="133"/>
    </row>
    <row r="3208" spans="1:8" hidden="1" outlineLevel="1">
      <c r="A3208" s="418" t="s">
        <v>1566</v>
      </c>
      <c r="B3208" s="406">
        <v>58990840</v>
      </c>
      <c r="C3208" s="88">
        <f>+SUMIF('Anlage 2b_Korrekturen'!$B$700:$B$1160,A3208,'Anlage 2b_Korrekturen'!$D$700:$D$1160)</f>
        <v>-43357</v>
      </c>
      <c r="D3208" s="135">
        <f t="shared" si="120"/>
        <v>58947483</v>
      </c>
      <c r="E3208" s="133" t="s">
        <v>1567</v>
      </c>
      <c r="F3208" s="133"/>
      <c r="G3208" s="133"/>
      <c r="H3208" s="133"/>
    </row>
    <row r="3209" spans="1:8" hidden="1" outlineLevel="1">
      <c r="A3209" s="418" t="s">
        <v>1466</v>
      </c>
      <c r="B3209" s="406">
        <v>142736373</v>
      </c>
      <c r="C3209" s="88">
        <f>+SUMIF('Anlage 2b_Korrekturen'!$B$700:$B$1160,A3209,'Anlage 2b_Korrekturen'!$D$700:$D$1160)</f>
        <v>0</v>
      </c>
      <c r="D3209" s="135">
        <f t="shared" si="120"/>
        <v>142736373</v>
      </c>
      <c r="E3209" s="133" t="s">
        <v>1467</v>
      </c>
      <c r="F3209" s="133"/>
      <c r="G3209" s="133"/>
      <c r="H3209" s="133"/>
    </row>
    <row r="3210" spans="1:8" hidden="1" outlineLevel="1">
      <c r="A3210" s="418" t="s">
        <v>1772</v>
      </c>
      <c r="B3210" s="406">
        <v>15769367</v>
      </c>
      <c r="C3210" s="88">
        <f>+SUMIF('Anlage 2b_Korrekturen'!$B$700:$B$1160,A3210,'Anlage 2b_Korrekturen'!$D$700:$D$1160)</f>
        <v>0</v>
      </c>
      <c r="D3210" s="135">
        <f t="shared" si="120"/>
        <v>15769367</v>
      </c>
      <c r="E3210" s="133" t="s">
        <v>1773</v>
      </c>
      <c r="F3210" s="133"/>
      <c r="G3210" s="133"/>
      <c r="H3210" s="133"/>
    </row>
    <row r="3211" spans="1:8" hidden="1" outlineLevel="1">
      <c r="A3211" s="418" t="s">
        <v>1666</v>
      </c>
      <c r="B3211" s="406">
        <v>2530583166</v>
      </c>
      <c r="C3211" s="88">
        <f>+SUMIF('Anlage 2b_Korrekturen'!$B$700:$B$1160,A3211,'Anlage 2b_Korrekturen'!$D$700:$D$1160)</f>
        <v>0</v>
      </c>
      <c r="D3211" s="135">
        <f t="shared" si="120"/>
        <v>2530583166</v>
      </c>
      <c r="E3211" s="133" t="s">
        <v>1667</v>
      </c>
      <c r="F3211" s="133"/>
      <c r="G3211" s="133"/>
      <c r="H3211" s="133"/>
    </row>
    <row r="3212" spans="1:8" hidden="1" outlineLevel="1">
      <c r="A3212" s="418" t="s">
        <v>1720</v>
      </c>
      <c r="B3212" s="406">
        <v>255871061.866</v>
      </c>
      <c r="C3212" s="88">
        <f>+SUMIF('Anlage 2b_Korrekturen'!$B$700:$B$1160,A3212,'Anlage 2b_Korrekturen'!$D$700:$D$1160)</f>
        <v>0</v>
      </c>
      <c r="D3212" s="135">
        <f t="shared" si="120"/>
        <v>255871061.866</v>
      </c>
      <c r="E3212" s="133" t="s">
        <v>1721</v>
      </c>
      <c r="F3212" s="133"/>
      <c r="G3212" s="133"/>
      <c r="H3212" s="133"/>
    </row>
    <row r="3213" spans="1:8" hidden="1" outlineLevel="1">
      <c r="A3213" s="418" t="s">
        <v>2204</v>
      </c>
      <c r="B3213" s="406">
        <v>2311469</v>
      </c>
      <c r="C3213" s="88">
        <f>+SUMIF('Anlage 2b_Korrekturen'!$B$700:$B$1160,A3213,'Anlage 2b_Korrekturen'!$D$700:$D$1160)</f>
        <v>0</v>
      </c>
      <c r="D3213" s="135">
        <f t="shared" si="120"/>
        <v>2311469</v>
      </c>
      <c r="E3213" s="133" t="s">
        <v>2205</v>
      </c>
      <c r="F3213" s="133"/>
      <c r="G3213" s="133"/>
      <c r="H3213" s="133"/>
    </row>
    <row r="3214" spans="1:8" hidden="1" outlineLevel="1">
      <c r="A3214" s="418" t="s">
        <v>1372</v>
      </c>
      <c r="B3214" s="406">
        <v>37882608.149999999</v>
      </c>
      <c r="C3214" s="88">
        <f>+SUMIF('Anlage 2b_Korrekturen'!$B$700:$B$1160,A3214,'Anlage 2b_Korrekturen'!$D$700:$D$1160)</f>
        <v>0</v>
      </c>
      <c r="D3214" s="135">
        <f t="shared" si="120"/>
        <v>37882608.149999999</v>
      </c>
      <c r="E3214" s="133" t="s">
        <v>1373</v>
      </c>
      <c r="F3214" s="133"/>
      <c r="G3214" s="133"/>
      <c r="H3214" s="133"/>
    </row>
    <row r="3215" spans="1:8" hidden="1" outlineLevel="1">
      <c r="A3215" s="418" t="s">
        <v>1677</v>
      </c>
      <c r="B3215" s="406">
        <v>109533128.91</v>
      </c>
      <c r="C3215" s="88">
        <f>+SUMIF('Anlage 2b_Korrekturen'!$B$700:$B$1160,A3215,'Anlage 2b_Korrekturen'!$D$700:$D$1160)</f>
        <v>0</v>
      </c>
      <c r="D3215" s="135">
        <f t="shared" si="120"/>
        <v>109533128.91</v>
      </c>
      <c r="E3215" s="133" t="s">
        <v>1678</v>
      </c>
      <c r="F3215" s="133"/>
      <c r="G3215" s="133"/>
      <c r="H3215" s="133"/>
    </row>
    <row r="3216" spans="1:8" hidden="1" outlineLevel="1">
      <c r="A3216" s="418" t="s">
        <v>1456</v>
      </c>
      <c r="B3216" s="406">
        <v>26842838</v>
      </c>
      <c r="C3216" s="88">
        <f>+SUMIF('Anlage 2b_Korrekturen'!$B$700:$B$1160,A3216,'Anlage 2b_Korrekturen'!$D$700:$D$1160)</f>
        <v>0</v>
      </c>
      <c r="D3216" s="135">
        <f t="shared" si="120"/>
        <v>26842838</v>
      </c>
      <c r="E3216" s="133" t="s">
        <v>1457</v>
      </c>
      <c r="F3216" s="133"/>
      <c r="G3216" s="133"/>
      <c r="H3216" s="133"/>
    </row>
    <row r="3217" spans="1:8" hidden="1" outlineLevel="1">
      <c r="A3217" s="418" t="s">
        <v>1614</v>
      </c>
      <c r="B3217" s="406">
        <v>126364635</v>
      </c>
      <c r="C3217" s="88">
        <f>+SUMIF('Anlage 2b_Korrekturen'!$B$700:$B$1160,A3217,'Anlage 2b_Korrekturen'!$D$700:$D$1160)</f>
        <v>3252289</v>
      </c>
      <c r="D3217" s="135">
        <f t="shared" si="120"/>
        <v>129616924</v>
      </c>
      <c r="E3217" s="133" t="s">
        <v>1615</v>
      </c>
      <c r="F3217" s="133"/>
      <c r="G3217" s="133"/>
      <c r="H3217" s="133"/>
    </row>
    <row r="3218" spans="1:8" hidden="1" outlineLevel="1">
      <c r="A3218" s="418" t="s">
        <v>1314</v>
      </c>
      <c r="B3218" s="406">
        <v>17508215</v>
      </c>
      <c r="C3218" s="88">
        <f>+SUMIF('Anlage 2b_Korrekturen'!$B$700:$B$1160,A3218,'Anlage 2b_Korrekturen'!$D$700:$D$1160)</f>
        <v>140918</v>
      </c>
      <c r="D3218" s="135">
        <f t="shared" si="120"/>
        <v>17649133</v>
      </c>
      <c r="E3218" s="133" t="s">
        <v>1315</v>
      </c>
      <c r="F3218" s="133"/>
      <c r="G3218" s="133"/>
      <c r="H3218" s="133"/>
    </row>
    <row r="3219" spans="1:8" hidden="1" outlineLevel="1">
      <c r="A3219" s="1730" t="s">
        <v>1291</v>
      </c>
      <c r="B3219" s="1728">
        <v>78387692</v>
      </c>
      <c r="C3219" s="1726">
        <f>+SUMIF('Anlage 2b_Korrekturen'!$B$700:$B$1160,A3219,'Anlage 2b_Korrekturen'!$D$700:$D$1160)</f>
        <v>-126514</v>
      </c>
      <c r="D3219" s="1731">
        <f t="shared" si="120"/>
        <v>78261178</v>
      </c>
      <c r="E3219" s="133" t="s">
        <v>1292</v>
      </c>
      <c r="F3219" s="133"/>
      <c r="G3219" s="133"/>
      <c r="H3219" s="133"/>
    </row>
    <row r="3220" spans="1:8" hidden="1" outlineLevel="1">
      <c r="A3220" s="1730" t="s">
        <v>1279</v>
      </c>
      <c r="B3220" s="1728">
        <v>16737937</v>
      </c>
      <c r="C3220" s="966">
        <v>0</v>
      </c>
      <c r="D3220" s="1731">
        <f t="shared" si="120"/>
        <v>16737937</v>
      </c>
      <c r="E3220" s="133" t="s">
        <v>1280</v>
      </c>
      <c r="F3220" s="133"/>
      <c r="G3220" s="133"/>
      <c r="H3220" s="133"/>
    </row>
    <row r="3221" spans="1:8" hidden="1" outlineLevel="1">
      <c r="A3221" s="1730" t="s">
        <v>1716</v>
      </c>
      <c r="B3221" s="1728">
        <v>10623036</v>
      </c>
      <c r="C3221" s="1726">
        <f>+SUMIF('Anlage 2b_Korrekturen'!$B$700:$B$1160,A3221,'Anlage 2b_Korrekturen'!$D$700:$D$1160)</f>
        <v>-107830</v>
      </c>
      <c r="D3221" s="1731">
        <f t="shared" si="120"/>
        <v>10515206</v>
      </c>
      <c r="E3221" s="133" t="s">
        <v>1717</v>
      </c>
      <c r="F3221" s="133"/>
      <c r="G3221" s="133"/>
      <c r="H3221" s="133"/>
    </row>
    <row r="3222" spans="1:8" hidden="1" outlineLevel="1">
      <c r="A3222" s="418" t="s">
        <v>1694</v>
      </c>
      <c r="B3222" s="406">
        <v>173843294</v>
      </c>
      <c r="C3222" s="88">
        <f>+SUMIF('Anlage 2b_Korrekturen'!$B$700:$B$1160,A3222,'Anlage 2b_Korrekturen'!$D$700:$D$1160)</f>
        <v>0</v>
      </c>
      <c r="D3222" s="135">
        <f t="shared" si="120"/>
        <v>173843294</v>
      </c>
      <c r="E3222" s="133" t="s">
        <v>1695</v>
      </c>
      <c r="F3222" s="133"/>
      <c r="G3222" s="133"/>
      <c r="H3222" s="133"/>
    </row>
    <row r="3223" spans="1:8" hidden="1" outlineLevel="1">
      <c r="A3223" s="418" t="s">
        <v>1324</v>
      </c>
      <c r="B3223" s="406">
        <v>29262440</v>
      </c>
      <c r="C3223" s="88">
        <f>+SUMIF('Anlage 2b_Korrekturen'!$B$700:$B$1160,A3223,'Anlage 2b_Korrekturen'!$D$700:$D$1160)</f>
        <v>-47377</v>
      </c>
      <c r="D3223" s="135">
        <f t="shared" si="120"/>
        <v>29215063</v>
      </c>
      <c r="E3223" s="133" t="s">
        <v>1325</v>
      </c>
      <c r="F3223" s="133"/>
      <c r="G3223" s="133"/>
      <c r="H3223" s="133"/>
    </row>
    <row r="3224" spans="1:8" hidden="1" outlineLevel="1">
      <c r="A3224" s="418" t="s">
        <v>1730</v>
      </c>
      <c r="B3224" s="406">
        <v>33590327</v>
      </c>
      <c r="C3224" s="88">
        <f>+SUMIF('Anlage 2b_Korrekturen'!$B$700:$B$1160,A3224,'Anlage 2b_Korrekturen'!$D$700:$D$1160)</f>
        <v>0</v>
      </c>
      <c r="D3224" s="135">
        <f t="shared" si="120"/>
        <v>33590327</v>
      </c>
      <c r="E3224" s="133" t="s">
        <v>1731</v>
      </c>
      <c r="F3224" s="133"/>
      <c r="G3224" s="133"/>
      <c r="H3224" s="133"/>
    </row>
    <row r="3225" spans="1:8" hidden="1" outlineLevel="1">
      <c r="A3225" s="418" t="s">
        <v>1696</v>
      </c>
      <c r="B3225" s="406">
        <v>6155362</v>
      </c>
      <c r="C3225" s="88">
        <f>+SUMIF('Anlage 2b_Korrekturen'!$B$700:$B$1160,A3225,'Anlage 2b_Korrekturen'!$D$700:$D$1160)</f>
        <v>-3141</v>
      </c>
      <c r="D3225" s="135">
        <f t="shared" si="120"/>
        <v>6152221</v>
      </c>
      <c r="E3225" s="133" t="s">
        <v>1697</v>
      </c>
      <c r="F3225" s="133"/>
      <c r="G3225" s="133"/>
      <c r="H3225" s="133"/>
    </row>
    <row r="3226" spans="1:8" hidden="1" outlineLevel="1">
      <c r="A3226" s="418" t="s">
        <v>1726</v>
      </c>
      <c r="B3226" s="406">
        <v>33361624</v>
      </c>
      <c r="C3226" s="88">
        <f>+SUMIF('Anlage 2b_Korrekturen'!$B$700:$B$1160,A3226,'Anlage 2b_Korrekturen'!$D$700:$D$1160)</f>
        <v>126481</v>
      </c>
      <c r="D3226" s="135">
        <f t="shared" si="120"/>
        <v>33488105</v>
      </c>
      <c r="E3226" s="133" t="s">
        <v>1727</v>
      </c>
      <c r="F3226" s="133"/>
      <c r="G3226" s="133"/>
      <c r="H3226" s="133"/>
    </row>
    <row r="3227" spans="1:8" hidden="1" outlineLevel="1">
      <c r="A3227" s="418" t="s">
        <v>1281</v>
      </c>
      <c r="B3227" s="406">
        <v>16086968</v>
      </c>
      <c r="C3227" s="88">
        <f>+SUMIF('Anlage 2b_Korrekturen'!$B$700:$B$1160,A3227,'Anlage 2b_Korrekturen'!$D$700:$D$1160)</f>
        <v>0</v>
      </c>
      <c r="D3227" s="135">
        <f t="shared" si="120"/>
        <v>16086968</v>
      </c>
      <c r="E3227" s="133" t="s">
        <v>1282</v>
      </c>
      <c r="F3227" s="133"/>
      <c r="G3227" s="133"/>
      <c r="H3227" s="133"/>
    </row>
    <row r="3228" spans="1:8" hidden="1" outlineLevel="1">
      <c r="A3228" s="418" t="s">
        <v>1802</v>
      </c>
      <c r="B3228" s="406">
        <v>8586119</v>
      </c>
      <c r="C3228" s="88">
        <f>+SUMIF('Anlage 2b_Korrekturen'!$B$700:$B$1160,A3228,'Anlage 2b_Korrekturen'!$D$700:$D$1160)</f>
        <v>-9745</v>
      </c>
      <c r="D3228" s="135">
        <f t="shared" si="120"/>
        <v>8576374</v>
      </c>
      <c r="E3228" s="133" t="s">
        <v>1803</v>
      </c>
      <c r="F3228" s="133"/>
      <c r="G3228" s="133"/>
      <c r="H3228" s="133"/>
    </row>
    <row r="3229" spans="1:8" hidden="1" outlineLevel="1">
      <c r="A3229" s="418" t="s">
        <v>1418</v>
      </c>
      <c r="B3229" s="406">
        <v>27894215</v>
      </c>
      <c r="C3229" s="88">
        <f>+SUMIF('Anlage 2b_Korrekturen'!$B$700:$B$1160,A3229,'Anlage 2b_Korrekturen'!$D$700:$D$1160)</f>
        <v>0</v>
      </c>
      <c r="D3229" s="135">
        <f t="shared" si="120"/>
        <v>27894215</v>
      </c>
      <c r="E3229" s="133" t="s">
        <v>1419</v>
      </c>
      <c r="F3229" s="133"/>
      <c r="G3229" s="133"/>
      <c r="H3229" s="133"/>
    </row>
    <row r="3230" spans="1:8" hidden="1" outlineLevel="1">
      <c r="A3230" s="418" t="s">
        <v>1338</v>
      </c>
      <c r="B3230" s="406">
        <v>21171996</v>
      </c>
      <c r="C3230" s="88">
        <f>+SUMIF('Anlage 2b_Korrekturen'!$B$700:$B$1160,A3230,'Anlage 2b_Korrekturen'!$D$700:$D$1160)</f>
        <v>0</v>
      </c>
      <c r="D3230" s="135">
        <f t="shared" si="120"/>
        <v>21171996</v>
      </c>
      <c r="E3230" s="133" t="s">
        <v>1339</v>
      </c>
      <c r="F3230" s="133"/>
      <c r="G3230" s="133"/>
      <c r="H3230" s="133"/>
    </row>
    <row r="3231" spans="1:8" hidden="1" outlineLevel="1">
      <c r="A3231" s="418" t="s">
        <v>1316</v>
      </c>
      <c r="B3231" s="406">
        <v>377081321</v>
      </c>
      <c r="C3231" s="88">
        <f>+SUMIF('Anlage 2b_Korrekturen'!$B$700:$B$1160,A3231,'Anlage 2b_Korrekturen'!$D$700:$D$1160)</f>
        <v>-2232322.6850000001</v>
      </c>
      <c r="D3231" s="135">
        <f t="shared" si="120"/>
        <v>374848998.315</v>
      </c>
      <c r="E3231" s="133" t="s">
        <v>1317</v>
      </c>
      <c r="F3231" s="133"/>
      <c r="G3231" s="133"/>
      <c r="H3231" s="133"/>
    </row>
    <row r="3232" spans="1:8" hidden="1" outlineLevel="1">
      <c r="A3232" s="418" t="s">
        <v>1289</v>
      </c>
      <c r="B3232" s="406">
        <v>81801897</v>
      </c>
      <c r="C3232" s="88">
        <f>+SUMIF('Anlage 2b_Korrekturen'!$B$700:$B$1160,A3232,'Anlage 2b_Korrekturen'!$D$700:$D$1160)</f>
        <v>0</v>
      </c>
      <c r="D3232" s="135">
        <f t="shared" si="120"/>
        <v>81801897</v>
      </c>
      <c r="E3232" s="133" t="s">
        <v>1290</v>
      </c>
      <c r="F3232" s="133"/>
      <c r="G3232" s="133"/>
      <c r="H3232" s="133"/>
    </row>
    <row r="3233" spans="1:8" hidden="1" outlineLevel="1">
      <c r="A3233" s="418" t="s">
        <v>1476</v>
      </c>
      <c r="B3233" s="406">
        <v>131803354</v>
      </c>
      <c r="C3233" s="88">
        <f>+SUMIF('Anlage 2b_Korrekturen'!$B$700:$B$1160,A3233,'Anlage 2b_Korrekturen'!$D$700:$D$1160)</f>
        <v>-635764</v>
      </c>
      <c r="D3233" s="135">
        <f t="shared" si="120"/>
        <v>131167590</v>
      </c>
      <c r="E3233" s="133" t="s">
        <v>1477</v>
      </c>
      <c r="F3233" s="133"/>
      <c r="G3233" s="133"/>
      <c r="H3233" s="133"/>
    </row>
    <row r="3234" spans="1:8" hidden="1" outlineLevel="1">
      <c r="A3234" s="418" t="s">
        <v>2206</v>
      </c>
      <c r="B3234" s="406">
        <v>3221612</v>
      </c>
      <c r="C3234" s="88">
        <f>+SUMIF('Anlage 2b_Korrekturen'!$B$700:$B$1160,A3234,'Anlage 2b_Korrekturen'!$D$700:$D$1160)</f>
        <v>0</v>
      </c>
      <c r="D3234" s="135">
        <f t="shared" si="120"/>
        <v>3221612</v>
      </c>
      <c r="E3234" s="133" t="s">
        <v>2207</v>
      </c>
      <c r="F3234" s="133"/>
      <c r="G3234" s="133"/>
      <c r="H3234" s="133"/>
    </row>
    <row r="3235" spans="1:8" hidden="1" outlineLevel="1">
      <c r="A3235" s="418" t="s">
        <v>1708</v>
      </c>
      <c r="B3235" s="406">
        <v>28062721</v>
      </c>
      <c r="C3235" s="88">
        <f>+SUMIF('Anlage 2b_Korrekturen'!$B$700:$B$1160,A3235,'Anlage 2b_Korrekturen'!$D$700:$D$1160)</f>
        <v>0</v>
      </c>
      <c r="D3235" s="135">
        <f t="shared" si="120"/>
        <v>28062721</v>
      </c>
      <c r="E3235" s="133" t="s">
        <v>1709</v>
      </c>
      <c r="F3235" s="133"/>
      <c r="G3235" s="133"/>
      <c r="H3235" s="133"/>
    </row>
    <row r="3236" spans="1:8" hidden="1" outlineLevel="1">
      <c r="A3236" s="418" t="s">
        <v>1638</v>
      </c>
      <c r="B3236" s="406">
        <v>51359100</v>
      </c>
      <c r="C3236" s="88">
        <f>+SUMIF('Anlage 2b_Korrekturen'!$B$700:$B$1160,A3236,'Anlage 2b_Korrekturen'!$D$700:$D$1160)</f>
        <v>-50443</v>
      </c>
      <c r="D3236" s="135">
        <f t="shared" si="120"/>
        <v>51308657</v>
      </c>
      <c r="E3236" s="133" t="s">
        <v>1639</v>
      </c>
      <c r="F3236" s="133"/>
      <c r="G3236" s="133"/>
      <c r="H3236" s="133"/>
    </row>
    <row r="3237" spans="1:8" hidden="1" outlineLevel="1">
      <c r="A3237" s="418" t="s">
        <v>1624</v>
      </c>
      <c r="B3237" s="406">
        <v>37338714</v>
      </c>
      <c r="C3237" s="88">
        <f>+SUMIF('Anlage 2b_Korrekturen'!$B$700:$B$1160,A3237,'Anlage 2b_Korrekturen'!$D$700:$D$1160)</f>
        <v>120573</v>
      </c>
      <c r="D3237" s="135">
        <f t="shared" si="120"/>
        <v>37459287</v>
      </c>
      <c r="E3237" s="133" t="s">
        <v>1625</v>
      </c>
      <c r="F3237" s="133"/>
      <c r="G3237" s="133"/>
      <c r="H3237" s="133"/>
    </row>
    <row r="3238" spans="1:8" hidden="1" outlineLevel="1">
      <c r="A3238" s="418" t="s">
        <v>1780</v>
      </c>
      <c r="B3238" s="406">
        <v>327638027</v>
      </c>
      <c r="C3238" s="88">
        <f>+SUMIF('Anlage 2b_Korrekturen'!$B$700:$B$1160,A3238,'Anlage 2b_Korrekturen'!$D$700:$D$1160)</f>
        <v>28137</v>
      </c>
      <c r="D3238" s="135">
        <f t="shared" si="120"/>
        <v>327666164</v>
      </c>
      <c r="E3238" s="133" t="s">
        <v>1781</v>
      </c>
      <c r="F3238" s="133"/>
      <c r="G3238" s="133"/>
      <c r="H3238" s="133"/>
    </row>
    <row r="3239" spans="1:8" hidden="1" outlineLevel="1">
      <c r="A3239" s="418" t="s">
        <v>1634</v>
      </c>
      <c r="B3239" s="406">
        <v>356826311</v>
      </c>
      <c r="C3239" s="88">
        <f>+SUMIF('Anlage 2b_Korrekturen'!$B$700:$B$1160,A3239,'Anlage 2b_Korrekturen'!$D$700:$D$1160)</f>
        <v>-6471548.9020000007</v>
      </c>
      <c r="D3239" s="135">
        <f t="shared" si="120"/>
        <v>350354762.09799999</v>
      </c>
      <c r="E3239" s="133" t="s">
        <v>1635</v>
      </c>
      <c r="F3239" s="133"/>
      <c r="G3239" s="133"/>
      <c r="H3239" s="133"/>
    </row>
    <row r="3240" spans="1:8" hidden="1" outlineLevel="1">
      <c r="A3240" s="418" t="s">
        <v>1261</v>
      </c>
      <c r="B3240" s="406">
        <v>17945009</v>
      </c>
      <c r="C3240" s="88">
        <f>+SUMIF('Anlage 2b_Korrekturen'!$B$700:$B$1160,A3240,'Anlage 2b_Korrekturen'!$D$700:$D$1160)</f>
        <v>-138727</v>
      </c>
      <c r="D3240" s="135">
        <f t="shared" si="120"/>
        <v>17806282</v>
      </c>
      <c r="E3240" s="133" t="s">
        <v>1262</v>
      </c>
      <c r="F3240" s="133"/>
      <c r="G3240" s="133"/>
      <c r="H3240" s="133"/>
    </row>
    <row r="3241" spans="1:8" hidden="1" outlineLevel="1">
      <c r="A3241" s="418" t="s">
        <v>1422</v>
      </c>
      <c r="B3241" s="406">
        <v>16591871</v>
      </c>
      <c r="C3241" s="88">
        <f>+SUMIF('Anlage 2b_Korrekturen'!$B$700:$B$1160,A3241,'Anlage 2b_Korrekturen'!$D$700:$D$1160)</f>
        <v>0</v>
      </c>
      <c r="D3241" s="135">
        <f t="shared" si="120"/>
        <v>16591871</v>
      </c>
      <c r="E3241" s="133" t="s">
        <v>1423</v>
      </c>
      <c r="F3241" s="133"/>
      <c r="G3241" s="133"/>
      <c r="H3241" s="133"/>
    </row>
    <row r="3242" spans="1:8" hidden="1" outlineLevel="1">
      <c r="A3242" s="418" t="s">
        <v>1502</v>
      </c>
      <c r="B3242" s="406">
        <v>20845800</v>
      </c>
      <c r="C3242" s="88">
        <f>+SUMIF('Anlage 2b_Korrekturen'!$B$700:$B$1160,A3242,'Anlage 2b_Korrekturen'!$D$700:$D$1160)</f>
        <v>29438</v>
      </c>
      <c r="D3242" s="135">
        <f t="shared" si="120"/>
        <v>20875238</v>
      </c>
      <c r="E3242" s="133" t="s">
        <v>1503</v>
      </c>
      <c r="F3242" s="133"/>
      <c r="G3242" s="133"/>
      <c r="H3242" s="133"/>
    </row>
    <row r="3243" spans="1:8" hidden="1" outlineLevel="1">
      <c r="A3243" s="418" t="s">
        <v>1332</v>
      </c>
      <c r="B3243" s="406">
        <v>138661377</v>
      </c>
      <c r="C3243" s="88">
        <f>+SUMIF('Anlage 2b_Korrekturen'!$B$700:$B$1160,A3243,'Anlage 2b_Korrekturen'!$D$700:$D$1160)</f>
        <v>0</v>
      </c>
      <c r="D3243" s="135">
        <f t="shared" si="120"/>
        <v>138661377</v>
      </c>
      <c r="E3243" s="133" t="s">
        <v>1333</v>
      </c>
      <c r="F3243" s="133"/>
      <c r="G3243" s="133"/>
      <c r="H3243" s="133"/>
    </row>
    <row r="3244" spans="1:8" hidden="1" outlineLevel="1">
      <c r="A3244" s="418" t="s">
        <v>1576</v>
      </c>
      <c r="B3244" s="406">
        <v>89774141.165999994</v>
      </c>
      <c r="C3244" s="88">
        <f>+SUMIF('Anlage 2b_Korrekturen'!$B$700:$B$1160,A3244,'Anlage 2b_Korrekturen'!$D$700:$D$1160)</f>
        <v>760018</v>
      </c>
      <c r="D3244" s="135">
        <f t="shared" si="120"/>
        <v>90534159.165999994</v>
      </c>
      <c r="E3244" s="133" t="s">
        <v>1577</v>
      </c>
      <c r="F3244" s="133"/>
      <c r="G3244" s="133"/>
      <c r="H3244" s="133"/>
    </row>
    <row r="3245" spans="1:8" hidden="1" outlineLevel="1">
      <c r="A3245" s="418" t="s">
        <v>1608</v>
      </c>
      <c r="B3245" s="406">
        <v>24545233</v>
      </c>
      <c r="C3245" s="88">
        <f>+SUMIF('Anlage 2b_Korrekturen'!$B$700:$B$1160,A3245,'Anlage 2b_Korrekturen'!$D$700:$D$1160)</f>
        <v>0</v>
      </c>
      <c r="D3245" s="135">
        <f t="shared" si="120"/>
        <v>24545233</v>
      </c>
      <c r="E3245" s="133" t="s">
        <v>1609</v>
      </c>
      <c r="F3245" s="133"/>
      <c r="G3245" s="133"/>
      <c r="H3245" s="133"/>
    </row>
    <row r="3246" spans="1:8" hidden="1" outlineLevel="1">
      <c r="A3246" s="418" t="s">
        <v>1255</v>
      </c>
      <c r="B3246" s="406">
        <v>116856771</v>
      </c>
      <c r="C3246" s="88">
        <f>+SUMIF('Anlage 2b_Korrekturen'!$B$700:$B$1160,A3246,'Anlage 2b_Korrekturen'!$D$700:$D$1160)</f>
        <v>0</v>
      </c>
      <c r="D3246" s="135">
        <f t="shared" si="120"/>
        <v>116856771</v>
      </c>
      <c r="E3246" s="133" t="s">
        <v>1256</v>
      </c>
      <c r="F3246" s="133"/>
      <c r="G3246" s="133"/>
      <c r="H3246" s="133"/>
    </row>
    <row r="3247" spans="1:8" hidden="1" outlineLevel="1">
      <c r="A3247" s="418" t="s">
        <v>1602</v>
      </c>
      <c r="B3247" s="406">
        <v>42531520</v>
      </c>
      <c r="C3247" s="88">
        <f>+SUMIF('Anlage 2b_Korrekturen'!$B$700:$B$1160,A3247,'Anlage 2b_Korrekturen'!$D$700:$D$1160)</f>
        <v>-12443</v>
      </c>
      <c r="D3247" s="135">
        <f t="shared" si="120"/>
        <v>42519077</v>
      </c>
      <c r="E3247" s="133" t="s">
        <v>1603</v>
      </c>
      <c r="F3247" s="133"/>
      <c r="G3247" s="133"/>
      <c r="H3247" s="133"/>
    </row>
    <row r="3248" spans="1:8" hidden="1" outlineLevel="1">
      <c r="A3248" s="418" t="s">
        <v>1354</v>
      </c>
      <c r="B3248" s="406">
        <v>98578310</v>
      </c>
      <c r="C3248" s="88">
        <f>+SUMIF('Anlage 2b_Korrekturen'!$B$700:$B$1160,A3248,'Anlage 2b_Korrekturen'!$D$700:$D$1160)</f>
        <v>-219925</v>
      </c>
      <c r="D3248" s="135">
        <f t="shared" si="120"/>
        <v>98358385</v>
      </c>
      <c r="E3248" s="133" t="s">
        <v>1355</v>
      </c>
      <c r="F3248" s="133"/>
      <c r="G3248" s="133"/>
      <c r="H3248" s="133"/>
    </row>
    <row r="3249" spans="1:8" hidden="1" outlineLevel="1">
      <c r="A3249" s="418" t="s">
        <v>1446</v>
      </c>
      <c r="B3249" s="406">
        <v>2071500984</v>
      </c>
      <c r="C3249" s="88">
        <f>+SUMIF('Anlage 2b_Korrekturen'!$B$700:$B$1160,A3249,'Anlage 2b_Korrekturen'!$D$700:$D$1160)</f>
        <v>0</v>
      </c>
      <c r="D3249" s="135">
        <f t="shared" si="120"/>
        <v>2071500984</v>
      </c>
      <c r="E3249" s="133" t="s">
        <v>1447</v>
      </c>
      <c r="F3249" s="133"/>
      <c r="G3249" s="133"/>
      <c r="H3249" s="133"/>
    </row>
    <row r="3250" spans="1:8" hidden="1" outlineLevel="1">
      <c r="A3250" s="418" t="s">
        <v>1664</v>
      </c>
      <c r="B3250" s="406">
        <v>219229464</v>
      </c>
      <c r="C3250" s="88">
        <f>+SUMIF('Anlage 2b_Korrekturen'!$B$700:$B$1160,A3250,'Anlage 2b_Korrekturen'!$D$700:$D$1160)</f>
        <v>131966</v>
      </c>
      <c r="D3250" s="135">
        <f t="shared" si="120"/>
        <v>219361430</v>
      </c>
      <c r="E3250" s="133" t="s">
        <v>1665</v>
      </c>
      <c r="F3250" s="133"/>
      <c r="G3250" s="133"/>
      <c r="H3250" s="133"/>
    </row>
    <row r="3251" spans="1:8" hidden="1" outlineLevel="1">
      <c r="A3251" s="418" t="s">
        <v>1788</v>
      </c>
      <c r="B3251" s="406">
        <v>16097468</v>
      </c>
      <c r="C3251" s="88">
        <f>+SUMIF('Anlage 2b_Korrekturen'!$B$700:$B$1160,A3251,'Anlage 2b_Korrekturen'!$D$700:$D$1160)</f>
        <v>0</v>
      </c>
      <c r="D3251" s="135">
        <f t="shared" si="120"/>
        <v>16097468</v>
      </c>
      <c r="E3251" s="133" t="s">
        <v>1789</v>
      </c>
      <c r="F3251" s="133"/>
      <c r="G3251" s="133"/>
      <c r="H3251" s="133"/>
    </row>
    <row r="3252" spans="1:8" hidden="1" outlineLevel="1">
      <c r="A3252" s="418" t="s">
        <v>1650</v>
      </c>
      <c r="B3252" s="406">
        <v>6372755778</v>
      </c>
      <c r="C3252" s="88">
        <f>+SUMIF('Anlage 2b_Korrekturen'!$B$700:$B$1160,A3252,'Anlage 2b_Korrekturen'!$D$700:$D$1160)-119539</f>
        <v>26964954.467999995</v>
      </c>
      <c r="D3252" s="135">
        <f t="shared" si="120"/>
        <v>6399720732.4680004</v>
      </c>
      <c r="E3252" s="133" t="s">
        <v>1651</v>
      </c>
      <c r="F3252" s="133"/>
      <c r="G3252" s="133"/>
      <c r="H3252" s="133"/>
    </row>
    <row r="3253" spans="1:8" hidden="1" outlineLevel="1">
      <c r="A3253" s="418" t="s">
        <v>1632</v>
      </c>
      <c r="B3253" s="406">
        <v>48806016</v>
      </c>
      <c r="C3253" s="88">
        <f>+SUMIF('Anlage 2b_Korrekturen'!$B$700:$B$1160,A3253,'Anlage 2b_Korrekturen'!$D$700:$D$1160)</f>
        <v>-3234957</v>
      </c>
      <c r="D3253" s="135">
        <f t="shared" si="120"/>
        <v>45571059</v>
      </c>
      <c r="E3253" s="133" t="s">
        <v>1633</v>
      </c>
      <c r="F3253" s="133"/>
      <c r="G3253" s="133"/>
      <c r="H3253" s="133"/>
    </row>
    <row r="3254" spans="1:8" hidden="1" outlineLevel="1">
      <c r="A3254" s="418" t="s">
        <v>1344</v>
      </c>
      <c r="B3254" s="406">
        <v>974279372</v>
      </c>
      <c r="C3254" s="88">
        <f>+SUMIF('Anlage 2b_Korrekturen'!$B$700:$B$1160,A3254,'Anlage 2b_Korrekturen'!$D$700:$D$1160)</f>
        <v>0</v>
      </c>
      <c r="D3254" s="135">
        <f t="shared" si="120"/>
        <v>974279372</v>
      </c>
      <c r="E3254" s="133" t="s">
        <v>1345</v>
      </c>
      <c r="F3254" s="133"/>
      <c r="G3254" s="133"/>
      <c r="H3254" s="133"/>
    </row>
    <row r="3255" spans="1:8" hidden="1" outlineLevel="1">
      <c r="A3255" s="418" t="s">
        <v>1398</v>
      </c>
      <c r="B3255" s="406">
        <v>26878369</v>
      </c>
      <c r="C3255" s="88">
        <f>+SUMIF('Anlage 2b_Korrekturen'!$B$700:$B$1160,A3255,'Anlage 2b_Korrekturen'!$D$700:$D$1160)</f>
        <v>0</v>
      </c>
      <c r="D3255" s="135">
        <f t="shared" si="120"/>
        <v>26878369</v>
      </c>
      <c r="E3255" s="133" t="s">
        <v>1399</v>
      </c>
      <c r="F3255" s="133"/>
      <c r="G3255" s="133"/>
      <c r="H3255" s="133"/>
    </row>
    <row r="3256" spans="1:8" hidden="1" outlineLevel="1">
      <c r="A3256" s="418" t="s">
        <v>1244</v>
      </c>
      <c r="B3256" s="406">
        <v>37095395</v>
      </c>
      <c r="C3256" s="88">
        <f>+SUMIF('Anlage 2b_Korrekturen'!$B$700:$B$1160,A3256,'Anlage 2b_Korrekturen'!$D$700:$D$1160)</f>
        <v>0</v>
      </c>
      <c r="D3256" s="135">
        <f t="shared" si="120"/>
        <v>37095395</v>
      </c>
      <c r="E3256" s="133" t="s">
        <v>1245</v>
      </c>
      <c r="F3256" s="133"/>
      <c r="G3256" s="133"/>
      <c r="H3256" s="133"/>
    </row>
    <row r="3257" spans="1:8" hidden="1" outlineLevel="1">
      <c r="A3257" s="418" t="s">
        <v>1301</v>
      </c>
      <c r="B3257" s="406">
        <v>58146065</v>
      </c>
      <c r="C3257" s="88">
        <f>+SUMIF('Anlage 2b_Korrekturen'!$B$700:$B$1160,A3257,'Anlage 2b_Korrekturen'!$D$700:$D$1160)</f>
        <v>0</v>
      </c>
      <c r="D3257" s="135">
        <f t="shared" si="120"/>
        <v>58146065</v>
      </c>
      <c r="E3257" s="133" t="s">
        <v>1302</v>
      </c>
      <c r="F3257" s="133"/>
      <c r="G3257" s="133"/>
      <c r="H3257" s="133"/>
    </row>
    <row r="3258" spans="1:8" hidden="1" outlineLevel="1">
      <c r="A3258" s="418" t="s">
        <v>1462</v>
      </c>
      <c r="B3258" s="406">
        <v>63699095</v>
      </c>
      <c r="C3258" s="88">
        <f>+SUMIF('Anlage 2b_Korrekturen'!$B$700:$B$1160,A3258,'Anlage 2b_Korrekturen'!$D$700:$D$1160)</f>
        <v>0</v>
      </c>
      <c r="D3258" s="135">
        <f t="shared" si="120"/>
        <v>63699095</v>
      </c>
      <c r="E3258" s="133" t="s">
        <v>1463</v>
      </c>
      <c r="F3258" s="133"/>
      <c r="G3258" s="133"/>
      <c r="H3258" s="133"/>
    </row>
    <row r="3259" spans="1:8" hidden="1" outlineLevel="1">
      <c r="A3259" s="418" t="s">
        <v>1794</v>
      </c>
      <c r="B3259" s="406">
        <v>237172188</v>
      </c>
      <c r="C3259" s="88">
        <f>+SUMIF('Anlage 2b_Korrekturen'!$B$700:$B$1160,A3259,'Anlage 2b_Korrekturen'!$D$700:$D$1160)</f>
        <v>1805442</v>
      </c>
      <c r="D3259" s="135">
        <f t="shared" si="120"/>
        <v>238977630</v>
      </c>
      <c r="E3259" s="133" t="s">
        <v>1795</v>
      </c>
      <c r="F3259" s="133"/>
      <c r="G3259" s="133"/>
      <c r="H3259" s="133"/>
    </row>
    <row r="3260" spans="1:8" hidden="1" outlineLevel="1">
      <c r="A3260" s="418" t="s">
        <v>1546</v>
      </c>
      <c r="B3260" s="406">
        <v>29361541</v>
      </c>
      <c r="C3260" s="88">
        <f>+SUMIF('Anlage 2b_Korrekturen'!$B$700:$B$1160,A3260,'Anlage 2b_Korrekturen'!$D$700:$D$1160)</f>
        <v>0</v>
      </c>
      <c r="D3260" s="135">
        <f t="shared" si="120"/>
        <v>29361541</v>
      </c>
      <c r="E3260" s="133" t="s">
        <v>1547</v>
      </c>
      <c r="F3260" s="133"/>
      <c r="G3260" s="133"/>
      <c r="H3260" s="133"/>
    </row>
    <row r="3261" spans="1:8" hidden="1" outlineLevel="1">
      <c r="A3261" s="418" t="s">
        <v>1426</v>
      </c>
      <c r="B3261" s="406">
        <v>53806611</v>
      </c>
      <c r="C3261" s="88">
        <f>+SUMIF('Anlage 2b_Korrekturen'!$B$700:$B$1160,A3261,'Anlage 2b_Korrekturen'!$D$700:$D$1160)</f>
        <v>0</v>
      </c>
      <c r="D3261" s="135">
        <f t="shared" si="120"/>
        <v>53806611</v>
      </c>
      <c r="E3261" s="133" t="s">
        <v>1427</v>
      </c>
      <c r="F3261" s="133"/>
      <c r="G3261" s="133"/>
      <c r="H3261" s="133"/>
    </row>
    <row r="3262" spans="1:8" hidden="1" outlineLevel="1">
      <c r="A3262" s="418" t="s">
        <v>1760</v>
      </c>
      <c r="B3262" s="406">
        <v>59127040</v>
      </c>
      <c r="C3262" s="711">
        <f>+SUMIF('Anlage 2b_Korrekturen'!$B$700:$B$1160,A3262,'Anlage 2b_Korrekturen'!$D$700:$D$1160)</f>
        <v>-118433</v>
      </c>
      <c r="D3262" s="135">
        <f t="shared" si="120"/>
        <v>59008607</v>
      </c>
      <c r="E3262" s="133" t="s">
        <v>1761</v>
      </c>
      <c r="F3262" s="133"/>
      <c r="G3262" s="133"/>
      <c r="H3262" s="133"/>
    </row>
    <row r="3263" spans="1:8" hidden="1" outlineLevel="1">
      <c r="A3263" s="418" t="s">
        <v>1798</v>
      </c>
      <c r="B3263" s="406">
        <v>145306789</v>
      </c>
      <c r="C3263" s="88">
        <f>+SUMIF('Anlage 2b_Korrekturen'!$B$700:$B$1160,A3263,'Anlage 2b_Korrekturen'!$D$700:$D$1160)</f>
        <v>-77117</v>
      </c>
      <c r="D3263" s="135">
        <f t="shared" si="120"/>
        <v>145229672</v>
      </c>
      <c r="E3263" s="133" t="s">
        <v>1799</v>
      </c>
      <c r="F3263" s="133"/>
      <c r="G3263" s="133"/>
      <c r="H3263" s="133"/>
    </row>
    <row r="3264" spans="1:8" hidden="1" outlineLevel="1">
      <c r="A3264" s="418" t="s">
        <v>1318</v>
      </c>
      <c r="B3264" s="406">
        <v>42477920</v>
      </c>
      <c r="C3264" s="88">
        <f>+SUMIF('Anlage 2b_Korrekturen'!$B$700:$B$1160,A3264,'Anlage 2b_Korrekturen'!$D$700:$D$1160)</f>
        <v>-4315955</v>
      </c>
      <c r="D3264" s="135">
        <f t="shared" si="120"/>
        <v>38161965</v>
      </c>
      <c r="E3264" s="133" t="s">
        <v>1319</v>
      </c>
      <c r="F3264" s="133"/>
      <c r="G3264" s="133"/>
      <c r="H3264" s="133"/>
    </row>
    <row r="3265" spans="1:8" hidden="1" outlineLevel="1">
      <c r="A3265" s="418" t="s">
        <v>1764</v>
      </c>
      <c r="B3265" s="406">
        <v>21368695</v>
      </c>
      <c r="C3265" s="88">
        <f>+SUMIF('Anlage 2b_Korrekturen'!$B$700:$B$1160,A3265,'Anlage 2b_Korrekturen'!$D$700:$D$1160)</f>
        <v>0</v>
      </c>
      <c r="D3265" s="135">
        <f t="shared" si="120"/>
        <v>21368695</v>
      </c>
      <c r="E3265" s="133" t="s">
        <v>1765</v>
      </c>
      <c r="F3265" s="133"/>
      <c r="G3265" s="133"/>
      <c r="H3265" s="133"/>
    </row>
    <row r="3266" spans="1:8" hidden="1" outlineLevel="1">
      <c r="A3266" s="418" t="s">
        <v>1540</v>
      </c>
      <c r="B3266" s="406">
        <v>23953144.850000001</v>
      </c>
      <c r="C3266" s="88">
        <f>+SUMIF('Anlage 2b_Korrekturen'!$B$700:$B$1160,A3266,'Anlage 2b_Korrekturen'!$D$700:$D$1160)</f>
        <v>0</v>
      </c>
      <c r="D3266" s="135">
        <f t="shared" ref="D3266:D3329" si="121">B3266+C3266</f>
        <v>23953144.850000001</v>
      </c>
      <c r="E3266" s="133" t="s">
        <v>1541</v>
      </c>
      <c r="F3266" s="133"/>
      <c r="G3266" s="133"/>
      <c r="H3266" s="133"/>
    </row>
    <row r="3267" spans="1:8" hidden="1" outlineLevel="1">
      <c r="A3267" s="418" t="s">
        <v>1396</v>
      </c>
      <c r="B3267" s="406">
        <v>54545990</v>
      </c>
      <c r="C3267" s="88">
        <f>+SUMIF('Anlage 2b_Korrekturen'!$B$700:$B$1160,A3267,'Anlage 2b_Korrekturen'!$D$700:$D$1160)</f>
        <v>0</v>
      </c>
      <c r="D3267" s="135">
        <f t="shared" si="121"/>
        <v>54545990</v>
      </c>
      <c r="E3267" s="133" t="s">
        <v>1397</v>
      </c>
      <c r="F3267" s="133"/>
      <c r="G3267" s="133"/>
      <c r="H3267" s="133"/>
    </row>
    <row r="3268" spans="1:8" hidden="1" outlineLevel="1">
      <c r="A3268" s="418" t="s">
        <v>1681</v>
      </c>
      <c r="B3268" s="406">
        <v>955752187</v>
      </c>
      <c r="C3268" s="88">
        <f>+SUMIF('Anlage 2b_Korrekturen'!$B$700:$B$1160,A3268,'Anlage 2b_Korrekturen'!$D$700:$D$1160)</f>
        <v>0</v>
      </c>
      <c r="D3268" s="135">
        <f t="shared" si="121"/>
        <v>955752187</v>
      </c>
      <c r="E3268" s="133" t="s">
        <v>1682</v>
      </c>
      <c r="F3268" s="133"/>
      <c r="G3268" s="133"/>
      <c r="H3268" s="133"/>
    </row>
    <row r="3269" spans="1:8" hidden="1" outlineLevel="1">
      <c r="A3269" s="418" t="s">
        <v>2208</v>
      </c>
      <c r="B3269" s="406">
        <v>6068789</v>
      </c>
      <c r="C3269" s="88">
        <f>+SUMIF('Anlage 2b_Korrekturen'!$B$700:$B$1160,A3269,'Anlage 2b_Korrekturen'!$D$700:$D$1160)</f>
        <v>0</v>
      </c>
      <c r="D3269" s="135">
        <f t="shared" si="121"/>
        <v>6068789</v>
      </c>
      <c r="E3269" s="133" t="s">
        <v>2209</v>
      </c>
      <c r="F3269" s="133"/>
      <c r="G3269" s="133"/>
      <c r="H3269" s="133"/>
    </row>
    <row r="3270" spans="1:8" hidden="1" outlineLevel="1">
      <c r="A3270" s="418" t="s">
        <v>1766</v>
      </c>
      <c r="B3270" s="406">
        <v>20084731.579999998</v>
      </c>
      <c r="C3270" s="88">
        <f>+SUMIF('Anlage 2b_Korrekturen'!$B$700:$B$1160,A3270,'Anlage 2b_Korrekturen'!$D$700:$D$1160)</f>
        <v>624668</v>
      </c>
      <c r="D3270" s="135">
        <f t="shared" si="121"/>
        <v>20709399.579999998</v>
      </c>
      <c r="E3270" s="133" t="s">
        <v>1767</v>
      </c>
      <c r="F3270" s="133"/>
      <c r="G3270" s="133"/>
      <c r="H3270" s="133"/>
    </row>
    <row r="3271" spans="1:8" hidden="1" outlineLevel="1">
      <c r="A3271" s="418" t="s">
        <v>1448</v>
      </c>
      <c r="B3271" s="406">
        <v>179004023</v>
      </c>
      <c r="C3271" s="88">
        <f>+SUMIF('Anlage 2b_Korrekturen'!$B$700:$B$1160,A3271,'Anlage 2b_Korrekturen'!$D$700:$D$1160)</f>
        <v>-7019317</v>
      </c>
      <c r="D3271" s="135">
        <f t="shared" si="121"/>
        <v>171984706</v>
      </c>
      <c r="E3271" s="133" t="s">
        <v>1449</v>
      </c>
      <c r="F3271" s="133"/>
      <c r="G3271" s="133"/>
      <c r="H3271" s="133"/>
    </row>
    <row r="3272" spans="1:8" hidden="1" outlineLevel="1">
      <c r="A3272" s="418" t="s">
        <v>1490</v>
      </c>
      <c r="B3272" s="406">
        <v>15870817</v>
      </c>
      <c r="C3272" s="88">
        <f>+SUMIF('Anlage 2b_Korrekturen'!$B$700:$B$1160,A3272,'Anlage 2b_Korrekturen'!$D$700:$D$1160)</f>
        <v>0</v>
      </c>
      <c r="D3272" s="135">
        <f t="shared" si="121"/>
        <v>15870817</v>
      </c>
      <c r="E3272" s="133" t="s">
        <v>1491</v>
      </c>
      <c r="F3272" s="133"/>
      <c r="G3272" s="133"/>
      <c r="H3272" s="133"/>
    </row>
    <row r="3273" spans="1:8" hidden="1" outlineLevel="1">
      <c r="A3273" s="418" t="s">
        <v>1724</v>
      </c>
      <c r="B3273" s="406">
        <v>120367462</v>
      </c>
      <c r="C3273" s="88">
        <f>+SUMIF('Anlage 2b_Korrekturen'!$B$700:$B$1160,A3273,'Anlage 2b_Korrekturen'!$D$700:$D$1160)</f>
        <v>182539</v>
      </c>
      <c r="D3273" s="135">
        <f t="shared" si="121"/>
        <v>120550001</v>
      </c>
      <c r="E3273" s="133" t="s">
        <v>1725</v>
      </c>
      <c r="F3273" s="133"/>
      <c r="G3273" s="133"/>
      <c r="H3273" s="133"/>
    </row>
    <row r="3274" spans="1:8" hidden="1" outlineLevel="1">
      <c r="A3274" s="418" t="s">
        <v>1267</v>
      </c>
      <c r="B3274" s="406">
        <v>15065588</v>
      </c>
      <c r="C3274" s="88">
        <f>+SUMIF('Anlage 2b_Korrekturen'!$B$700:$B$1160,A3274,'Anlage 2b_Korrekturen'!$D$700:$D$1160)</f>
        <v>0</v>
      </c>
      <c r="D3274" s="135">
        <f t="shared" si="121"/>
        <v>15065588</v>
      </c>
      <c r="E3274" s="133" t="s">
        <v>1268</v>
      </c>
      <c r="F3274" s="133"/>
      <c r="G3274" s="133"/>
      <c r="H3274" s="133"/>
    </row>
    <row r="3275" spans="1:8" hidden="1" outlineLevel="1">
      <c r="A3275" s="418" t="s">
        <v>1358</v>
      </c>
      <c r="B3275" s="406">
        <v>343651751</v>
      </c>
      <c r="C3275" s="88">
        <f>+SUMIF('Anlage 2b_Korrekturen'!$B$700:$B$1160,A3275,'Anlage 2b_Korrekturen'!$D$700:$D$1160)</f>
        <v>0</v>
      </c>
      <c r="D3275" s="135">
        <f t="shared" si="121"/>
        <v>343651751</v>
      </c>
      <c r="E3275" s="133" t="s">
        <v>1359</v>
      </c>
      <c r="F3275" s="133"/>
      <c r="G3275" s="133"/>
      <c r="H3275" s="133"/>
    </row>
    <row r="3276" spans="1:8" hidden="1" outlineLevel="1">
      <c r="A3276" s="418" t="s">
        <v>1658</v>
      </c>
      <c r="B3276" s="406">
        <v>46356422</v>
      </c>
      <c r="C3276" s="88">
        <f>+SUMIF('Anlage 2b_Korrekturen'!$B$700:$B$1160,A3276,'Anlage 2b_Korrekturen'!$D$700:$D$1160)</f>
        <v>0</v>
      </c>
      <c r="D3276" s="135">
        <f t="shared" si="121"/>
        <v>46356422</v>
      </c>
      <c r="E3276" s="133" t="s">
        <v>1659</v>
      </c>
      <c r="F3276" s="133"/>
      <c r="G3276" s="133"/>
      <c r="H3276" s="133"/>
    </row>
    <row r="3277" spans="1:8" hidden="1" outlineLevel="1">
      <c r="A3277" s="418" t="s">
        <v>1552</v>
      </c>
      <c r="B3277" s="406">
        <v>104431999</v>
      </c>
      <c r="C3277" s="88">
        <f>+SUMIF('Anlage 2b_Korrekturen'!$B$700:$B$1160,A3277,'Anlage 2b_Korrekturen'!$D$700:$D$1160)</f>
        <v>-56094</v>
      </c>
      <c r="D3277" s="135">
        <f t="shared" si="121"/>
        <v>104375905</v>
      </c>
      <c r="E3277" s="133" t="s">
        <v>1553</v>
      </c>
      <c r="F3277" s="133"/>
      <c r="G3277" s="133"/>
      <c r="H3277" s="133"/>
    </row>
    <row r="3278" spans="1:8" hidden="1" outlineLevel="1">
      <c r="A3278" s="418" t="s">
        <v>1242</v>
      </c>
      <c r="B3278" s="406">
        <v>14117576</v>
      </c>
      <c r="C3278" s="88">
        <f>+SUMIF('Anlage 2b_Korrekturen'!$B$700:$B$1160,A3278,'Anlage 2b_Korrekturen'!$D$700:$D$1160)</f>
        <v>-6612</v>
      </c>
      <c r="D3278" s="135">
        <f t="shared" si="121"/>
        <v>14110964</v>
      </c>
      <c r="E3278" s="133" t="s">
        <v>1243</v>
      </c>
      <c r="F3278" s="133"/>
      <c r="G3278" s="133"/>
      <c r="H3278" s="133"/>
    </row>
    <row r="3279" spans="1:8" hidden="1" outlineLevel="1">
      <c r="A3279" s="418" t="s">
        <v>1752</v>
      </c>
      <c r="B3279" s="406">
        <v>17216120</v>
      </c>
      <c r="C3279" s="88">
        <f>+SUMIF('Anlage 2b_Korrekturen'!$B$700:$B$1160,A3279,'Anlage 2b_Korrekturen'!$D$700:$D$1160)</f>
        <v>-308331</v>
      </c>
      <c r="D3279" s="135">
        <f t="shared" si="121"/>
        <v>16907789</v>
      </c>
      <c r="E3279" s="133" t="s">
        <v>1753</v>
      </c>
      <c r="F3279" s="133"/>
      <c r="G3279" s="133"/>
      <c r="H3279" s="133"/>
    </row>
    <row r="3280" spans="1:8" hidden="1" outlineLevel="1">
      <c r="A3280" s="418" t="s">
        <v>1295</v>
      </c>
      <c r="B3280" s="406">
        <v>1121305613.7279999</v>
      </c>
      <c r="C3280" s="88">
        <f>+SUMIF('Anlage 2b_Korrekturen'!$B$700:$B$1160,A3280,'Anlage 2b_Korrekturen'!$D$700:$D$1160)</f>
        <v>0</v>
      </c>
      <c r="D3280" s="135">
        <f t="shared" si="121"/>
        <v>1121305613.7279999</v>
      </c>
      <c r="E3280" s="133" t="s">
        <v>1296</v>
      </c>
      <c r="F3280" s="133"/>
      <c r="G3280" s="133"/>
      <c r="H3280" s="133"/>
    </row>
    <row r="3281" spans="1:8" hidden="1" outlineLevel="1">
      <c r="A3281" s="418" t="s">
        <v>1685</v>
      </c>
      <c r="B3281" s="406">
        <v>154953697.58700001</v>
      </c>
      <c r="C3281" s="88">
        <f>+SUMIF('Anlage 2b_Korrekturen'!$B$700:$B$1160,A3281,'Anlage 2b_Korrekturen'!$D$700:$D$1160)</f>
        <v>0</v>
      </c>
      <c r="D3281" s="135">
        <f t="shared" si="121"/>
        <v>154953697.58700001</v>
      </c>
      <c r="E3281" s="133" t="s">
        <v>1686</v>
      </c>
      <c r="F3281" s="133"/>
      <c r="G3281" s="133"/>
      <c r="H3281" s="133"/>
    </row>
    <row r="3282" spans="1:8" hidden="1" outlineLevel="1">
      <c r="A3282" s="418" t="s">
        <v>2210</v>
      </c>
      <c r="B3282" s="406">
        <v>1736713</v>
      </c>
      <c r="C3282" s="88">
        <f>+SUMIF('Anlage 2b_Korrekturen'!$B$700:$B$1160,A3282,'Anlage 2b_Korrekturen'!$D$700:$D$1160)</f>
        <v>0</v>
      </c>
      <c r="D3282" s="135">
        <f t="shared" si="121"/>
        <v>1736713</v>
      </c>
      <c r="E3282" s="133" t="s">
        <v>2211</v>
      </c>
      <c r="F3282" s="133"/>
      <c r="G3282" s="133"/>
      <c r="H3282" s="133"/>
    </row>
    <row r="3283" spans="1:8" hidden="1" outlineLevel="1">
      <c r="A3283" s="418" t="s">
        <v>2212</v>
      </c>
      <c r="B3283" s="406">
        <v>20946815</v>
      </c>
      <c r="C3283" s="88">
        <f>+SUMIF('Anlage 2b_Korrekturen'!$B$700:$B$1160,A3283,'Anlage 2b_Korrekturen'!$D$700:$D$1160)</f>
        <v>0</v>
      </c>
      <c r="D3283" s="135">
        <f t="shared" si="121"/>
        <v>20946815</v>
      </c>
      <c r="E3283" s="133" t="s">
        <v>2213</v>
      </c>
      <c r="F3283" s="133"/>
      <c r="G3283" s="133"/>
      <c r="H3283" s="133"/>
    </row>
    <row r="3284" spans="1:8" hidden="1" outlineLevel="1">
      <c r="A3284" s="418" t="s">
        <v>1400</v>
      </c>
      <c r="B3284" s="406">
        <v>20134196</v>
      </c>
      <c r="C3284" s="88">
        <f>+SUMIF('Anlage 2b_Korrekturen'!$B$700:$B$1160,A3284,'Anlage 2b_Korrekturen'!$D$700:$D$1160)</f>
        <v>0</v>
      </c>
      <c r="D3284" s="135">
        <f t="shared" si="121"/>
        <v>20134196</v>
      </c>
      <c r="E3284" s="133" t="s">
        <v>1401</v>
      </c>
      <c r="F3284" s="133"/>
      <c r="G3284" s="133"/>
      <c r="H3284" s="133"/>
    </row>
    <row r="3285" spans="1:8" hidden="1" outlineLevel="1">
      <c r="A3285" s="418" t="s">
        <v>1620</v>
      </c>
      <c r="B3285" s="406">
        <v>87216160</v>
      </c>
      <c r="C3285" s="88">
        <f>+SUMIF('Anlage 2b_Korrekturen'!$B$700:$B$1160,A3285,'Anlage 2b_Korrekturen'!$D$700:$D$1160)</f>
        <v>0</v>
      </c>
      <c r="D3285" s="135">
        <f t="shared" si="121"/>
        <v>87216160</v>
      </c>
      <c r="E3285" s="133" t="s">
        <v>1621</v>
      </c>
      <c r="F3285" s="133"/>
      <c r="G3285" s="133"/>
      <c r="H3285" s="133"/>
    </row>
    <row r="3286" spans="1:8" hidden="1" outlineLevel="1">
      <c r="A3286" s="418" t="s">
        <v>1671</v>
      </c>
      <c r="B3286" s="406">
        <v>73816892</v>
      </c>
      <c r="C3286" s="88">
        <f>+SUMIF('Anlage 2b_Korrekturen'!$B$700:$B$1160,A3286,'Anlage 2b_Korrekturen'!$D$700:$D$1160)</f>
        <v>743225.005</v>
      </c>
      <c r="D3286" s="135">
        <f t="shared" si="121"/>
        <v>74560117.004999995</v>
      </c>
      <c r="E3286" s="133" t="s">
        <v>1672</v>
      </c>
      <c r="F3286" s="133"/>
      <c r="G3286" s="133"/>
      <c r="H3286" s="133"/>
    </row>
    <row r="3287" spans="1:8" hidden="1" outlineLevel="1">
      <c r="A3287" s="418" t="s">
        <v>1538</v>
      </c>
      <c r="B3287" s="406">
        <v>792763386.51999998</v>
      </c>
      <c r="C3287" s="88">
        <f>+SUMIF('Anlage 2b_Korrekturen'!$B$700:$B$1160,A3287,'Anlage 2b_Korrekturen'!$D$700:$D$1160)</f>
        <v>0</v>
      </c>
      <c r="D3287" s="135">
        <f t="shared" si="121"/>
        <v>792763386.51999998</v>
      </c>
      <c r="E3287" s="133" t="s">
        <v>1539</v>
      </c>
      <c r="F3287" s="133"/>
      <c r="G3287" s="133"/>
      <c r="H3287" s="133"/>
    </row>
    <row r="3288" spans="1:8" hidden="1" outlineLevel="1">
      <c r="A3288" s="418" t="s">
        <v>1382</v>
      </c>
      <c r="B3288" s="406">
        <v>66104995</v>
      </c>
      <c r="C3288" s="88">
        <f>+SUMIF('Anlage 2b_Korrekturen'!$B$700:$B$1160,A3288,'Anlage 2b_Korrekturen'!$D$700:$D$1160)</f>
        <v>0</v>
      </c>
      <c r="D3288" s="135">
        <f t="shared" si="121"/>
        <v>66104995</v>
      </c>
      <c r="E3288" s="133" t="s">
        <v>1383</v>
      </c>
      <c r="F3288" s="133"/>
      <c r="G3288" s="133"/>
      <c r="H3288" s="133"/>
    </row>
    <row r="3289" spans="1:8" hidden="1" outlineLevel="1">
      <c r="A3289" s="418" t="s">
        <v>1524</v>
      </c>
      <c r="B3289" s="406">
        <v>34763888</v>
      </c>
      <c r="C3289" s="88">
        <f>+SUMIF('Anlage 2b_Korrekturen'!$B$700:$B$1160,A3289,'Anlage 2b_Korrekturen'!$D$700:$D$1160)</f>
        <v>-350954</v>
      </c>
      <c r="D3289" s="135">
        <f t="shared" si="121"/>
        <v>34412934</v>
      </c>
      <c r="E3289" s="133" t="s">
        <v>1525</v>
      </c>
      <c r="F3289" s="133"/>
      <c r="G3289" s="133"/>
      <c r="H3289" s="133"/>
    </row>
    <row r="3290" spans="1:8" hidden="1" outlineLevel="1">
      <c r="A3290" s="418" t="s">
        <v>1818</v>
      </c>
      <c r="B3290" s="406">
        <v>137732506.89300001</v>
      </c>
      <c r="C3290" s="88">
        <f>+SUMIF('Anlage 2b_Korrekturen'!$B$700:$B$1160,A3290,'Anlage 2b_Korrekturen'!$D$700:$D$1160)</f>
        <v>-634992</v>
      </c>
      <c r="D3290" s="135">
        <f t="shared" si="121"/>
        <v>137097514.89300001</v>
      </c>
      <c r="E3290" s="133" t="s">
        <v>1819</v>
      </c>
      <c r="F3290" s="133"/>
      <c r="G3290" s="133"/>
      <c r="H3290" s="133"/>
    </row>
    <row r="3291" spans="1:8" hidden="1" outlineLevel="1">
      <c r="A3291" s="418" t="s">
        <v>1238</v>
      </c>
      <c r="B3291" s="406">
        <v>68568889</v>
      </c>
      <c r="C3291" s="88">
        <f>+SUMIF('Anlage 2b_Korrekturen'!$B$700:$B$1160,A3291,'Anlage 2b_Korrekturen'!$D$700:$D$1160)</f>
        <v>-1730988</v>
      </c>
      <c r="D3291" s="135">
        <f t="shared" si="121"/>
        <v>66837901</v>
      </c>
      <c r="E3291" s="133" t="s">
        <v>1239</v>
      </c>
      <c r="F3291" s="133"/>
      <c r="G3291" s="133"/>
      <c r="H3291" s="133"/>
    </row>
    <row r="3292" spans="1:8" hidden="1" outlineLevel="1">
      <c r="A3292" s="418" t="s">
        <v>1800</v>
      </c>
      <c r="B3292" s="406">
        <v>33751631</v>
      </c>
      <c r="C3292" s="88">
        <f>+SUMIF('Anlage 2b_Korrekturen'!$B$700:$B$1160,A3292,'Anlage 2b_Korrekturen'!$D$700:$D$1160)</f>
        <v>0</v>
      </c>
      <c r="D3292" s="135">
        <f t="shared" si="121"/>
        <v>33751631</v>
      </c>
      <c r="E3292" s="133" t="s">
        <v>1801</v>
      </c>
      <c r="F3292" s="133"/>
      <c r="G3292" s="133"/>
      <c r="H3292" s="133"/>
    </row>
    <row r="3293" spans="1:8" hidden="1" outlineLevel="1">
      <c r="A3293" s="418" t="s">
        <v>2214</v>
      </c>
      <c r="B3293" s="406">
        <v>10849777</v>
      </c>
      <c r="C3293" s="88">
        <f>+SUMIF('Anlage 2b_Korrekturen'!$B$700:$B$1160,A3293,'Anlage 2b_Korrekturen'!$D$700:$D$1160)</f>
        <v>0</v>
      </c>
      <c r="D3293" s="135">
        <f t="shared" si="121"/>
        <v>10849777</v>
      </c>
      <c r="E3293" s="133" t="s">
        <v>2215</v>
      </c>
      <c r="F3293" s="133"/>
      <c r="G3293" s="133"/>
      <c r="H3293" s="133"/>
    </row>
    <row r="3294" spans="1:8" hidden="1" outlineLevel="1">
      <c r="A3294" s="418" t="s">
        <v>1704</v>
      </c>
      <c r="B3294" s="406">
        <v>47078987</v>
      </c>
      <c r="C3294" s="88">
        <f>+SUMIF('Anlage 2b_Korrekturen'!$B$700:$B$1160,A3294,'Anlage 2b_Korrekturen'!$D$700:$D$1160)</f>
        <v>-234824</v>
      </c>
      <c r="D3294" s="135">
        <f t="shared" si="121"/>
        <v>46844163</v>
      </c>
      <c r="E3294" s="133" t="s">
        <v>1705</v>
      </c>
      <c r="F3294" s="133"/>
      <c r="G3294" s="133"/>
      <c r="H3294" s="133"/>
    </row>
    <row r="3295" spans="1:8" hidden="1" outlineLevel="1">
      <c r="A3295" s="418" t="s">
        <v>1312</v>
      </c>
      <c r="B3295" s="406">
        <v>4942758895</v>
      </c>
      <c r="C3295" s="88">
        <f>+SUMIF('Anlage 2b_Korrekturen'!$B$700:$B$1160,A3295,'Anlage 2b_Korrekturen'!$D$700:$D$1160)</f>
        <v>315958681</v>
      </c>
      <c r="D3295" s="135">
        <f t="shared" si="121"/>
        <v>5258717576</v>
      </c>
      <c r="E3295" s="133" t="s">
        <v>1313</v>
      </c>
      <c r="F3295" s="133"/>
      <c r="G3295" s="133"/>
      <c r="H3295" s="133"/>
    </row>
    <row r="3296" spans="1:8" hidden="1" outlineLevel="1">
      <c r="A3296" s="418" t="s">
        <v>1468</v>
      </c>
      <c r="B3296" s="406">
        <v>35358704</v>
      </c>
      <c r="C3296" s="88">
        <f>+SUMIF('Anlage 2b_Korrekturen'!$B$700:$B$1160,A3296,'Anlage 2b_Korrekturen'!$D$700:$D$1160)</f>
        <v>-68781</v>
      </c>
      <c r="D3296" s="135">
        <f t="shared" si="121"/>
        <v>35289923</v>
      </c>
      <c r="E3296" s="133" t="s">
        <v>1469</v>
      </c>
      <c r="F3296" s="133"/>
      <c r="G3296" s="133"/>
      <c r="H3296" s="133"/>
    </row>
    <row r="3297" spans="1:8" hidden="1" outlineLevel="1">
      <c r="A3297" s="418" t="s">
        <v>1309</v>
      </c>
      <c r="B3297" s="406">
        <v>195514916</v>
      </c>
      <c r="C3297" s="88">
        <f>+SUMIF('Anlage 2b_Korrekturen'!$B$700:$B$1160,A3297,'Anlage 2b_Korrekturen'!$D$700:$D$1160)</f>
        <v>-375729</v>
      </c>
      <c r="D3297" s="135">
        <f t="shared" si="121"/>
        <v>195139187</v>
      </c>
      <c r="E3297" s="133" t="s">
        <v>1310</v>
      </c>
      <c r="F3297" s="133"/>
      <c r="G3297" s="133"/>
      <c r="H3297" s="133"/>
    </row>
    <row r="3298" spans="1:8" hidden="1" outlineLevel="1">
      <c r="A3298" s="418" t="s">
        <v>2216</v>
      </c>
      <c r="B3298" s="406">
        <v>6757705</v>
      </c>
      <c r="C3298" s="88">
        <f>+SUMIF('Anlage 2b_Korrekturen'!$B$700:$B$1160,A3298,'Anlage 2b_Korrekturen'!$D$700:$D$1160)</f>
        <v>0</v>
      </c>
      <c r="D3298" s="135">
        <f t="shared" si="121"/>
        <v>6757705</v>
      </c>
      <c r="E3298" s="133" t="s">
        <v>2217</v>
      </c>
      <c r="F3298" s="133"/>
      <c r="G3298" s="133"/>
      <c r="H3298" s="133"/>
    </row>
    <row r="3299" spans="1:8" hidden="1" outlineLevel="1">
      <c r="A3299" s="418" t="s">
        <v>1558</v>
      </c>
      <c r="B3299" s="406">
        <v>1078779524</v>
      </c>
      <c r="C3299" s="88">
        <f>+SUMIF('Anlage 2b_Korrekturen'!$B$700:$B$1160,A3299,'Anlage 2b_Korrekturen'!$D$700:$D$1160)</f>
        <v>0</v>
      </c>
      <c r="D3299" s="135">
        <f t="shared" si="121"/>
        <v>1078779524</v>
      </c>
      <c r="E3299" s="133" t="s">
        <v>1559</v>
      </c>
      <c r="F3299" s="133"/>
      <c r="G3299" s="133"/>
      <c r="H3299" s="133"/>
    </row>
    <row r="3300" spans="1:8" hidden="1" outlineLevel="1">
      <c r="A3300" s="418" t="s">
        <v>1762</v>
      </c>
      <c r="B3300" s="406">
        <v>57500784</v>
      </c>
      <c r="C3300" s="88">
        <f>+SUMIF('Anlage 2b_Korrekturen'!$B$700:$B$1160,A3300,'Anlage 2b_Korrekturen'!$D$700:$D$1160)</f>
        <v>-118175</v>
      </c>
      <c r="D3300" s="135">
        <f t="shared" si="121"/>
        <v>57382609</v>
      </c>
      <c r="E3300" s="133" t="s">
        <v>1763</v>
      </c>
      <c r="F3300" s="133"/>
      <c r="G3300" s="133"/>
      <c r="H3300" s="133"/>
    </row>
    <row r="3301" spans="1:8" hidden="1" outlineLevel="1">
      <c r="A3301" s="418" t="s">
        <v>1442</v>
      </c>
      <c r="B3301" s="406">
        <v>6229783</v>
      </c>
      <c r="C3301" s="88">
        <f>+SUMIF('Anlage 2b_Korrekturen'!$B$700:$B$1160,A3301,'Anlage 2b_Korrekturen'!$D$700:$D$1160)</f>
        <v>0</v>
      </c>
      <c r="D3301" s="135">
        <f t="shared" si="121"/>
        <v>6229783</v>
      </c>
      <c r="E3301" s="133" t="s">
        <v>1443</v>
      </c>
      <c r="F3301" s="133"/>
      <c r="G3301" s="133"/>
      <c r="H3301" s="133"/>
    </row>
    <row r="3302" spans="1:8" hidden="1" outlineLevel="1">
      <c r="A3302" s="418" t="s">
        <v>1748</v>
      </c>
      <c r="B3302" s="406">
        <v>18763917</v>
      </c>
      <c r="C3302" s="88">
        <f>+SUMIF('Anlage 2b_Korrekturen'!$B$700:$B$1160,A3302,'Anlage 2b_Korrekturen'!$D$700:$D$1160)</f>
        <v>15175</v>
      </c>
      <c r="D3302" s="135">
        <f t="shared" si="121"/>
        <v>18779092</v>
      </c>
      <c r="E3302" s="133" t="s">
        <v>1749</v>
      </c>
      <c r="F3302" s="133"/>
      <c r="G3302" s="133"/>
      <c r="H3302" s="133"/>
    </row>
    <row r="3303" spans="1:8" hidden="1" outlineLevel="1">
      <c r="A3303" s="418" t="s">
        <v>1790</v>
      </c>
      <c r="B3303" s="406">
        <v>7853730</v>
      </c>
      <c r="C3303" s="88">
        <f>+SUMIF('Anlage 2b_Korrekturen'!$B$700:$B$1160,A3303,'Anlage 2b_Korrekturen'!$D$700:$D$1160)</f>
        <v>0</v>
      </c>
      <c r="D3303" s="135">
        <f t="shared" si="121"/>
        <v>7853730</v>
      </c>
      <c r="E3303" s="133" t="s">
        <v>1791</v>
      </c>
      <c r="F3303" s="133"/>
      <c r="G3303" s="133"/>
      <c r="H3303" s="133"/>
    </row>
    <row r="3304" spans="1:8" hidden="1" outlineLevel="1">
      <c r="A3304" s="418" t="s">
        <v>2218</v>
      </c>
      <c r="B3304" s="406">
        <v>10057022</v>
      </c>
      <c r="C3304" s="88">
        <f>+SUMIF('Anlage 2b_Korrekturen'!$B$700:$B$1160,A3304,'Anlage 2b_Korrekturen'!$D$700:$D$1160)</f>
        <v>0</v>
      </c>
      <c r="D3304" s="135">
        <f t="shared" si="121"/>
        <v>10057022</v>
      </c>
      <c r="E3304" s="133" t="s">
        <v>2219</v>
      </c>
      <c r="F3304" s="133"/>
      <c r="G3304" s="133"/>
      <c r="H3304" s="133"/>
    </row>
    <row r="3305" spans="1:8" hidden="1" outlineLevel="1">
      <c r="A3305" s="418" t="s">
        <v>1334</v>
      </c>
      <c r="B3305" s="406">
        <v>66197354</v>
      </c>
      <c r="C3305" s="88">
        <f>+SUMIF('Anlage 2b_Korrekturen'!$B$700:$B$1160,A3305,'Anlage 2b_Korrekturen'!$D$700:$D$1160)</f>
        <v>0</v>
      </c>
      <c r="D3305" s="135">
        <f t="shared" si="121"/>
        <v>66197354</v>
      </c>
      <c r="E3305" s="133" t="s">
        <v>1335</v>
      </c>
      <c r="F3305" s="133"/>
      <c r="G3305" s="133"/>
      <c r="H3305" s="133"/>
    </row>
    <row r="3306" spans="1:8" hidden="1" outlineLevel="1">
      <c r="A3306" s="418" t="s">
        <v>2220</v>
      </c>
      <c r="B3306" s="406">
        <v>17370727</v>
      </c>
      <c r="C3306" s="88">
        <f>+SUMIF('Anlage 2b_Korrekturen'!$B$700:$B$1160,A3306,'Anlage 2b_Korrekturen'!$D$700:$D$1160)</f>
        <v>0</v>
      </c>
      <c r="D3306" s="135">
        <f t="shared" si="121"/>
        <v>17370727</v>
      </c>
      <c r="E3306" s="133" t="s">
        <v>2221</v>
      </c>
      <c r="F3306" s="133"/>
      <c r="G3306" s="133"/>
      <c r="H3306" s="133"/>
    </row>
    <row r="3307" spans="1:8" hidden="1" outlineLevel="1">
      <c r="A3307" s="418" t="s">
        <v>1263</v>
      </c>
      <c r="B3307" s="406">
        <v>25318674.75</v>
      </c>
      <c r="C3307" s="88">
        <f>+SUMIF('Anlage 2b_Korrekturen'!$B$700:$B$1160,A3307,'Anlage 2b_Korrekturen'!$D$700:$D$1160)</f>
        <v>298342</v>
      </c>
      <c r="D3307" s="135">
        <f t="shared" si="121"/>
        <v>25617016.75</v>
      </c>
      <c r="E3307" s="133" t="s">
        <v>1264</v>
      </c>
      <c r="F3307" s="133"/>
      <c r="G3307" s="133"/>
      <c r="H3307" s="133"/>
    </row>
    <row r="3308" spans="1:8" hidden="1" outlineLevel="1">
      <c r="A3308" s="418" t="s">
        <v>1388</v>
      </c>
      <c r="B3308" s="406">
        <v>35538177</v>
      </c>
      <c r="C3308" s="88">
        <f>+SUMIF('Anlage 2b_Korrekturen'!$B$700:$B$1160,A3308,'Anlage 2b_Korrekturen'!$D$700:$D$1160)</f>
        <v>-47925</v>
      </c>
      <c r="D3308" s="135">
        <f t="shared" si="121"/>
        <v>35490252</v>
      </c>
      <c r="E3308" s="133" t="s">
        <v>1389</v>
      </c>
      <c r="F3308" s="133"/>
      <c r="G3308" s="133"/>
      <c r="H3308" s="133"/>
    </row>
    <row r="3309" spans="1:8" hidden="1" outlineLevel="1">
      <c r="A3309" s="418" t="s">
        <v>1277</v>
      </c>
      <c r="B3309" s="406">
        <v>71292439</v>
      </c>
      <c r="C3309" s="88">
        <f>+SUMIF('Anlage 2b_Korrekturen'!$B$700:$B$1160,A3309,'Anlage 2b_Korrekturen'!$D$700:$D$1160)</f>
        <v>-32503</v>
      </c>
      <c r="D3309" s="135">
        <f t="shared" si="121"/>
        <v>71259936</v>
      </c>
      <c r="E3309" s="133" t="s">
        <v>1278</v>
      </c>
      <c r="F3309" s="133"/>
      <c r="G3309" s="133"/>
      <c r="H3309" s="133"/>
    </row>
    <row r="3310" spans="1:8" hidden="1" outlineLevel="1">
      <c r="A3310" s="418" t="s">
        <v>1736</v>
      </c>
      <c r="B3310" s="406">
        <v>45220411.32</v>
      </c>
      <c r="C3310" s="88">
        <f>+SUMIF('Anlage 2b_Korrekturen'!$B$700:$B$1160,A3310,'Anlage 2b_Korrekturen'!$D$700:$D$1160)</f>
        <v>0</v>
      </c>
      <c r="D3310" s="135">
        <f t="shared" si="121"/>
        <v>45220411.32</v>
      </c>
      <c r="E3310" s="133" t="s">
        <v>1737</v>
      </c>
      <c r="F3310" s="133"/>
      <c r="G3310" s="133"/>
      <c r="H3310" s="133"/>
    </row>
    <row r="3311" spans="1:8" hidden="1" outlineLevel="1">
      <c r="A3311" s="418" t="s">
        <v>1297</v>
      </c>
      <c r="B3311" s="406">
        <v>72067152</v>
      </c>
      <c r="C3311" s="88">
        <f>+SUMIF('Anlage 2b_Korrekturen'!$B$700:$B$1160,A3311,'Anlage 2b_Korrekturen'!$D$700:$D$1160)</f>
        <v>0</v>
      </c>
      <c r="D3311" s="135">
        <f t="shared" si="121"/>
        <v>72067152</v>
      </c>
      <c r="E3311" s="133" t="s">
        <v>1298</v>
      </c>
      <c r="F3311" s="133"/>
      <c r="G3311" s="133"/>
      <c r="H3311" s="133"/>
    </row>
    <row r="3312" spans="1:8" hidden="1" outlineLevel="1">
      <c r="A3312" s="418" t="s">
        <v>2222</v>
      </c>
      <c r="B3312" s="406">
        <v>9725342</v>
      </c>
      <c r="C3312" s="88">
        <f>+SUMIF('Anlage 2b_Korrekturen'!$B$700:$B$1160,A3312,'Anlage 2b_Korrekturen'!$D$700:$D$1160)</f>
        <v>0</v>
      </c>
      <c r="D3312" s="135">
        <f t="shared" si="121"/>
        <v>9725342</v>
      </c>
      <c r="E3312" s="133" t="s">
        <v>2223</v>
      </c>
      <c r="F3312" s="133"/>
      <c r="G3312" s="133"/>
      <c r="H3312" s="133"/>
    </row>
    <row r="3313" spans="1:8" hidden="1" outlineLevel="1">
      <c r="A3313" s="418" t="s">
        <v>1750</v>
      </c>
      <c r="B3313" s="406">
        <v>56043508</v>
      </c>
      <c r="C3313" s="88">
        <f>+SUMIF('Anlage 2b_Korrekturen'!$B$700:$B$1160,A3313,'Anlage 2b_Korrekturen'!$D$700:$D$1160)</f>
        <v>0</v>
      </c>
      <c r="D3313" s="135">
        <f t="shared" si="121"/>
        <v>56043508</v>
      </c>
      <c r="E3313" s="133" t="s">
        <v>1751</v>
      </c>
      <c r="F3313" s="133"/>
      <c r="G3313" s="133"/>
      <c r="H3313" s="133"/>
    </row>
    <row r="3314" spans="1:8" hidden="1" outlineLevel="1">
      <c r="A3314" s="1730" t="s">
        <v>1514</v>
      </c>
      <c r="B3314" s="1728">
        <v>139998823</v>
      </c>
      <c r="C3314" s="88">
        <f>+SUMIF('Anlage 2b_Korrekturen'!$B$700:$B$1160,A3314,'Anlage 2b_Korrekturen'!$D$700:$D$1160)</f>
        <v>-147505</v>
      </c>
      <c r="D3314" s="1731">
        <f t="shared" si="121"/>
        <v>139851318</v>
      </c>
      <c r="E3314" s="133" t="s">
        <v>1515</v>
      </c>
      <c r="F3314" s="133"/>
      <c r="G3314" s="133"/>
      <c r="H3314" s="133"/>
    </row>
    <row r="3315" spans="1:8" hidden="1" outlineLevel="1">
      <c r="A3315" s="1730" t="s">
        <v>1578</v>
      </c>
      <c r="B3315" s="1728">
        <v>51747612</v>
      </c>
      <c r="C3315" s="1726">
        <f>+SUMIF('Anlage 2b_Korrekturen'!$B$700:$B$1160,A3315,'Anlage 2b_Korrekturen'!$D$700:$D$1160)</f>
        <v>1642100</v>
      </c>
      <c r="D3315" s="1731">
        <f t="shared" si="121"/>
        <v>53389712</v>
      </c>
      <c r="E3315" s="133" t="s">
        <v>1579</v>
      </c>
      <c r="F3315" s="133"/>
      <c r="G3315" s="133"/>
      <c r="H3315" s="133"/>
    </row>
    <row r="3316" spans="1:8" hidden="1" outlineLevel="1">
      <c r="A3316" s="1730" t="s">
        <v>1776</v>
      </c>
      <c r="B3316" s="1728">
        <v>277218915</v>
      </c>
      <c r="C3316" s="1726">
        <f>+SUMIF('Anlage 2b_Korrekturen'!$B$700:$B$1160,A3316,'Anlage 2b_Korrekturen'!$D$700:$D$1160)</f>
        <v>0</v>
      </c>
      <c r="D3316" s="1731">
        <f t="shared" si="121"/>
        <v>277218915</v>
      </c>
      <c r="E3316" s="133" t="s">
        <v>1777</v>
      </c>
      <c r="F3316" s="133"/>
      <c r="G3316" s="133"/>
      <c r="H3316" s="133"/>
    </row>
    <row r="3317" spans="1:8" hidden="1" outlineLevel="1">
      <c r="A3317" s="1730" t="s">
        <v>1710</v>
      </c>
      <c r="B3317" s="1728">
        <v>168315809</v>
      </c>
      <c r="C3317" s="1726">
        <f>+SUMIF('Anlage 2b_Korrekturen'!$B$700:$B$1160,A3317,'Anlage 2b_Korrekturen'!$D$700:$D$1160)</f>
        <v>0</v>
      </c>
      <c r="D3317" s="1731">
        <f t="shared" si="121"/>
        <v>168315809</v>
      </c>
      <c r="E3317" s="133" t="s">
        <v>1711</v>
      </c>
      <c r="F3317" s="133"/>
      <c r="G3317" s="133"/>
      <c r="H3317" s="133"/>
    </row>
    <row r="3318" spans="1:8" hidden="1" outlineLevel="1">
      <c r="A3318" s="1730" t="s">
        <v>1303</v>
      </c>
      <c r="B3318" s="1728">
        <v>327992827</v>
      </c>
      <c r="C3318" s="1726">
        <f>+SUMIF('Anlage 2b_Korrekturen'!$B$700:$B$1160,A3318,'Anlage 2b_Korrekturen'!$D$700:$D$1160)</f>
        <v>0</v>
      </c>
      <c r="D3318" s="1731">
        <f t="shared" si="121"/>
        <v>327992827</v>
      </c>
      <c r="E3318" s="133" t="s">
        <v>1304</v>
      </c>
      <c r="F3318" s="133"/>
      <c r="G3318" s="133"/>
      <c r="H3318" s="133"/>
    </row>
    <row r="3319" spans="1:8" hidden="1" outlineLevel="1">
      <c r="A3319" s="1730" t="s">
        <v>1512</v>
      </c>
      <c r="B3319" s="1728">
        <v>13207425</v>
      </c>
      <c r="C3319" s="1726">
        <f>+SUMIF('Anlage 2b_Korrekturen'!$B$700:$B$1160,A3319,'Anlage 2b_Korrekturen'!$D$700:$D$1160)</f>
        <v>0</v>
      </c>
      <c r="D3319" s="1731">
        <f t="shared" si="121"/>
        <v>13207425</v>
      </c>
      <c r="E3319" s="133" t="s">
        <v>1513</v>
      </c>
      <c r="F3319" s="133"/>
      <c r="G3319" s="133"/>
      <c r="H3319" s="133"/>
    </row>
    <row r="3320" spans="1:8" hidden="1" outlineLevel="1">
      <c r="A3320" s="1730" t="s">
        <v>1560</v>
      </c>
      <c r="B3320" s="1728">
        <v>14332944</v>
      </c>
      <c r="C3320" s="1726">
        <f>+SUMIF('Anlage 2b_Korrekturen'!$B$700:$B$1160,A3320,'Anlage 2b_Korrekturen'!$D$700:$D$1160)</f>
        <v>0</v>
      </c>
      <c r="D3320" s="1731">
        <f t="shared" si="121"/>
        <v>14332944</v>
      </c>
      <c r="E3320" s="133" t="s">
        <v>1561</v>
      </c>
      <c r="F3320" s="133"/>
      <c r="G3320" s="133"/>
      <c r="H3320" s="133"/>
    </row>
    <row r="3321" spans="1:8" hidden="1" outlineLevel="1">
      <c r="A3321" s="1730" t="s">
        <v>1636</v>
      </c>
      <c r="B3321" s="1728">
        <v>57954695</v>
      </c>
      <c r="C3321" s="1726">
        <f>+SUMIF('Anlage 2b_Korrekturen'!$B$700:$B$1160,A3321,'Anlage 2b_Korrekturen'!$D$700:$D$1160)</f>
        <v>131518</v>
      </c>
      <c r="D3321" s="1731">
        <f t="shared" si="121"/>
        <v>58086213</v>
      </c>
      <c r="E3321" s="133" t="s">
        <v>1637</v>
      </c>
      <c r="F3321" s="133"/>
      <c r="G3321" s="133"/>
      <c r="H3321" s="133"/>
    </row>
    <row r="3322" spans="1:8" hidden="1" outlineLevel="1">
      <c r="A3322" s="1730" t="s">
        <v>1646</v>
      </c>
      <c r="B3322" s="1728">
        <v>329036989</v>
      </c>
      <c r="C3322" s="1726">
        <f>+SUMIF('Anlage 2b_Korrekturen'!$B$700:$B$1160,A3322,'Anlage 2b_Korrekturen'!$D$700:$D$1160)</f>
        <v>-1860525</v>
      </c>
      <c r="D3322" s="1731">
        <f t="shared" si="121"/>
        <v>327176464</v>
      </c>
      <c r="E3322" s="133" t="s">
        <v>1647</v>
      </c>
      <c r="F3322" s="133"/>
      <c r="G3322" s="133"/>
      <c r="H3322" s="133"/>
    </row>
    <row r="3323" spans="1:8" hidden="1" outlineLevel="1">
      <c r="A3323" s="1730" t="s">
        <v>1718</v>
      </c>
      <c r="B3323" s="1728">
        <v>791575685</v>
      </c>
      <c r="C3323" s="1726">
        <f>+SUMIF('Anlage 2b_Korrekturen'!$B$700:$B$1160,A3323,'Anlage 2b_Korrekturen'!$D$700:$D$1160)</f>
        <v>0</v>
      </c>
      <c r="D3323" s="1731">
        <f t="shared" si="121"/>
        <v>791575685</v>
      </c>
      <c r="E3323" s="133" t="s">
        <v>1719</v>
      </c>
      <c r="F3323" s="133"/>
      <c r="G3323" s="133"/>
      <c r="H3323" s="133"/>
    </row>
    <row r="3324" spans="1:8" hidden="1" outlineLevel="1">
      <c r="A3324" s="1730" t="s">
        <v>1640</v>
      </c>
      <c r="B3324" s="1728">
        <v>577003733.62100005</v>
      </c>
      <c r="C3324" s="1726">
        <f>+SUMIF('Anlage 2b_Korrekturen'!$B$700:$B$1160,A3324,'Anlage 2b_Korrekturen'!$D$700:$D$1160)</f>
        <v>0</v>
      </c>
      <c r="D3324" s="1731">
        <f t="shared" si="121"/>
        <v>577003733.62100005</v>
      </c>
      <c r="E3324" s="133" t="s">
        <v>1641</v>
      </c>
      <c r="F3324" s="133"/>
      <c r="G3324" s="133"/>
      <c r="H3324" s="133"/>
    </row>
    <row r="3325" spans="1:8" hidden="1" outlineLevel="1">
      <c r="A3325" s="1730" t="s">
        <v>869</v>
      </c>
      <c r="B3325" s="1728">
        <v>33976000</v>
      </c>
      <c r="C3325" s="1726">
        <f>+SUMIF('Anlage 2b_Korrekturen'!$B$700:$B$1160,A3325,'Anlage 2b_Korrekturen'!$D$700:$D$1160)</f>
        <v>-247012</v>
      </c>
      <c r="D3325" s="1731">
        <f t="shared" si="121"/>
        <v>33728988</v>
      </c>
      <c r="E3325" s="133" t="s">
        <v>870</v>
      </c>
      <c r="F3325" s="133"/>
      <c r="G3325" s="133"/>
      <c r="H3325" s="133"/>
    </row>
    <row r="3326" spans="1:8" hidden="1" outlineLevel="1">
      <c r="A3326" s="1730" t="s">
        <v>1744</v>
      </c>
      <c r="B3326" s="1728">
        <v>350676929</v>
      </c>
      <c r="C3326" s="1726">
        <f>+SUMIF('Anlage 2b_Korrekturen'!$B$700:$B$1160,A3326,'Anlage 2b_Korrekturen'!$D$700:$D$1160)</f>
        <v>737375</v>
      </c>
      <c r="D3326" s="1731">
        <f t="shared" si="121"/>
        <v>351414304</v>
      </c>
      <c r="E3326" s="133" t="s">
        <v>1745</v>
      </c>
      <c r="F3326" s="133"/>
      <c r="G3326" s="133"/>
      <c r="H3326" s="133"/>
    </row>
    <row r="3327" spans="1:8" hidden="1" outlineLevel="1">
      <c r="A3327" s="1730" t="s">
        <v>1622</v>
      </c>
      <c r="B3327" s="1728">
        <v>65030677</v>
      </c>
      <c r="C3327" s="1726">
        <f>+SUMIF('Anlage 2b_Korrekturen'!$B$700:$B$1160,A3327,'Anlage 2b_Korrekturen'!$D$700:$D$1160)</f>
        <v>0</v>
      </c>
      <c r="D3327" s="1731">
        <f t="shared" si="121"/>
        <v>65030677</v>
      </c>
      <c r="E3327" s="133" t="s">
        <v>1623</v>
      </c>
      <c r="F3327" s="133"/>
      <c r="G3327" s="133"/>
      <c r="H3327" s="133"/>
    </row>
    <row r="3328" spans="1:8" hidden="1" outlineLevel="1">
      <c r="A3328" s="1730" t="s">
        <v>2224</v>
      </c>
      <c r="B3328" s="1728">
        <v>11242538</v>
      </c>
      <c r="C3328" s="1726">
        <f>+SUMIF('Anlage 2b_Korrekturen'!$B$700:$B$1160,A3328,'Anlage 2b_Korrekturen'!$D$700:$D$1160)</f>
        <v>0</v>
      </c>
      <c r="D3328" s="1731">
        <f t="shared" si="121"/>
        <v>11242538</v>
      </c>
      <c r="E3328" s="133" t="s">
        <v>2225</v>
      </c>
      <c r="F3328" s="133"/>
      <c r="G3328" s="133"/>
      <c r="H3328" s="133"/>
    </row>
    <row r="3329" spans="1:8" hidden="1" outlineLevel="1">
      <c r="A3329" s="1730" t="s">
        <v>1114</v>
      </c>
      <c r="B3329" s="1728">
        <v>62687142</v>
      </c>
      <c r="C3329" s="1726">
        <f>+SUMIF('Anlage 2b_Korrekturen'!$B$700:$B$1160,A3329,'Anlage 2b_Korrekturen'!$D$700:$D$1160)</f>
        <v>247340</v>
      </c>
      <c r="D3329" s="1731">
        <f t="shared" si="121"/>
        <v>62934482</v>
      </c>
      <c r="E3329" s="133" t="s">
        <v>1689</v>
      </c>
      <c r="F3329" s="133"/>
      <c r="G3329" s="133"/>
      <c r="H3329" s="133"/>
    </row>
    <row r="3330" spans="1:8" hidden="1" outlineLevel="1">
      <c r="A3330" s="1730" t="s">
        <v>1414</v>
      </c>
      <c r="B3330" s="1728">
        <v>37455342</v>
      </c>
      <c r="C3330" s="1726">
        <f>+SUMIF('Anlage 2b_Korrekturen'!$B$700:$B$1160,A3330,'Anlage 2b_Korrekturen'!$D$700:$D$1160)</f>
        <v>-177998</v>
      </c>
      <c r="D3330" s="1731">
        <f t="shared" ref="D3330:D3393" si="122">B3330+C3330</f>
        <v>37277344</v>
      </c>
      <c r="E3330" s="133" t="s">
        <v>1415</v>
      </c>
      <c r="F3330" s="133"/>
      <c r="G3330" s="133"/>
      <c r="H3330" s="133"/>
    </row>
    <row r="3331" spans="1:8" hidden="1" outlineLevel="1">
      <c r="A3331" s="1730" t="s">
        <v>1652</v>
      </c>
      <c r="B3331" s="1728">
        <v>154919586</v>
      </c>
      <c r="C3331" s="1726">
        <f>+SUMIF('Anlage 2b_Korrekturen'!$B$700:$B$1160,A3331,'Anlage 2b_Korrekturen'!$D$700:$D$1160)</f>
        <v>0</v>
      </c>
      <c r="D3331" s="1731">
        <f t="shared" si="122"/>
        <v>154919586</v>
      </c>
      <c r="E3331" s="133" t="s">
        <v>1653</v>
      </c>
      <c r="F3331" s="133"/>
      <c r="G3331" s="133"/>
      <c r="H3331" s="133"/>
    </row>
    <row r="3332" spans="1:8" hidden="1" outlineLevel="1">
      <c r="A3332" s="1730" t="s">
        <v>1428</v>
      </c>
      <c r="B3332" s="1728">
        <v>59005419</v>
      </c>
      <c r="C3332" s="1726">
        <f>+SUMIF('Anlage 2b_Korrekturen'!$B$700:$B$1160,A3332,'Anlage 2b_Korrekturen'!$D$700:$D$1160)</f>
        <v>0</v>
      </c>
      <c r="D3332" s="1731">
        <f t="shared" si="122"/>
        <v>59005419</v>
      </c>
      <c r="E3332" s="133" t="s">
        <v>1429</v>
      </c>
      <c r="F3332" s="133"/>
      <c r="G3332" s="133"/>
      <c r="H3332" s="133"/>
    </row>
    <row r="3333" spans="1:8" hidden="1" outlineLevel="1">
      <c r="A3333" s="1730" t="s">
        <v>1700</v>
      </c>
      <c r="B3333" s="1728">
        <v>9205024</v>
      </c>
      <c r="C3333" s="1726">
        <f>+SUMIF('Anlage 2b_Korrekturen'!$B$700:$B$1160,A3333,'Anlage 2b_Korrekturen'!$D$700:$D$1160)</f>
        <v>-8232</v>
      </c>
      <c r="D3333" s="1731">
        <f t="shared" si="122"/>
        <v>9196792</v>
      </c>
      <c r="E3333" s="133" t="s">
        <v>1701</v>
      </c>
      <c r="F3333" s="133"/>
      <c r="G3333" s="133"/>
      <c r="H3333" s="133"/>
    </row>
    <row r="3334" spans="1:8" hidden="1" outlineLevel="1">
      <c r="A3334" s="1730" t="s">
        <v>1734</v>
      </c>
      <c r="B3334" s="1728">
        <v>62293272</v>
      </c>
      <c r="C3334" s="1726">
        <f>+SUMIF('Anlage 2b_Korrekturen'!$B$700:$B$1160,A3334,'Anlage 2b_Korrekturen'!$D$700:$D$1160)</f>
        <v>0</v>
      </c>
      <c r="D3334" s="1731">
        <f t="shared" si="122"/>
        <v>62293272</v>
      </c>
      <c r="E3334" s="133" t="s">
        <v>1735</v>
      </c>
      <c r="F3334" s="133"/>
      <c r="G3334" s="133"/>
      <c r="H3334" s="133"/>
    </row>
    <row r="3335" spans="1:8" hidden="1" outlineLevel="1">
      <c r="A3335" s="1730" t="s">
        <v>2226</v>
      </c>
      <c r="B3335" s="1728">
        <v>4944305</v>
      </c>
      <c r="C3335" s="1726">
        <f>+SUMIF('Anlage 2b_Korrekturen'!$B$700:$B$1160,A3335,'Anlage 2b_Korrekturen'!$D$700:$D$1160)</f>
        <v>23901</v>
      </c>
      <c r="D3335" s="1731">
        <f t="shared" si="122"/>
        <v>4968206</v>
      </c>
      <c r="E3335" s="133" t="s">
        <v>2227</v>
      </c>
      <c r="F3335" s="133"/>
      <c r="G3335" s="133"/>
      <c r="H3335" s="133"/>
    </row>
    <row r="3336" spans="1:8" hidden="1" outlineLevel="1">
      <c r="A3336" s="1730" t="s">
        <v>1824</v>
      </c>
      <c r="B3336" s="1728">
        <v>1658183</v>
      </c>
      <c r="C3336" s="1726">
        <f>+SUMIF('Anlage 2b_Korrekturen'!$B$700:$B$1160,A3336,'Anlage 2b_Korrekturen'!$D$700:$D$1160)</f>
        <v>-46967</v>
      </c>
      <c r="D3336" s="1731">
        <f t="shared" si="122"/>
        <v>1611216</v>
      </c>
      <c r="E3336" s="133" t="s">
        <v>1825</v>
      </c>
      <c r="F3336" s="133"/>
      <c r="G3336" s="133"/>
      <c r="H3336" s="133"/>
    </row>
    <row r="3337" spans="1:8" hidden="1" outlineLevel="1">
      <c r="A3337" s="1730" t="s">
        <v>2228</v>
      </c>
      <c r="B3337" s="1728">
        <v>4600603</v>
      </c>
      <c r="C3337" s="1726">
        <f>+SUMIF('Anlage 2b_Korrekturen'!$B$700:$B$1160,A3337,'Anlage 2b_Korrekturen'!$D$700:$D$1160)</f>
        <v>0</v>
      </c>
      <c r="D3337" s="1731">
        <f t="shared" si="122"/>
        <v>4600603</v>
      </c>
      <c r="E3337" s="133" t="s">
        <v>2229</v>
      </c>
      <c r="F3337" s="133"/>
      <c r="G3337" s="133"/>
      <c r="H3337" s="133"/>
    </row>
    <row r="3338" spans="1:8" hidden="1" outlineLevel="1">
      <c r="A3338" s="1730" t="s">
        <v>1732</v>
      </c>
      <c r="B3338" s="1728">
        <v>336264018</v>
      </c>
      <c r="C3338" s="1726">
        <f>+SUMIF('Anlage 2b_Korrekturen'!$B$700:$B$1160,A3338,'Anlage 2b_Korrekturen'!$D$700:$D$1160)</f>
        <v>0</v>
      </c>
      <c r="D3338" s="1731">
        <f t="shared" si="122"/>
        <v>336264018</v>
      </c>
      <c r="E3338" s="133" t="s">
        <v>1733</v>
      </c>
      <c r="F3338" s="133"/>
      <c r="G3338" s="133"/>
      <c r="H3338" s="133"/>
    </row>
    <row r="3339" spans="1:8" hidden="1" outlineLevel="1">
      <c r="A3339" s="1730" t="s">
        <v>1728</v>
      </c>
      <c r="B3339" s="1728">
        <v>42033194</v>
      </c>
      <c r="C3339" s="1726">
        <f>+SUMIF('Anlage 2b_Korrekturen'!$B$700:$B$1160,A3339,'Anlage 2b_Korrekturen'!$D$700:$D$1160)</f>
        <v>0</v>
      </c>
      <c r="D3339" s="1731">
        <f t="shared" si="122"/>
        <v>42033194</v>
      </c>
      <c r="E3339" s="133" t="s">
        <v>1729</v>
      </c>
      <c r="F3339" s="133"/>
      <c r="G3339" s="133"/>
      <c r="H3339" s="133"/>
    </row>
    <row r="3340" spans="1:8" hidden="1" outlineLevel="1">
      <c r="A3340" s="1730" t="s">
        <v>1384</v>
      </c>
      <c r="B3340" s="1728">
        <v>27413222.300000001</v>
      </c>
      <c r="C3340" s="1726">
        <f>+SUMIF('Anlage 2b_Korrekturen'!$B$700:$B$1160,A3340,'Anlage 2b_Korrekturen'!$D$700:$D$1160)</f>
        <v>-134146.9</v>
      </c>
      <c r="D3340" s="1731">
        <f t="shared" si="122"/>
        <v>27279075.400000002</v>
      </c>
      <c r="E3340" s="133" t="s">
        <v>1385</v>
      </c>
      <c r="F3340" s="133"/>
      <c r="G3340" s="133"/>
      <c r="H3340" s="133"/>
    </row>
    <row r="3341" spans="1:8" hidden="1" outlineLevel="1">
      <c r="A3341" s="1730" t="s">
        <v>1804</v>
      </c>
      <c r="B3341" s="1728">
        <v>98137311</v>
      </c>
      <c r="C3341" s="1726">
        <f>+SUMIF('Anlage 2b_Korrekturen'!$B$700:$B$1160,A3341,'Anlage 2b_Korrekturen'!$D$700:$D$1160)</f>
        <v>162170</v>
      </c>
      <c r="D3341" s="1731">
        <f t="shared" si="122"/>
        <v>98299481</v>
      </c>
      <c r="E3341" s="133" t="s">
        <v>1805</v>
      </c>
      <c r="F3341" s="133"/>
      <c r="G3341" s="133"/>
      <c r="H3341" s="133"/>
    </row>
    <row r="3342" spans="1:8" hidden="1" outlineLevel="1">
      <c r="A3342" s="1730" t="s">
        <v>1378</v>
      </c>
      <c r="B3342" s="1728">
        <v>9622531.7100000009</v>
      </c>
      <c r="C3342" s="1726">
        <f>+SUMIF('Anlage 2b_Korrekturen'!$B$700:$B$1160,A3342,'Anlage 2b_Korrekturen'!$D$700:$D$1160)</f>
        <v>0</v>
      </c>
      <c r="D3342" s="1731">
        <f t="shared" si="122"/>
        <v>9622531.7100000009</v>
      </c>
      <c r="E3342" s="133" t="s">
        <v>1379</v>
      </c>
      <c r="F3342" s="133"/>
      <c r="G3342" s="133"/>
      <c r="H3342" s="133"/>
    </row>
    <row r="3343" spans="1:8" hidden="1" outlineLevel="1">
      <c r="A3343" s="1730" t="s">
        <v>1740</v>
      </c>
      <c r="B3343" s="1728">
        <v>5832452</v>
      </c>
      <c r="C3343" s="1726">
        <f>+SUMIF('Anlage 2b_Korrekturen'!$B$700:$B$1160,A3343,'Anlage 2b_Korrekturen'!$D$700:$D$1160)</f>
        <v>0</v>
      </c>
      <c r="D3343" s="1731">
        <f t="shared" si="122"/>
        <v>5832452</v>
      </c>
      <c r="E3343" s="133" t="s">
        <v>1741</v>
      </c>
      <c r="F3343" s="133"/>
      <c r="G3343" s="133"/>
      <c r="H3343" s="133"/>
    </row>
    <row r="3344" spans="1:8" hidden="1" outlineLevel="1">
      <c r="A3344" s="1730" t="s">
        <v>1346</v>
      </c>
      <c r="B3344" s="1728">
        <v>109216269</v>
      </c>
      <c r="C3344" s="1726">
        <f>+SUMIF('Anlage 2b_Korrekturen'!$B$700:$B$1160,A3344,'Anlage 2b_Korrekturen'!$D$700:$D$1160)</f>
        <v>0</v>
      </c>
      <c r="D3344" s="1731">
        <f t="shared" si="122"/>
        <v>109216269</v>
      </c>
      <c r="E3344" s="133" t="s">
        <v>1347</v>
      </c>
      <c r="F3344" s="133"/>
      <c r="G3344" s="133"/>
      <c r="H3344" s="133"/>
    </row>
    <row r="3345" spans="1:8" hidden="1" outlineLevel="1">
      <c r="A3345" s="1730" t="s">
        <v>1287</v>
      </c>
      <c r="B3345" s="1728">
        <v>130095515</v>
      </c>
      <c r="C3345" s="1726">
        <f>+SUMIF('Anlage 2b_Korrekturen'!$B$700:$B$1160,A3345,'Anlage 2b_Korrekturen'!$D$700:$D$1160)</f>
        <v>-160494</v>
      </c>
      <c r="D3345" s="1731">
        <f t="shared" si="122"/>
        <v>129935021</v>
      </c>
      <c r="E3345" s="133" t="s">
        <v>1288</v>
      </c>
      <c r="F3345" s="133"/>
      <c r="G3345" s="133"/>
      <c r="H3345" s="133"/>
    </row>
    <row r="3346" spans="1:8" hidden="1" outlineLevel="1">
      <c r="A3346" s="1730" t="s">
        <v>2230</v>
      </c>
      <c r="B3346" s="1728">
        <v>49086076</v>
      </c>
      <c r="C3346" s="1726">
        <f>+SUMIF('Anlage 2b_Korrekturen'!$B$700:$B$1160,A3346,'Anlage 2b_Korrekturen'!$D$700:$D$1160)</f>
        <v>0</v>
      </c>
      <c r="D3346" s="1731">
        <f t="shared" si="122"/>
        <v>49086076</v>
      </c>
      <c r="E3346" s="133" t="s">
        <v>2231</v>
      </c>
      <c r="F3346" s="133"/>
      <c r="G3346" s="133"/>
      <c r="H3346" s="133"/>
    </row>
    <row r="3347" spans="1:8" hidden="1" outlineLevel="1">
      <c r="A3347" s="1730" t="s">
        <v>1594</v>
      </c>
      <c r="B3347" s="1728">
        <v>8302028</v>
      </c>
      <c r="C3347" s="1726">
        <f>+SUMIF('Anlage 2b_Korrekturen'!$B$700:$B$1160,A3347,'Anlage 2b_Korrekturen'!$D$700:$D$1160)</f>
        <v>0</v>
      </c>
      <c r="D3347" s="1731">
        <f t="shared" si="122"/>
        <v>8302028</v>
      </c>
      <c r="E3347" s="133" t="s">
        <v>1595</v>
      </c>
      <c r="F3347" s="133"/>
      <c r="G3347" s="133"/>
      <c r="H3347" s="133"/>
    </row>
    <row r="3348" spans="1:8" hidden="1" outlineLevel="1">
      <c r="A3348" s="1730" t="s">
        <v>779</v>
      </c>
      <c r="B3348" s="1728">
        <v>54516980.664999999</v>
      </c>
      <c r="C3348" s="1726">
        <f>+SUMIF('Anlage 2b_Korrekturen'!$B$700:$B$1160,A3348,'Anlage 2b_Korrekturen'!$D$700:$D$1160)</f>
        <v>0</v>
      </c>
      <c r="D3348" s="1731">
        <f t="shared" si="122"/>
        <v>54516980.664999999</v>
      </c>
      <c r="E3348" s="133" t="s">
        <v>1231</v>
      </c>
      <c r="F3348" s="133"/>
      <c r="G3348" s="133"/>
      <c r="H3348" s="133"/>
    </row>
    <row r="3349" spans="1:8" hidden="1" outlineLevel="1">
      <c r="A3349" s="1730" t="s">
        <v>1307</v>
      </c>
      <c r="B3349" s="1728">
        <v>33712870</v>
      </c>
      <c r="C3349" s="1726">
        <f>+SUMIF('Anlage 2b_Korrekturen'!$B$700:$B$1160,A3349,'Anlage 2b_Korrekturen'!$D$700:$D$1160)</f>
        <v>0</v>
      </c>
      <c r="D3349" s="1731">
        <f t="shared" si="122"/>
        <v>33712870</v>
      </c>
      <c r="E3349" s="133" t="s">
        <v>1308</v>
      </c>
      <c r="F3349" s="133"/>
      <c r="G3349" s="133"/>
      <c r="H3349" s="133"/>
    </row>
    <row r="3350" spans="1:8" hidden="1" outlineLevel="1">
      <c r="A3350" s="1730" t="s">
        <v>1510</v>
      </c>
      <c r="B3350" s="1728">
        <v>101906684</v>
      </c>
      <c r="C3350" s="1726">
        <f>+SUMIF('Anlage 2b_Korrekturen'!$B$700:$B$1160,A3350,'Anlage 2b_Korrekturen'!$D$700:$D$1160)</f>
        <v>106768</v>
      </c>
      <c r="D3350" s="1731">
        <f t="shared" si="122"/>
        <v>102013452</v>
      </c>
      <c r="E3350" s="133" t="s">
        <v>1511</v>
      </c>
      <c r="F3350" s="133"/>
      <c r="G3350" s="133"/>
      <c r="H3350" s="133"/>
    </row>
    <row r="3351" spans="1:8" hidden="1" outlineLevel="1">
      <c r="A3351" s="1730" t="s">
        <v>1328</v>
      </c>
      <c r="B3351" s="1728">
        <v>3248682</v>
      </c>
      <c r="C3351" s="1726">
        <f>+SUMIF('Anlage 2b_Korrekturen'!$B$700:$B$1160,A3351,'Anlage 2b_Korrekturen'!$D$700:$D$1160)</f>
        <v>0</v>
      </c>
      <c r="D3351" s="1731">
        <f t="shared" si="122"/>
        <v>3248682</v>
      </c>
      <c r="E3351" s="133" t="s">
        <v>1329</v>
      </c>
      <c r="F3351" s="133"/>
      <c r="G3351" s="133"/>
      <c r="H3351" s="133"/>
    </row>
    <row r="3352" spans="1:8" hidden="1" outlineLevel="1">
      <c r="A3352" s="1730" t="s">
        <v>2232</v>
      </c>
      <c r="B3352" s="1728">
        <v>2957202</v>
      </c>
      <c r="C3352" s="1726">
        <f>+SUMIF('Anlage 2b_Korrekturen'!$B$700:$B$1160,A3352,'Anlage 2b_Korrekturen'!$D$700:$D$1160)</f>
        <v>0</v>
      </c>
      <c r="D3352" s="1731">
        <f t="shared" si="122"/>
        <v>2957202</v>
      </c>
      <c r="E3352" s="133" t="s">
        <v>2233</v>
      </c>
      <c r="F3352" s="133"/>
      <c r="G3352" s="133"/>
      <c r="H3352" s="133"/>
    </row>
    <row r="3353" spans="1:8" hidden="1" outlineLevel="1">
      <c r="A3353" s="1730" t="s">
        <v>1362</v>
      </c>
      <c r="B3353" s="1728">
        <v>383649942</v>
      </c>
      <c r="C3353" s="1726">
        <f>+SUMIF('Anlage 2b_Korrekturen'!$B$700:$B$1160,A3353,'Anlage 2b_Korrekturen'!$D$700:$D$1160)</f>
        <v>819105</v>
      </c>
      <c r="D3353" s="1731">
        <f t="shared" si="122"/>
        <v>384469047</v>
      </c>
      <c r="E3353" s="133" t="s">
        <v>1363</v>
      </c>
      <c r="F3353" s="133"/>
      <c r="G3353" s="133"/>
      <c r="H3353" s="133"/>
    </row>
    <row r="3354" spans="1:8" hidden="1" outlineLevel="1">
      <c r="A3354" s="1730" t="s">
        <v>456</v>
      </c>
      <c r="B3354" s="1728">
        <v>179927752.19999999</v>
      </c>
      <c r="C3354" s="1726">
        <f>+SUMIF('Anlage 2b_Korrekturen'!$B$700:$B$1160,A3354,'Anlage 2b_Korrekturen'!$D$700:$D$1160)</f>
        <v>1768257.69</v>
      </c>
      <c r="D3354" s="1731">
        <f t="shared" si="122"/>
        <v>181696009.88999999</v>
      </c>
      <c r="E3354" s="133" t="s">
        <v>457</v>
      </c>
      <c r="F3354" s="133"/>
      <c r="G3354" s="133"/>
      <c r="H3354" s="133"/>
    </row>
    <row r="3355" spans="1:8" hidden="1" outlineLevel="1">
      <c r="A3355" s="1730" t="s">
        <v>2234</v>
      </c>
      <c r="B3355" s="1728">
        <v>6724203</v>
      </c>
      <c r="C3355" s="1726">
        <f>+SUMIF('Anlage 2b_Korrekturen'!$B$700:$B$1160,A3355,'Anlage 2b_Korrekturen'!$D$700:$D$1160)</f>
        <v>0</v>
      </c>
      <c r="D3355" s="1731">
        <f t="shared" si="122"/>
        <v>6724203</v>
      </c>
      <c r="E3355" s="133" t="s">
        <v>2235</v>
      </c>
      <c r="F3355" s="133"/>
      <c r="G3355" s="133"/>
      <c r="H3355" s="133"/>
    </row>
    <row r="3356" spans="1:8" hidden="1" outlineLevel="1">
      <c r="A3356" s="1730" t="s">
        <v>2236</v>
      </c>
      <c r="B3356" s="1728">
        <v>4899239</v>
      </c>
      <c r="C3356" s="1726">
        <f>+SUMIF('Anlage 2b_Korrekturen'!$B$700:$B$1160,A3356,'Anlage 2b_Korrekturen'!$D$700:$D$1160)</f>
        <v>0</v>
      </c>
      <c r="D3356" s="1731">
        <f t="shared" si="122"/>
        <v>4899239</v>
      </c>
      <c r="E3356" s="133" t="s">
        <v>2237</v>
      </c>
      <c r="F3356" s="133"/>
      <c r="G3356" s="133"/>
      <c r="H3356" s="133"/>
    </row>
    <row r="3357" spans="1:8" hidden="1" outlineLevel="1">
      <c r="A3357" s="1730" t="s">
        <v>1492</v>
      </c>
      <c r="B3357" s="1728">
        <v>9646027</v>
      </c>
      <c r="C3357" s="1726">
        <f>+SUMIF('Anlage 2b_Korrekturen'!$B$700:$B$1160,A3357,'Anlage 2b_Korrekturen'!$D$700:$D$1160)</f>
        <v>0</v>
      </c>
      <c r="D3357" s="1731">
        <f t="shared" si="122"/>
        <v>9646027</v>
      </c>
      <c r="E3357" s="133" t="s">
        <v>1493</v>
      </c>
      <c r="F3357" s="133"/>
      <c r="G3357" s="133"/>
      <c r="H3357" s="133"/>
    </row>
    <row r="3358" spans="1:8" hidden="1" outlineLevel="1">
      <c r="A3358" s="1730" t="s">
        <v>1786</v>
      </c>
      <c r="B3358" s="1728">
        <v>8860116.3499999996</v>
      </c>
      <c r="C3358" s="1726">
        <f>+SUMIF('Anlage 2b_Korrekturen'!$B$700:$B$1160,A3358,'Anlage 2b_Korrekturen'!$D$700:$D$1160)</f>
        <v>2516</v>
      </c>
      <c r="D3358" s="1731">
        <f t="shared" si="122"/>
        <v>8862632.3499999996</v>
      </c>
      <c r="E3358" s="133" t="s">
        <v>1787</v>
      </c>
      <c r="F3358" s="133"/>
      <c r="G3358" s="133"/>
      <c r="H3358" s="133"/>
    </row>
    <row r="3359" spans="1:8" hidden="1" outlineLevel="1">
      <c r="A3359" s="1730" t="s">
        <v>1478</v>
      </c>
      <c r="B3359" s="1728">
        <v>28064327</v>
      </c>
      <c r="C3359" s="1726">
        <f>+SUMIF('Anlage 2b_Korrekturen'!$B$700:$B$1160,A3359,'Anlage 2b_Korrekturen'!$D$700:$D$1160)</f>
        <v>1672</v>
      </c>
      <c r="D3359" s="1731">
        <f t="shared" si="122"/>
        <v>28065999</v>
      </c>
      <c r="E3359" s="133" t="s">
        <v>1479</v>
      </c>
      <c r="F3359" s="133"/>
      <c r="G3359" s="133"/>
      <c r="H3359" s="133"/>
    </row>
    <row r="3360" spans="1:8" hidden="1" outlineLevel="1">
      <c r="A3360" s="1730" t="s">
        <v>2238</v>
      </c>
      <c r="B3360" s="1728">
        <v>13563700.16</v>
      </c>
      <c r="C3360" s="1726">
        <f>+SUMIF('Anlage 2b_Korrekturen'!$B$700:$B$1160,A3360,'Anlage 2b_Korrekturen'!$D$700:$D$1160)</f>
        <v>0</v>
      </c>
      <c r="D3360" s="1731">
        <f t="shared" si="122"/>
        <v>13563700.16</v>
      </c>
      <c r="E3360" s="133" t="s">
        <v>2239</v>
      </c>
      <c r="F3360" s="133"/>
      <c r="G3360" s="133"/>
      <c r="H3360" s="133"/>
    </row>
    <row r="3361" spans="1:8" hidden="1" outlineLevel="1">
      <c r="A3361" s="1730" t="s">
        <v>1410</v>
      </c>
      <c r="B3361" s="1728">
        <v>48429165</v>
      </c>
      <c r="C3361" s="1726">
        <f>+SUMIF('Anlage 2b_Korrekturen'!$B$700:$B$1160,A3361,'Anlage 2b_Korrekturen'!$D$700:$D$1160)</f>
        <v>0</v>
      </c>
      <c r="D3361" s="1731">
        <f t="shared" si="122"/>
        <v>48429165</v>
      </c>
      <c r="E3361" s="133" t="s">
        <v>1411</v>
      </c>
      <c r="F3361" s="133"/>
      <c r="G3361" s="133"/>
      <c r="H3361" s="133"/>
    </row>
    <row r="3362" spans="1:8" hidden="1" outlineLevel="1">
      <c r="A3362" s="1730" t="s">
        <v>1796</v>
      </c>
      <c r="B3362" s="1728">
        <v>135967889</v>
      </c>
      <c r="C3362" s="1726">
        <f>+SUMIF('Anlage 2b_Korrekturen'!$B$700:$B$1160,A3362,'Anlage 2b_Korrekturen'!$D$700:$D$1160)</f>
        <v>912422</v>
      </c>
      <c r="D3362" s="1731">
        <f t="shared" si="122"/>
        <v>136880311</v>
      </c>
      <c r="E3362" s="133" t="s">
        <v>1797</v>
      </c>
      <c r="F3362" s="133"/>
      <c r="G3362" s="133"/>
      <c r="H3362" s="133"/>
    </row>
    <row r="3363" spans="1:8" hidden="1" outlineLevel="1">
      <c r="A3363" s="1730" t="s">
        <v>2240</v>
      </c>
      <c r="B3363" s="1728">
        <v>3657802</v>
      </c>
      <c r="C3363" s="1726">
        <f>+SUMIF('Anlage 2b_Korrekturen'!$B$700:$B$1160,A3363,'Anlage 2b_Korrekturen'!$D$700:$D$1160)</f>
        <v>0</v>
      </c>
      <c r="D3363" s="1731">
        <f t="shared" si="122"/>
        <v>3657802</v>
      </c>
      <c r="E3363" s="133" t="s">
        <v>2241</v>
      </c>
      <c r="F3363" s="133"/>
      <c r="G3363" s="133"/>
      <c r="H3363" s="133"/>
    </row>
    <row r="3364" spans="1:8" hidden="1" outlineLevel="1">
      <c r="A3364" s="1730" t="s">
        <v>2242</v>
      </c>
      <c r="B3364" s="1728">
        <v>8087862.6799999997</v>
      </c>
      <c r="C3364" s="1726">
        <f>+SUMIF('Anlage 2b_Korrekturen'!$B$700:$B$1160,A3364,'Anlage 2b_Korrekturen'!$D$700:$D$1160)</f>
        <v>0</v>
      </c>
      <c r="D3364" s="1731">
        <f t="shared" si="122"/>
        <v>8087862.6799999997</v>
      </c>
      <c r="E3364" s="133" t="s">
        <v>2243</v>
      </c>
      <c r="F3364" s="133"/>
      <c r="G3364" s="133"/>
      <c r="H3364" s="133"/>
    </row>
    <row r="3365" spans="1:8" hidden="1" outlineLevel="1">
      <c r="A3365" s="1730" t="s">
        <v>1234</v>
      </c>
      <c r="B3365" s="1728">
        <v>91947444</v>
      </c>
      <c r="C3365" s="1726">
        <f>+SUMIF('Anlage 2b_Korrekturen'!$B$700:$B$1160,A3365,'Anlage 2b_Korrekturen'!$D$700:$D$1160)</f>
        <v>0</v>
      </c>
      <c r="D3365" s="1731">
        <f t="shared" si="122"/>
        <v>91947444</v>
      </c>
      <c r="E3365" s="133" t="s">
        <v>1235</v>
      </c>
      <c r="F3365" s="133"/>
      <c r="G3365" s="133"/>
      <c r="H3365" s="133"/>
    </row>
    <row r="3366" spans="1:8" hidden="1" outlineLevel="1">
      <c r="A3366" s="1730" t="s">
        <v>2244</v>
      </c>
      <c r="B3366" s="1728">
        <v>3155708</v>
      </c>
      <c r="C3366" s="1726">
        <f>+SUMIF('Anlage 2b_Korrekturen'!$B$700:$B$1160,A3366,'Anlage 2b_Korrekturen'!$D$700:$D$1160)</f>
        <v>426189</v>
      </c>
      <c r="D3366" s="1731">
        <f t="shared" si="122"/>
        <v>3581897</v>
      </c>
      <c r="E3366" s="133" t="s">
        <v>2245</v>
      </c>
      <c r="F3366" s="133"/>
      <c r="G3366" s="133"/>
      <c r="H3366" s="133"/>
    </row>
    <row r="3367" spans="1:8" hidden="1" outlineLevel="1">
      <c r="A3367" s="1730" t="s">
        <v>1416</v>
      </c>
      <c r="B3367" s="1728">
        <v>257166925</v>
      </c>
      <c r="C3367" s="1726">
        <f>+SUMIF('Anlage 2b_Korrekturen'!$B$700:$B$1160,A3367,'Anlage 2b_Korrekturen'!$D$700:$D$1160)</f>
        <v>8061611</v>
      </c>
      <c r="D3367" s="1731">
        <f t="shared" si="122"/>
        <v>265228536</v>
      </c>
      <c r="E3367" s="133" t="s">
        <v>1417</v>
      </c>
      <c r="F3367" s="133"/>
      <c r="G3367" s="133"/>
      <c r="H3367" s="133"/>
    </row>
    <row r="3368" spans="1:8" hidden="1" outlineLevel="1">
      <c r="A3368" s="1730" t="s">
        <v>564</v>
      </c>
      <c r="B3368" s="1728">
        <v>882398280</v>
      </c>
      <c r="C3368" s="1726">
        <f>+SUMIF('Anlage 2b_Korrekturen'!$B$700:$B$1160,A3368,'Anlage 2b_Korrekturen'!$D$700:$D$1160)</f>
        <v>0</v>
      </c>
      <c r="D3368" s="1731">
        <f t="shared" si="122"/>
        <v>882398280</v>
      </c>
      <c r="E3368" s="133" t="s">
        <v>565</v>
      </c>
      <c r="F3368" s="133"/>
      <c r="G3368" s="133"/>
      <c r="H3368" s="133"/>
    </row>
    <row r="3369" spans="1:8" hidden="1" outlineLevel="1">
      <c r="A3369" s="1730" t="s">
        <v>2246</v>
      </c>
      <c r="B3369" s="1728">
        <v>3625819</v>
      </c>
      <c r="C3369" s="1726">
        <f>+SUMIF('Anlage 2b_Korrekturen'!$B$700:$B$1160,A3369,'Anlage 2b_Korrekturen'!$D$700:$D$1160)</f>
        <v>0</v>
      </c>
      <c r="D3369" s="1731">
        <f t="shared" si="122"/>
        <v>3625819</v>
      </c>
      <c r="E3369" s="133" t="s">
        <v>2247</v>
      </c>
      <c r="F3369" s="133"/>
      <c r="G3369" s="133"/>
      <c r="H3369" s="133"/>
    </row>
    <row r="3370" spans="1:8" hidden="1" outlineLevel="1">
      <c r="A3370" s="1730" t="s">
        <v>1630</v>
      </c>
      <c r="B3370" s="1728">
        <v>26745298</v>
      </c>
      <c r="C3370" s="1726">
        <f>+SUMIF('Anlage 2b_Korrekturen'!$B$700:$B$1160,A3370,'Anlage 2b_Korrekturen'!$D$700:$D$1160)</f>
        <v>0</v>
      </c>
      <c r="D3370" s="1731">
        <f t="shared" si="122"/>
        <v>26745298</v>
      </c>
      <c r="E3370" s="133" t="s">
        <v>1631</v>
      </c>
      <c r="F3370" s="133"/>
      <c r="G3370" s="133"/>
      <c r="H3370" s="133"/>
    </row>
    <row r="3371" spans="1:8" hidden="1" outlineLevel="1">
      <c r="A3371" s="1730" t="s">
        <v>1265</v>
      </c>
      <c r="B3371" s="1728">
        <v>753565307.43200004</v>
      </c>
      <c r="C3371" s="1726">
        <f>+SUMIF('Anlage 2b_Korrekturen'!$B$700:$B$1160,A3371,'Anlage 2b_Korrekturen'!$D$700:$D$1160)</f>
        <v>-1109212.2009999999</v>
      </c>
      <c r="D3371" s="1731">
        <f t="shared" si="122"/>
        <v>752456095.23100007</v>
      </c>
      <c r="E3371" s="133" t="s">
        <v>1266</v>
      </c>
      <c r="F3371" s="133"/>
      <c r="G3371" s="133"/>
      <c r="H3371" s="133"/>
    </row>
    <row r="3372" spans="1:8" hidden="1" outlineLevel="1">
      <c r="A3372" s="1730" t="s">
        <v>2248</v>
      </c>
      <c r="B3372" s="1728">
        <v>2755285</v>
      </c>
      <c r="C3372" s="1726">
        <f>+SUMIF('Anlage 2b_Korrekturen'!$B$700:$B$1160,A3372,'Anlage 2b_Korrekturen'!$D$700:$D$1160)</f>
        <v>0</v>
      </c>
      <c r="D3372" s="1731">
        <f t="shared" si="122"/>
        <v>2755285</v>
      </c>
      <c r="E3372" s="133" t="s">
        <v>2249</v>
      </c>
      <c r="F3372" s="133"/>
      <c r="G3372" s="133"/>
      <c r="H3372" s="133"/>
    </row>
    <row r="3373" spans="1:8" hidden="1" outlineLevel="1">
      <c r="A3373" s="418" t="s">
        <v>1380</v>
      </c>
      <c r="B3373" s="406">
        <v>169678164</v>
      </c>
      <c r="C3373" s="88">
        <f>+SUMIF('Anlage 2b_Korrekturen'!$B$700:$B$1160,A3373,'Anlage 2b_Korrekturen'!$D$700:$D$1160)</f>
        <v>0</v>
      </c>
      <c r="D3373" s="135">
        <f t="shared" si="122"/>
        <v>169678164</v>
      </c>
      <c r="E3373" s="133" t="s">
        <v>1381</v>
      </c>
      <c r="F3373" s="133"/>
      <c r="G3373" s="133"/>
      <c r="H3373" s="133"/>
    </row>
    <row r="3374" spans="1:8" hidden="1" outlineLevel="1">
      <c r="A3374" s="418" t="s">
        <v>2250</v>
      </c>
      <c r="B3374" s="406">
        <v>66164560</v>
      </c>
      <c r="C3374" s="88">
        <f>+SUMIF('Anlage 2b_Korrekturen'!$B$700:$B$1160,A3374,'Anlage 2b_Korrekturen'!$D$700:$D$1160)</f>
        <v>271250</v>
      </c>
      <c r="D3374" s="135">
        <f t="shared" si="122"/>
        <v>66435810</v>
      </c>
      <c r="E3374" s="133" t="s">
        <v>2251</v>
      </c>
      <c r="F3374" s="133"/>
      <c r="G3374" s="133"/>
      <c r="H3374" s="133"/>
    </row>
    <row r="3375" spans="1:8" hidden="1" outlineLevel="1">
      <c r="A3375" s="418" t="s">
        <v>2252</v>
      </c>
      <c r="B3375" s="406">
        <v>2036886</v>
      </c>
      <c r="C3375" s="88">
        <f>+SUMIF('Anlage 2b_Korrekturen'!$B$700:$B$1160,A3375,'Anlage 2b_Korrekturen'!$D$700:$D$1160)</f>
        <v>0</v>
      </c>
      <c r="D3375" s="135">
        <f t="shared" si="122"/>
        <v>2036886</v>
      </c>
      <c r="E3375" s="133" t="s">
        <v>2253</v>
      </c>
      <c r="F3375" s="133"/>
      <c r="G3375" s="133"/>
      <c r="H3375" s="133"/>
    </row>
    <row r="3376" spans="1:8" hidden="1" outlineLevel="1">
      <c r="A3376" s="418" t="s">
        <v>1654</v>
      </c>
      <c r="B3376" s="406">
        <v>1201758001.6099999</v>
      </c>
      <c r="C3376" s="88">
        <f>+SUMIF('Anlage 2b_Korrekturen'!$B$700:$B$1160,A3376,'Anlage 2b_Korrekturen'!$D$700:$D$1160)</f>
        <v>-90223799.420000017</v>
      </c>
      <c r="D3376" s="135">
        <f t="shared" si="122"/>
        <v>1111534202.1899998</v>
      </c>
      <c r="E3376" s="133" t="s">
        <v>1655</v>
      </c>
      <c r="F3376" s="133"/>
      <c r="G3376" s="133"/>
      <c r="H3376" s="133"/>
    </row>
    <row r="3377" spans="1:8" hidden="1" outlineLevel="1">
      <c r="A3377" s="418" t="s">
        <v>1516</v>
      </c>
      <c r="B3377" s="406">
        <v>7558622203</v>
      </c>
      <c r="C3377" s="88">
        <f>+SUMIF('Anlage 2b_Korrekturen'!$B$700:$B$1160,A3377,'Anlage 2b_Korrekturen'!$D$700:$D$1160)</f>
        <v>-45312950</v>
      </c>
      <c r="D3377" s="135">
        <f t="shared" si="122"/>
        <v>7513309253</v>
      </c>
      <c r="E3377" s="133" t="s">
        <v>1517</v>
      </c>
      <c r="F3377" s="133"/>
      <c r="G3377" s="133"/>
      <c r="H3377" s="133"/>
    </row>
    <row r="3378" spans="1:8" hidden="1" outlineLevel="1">
      <c r="A3378" s="418" t="s">
        <v>1460</v>
      </c>
      <c r="B3378" s="406">
        <v>24533973</v>
      </c>
      <c r="C3378" s="88">
        <f>+SUMIF('Anlage 2b_Korrekturen'!$B$700:$B$1160,A3378,'Anlage 2b_Korrekturen'!$D$700:$D$1160)</f>
        <v>0</v>
      </c>
      <c r="D3378" s="135">
        <f t="shared" si="122"/>
        <v>24533973</v>
      </c>
      <c r="E3378" s="133" t="s">
        <v>1461</v>
      </c>
      <c r="F3378" s="133"/>
      <c r="G3378" s="133"/>
      <c r="H3378" s="133"/>
    </row>
    <row r="3379" spans="1:8" hidden="1" outlineLevel="1">
      <c r="A3379" s="418" t="s">
        <v>1430</v>
      </c>
      <c r="B3379" s="406">
        <v>16061417812</v>
      </c>
      <c r="C3379" s="88">
        <f>+SUMIF('Anlage 2b_Korrekturen'!$B$700:$B$1160,A3379,'Anlage 2b_Korrekturen'!$D$700:$D$1160)-3814663</f>
        <v>-161538738</v>
      </c>
      <c r="D3379" s="135">
        <f t="shared" si="122"/>
        <v>15899879074</v>
      </c>
      <c r="E3379" s="133" t="s">
        <v>1431</v>
      </c>
      <c r="F3379" s="133"/>
      <c r="G3379" s="133"/>
      <c r="H3379" s="133"/>
    </row>
    <row r="3380" spans="1:8" hidden="1" outlineLevel="1">
      <c r="A3380" s="418" t="s">
        <v>1808</v>
      </c>
      <c r="B3380" s="406">
        <v>3674958654.1820002</v>
      </c>
      <c r="C3380" s="88">
        <f>+SUMIF('Anlage 2b_Korrekturen'!$B$700:$B$1160,A3380,'Anlage 2b_Korrekturen'!$D$700:$D$1160)</f>
        <v>-16570142.257000001</v>
      </c>
      <c r="D3380" s="135">
        <f t="shared" si="122"/>
        <v>3658388511.9250002</v>
      </c>
      <c r="E3380" s="133" t="s">
        <v>1809</v>
      </c>
      <c r="F3380" s="133"/>
      <c r="G3380" s="133"/>
      <c r="H3380" s="133"/>
    </row>
    <row r="3381" spans="1:8" hidden="1" outlineLevel="1">
      <c r="A3381" s="418" t="s">
        <v>1768</v>
      </c>
      <c r="B3381" s="406">
        <v>666532431</v>
      </c>
      <c r="C3381" s="88">
        <f>+SUMIF('Anlage 2b_Korrekturen'!$B$700:$B$1160,A3381,'Anlage 2b_Korrekturen'!$D$700:$D$1160)</f>
        <v>-11484957</v>
      </c>
      <c r="D3381" s="135">
        <f t="shared" si="122"/>
        <v>655047474</v>
      </c>
      <c r="E3381" s="133" t="s">
        <v>1769</v>
      </c>
      <c r="F3381" s="133"/>
      <c r="G3381" s="133"/>
      <c r="H3381" s="133"/>
    </row>
    <row r="3382" spans="1:8" hidden="1" outlineLevel="1">
      <c r="A3382" s="418" t="s">
        <v>2254</v>
      </c>
      <c r="B3382" s="406">
        <v>218317729</v>
      </c>
      <c r="C3382" s="88">
        <f>+SUMIF('Anlage 2b_Korrekturen'!$B$700:$B$1160,A3382,'Anlage 2b_Korrekturen'!$D$700:$D$1160)</f>
        <v>0</v>
      </c>
      <c r="D3382" s="135">
        <f t="shared" si="122"/>
        <v>218317729</v>
      </c>
      <c r="E3382" s="133" t="s">
        <v>2255</v>
      </c>
      <c r="F3382" s="133"/>
      <c r="G3382" s="133"/>
      <c r="H3382" s="133"/>
    </row>
    <row r="3383" spans="1:8" hidden="1" outlineLevel="1">
      <c r="A3383" s="418" t="s">
        <v>879</v>
      </c>
      <c r="B3383" s="406">
        <v>3715673854</v>
      </c>
      <c r="C3383" s="88">
        <f>+SUMIF('Anlage 2b_Korrekturen'!$B$700:$B$1160,A3383,'Anlage 2b_Korrekturen'!$D$700:$D$1160)</f>
        <v>-35529529</v>
      </c>
      <c r="D3383" s="135">
        <f t="shared" si="122"/>
        <v>3680144325</v>
      </c>
      <c r="E3383" s="133" t="s">
        <v>880</v>
      </c>
      <c r="F3383" s="133"/>
      <c r="G3383" s="133"/>
      <c r="H3383" s="133"/>
    </row>
    <row r="3384" spans="1:8" hidden="1" outlineLevel="1">
      <c r="A3384" s="418" t="s">
        <v>1500</v>
      </c>
      <c r="B3384" s="406">
        <v>71442425</v>
      </c>
      <c r="C3384" s="88">
        <f>+SUMIF('Anlage 2b_Korrekturen'!$B$700:$B$1160,A3384,'Anlage 2b_Korrekturen'!$D$700:$D$1160)</f>
        <v>0</v>
      </c>
      <c r="D3384" s="135">
        <f t="shared" si="122"/>
        <v>71442425</v>
      </c>
      <c r="E3384" s="133" t="s">
        <v>1501</v>
      </c>
      <c r="F3384" s="133"/>
      <c r="G3384" s="133"/>
      <c r="H3384" s="133"/>
    </row>
    <row r="3385" spans="1:8" hidden="1" outlineLevel="1">
      <c r="A3385" s="418" t="s">
        <v>1683</v>
      </c>
      <c r="B3385" s="406">
        <v>4314784685</v>
      </c>
      <c r="C3385" s="88">
        <f>+SUMIF('Anlage 2b_Korrekturen'!$B$700:$B$1160,A3385,'Anlage 2b_Korrekturen'!$D$700:$D$1160)</f>
        <v>-82020759</v>
      </c>
      <c r="D3385" s="135">
        <f t="shared" si="122"/>
        <v>4232763926</v>
      </c>
      <c r="E3385" s="133" t="s">
        <v>1684</v>
      </c>
      <c r="F3385" s="133"/>
      <c r="G3385" s="133"/>
      <c r="H3385" s="133"/>
    </row>
    <row r="3386" spans="1:8" hidden="1" outlineLevel="1">
      <c r="A3386" s="418" t="s">
        <v>758</v>
      </c>
      <c r="B3386" s="406">
        <v>4517531445.7849998</v>
      </c>
      <c r="C3386" s="88">
        <f>+SUMIF('Anlage 2b_Korrekturen'!$B$700:$B$1160,A3386,'Anlage 2b_Korrekturen'!$D$700:$D$1160)</f>
        <v>-33374037.519999996</v>
      </c>
      <c r="D3386" s="135">
        <f t="shared" si="122"/>
        <v>4484157408.2649994</v>
      </c>
      <c r="E3386" s="133" t="s">
        <v>759</v>
      </c>
      <c r="F3386" s="133"/>
      <c r="G3386" s="133"/>
      <c r="H3386" s="133"/>
    </row>
    <row r="3387" spans="1:8" hidden="1" outlineLevel="1">
      <c r="A3387" s="418" t="s">
        <v>1090</v>
      </c>
      <c r="B3387" s="406">
        <v>3743229502</v>
      </c>
      <c r="C3387" s="88">
        <f>+SUMIF('Anlage 2b_Korrekturen'!$B$700:$B$1160,A3387,'Anlage 2b_Korrekturen'!$D$700:$D$1160)</f>
        <v>-2369795</v>
      </c>
      <c r="D3387" s="135">
        <f t="shared" si="122"/>
        <v>3740859707</v>
      </c>
      <c r="E3387" s="133" t="s">
        <v>1091</v>
      </c>
      <c r="F3387" s="133"/>
      <c r="G3387" s="133"/>
      <c r="H3387" s="133"/>
    </row>
    <row r="3388" spans="1:8" hidden="1" outlineLevel="1">
      <c r="A3388" s="418" t="s">
        <v>2256</v>
      </c>
      <c r="B3388" s="406">
        <v>88783854.003999993</v>
      </c>
      <c r="C3388" s="88">
        <f>+SUMIF('Anlage 2b_Korrekturen'!$B$700:$B$1160,A3388,'Anlage 2b_Korrekturen'!$D$700:$D$1160)</f>
        <v>2292939.7039999999</v>
      </c>
      <c r="D3388" s="135">
        <f t="shared" si="122"/>
        <v>91076793.707999989</v>
      </c>
      <c r="E3388" s="133" t="s">
        <v>2257</v>
      </c>
      <c r="F3388" s="133"/>
      <c r="G3388" s="133"/>
      <c r="H3388" s="133"/>
    </row>
    <row r="3389" spans="1:8" hidden="1" outlineLevel="1">
      <c r="A3389" s="418" t="s">
        <v>1352</v>
      </c>
      <c r="B3389" s="406">
        <v>3602661</v>
      </c>
      <c r="C3389" s="88">
        <f>+SUMIF('Anlage 2b_Korrekturen'!$B$700:$B$1160,A3389,'Anlage 2b_Korrekturen'!$D$700:$D$1160)</f>
        <v>0</v>
      </c>
      <c r="D3389" s="135">
        <f t="shared" si="122"/>
        <v>3602661</v>
      </c>
      <c r="E3389" s="133" t="s">
        <v>1353</v>
      </c>
      <c r="F3389" s="133"/>
      <c r="G3389" s="133"/>
      <c r="H3389" s="133"/>
    </row>
    <row r="3390" spans="1:8" hidden="1" outlineLevel="1">
      <c r="A3390" s="418" t="s">
        <v>2258</v>
      </c>
      <c r="B3390" s="406">
        <v>7482677</v>
      </c>
      <c r="C3390" s="88">
        <f>+SUMIF('Anlage 2b_Korrekturen'!$B$700:$B$1160,A3390,'Anlage 2b_Korrekturen'!$D$700:$D$1160)</f>
        <v>0</v>
      </c>
      <c r="D3390" s="135">
        <f t="shared" si="122"/>
        <v>7482677</v>
      </c>
      <c r="E3390" s="133" t="s">
        <v>2259</v>
      </c>
      <c r="F3390" s="133"/>
      <c r="G3390" s="133"/>
      <c r="H3390" s="133"/>
    </row>
    <row r="3391" spans="1:8" hidden="1" outlineLevel="1">
      <c r="A3391" s="418" t="s">
        <v>2260</v>
      </c>
      <c r="B3391" s="406">
        <v>385706</v>
      </c>
      <c r="C3391" s="88">
        <f>+SUMIF('Anlage 2b_Korrekturen'!$B$700:$B$1160,A3391,'Anlage 2b_Korrekturen'!$D$700:$D$1160)</f>
        <v>0</v>
      </c>
      <c r="D3391" s="135">
        <f t="shared" si="122"/>
        <v>385706</v>
      </c>
      <c r="E3391" s="133" t="s">
        <v>2261</v>
      </c>
      <c r="F3391" s="133"/>
      <c r="G3391" s="133"/>
      <c r="H3391" s="133"/>
    </row>
    <row r="3392" spans="1:8" hidden="1" outlineLevel="1">
      <c r="A3392" s="418" t="s">
        <v>1784</v>
      </c>
      <c r="B3392" s="406">
        <v>116429932</v>
      </c>
      <c r="C3392" s="88">
        <f>+SUMIF('Anlage 2b_Korrekturen'!$B$700:$B$1160,A3392,'Anlage 2b_Korrekturen'!$D$700:$D$1160)</f>
        <v>-94256.23000000001</v>
      </c>
      <c r="D3392" s="135">
        <f t="shared" si="122"/>
        <v>116335675.77</v>
      </c>
      <c r="E3392" s="133" t="s">
        <v>1785</v>
      </c>
      <c r="F3392" s="133"/>
      <c r="G3392" s="133"/>
      <c r="H3392" s="133"/>
    </row>
    <row r="3393" spans="1:8" hidden="1" outlineLevel="1">
      <c r="A3393" s="418" t="s">
        <v>1816</v>
      </c>
      <c r="B3393" s="406">
        <v>90130551</v>
      </c>
      <c r="C3393" s="88">
        <f>+SUMIF('Anlage 2b_Korrekturen'!$B$700:$B$1160,A3393,'Anlage 2b_Korrekturen'!$D$700:$D$1160)</f>
        <v>391666</v>
      </c>
      <c r="D3393" s="135">
        <f t="shared" si="122"/>
        <v>90522217</v>
      </c>
      <c r="E3393" s="133" t="s">
        <v>1817</v>
      </c>
      <c r="F3393" s="133"/>
      <c r="G3393" s="133"/>
      <c r="H3393" s="133"/>
    </row>
    <row r="3394" spans="1:8" hidden="1" outlineLevel="1">
      <c r="A3394" s="418" t="s">
        <v>1368</v>
      </c>
      <c r="B3394" s="406">
        <v>70651375</v>
      </c>
      <c r="C3394" s="88">
        <f>+SUMIF('Anlage 2b_Korrekturen'!$B$700:$B$1160,A3394,'Anlage 2b_Korrekturen'!$D$700:$D$1160)</f>
        <v>0</v>
      </c>
      <c r="D3394" s="135">
        <f t="shared" ref="D3394:D3441" si="123">B3394+C3394</f>
        <v>70651375</v>
      </c>
      <c r="E3394" s="133" t="s">
        <v>1369</v>
      </c>
      <c r="F3394" s="133"/>
      <c r="G3394" s="133"/>
      <c r="H3394" s="133"/>
    </row>
    <row r="3395" spans="1:8" hidden="1" outlineLevel="1">
      <c r="A3395" s="418" t="s">
        <v>1534</v>
      </c>
      <c r="B3395" s="406">
        <v>89495254</v>
      </c>
      <c r="C3395" s="88">
        <f>+SUMIF('Anlage 2b_Korrekturen'!$B$700:$B$1160,A3395,'Anlage 2b_Korrekturen'!$D$700:$D$1160)</f>
        <v>0</v>
      </c>
      <c r="D3395" s="135">
        <f t="shared" si="123"/>
        <v>89495254</v>
      </c>
      <c r="E3395" s="133" t="s">
        <v>1535</v>
      </c>
      <c r="F3395" s="133"/>
      <c r="G3395" s="133"/>
      <c r="H3395" s="133"/>
    </row>
    <row r="3396" spans="1:8" hidden="1" outlineLevel="1">
      <c r="A3396" s="418" t="s">
        <v>1778</v>
      </c>
      <c r="B3396" s="406">
        <v>318708434</v>
      </c>
      <c r="C3396" s="88">
        <f>+SUMIF('Anlage 2b_Korrekturen'!$B$700:$B$1160,A3396,'Anlage 2b_Korrekturen'!$D$700:$D$1160)</f>
        <v>49112</v>
      </c>
      <c r="D3396" s="135">
        <f t="shared" si="123"/>
        <v>318757546</v>
      </c>
      <c r="E3396" s="133" t="s">
        <v>1779</v>
      </c>
      <c r="F3396" s="133"/>
      <c r="G3396" s="133"/>
      <c r="H3396" s="133"/>
    </row>
    <row r="3397" spans="1:8" hidden="1" outlineLevel="1">
      <c r="A3397" s="418" t="s">
        <v>799</v>
      </c>
      <c r="B3397" s="406">
        <v>20413410</v>
      </c>
      <c r="C3397" s="88">
        <f>+SUMIF('Anlage 2b_Korrekturen'!$B$700:$B$1160,A3397,'Anlage 2b_Korrekturen'!$D$700:$D$1160)</f>
        <v>13240</v>
      </c>
      <c r="D3397" s="135">
        <f t="shared" si="123"/>
        <v>20426650</v>
      </c>
      <c r="E3397" s="133" t="s">
        <v>2262</v>
      </c>
      <c r="F3397" s="133"/>
      <c r="G3397" s="133"/>
      <c r="H3397" s="133"/>
    </row>
    <row r="3398" spans="1:8" hidden="1" outlineLevel="1">
      <c r="A3398" s="418" t="s">
        <v>730</v>
      </c>
      <c r="B3398" s="406">
        <v>18587563</v>
      </c>
      <c r="C3398" s="88">
        <f>+SUMIF('Anlage 2b_Korrekturen'!$B$700:$B$1160,A3398,'Anlage 2b_Korrekturen'!$D$700:$D$1160)</f>
        <v>0</v>
      </c>
      <c r="D3398" s="135">
        <f t="shared" si="123"/>
        <v>18587563</v>
      </c>
      <c r="E3398" s="133" t="s">
        <v>731</v>
      </c>
      <c r="F3398" s="133"/>
      <c r="G3398" s="133"/>
      <c r="H3398" s="133"/>
    </row>
    <row r="3399" spans="1:8" hidden="1" outlineLevel="1">
      <c r="A3399" s="418" t="s">
        <v>1450</v>
      </c>
      <c r="B3399" s="406">
        <v>312725124</v>
      </c>
      <c r="C3399" s="88">
        <f>+SUMIF('Anlage 2b_Korrekturen'!$B$700:$B$1160,A3399,'Anlage 2b_Korrekturen'!$D$700:$D$1160)</f>
        <v>0</v>
      </c>
      <c r="D3399" s="135">
        <f t="shared" si="123"/>
        <v>312725124</v>
      </c>
      <c r="E3399" s="133" t="s">
        <v>1451</v>
      </c>
      <c r="F3399" s="133"/>
      <c r="G3399" s="133"/>
      <c r="H3399" s="133"/>
    </row>
    <row r="3400" spans="1:8" hidden="1" outlineLevel="1">
      <c r="A3400" s="418" t="s">
        <v>2263</v>
      </c>
      <c r="B3400" s="406">
        <v>28406258</v>
      </c>
      <c r="C3400" s="88">
        <f>+SUMIF('Anlage 2b_Korrekturen'!$B$700:$B$1160,A3400,'Anlage 2b_Korrekturen'!$D$700:$D$1160)</f>
        <v>-258203</v>
      </c>
      <c r="D3400" s="135">
        <f t="shared" si="123"/>
        <v>28148055</v>
      </c>
      <c r="E3400" s="133" t="s">
        <v>2264</v>
      </c>
      <c r="F3400" s="133"/>
      <c r="G3400" s="133"/>
      <c r="H3400" s="133"/>
    </row>
    <row r="3401" spans="1:8" hidden="1" outlineLevel="1">
      <c r="A3401" s="418" t="s">
        <v>2265</v>
      </c>
      <c r="B3401" s="406">
        <v>5739148</v>
      </c>
      <c r="C3401" s="88">
        <f>+SUMIF('Anlage 2b_Korrekturen'!$B$700:$B$1160,A3401,'Anlage 2b_Korrekturen'!$D$700:$D$1160)</f>
        <v>12687</v>
      </c>
      <c r="D3401" s="135">
        <f t="shared" si="123"/>
        <v>5751835</v>
      </c>
      <c r="E3401" s="133" t="s">
        <v>2266</v>
      </c>
      <c r="F3401" s="133"/>
      <c r="G3401" s="133"/>
      <c r="H3401" s="133"/>
    </row>
    <row r="3402" spans="1:8" hidden="1" outlineLevel="1">
      <c r="A3402" s="418" t="s">
        <v>1520</v>
      </c>
      <c r="B3402" s="406">
        <v>89774893.269999996</v>
      </c>
      <c r="C3402" s="711">
        <f>+SUMIF('Anlage 2b_Korrekturen'!$B$700:$B$1160,A3402,'Anlage 2b_Korrekturen'!$D$700:$D$1160)</f>
        <v>1615994</v>
      </c>
      <c r="D3402" s="135">
        <f t="shared" si="123"/>
        <v>91390887.269999996</v>
      </c>
      <c r="E3402" s="133" t="s">
        <v>1521</v>
      </c>
      <c r="F3402" s="133"/>
      <c r="G3402" s="133"/>
      <c r="H3402" s="133"/>
    </row>
    <row r="3403" spans="1:8" hidden="1" outlineLevel="1">
      <c r="A3403" s="418" t="s">
        <v>1394</v>
      </c>
      <c r="B3403" s="406">
        <v>87751742</v>
      </c>
      <c r="C3403" s="88">
        <f>+SUMIF('Anlage 2b_Korrekturen'!$B$700:$B$1160,A3403,'Anlage 2b_Korrekturen'!$D$700:$D$1160)</f>
        <v>0</v>
      </c>
      <c r="D3403" s="135">
        <f t="shared" si="123"/>
        <v>87751742</v>
      </c>
      <c r="E3403" s="133" t="s">
        <v>1395</v>
      </c>
      <c r="F3403" s="133"/>
      <c r="G3403" s="133"/>
      <c r="H3403" s="133"/>
    </row>
    <row r="3404" spans="1:8" hidden="1" outlineLevel="1">
      <c r="A3404" s="418" t="s">
        <v>943</v>
      </c>
      <c r="B3404" s="406">
        <v>4331607072</v>
      </c>
      <c r="C3404" s="88">
        <f>+SUMIF('Anlage 2b_Korrekturen'!$B$700:$B$1160,A3404,'Anlage 2b_Korrekturen'!$D$700:$D$1160)</f>
        <v>-8630225</v>
      </c>
      <c r="D3404" s="135">
        <f t="shared" si="123"/>
        <v>4322976847</v>
      </c>
      <c r="E3404" s="133" t="s">
        <v>944</v>
      </c>
      <c r="F3404" s="133"/>
      <c r="G3404" s="133"/>
      <c r="H3404" s="133"/>
    </row>
    <row r="3405" spans="1:8" hidden="1" outlineLevel="1">
      <c r="A3405" s="418" t="s">
        <v>1046</v>
      </c>
      <c r="B3405" s="406">
        <v>283192410</v>
      </c>
      <c r="C3405" s="88">
        <f>+SUMIF('Anlage 2b_Korrekturen'!$B$700:$B$1160,A3405,'Anlage 2b_Korrekturen'!$D$700:$D$1160)</f>
        <v>0</v>
      </c>
      <c r="D3405" s="135">
        <f t="shared" si="123"/>
        <v>283192410</v>
      </c>
      <c r="E3405" s="133" t="s">
        <v>1047</v>
      </c>
      <c r="F3405" s="133"/>
      <c r="G3405" s="133"/>
      <c r="H3405" s="133"/>
    </row>
    <row r="3406" spans="1:8" hidden="1" outlineLevel="1">
      <c r="A3406" s="418" t="s">
        <v>1770</v>
      </c>
      <c r="B3406" s="406">
        <v>63369340</v>
      </c>
      <c r="C3406" s="88">
        <f>+SUMIF('Anlage 2b_Korrekturen'!$B$700:$B$1160,A3406,'Anlage 2b_Korrekturen'!$D$700:$D$1160)</f>
        <v>175883</v>
      </c>
      <c r="D3406" s="135">
        <f t="shared" si="123"/>
        <v>63545223</v>
      </c>
      <c r="E3406" s="133" t="s">
        <v>1771</v>
      </c>
      <c r="F3406" s="133"/>
      <c r="G3406" s="133"/>
      <c r="H3406" s="133"/>
    </row>
    <row r="3407" spans="1:8" hidden="1" outlineLevel="1">
      <c r="A3407" s="418" t="s">
        <v>2267</v>
      </c>
      <c r="B3407" s="406">
        <v>7633003</v>
      </c>
      <c r="C3407" s="88">
        <f>+SUMIF('Anlage 2b_Korrekturen'!$B$700:$B$1160,A3407,'Anlage 2b_Korrekturen'!$D$700:$D$1160)</f>
        <v>0</v>
      </c>
      <c r="D3407" s="135">
        <f t="shared" si="123"/>
        <v>7633003</v>
      </c>
      <c r="E3407" s="133" t="s">
        <v>2268</v>
      </c>
      <c r="F3407" s="133"/>
      <c r="G3407" s="133"/>
      <c r="H3407" s="133"/>
    </row>
    <row r="3408" spans="1:8" hidden="1" outlineLevel="1">
      <c r="A3408" s="418" t="s">
        <v>1030</v>
      </c>
      <c r="B3408" s="406">
        <v>68259863</v>
      </c>
      <c r="C3408" s="88">
        <f>+SUMIF('Anlage 2b_Korrekturen'!$B$700:$B$1160,A3408,'Anlage 2b_Korrekturen'!$D$700:$D$1160)</f>
        <v>-2251056.6540000001</v>
      </c>
      <c r="D3408" s="135">
        <f t="shared" si="123"/>
        <v>66008806.346000001</v>
      </c>
      <c r="E3408" s="133" t="s">
        <v>1031</v>
      </c>
      <c r="F3408" s="133"/>
      <c r="G3408" s="133"/>
      <c r="H3408" s="133"/>
    </row>
    <row r="3409" spans="1:8" hidden="1" outlineLevel="1">
      <c r="A3409" s="418" t="s">
        <v>2269</v>
      </c>
      <c r="B3409" s="406">
        <v>5429162</v>
      </c>
      <c r="C3409" s="88">
        <f>+SUMIF('Anlage 2b_Korrekturen'!$B$700:$B$1160,A3409,'Anlage 2b_Korrekturen'!$D$700:$D$1160)</f>
        <v>0</v>
      </c>
      <c r="D3409" s="135">
        <f t="shared" si="123"/>
        <v>5429162</v>
      </c>
      <c r="E3409" s="133" t="s">
        <v>2270</v>
      </c>
      <c r="F3409" s="133"/>
      <c r="G3409" s="133"/>
      <c r="H3409" s="133"/>
    </row>
    <row r="3410" spans="1:8" hidden="1" outlineLevel="1">
      <c r="A3410" s="418" t="s">
        <v>839</v>
      </c>
      <c r="B3410" s="406">
        <v>201974055</v>
      </c>
      <c r="C3410" s="88">
        <f>+SUMIF('Anlage 2b_Korrekturen'!$B$700:$B$1160,A3410,'Anlage 2b_Korrekturen'!$D$700:$D$1160)</f>
        <v>-17090</v>
      </c>
      <c r="D3410" s="135">
        <f t="shared" si="123"/>
        <v>201956965</v>
      </c>
      <c r="E3410" s="133" t="s">
        <v>1311</v>
      </c>
      <c r="F3410" s="133"/>
      <c r="G3410" s="133"/>
      <c r="H3410" s="133"/>
    </row>
    <row r="3411" spans="1:8" hidden="1" outlineLevel="1">
      <c r="A3411" s="418" t="s">
        <v>1273</v>
      </c>
      <c r="B3411" s="406">
        <v>134466689</v>
      </c>
      <c r="C3411" s="88">
        <f>+SUMIF('Anlage 2b_Korrekturen'!$B$700:$B$1160,A3411,'Anlage 2b_Korrekturen'!$D$700:$D$1160)</f>
        <v>3374099</v>
      </c>
      <c r="D3411" s="135">
        <f t="shared" si="123"/>
        <v>137840788</v>
      </c>
      <c r="E3411" s="133" t="s">
        <v>1274</v>
      </c>
      <c r="F3411" s="133"/>
      <c r="G3411" s="133"/>
      <c r="H3411" s="133"/>
    </row>
    <row r="3412" spans="1:8" hidden="1" outlineLevel="1">
      <c r="A3412" s="418" t="s">
        <v>1480</v>
      </c>
      <c r="B3412" s="406">
        <v>10923924</v>
      </c>
      <c r="C3412" s="88">
        <f>+SUMIF('Anlage 2b_Korrekturen'!$B$700:$B$1160,A3412,'Anlage 2b_Korrekturen'!$D$700:$D$1160)</f>
        <v>0</v>
      </c>
      <c r="D3412" s="135">
        <f t="shared" si="123"/>
        <v>10923924</v>
      </c>
      <c r="E3412" s="133" t="s">
        <v>1481</v>
      </c>
      <c r="F3412" s="133"/>
      <c r="G3412" s="133"/>
      <c r="H3412" s="133"/>
    </row>
    <row r="3413" spans="1:8" hidden="1" outlineLevel="1">
      <c r="A3413" s="418" t="s">
        <v>1271</v>
      </c>
      <c r="B3413" s="406">
        <v>103336212</v>
      </c>
      <c r="C3413" s="88">
        <f>+SUMIF('Anlage 2b_Korrekturen'!$B$700:$B$1160,A3413,'Anlage 2b_Korrekturen'!$D$700:$D$1160)</f>
        <v>0</v>
      </c>
      <c r="D3413" s="135">
        <f t="shared" si="123"/>
        <v>103336212</v>
      </c>
      <c r="E3413" s="133" t="s">
        <v>1272</v>
      </c>
      <c r="F3413" s="133"/>
      <c r="G3413" s="133"/>
      <c r="H3413" s="133"/>
    </row>
    <row r="3414" spans="1:8" hidden="1" outlineLevel="1">
      <c r="A3414" s="418" t="s">
        <v>1488</v>
      </c>
      <c r="B3414" s="406">
        <v>142731184</v>
      </c>
      <c r="C3414" s="88">
        <f>+SUMIF('Anlage 2b_Korrekturen'!$B$700:$B$1160,A3414,'Anlage 2b_Korrekturen'!$D$700:$D$1160)</f>
        <v>-842877</v>
      </c>
      <c r="D3414" s="135">
        <f t="shared" si="123"/>
        <v>141888307</v>
      </c>
      <c r="E3414" s="133" t="s">
        <v>1489</v>
      </c>
      <c r="F3414" s="133"/>
      <c r="G3414" s="133"/>
      <c r="H3414" s="133"/>
    </row>
    <row r="3415" spans="1:8" hidden="1" outlineLevel="1">
      <c r="A3415" s="418" t="s">
        <v>1782</v>
      </c>
      <c r="B3415" s="406">
        <v>170200134</v>
      </c>
      <c r="C3415" s="88">
        <f>+SUMIF('Anlage 2b_Korrekturen'!$B$700:$B$1160,A3415,'Anlage 2b_Korrekturen'!$D$700:$D$1160)</f>
        <v>67911</v>
      </c>
      <c r="D3415" s="135">
        <f t="shared" si="123"/>
        <v>170268045</v>
      </c>
      <c r="E3415" s="133" t="s">
        <v>1783</v>
      </c>
      <c r="F3415" s="133"/>
      <c r="G3415" s="133"/>
      <c r="H3415" s="133"/>
    </row>
    <row r="3416" spans="1:8" hidden="1" outlineLevel="1">
      <c r="A3416" s="418" t="s">
        <v>1472</v>
      </c>
      <c r="B3416" s="406">
        <v>17628843</v>
      </c>
      <c r="C3416" s="88">
        <f>+SUMIF('Anlage 2b_Korrekturen'!$B$700:$B$1160,A3416,'Anlage 2b_Korrekturen'!$D$700:$D$1160)</f>
        <v>121398</v>
      </c>
      <c r="D3416" s="135">
        <f t="shared" si="123"/>
        <v>17750241</v>
      </c>
      <c r="E3416" s="133" t="s">
        <v>1473</v>
      </c>
      <c r="F3416" s="133"/>
      <c r="G3416" s="133"/>
      <c r="H3416" s="133"/>
    </row>
    <row r="3417" spans="1:8" hidden="1" outlineLevel="1">
      <c r="A3417" s="418" t="s">
        <v>1692</v>
      </c>
      <c r="B3417" s="406">
        <v>43910870</v>
      </c>
      <c r="C3417" s="88">
        <f>+SUMIF('Anlage 2b_Korrekturen'!$B$700:$B$1160,A3417,'Anlage 2b_Korrekturen'!$D$700:$D$1160)</f>
        <v>0</v>
      </c>
      <c r="D3417" s="135">
        <f t="shared" si="123"/>
        <v>43910870</v>
      </c>
      <c r="E3417" s="133" t="s">
        <v>1693</v>
      </c>
      <c r="F3417" s="133"/>
      <c r="G3417" s="133"/>
      <c r="H3417" s="133"/>
    </row>
    <row r="3418" spans="1:8" hidden="1" outlineLevel="1">
      <c r="A3418" s="418" t="s">
        <v>2271</v>
      </c>
      <c r="B3418" s="406">
        <v>17052855.559999999</v>
      </c>
      <c r="C3418" s="88">
        <f>+SUMIF('Anlage 2b_Korrekturen'!$B$700:$B$1160,A3418,'Anlage 2b_Korrekturen'!$D$700:$D$1160)</f>
        <v>0</v>
      </c>
      <c r="D3418" s="135">
        <f t="shared" si="123"/>
        <v>17052855.559999999</v>
      </c>
      <c r="E3418" s="133" t="s">
        <v>2272</v>
      </c>
      <c r="F3418" s="133"/>
      <c r="G3418" s="133"/>
      <c r="H3418" s="133"/>
    </row>
    <row r="3419" spans="1:8" hidden="1" outlineLevel="1">
      <c r="A3419" s="418" t="s">
        <v>1687</v>
      </c>
      <c r="B3419" s="406">
        <v>55129446.170000002</v>
      </c>
      <c r="C3419" s="88">
        <f>+SUMIF('Anlage 2b_Korrekturen'!$B$700:$B$1160,A3419,'Anlage 2b_Korrekturen'!$D$700:$D$1160)</f>
        <v>0</v>
      </c>
      <c r="D3419" s="135">
        <f t="shared" si="123"/>
        <v>55129446.170000002</v>
      </c>
      <c r="E3419" s="133" t="s">
        <v>1688</v>
      </c>
      <c r="F3419" s="133"/>
      <c r="G3419" s="133"/>
      <c r="H3419" s="133"/>
    </row>
    <row r="3420" spans="1:8" hidden="1" outlineLevel="1">
      <c r="A3420" s="418" t="s">
        <v>2273</v>
      </c>
      <c r="B3420" s="406">
        <v>84458765</v>
      </c>
      <c r="C3420" s="88">
        <f>+SUMIF('Anlage 2b_Korrekturen'!$B$700:$B$1160,A3420,'Anlage 2b_Korrekturen'!$D$700:$D$1160)</f>
        <v>0</v>
      </c>
      <c r="D3420" s="135">
        <f t="shared" si="123"/>
        <v>84458765</v>
      </c>
      <c r="E3420" s="133" t="s">
        <v>2274</v>
      </c>
      <c r="F3420" s="133"/>
      <c r="G3420" s="133"/>
      <c r="H3420" s="133"/>
    </row>
    <row r="3421" spans="1:8" hidden="1" outlineLevel="1">
      <c r="A3421" s="418" t="s">
        <v>1498</v>
      </c>
      <c r="B3421" s="406">
        <v>5811968</v>
      </c>
      <c r="C3421" s="88">
        <f>+SUMIF('Anlage 2b_Korrekturen'!$B$700:$B$1160,A3421,'Anlage 2b_Korrekturen'!$D$700:$D$1160)</f>
        <v>0</v>
      </c>
      <c r="D3421" s="135">
        <f t="shared" si="123"/>
        <v>5811968</v>
      </c>
      <c r="E3421" s="133" t="s">
        <v>1499</v>
      </c>
      <c r="F3421" s="133"/>
      <c r="G3421" s="133"/>
      <c r="H3421" s="133"/>
    </row>
    <row r="3422" spans="1:8" hidden="1" outlineLevel="1">
      <c r="A3422" s="418" t="s">
        <v>1508</v>
      </c>
      <c r="B3422" s="406">
        <v>150560898</v>
      </c>
      <c r="C3422" s="88">
        <f>+SUMIF('Anlage 2b_Korrekturen'!$B$700:$B$1160,A3422,'Anlage 2b_Korrekturen'!$D$700:$D$1160)</f>
        <v>-476055</v>
      </c>
      <c r="D3422" s="135">
        <f t="shared" si="123"/>
        <v>150084843</v>
      </c>
      <c r="E3422" s="133" t="s">
        <v>1509</v>
      </c>
      <c r="F3422" s="133"/>
      <c r="G3422" s="133"/>
      <c r="H3422" s="133"/>
    </row>
    <row r="3423" spans="1:8" hidden="1" outlineLevel="1">
      <c r="A3423" s="418" t="s">
        <v>1305</v>
      </c>
      <c r="B3423" s="406">
        <v>286944772.958</v>
      </c>
      <c r="C3423" s="88">
        <f>+SUMIF('Anlage 2b_Korrekturen'!$B$700:$B$1160,A3423,'Anlage 2b_Korrekturen'!$D$700:$D$1160)</f>
        <v>-3355755.926</v>
      </c>
      <c r="D3423" s="135">
        <f t="shared" si="123"/>
        <v>283589017.03200001</v>
      </c>
      <c r="E3423" s="133" t="s">
        <v>1306</v>
      </c>
      <c r="F3423" s="133"/>
      <c r="G3423" s="133"/>
      <c r="H3423" s="133"/>
    </row>
    <row r="3424" spans="1:8" hidden="1" outlineLevel="1">
      <c r="A3424" s="418" t="s">
        <v>1810</v>
      </c>
      <c r="B3424" s="406">
        <v>65741321</v>
      </c>
      <c r="C3424" s="88">
        <f>+SUMIF('Anlage 2b_Korrekturen'!$B$700:$B$1160,A3424,'Anlage 2b_Korrekturen'!$D$700:$D$1160)</f>
        <v>-591432</v>
      </c>
      <c r="D3424" s="135">
        <f t="shared" si="123"/>
        <v>65149889</v>
      </c>
      <c r="E3424" s="133" t="s">
        <v>1811</v>
      </c>
      <c r="F3424" s="133"/>
      <c r="G3424" s="133"/>
      <c r="H3424" s="133"/>
    </row>
    <row r="3425" spans="1:8" hidden="1" outlineLevel="1">
      <c r="A3425" s="418" t="s">
        <v>542</v>
      </c>
      <c r="B3425" s="406">
        <v>425</v>
      </c>
      <c r="C3425" s="88">
        <f>+SUMIF('Anlage 2b_Korrekturen'!$B$700:$B$1160,A3425,'Anlage 2b_Korrekturen'!$D$700:$D$1160)</f>
        <v>0</v>
      </c>
      <c r="D3425" s="135">
        <f t="shared" si="123"/>
        <v>425</v>
      </c>
      <c r="E3425" s="133" t="s">
        <v>543</v>
      </c>
      <c r="F3425" s="133"/>
      <c r="G3425" s="133"/>
      <c r="H3425" s="133"/>
    </row>
    <row r="3426" spans="1:8" hidden="1" outlineLevel="1">
      <c r="A3426" s="418" t="s">
        <v>2275</v>
      </c>
      <c r="B3426" s="406">
        <v>54148466.409999996</v>
      </c>
      <c r="C3426" s="88">
        <f>+SUMIF('Anlage 2b_Korrekturen'!$B$700:$B$1160,A3426,'Anlage 2b_Korrekturen'!$D$700:$D$1160)</f>
        <v>-1755220.456</v>
      </c>
      <c r="D3426" s="135">
        <f t="shared" si="123"/>
        <v>52393245.953999996</v>
      </c>
      <c r="E3426" s="133" t="s">
        <v>2276</v>
      </c>
      <c r="F3426" s="133"/>
      <c r="G3426" s="133"/>
      <c r="H3426" s="133"/>
    </row>
    <row r="3427" spans="1:8" hidden="1" outlineLevel="1">
      <c r="A3427" s="418" t="s">
        <v>726</v>
      </c>
      <c r="B3427" s="406">
        <v>29219608</v>
      </c>
      <c r="C3427" s="88">
        <f>+SUMIF('Anlage 2b_Korrekturen'!$B$700:$B$1160,A3427,'Anlage 2b_Korrekturen'!$D$700:$D$1160)</f>
        <v>-543812</v>
      </c>
      <c r="D3427" s="135">
        <f t="shared" si="123"/>
        <v>28675796</v>
      </c>
      <c r="E3427" s="133" t="s">
        <v>727</v>
      </c>
      <c r="F3427" s="133"/>
      <c r="G3427" s="133"/>
      <c r="H3427" s="133"/>
    </row>
    <row r="3428" spans="1:8" hidden="1" outlineLevel="1">
      <c r="A3428" s="418" t="s">
        <v>1370</v>
      </c>
      <c r="B3428" s="406">
        <v>23715939.199999999</v>
      </c>
      <c r="C3428" s="88">
        <f>+SUMIF('Anlage 2b_Korrekturen'!$B$700:$B$1160,A3428,'Anlage 2b_Korrekturen'!$D$700:$D$1160)</f>
        <v>-6441.2400000000007</v>
      </c>
      <c r="D3428" s="135">
        <f t="shared" si="123"/>
        <v>23709497.960000001</v>
      </c>
      <c r="E3428" s="133" t="s">
        <v>1371</v>
      </c>
      <c r="F3428" s="133"/>
      <c r="G3428" s="133"/>
      <c r="H3428" s="133"/>
    </row>
    <row r="3429" spans="1:8" hidden="1" outlineLevel="1">
      <c r="A3429" s="418" t="s">
        <v>1522</v>
      </c>
      <c r="B3429" s="406">
        <v>285750523</v>
      </c>
      <c r="C3429" s="88">
        <f>+SUMIF('Anlage 2b_Korrekturen'!$B$700:$B$1160,A3429,'Anlage 2b_Korrekturen'!$D$700:$D$1160)</f>
        <v>58756</v>
      </c>
      <c r="D3429" s="135">
        <f t="shared" si="123"/>
        <v>285809279</v>
      </c>
      <c r="E3429" s="133" t="s">
        <v>1523</v>
      </c>
      <c r="F3429" s="133"/>
      <c r="G3429" s="133"/>
      <c r="H3429" s="133"/>
    </row>
    <row r="3430" spans="1:8" hidden="1" outlineLevel="1">
      <c r="A3430" s="418" t="s">
        <v>1223</v>
      </c>
      <c r="B3430" s="406">
        <v>61340176.417000003</v>
      </c>
      <c r="C3430" s="88">
        <f>+SUMIF('Anlage 2b_Korrekturen'!$B$700:$B$1160,A3430,'Anlage 2b_Korrekturen'!$D$700:$D$1160)</f>
        <v>1745432.7000000002</v>
      </c>
      <c r="D3430" s="135">
        <f t="shared" si="123"/>
        <v>63085609.117000006</v>
      </c>
      <c r="E3430" s="133" t="s">
        <v>1224</v>
      </c>
      <c r="F3430" s="133"/>
      <c r="G3430" s="133"/>
      <c r="H3430" s="133"/>
    </row>
    <row r="3431" spans="1:8" hidden="1" outlineLevel="1">
      <c r="A3431" s="418" t="s">
        <v>1432</v>
      </c>
      <c r="B3431" s="406">
        <v>66518865.289999999</v>
      </c>
      <c r="C3431" s="88">
        <f>+SUMIF('Anlage 2b_Korrekturen'!$B$700:$B$1160,A3431,'Anlage 2b_Korrekturen'!$D$700:$D$1160)</f>
        <v>471138.53</v>
      </c>
      <c r="D3431" s="135">
        <f t="shared" si="123"/>
        <v>66990003.82</v>
      </c>
      <c r="E3431" s="133" t="s">
        <v>1433</v>
      </c>
      <c r="F3431" s="133"/>
      <c r="G3431" s="133"/>
      <c r="H3431" s="133"/>
    </row>
    <row r="3432" spans="1:8" hidden="1" outlineLevel="1">
      <c r="A3432" s="418" t="s">
        <v>1364</v>
      </c>
      <c r="B3432" s="406">
        <v>71946527.569999993</v>
      </c>
      <c r="C3432" s="88">
        <f>+SUMIF('Anlage 2b_Korrekturen'!$B$700:$B$1160,A3432,'Anlage 2b_Korrekturen'!$D$700:$D$1160)</f>
        <v>-111869.48999999999</v>
      </c>
      <c r="D3432" s="135">
        <f t="shared" si="123"/>
        <v>71834658.079999998</v>
      </c>
      <c r="E3432" s="133" t="s">
        <v>1365</v>
      </c>
      <c r="F3432" s="133"/>
      <c r="G3432" s="133"/>
      <c r="H3432" s="133"/>
    </row>
    <row r="3433" spans="1:8" hidden="1" outlineLevel="1">
      <c r="A3433" s="418" t="s">
        <v>1822</v>
      </c>
      <c r="B3433" s="406">
        <v>62101329</v>
      </c>
      <c r="C3433" s="88">
        <f>+SUMIF('Anlage 2b_Korrekturen'!$B$700:$B$1160,A3433,'Anlage 2b_Korrekturen'!$D$700:$D$1160)</f>
        <v>0</v>
      </c>
      <c r="D3433" s="135">
        <f t="shared" si="123"/>
        <v>62101329</v>
      </c>
      <c r="E3433" s="133" t="s">
        <v>1823</v>
      </c>
      <c r="F3433" s="133"/>
      <c r="G3433" s="133"/>
      <c r="H3433" s="133"/>
    </row>
    <row r="3434" spans="1:8" hidden="1" outlineLevel="1">
      <c r="A3434" s="418" t="s">
        <v>1285</v>
      </c>
      <c r="B3434" s="406">
        <v>56923785</v>
      </c>
      <c r="C3434" s="88">
        <f>+SUMIF('Anlage 2b_Korrekturen'!$B$700:$B$1160,A3434,'Anlage 2b_Korrekturen'!$D$700:$D$1160)</f>
        <v>345957</v>
      </c>
      <c r="D3434" s="135">
        <f t="shared" si="123"/>
        <v>57269742</v>
      </c>
      <c r="E3434" s="133" t="s">
        <v>1286</v>
      </c>
      <c r="F3434" s="133"/>
      <c r="G3434" s="133"/>
      <c r="H3434" s="133"/>
    </row>
    <row r="3435" spans="1:8" hidden="1" outlineLevel="1">
      <c r="A3435" s="418" t="s">
        <v>768</v>
      </c>
      <c r="B3435" s="406">
        <v>18898261.960000001</v>
      </c>
      <c r="C3435" s="88">
        <f>+SUMIF('Anlage 2b_Korrekturen'!$B$700:$B$1160,A3435,'Anlage 2b_Korrekturen'!$D$700:$D$1160)</f>
        <v>98379.790000000008</v>
      </c>
      <c r="D3435" s="135">
        <f t="shared" si="123"/>
        <v>18996641.75</v>
      </c>
      <c r="E3435" s="133" t="s">
        <v>769</v>
      </c>
      <c r="F3435" s="133"/>
      <c r="G3435" s="133"/>
      <c r="H3435" s="133"/>
    </row>
    <row r="3436" spans="1:8" hidden="1" outlineLevel="1">
      <c r="A3436" s="418" t="s">
        <v>2277</v>
      </c>
      <c r="B3436" s="406">
        <v>11430636.313999999</v>
      </c>
      <c r="C3436" s="88">
        <f>+SUMIF('Anlage 2b_Korrekturen'!$B$700:$B$1160,A3436,'Anlage 2b_Korrekturen'!$D$700:$D$1160)</f>
        <v>0</v>
      </c>
      <c r="D3436" s="135">
        <f t="shared" si="123"/>
        <v>11430636.313999999</v>
      </c>
      <c r="E3436" s="133" t="s">
        <v>2278</v>
      </c>
      <c r="F3436" s="133"/>
      <c r="G3436" s="133"/>
      <c r="H3436" s="133"/>
    </row>
    <row r="3437" spans="1:8" hidden="1" outlineLevel="1">
      <c r="A3437" s="418" t="s">
        <v>2279</v>
      </c>
      <c r="B3437" s="406">
        <v>31719930</v>
      </c>
      <c r="C3437" s="88">
        <f>+SUMIF('Anlage 2b_Korrekturen'!$B$700:$B$1160,A3437,'Anlage 2b_Korrekturen'!$D$700:$D$1160)</f>
        <v>0</v>
      </c>
      <c r="D3437" s="135">
        <f t="shared" si="123"/>
        <v>31719930</v>
      </c>
      <c r="E3437" s="133" t="s">
        <v>2280</v>
      </c>
      <c r="F3437" s="133"/>
      <c r="G3437" s="133"/>
      <c r="H3437" s="133"/>
    </row>
    <row r="3438" spans="1:8" hidden="1" outlineLevel="1">
      <c r="A3438" s="418" t="s">
        <v>2281</v>
      </c>
      <c r="B3438" s="406">
        <v>3234498.84</v>
      </c>
      <c r="C3438" s="88">
        <f>+SUMIF('Anlage 2b_Korrekturen'!$B$700:$B$1160,A3438,'Anlage 2b_Korrekturen'!$D$700:$D$1160)</f>
        <v>35431.49</v>
      </c>
      <c r="D3438" s="135">
        <f t="shared" si="123"/>
        <v>3269930.33</v>
      </c>
      <c r="E3438" s="133" t="s">
        <v>2282</v>
      </c>
      <c r="F3438" s="133"/>
      <c r="G3438" s="133"/>
      <c r="H3438" s="133"/>
    </row>
    <row r="3439" spans="1:8" hidden="1" outlineLevel="1">
      <c r="A3439" s="418" t="s">
        <v>1826</v>
      </c>
      <c r="B3439" s="406">
        <v>216149409</v>
      </c>
      <c r="C3439" s="88">
        <f>+SUMIF('Anlage 2b_Korrekturen'!$B$700:$B$1160,A3439,'Anlage 2b_Korrekturen'!$D$700:$D$1160)</f>
        <v>0</v>
      </c>
      <c r="D3439" s="135">
        <f t="shared" si="123"/>
        <v>216149409</v>
      </c>
      <c r="E3439" s="133" t="s">
        <v>1827</v>
      </c>
      <c r="F3439" s="133"/>
      <c r="G3439" s="133"/>
      <c r="H3439" s="133"/>
    </row>
    <row r="3440" spans="1:8" hidden="1" outlineLevel="1">
      <c r="A3440" s="418" t="s">
        <v>2283</v>
      </c>
      <c r="B3440" s="406">
        <v>28456465.449999999</v>
      </c>
      <c r="C3440" s="88">
        <f>+SUMIF('Anlage 2b_Korrekturen'!$B$700:$B$1160,A3440,'Anlage 2b_Korrekturen'!$D$700:$D$1160)</f>
        <v>0</v>
      </c>
      <c r="D3440" s="135">
        <f t="shared" si="123"/>
        <v>28456465.449999999</v>
      </c>
      <c r="E3440" s="133" t="s">
        <v>2284</v>
      </c>
      <c r="F3440" s="133"/>
      <c r="G3440" s="133"/>
      <c r="H3440" s="133"/>
    </row>
    <row r="3441" spans="1:8" hidden="1" outlineLevel="1">
      <c r="A3441" s="418" t="s">
        <v>2285</v>
      </c>
      <c r="B3441" s="406">
        <v>695288</v>
      </c>
      <c r="C3441" s="88">
        <f>+SUMIF('Anlage 2b_Korrekturen'!$B$700:$B$1160,A3441,'Anlage 2b_Korrekturen'!$D$700:$D$1160)</f>
        <v>189631</v>
      </c>
      <c r="D3441" s="135">
        <f t="shared" si="123"/>
        <v>884919</v>
      </c>
      <c r="E3441" s="133" t="s">
        <v>2286</v>
      </c>
      <c r="F3441" s="133"/>
      <c r="G3441" s="133"/>
      <c r="H3441" s="133"/>
    </row>
    <row r="3442" spans="1:8" hidden="1" outlineLevel="1">
      <c r="A3442" s="418" t="s">
        <v>2287</v>
      </c>
      <c r="B3442" s="406">
        <v>0</v>
      </c>
      <c r="C3442" s="88">
        <f>+SUMIF('Anlage 2b_Korrekturen'!$B$700:$B$1160,A3442,'Anlage 2b_Korrekturen'!$D$700:$D$1160)</f>
        <v>-2936497</v>
      </c>
      <c r="D3442" s="135">
        <f>B3442+C3442</f>
        <v>-2936497</v>
      </c>
      <c r="E3442" s="133" t="s">
        <v>2288</v>
      </c>
      <c r="F3442" s="133"/>
      <c r="G3442" s="133"/>
      <c r="H3442" s="133"/>
    </row>
    <row r="3443" spans="1:8" hidden="1" outlineLevel="1">
      <c r="A3443" s="418" t="s">
        <v>2289</v>
      </c>
      <c r="B3443" s="406">
        <v>0</v>
      </c>
      <c r="C3443" s="88">
        <f>+SUMIF('Anlage 2b_Korrekturen'!$B$700:$B$1160,A3443,'Anlage 2b_Korrekturen'!$D$700:$D$1160)</f>
        <v>-2646033</v>
      </c>
      <c r="D3443" s="135">
        <f>B3443+C3443</f>
        <v>-2646033</v>
      </c>
      <c r="E3443" s="133" t="s">
        <v>2290</v>
      </c>
      <c r="F3443" s="133"/>
      <c r="G3443" s="133"/>
      <c r="H3443" s="133"/>
    </row>
    <row r="3444" spans="1:8" ht="13.5" collapsed="1" thickBot="1">
      <c r="A3444" s="419" t="str">
        <f>A741</f>
        <v>Regelzone TransnetBW (gesamt)</v>
      </c>
      <c r="B3444" s="412">
        <f>SUM(B3445:B3582)</f>
        <v>47420658353</v>
      </c>
      <c r="C3444" s="930">
        <f>SUM(C3445:C3582)</f>
        <v>374855279</v>
      </c>
      <c r="D3444" s="143">
        <f>B3444+C3444</f>
        <v>47795513632</v>
      </c>
      <c r="E3444" s="133"/>
      <c r="F3444" s="133"/>
      <c r="G3444" s="133"/>
      <c r="H3444" s="133"/>
    </row>
    <row r="3445" spans="1:8" hidden="1" outlineLevel="1">
      <c r="A3445" s="418" t="s">
        <v>1829</v>
      </c>
      <c r="B3445" s="406">
        <v>224148973</v>
      </c>
      <c r="C3445" s="88">
        <v>0</v>
      </c>
      <c r="D3445" s="135">
        <v>224148973</v>
      </c>
      <c r="E3445" s="133" t="s">
        <v>1830</v>
      </c>
      <c r="F3445" s="133"/>
      <c r="G3445" s="133"/>
      <c r="H3445" s="133"/>
    </row>
    <row r="3446" spans="1:8" hidden="1" outlineLevel="1">
      <c r="A3446" s="418" t="s">
        <v>1831</v>
      </c>
      <c r="B3446" s="406">
        <v>442743740</v>
      </c>
      <c r="C3446" s="88">
        <v>-4607299</v>
      </c>
      <c r="D3446" s="135">
        <v>438136441</v>
      </c>
      <c r="E3446" s="133" t="s">
        <v>1832</v>
      </c>
      <c r="F3446" s="133"/>
      <c r="G3446" s="133"/>
      <c r="H3446" s="133"/>
    </row>
    <row r="3447" spans="1:8" hidden="1" outlineLevel="1">
      <c r="A3447" s="418" t="s">
        <v>1833</v>
      </c>
      <c r="B3447" s="406">
        <v>1311009168</v>
      </c>
      <c r="C3447" s="88">
        <v>0</v>
      </c>
      <c r="D3447" s="135">
        <v>1311009168</v>
      </c>
      <c r="E3447" s="133" t="s">
        <v>1834</v>
      </c>
      <c r="F3447" s="133"/>
      <c r="G3447" s="133"/>
      <c r="H3447" s="133"/>
    </row>
    <row r="3448" spans="1:8" hidden="1" outlineLevel="1">
      <c r="A3448" s="418" t="s">
        <v>2291</v>
      </c>
      <c r="B3448" s="406">
        <v>11021823</v>
      </c>
      <c r="C3448" s="88">
        <v>0</v>
      </c>
      <c r="D3448" s="135">
        <v>11021823</v>
      </c>
      <c r="E3448" s="133" t="s">
        <v>2292</v>
      </c>
      <c r="F3448" s="133"/>
      <c r="G3448" s="133"/>
      <c r="H3448" s="133"/>
    </row>
    <row r="3449" spans="1:8" hidden="1" outlineLevel="1">
      <c r="A3449" s="418" t="s">
        <v>1021</v>
      </c>
      <c r="B3449" s="406">
        <v>2202632333</v>
      </c>
      <c r="C3449" s="88">
        <v>-1748819</v>
      </c>
      <c r="D3449" s="135">
        <v>2200883514</v>
      </c>
      <c r="E3449" s="133" t="s">
        <v>944</v>
      </c>
      <c r="F3449" s="133"/>
      <c r="G3449" s="133"/>
      <c r="H3449" s="133"/>
    </row>
    <row r="3450" spans="1:8" hidden="1" outlineLevel="1">
      <c r="A3450" s="418" t="s">
        <v>1835</v>
      </c>
      <c r="B3450" s="406">
        <v>131934180</v>
      </c>
      <c r="C3450" s="88">
        <v>-189244</v>
      </c>
      <c r="D3450" s="135">
        <v>131744936</v>
      </c>
      <c r="E3450" s="133" t="s">
        <v>1836</v>
      </c>
      <c r="F3450" s="133"/>
      <c r="G3450" s="133"/>
      <c r="H3450" s="133"/>
    </row>
    <row r="3451" spans="1:8" hidden="1" outlineLevel="1">
      <c r="A3451" s="418" t="s">
        <v>542</v>
      </c>
      <c r="B3451" s="406">
        <v>2679916</v>
      </c>
      <c r="C3451" s="88">
        <v>-2164</v>
      </c>
      <c r="D3451" s="135">
        <v>2677752</v>
      </c>
      <c r="E3451" s="133" t="s">
        <v>543</v>
      </c>
      <c r="F3451" s="133"/>
      <c r="G3451" s="133"/>
      <c r="H3451" s="133"/>
    </row>
    <row r="3452" spans="1:8" hidden="1" outlineLevel="1">
      <c r="A3452" s="418" t="s">
        <v>1837</v>
      </c>
      <c r="B3452" s="406">
        <v>149934845</v>
      </c>
      <c r="C3452" s="88">
        <v>1531557</v>
      </c>
      <c r="D3452" s="135">
        <v>151466402</v>
      </c>
      <c r="E3452" s="133" t="s">
        <v>1838</v>
      </c>
      <c r="F3452" s="133"/>
      <c r="G3452" s="133"/>
      <c r="H3452" s="133"/>
    </row>
    <row r="3453" spans="1:8" hidden="1" outlineLevel="1">
      <c r="A3453" s="418" t="s">
        <v>1839</v>
      </c>
      <c r="B3453" s="406">
        <v>80922840</v>
      </c>
      <c r="C3453" s="88">
        <v>-53929</v>
      </c>
      <c r="D3453" s="135">
        <v>80868911</v>
      </c>
      <c r="E3453" s="133" t="s">
        <v>1840</v>
      </c>
      <c r="F3453" s="133"/>
      <c r="G3453" s="133"/>
      <c r="H3453" s="133"/>
    </row>
    <row r="3454" spans="1:8" hidden="1" outlineLevel="1">
      <c r="A3454" s="418" t="s">
        <v>1841</v>
      </c>
      <c r="B3454" s="406">
        <v>17322939</v>
      </c>
      <c r="C3454" s="88">
        <v>-141183</v>
      </c>
      <c r="D3454" s="135">
        <v>17181756</v>
      </c>
      <c r="E3454" s="133" t="s">
        <v>1842</v>
      </c>
      <c r="F3454" s="133"/>
      <c r="G3454" s="133"/>
      <c r="H3454" s="133"/>
    </row>
    <row r="3455" spans="1:8" hidden="1" outlineLevel="1">
      <c r="A3455" s="418" t="s">
        <v>1843</v>
      </c>
      <c r="B3455" s="406">
        <v>25395615</v>
      </c>
      <c r="C3455" s="88">
        <v>-10942330</v>
      </c>
      <c r="D3455" s="135">
        <v>14453285</v>
      </c>
      <c r="E3455" s="133" t="s">
        <v>1844</v>
      </c>
      <c r="F3455" s="133"/>
      <c r="G3455" s="133"/>
      <c r="H3455" s="133"/>
    </row>
    <row r="3456" spans="1:8" hidden="1" outlineLevel="1">
      <c r="A3456" s="418" t="s">
        <v>1845</v>
      </c>
      <c r="B3456" s="406">
        <v>151601296</v>
      </c>
      <c r="C3456" s="88">
        <v>784164</v>
      </c>
      <c r="D3456" s="135">
        <v>152385460</v>
      </c>
      <c r="E3456" s="133" t="s">
        <v>1846</v>
      </c>
      <c r="F3456" s="133"/>
      <c r="G3456" s="133"/>
      <c r="H3456" s="133"/>
    </row>
    <row r="3457" spans="1:8" hidden="1" outlineLevel="1">
      <c r="A3457" s="418" t="s">
        <v>1847</v>
      </c>
      <c r="B3457" s="406">
        <v>40400137</v>
      </c>
      <c r="C3457" s="88">
        <v>3227707</v>
      </c>
      <c r="D3457" s="135">
        <v>43627844</v>
      </c>
      <c r="E3457" s="133" t="s">
        <v>1848</v>
      </c>
      <c r="F3457" s="133"/>
      <c r="G3457" s="133"/>
      <c r="H3457" s="133"/>
    </row>
    <row r="3458" spans="1:8" hidden="1" outlineLevel="1">
      <c r="A3458" s="418" t="s">
        <v>2293</v>
      </c>
      <c r="B3458" s="406">
        <v>9988024</v>
      </c>
      <c r="C3458" s="88">
        <v>-241327</v>
      </c>
      <c r="D3458" s="135">
        <v>9746697</v>
      </c>
      <c r="E3458" s="133" t="s">
        <v>2294</v>
      </c>
      <c r="F3458" s="133"/>
      <c r="G3458" s="133"/>
      <c r="H3458" s="133"/>
    </row>
    <row r="3459" spans="1:8" hidden="1" outlineLevel="1">
      <c r="A3459" s="418" t="s">
        <v>1849</v>
      </c>
      <c r="B3459" s="406">
        <v>38440867</v>
      </c>
      <c r="C3459" s="88">
        <v>3900</v>
      </c>
      <c r="D3459" s="135">
        <v>38444767</v>
      </c>
      <c r="E3459" s="133" t="s">
        <v>1850</v>
      </c>
      <c r="F3459" s="133"/>
      <c r="G3459" s="133"/>
      <c r="H3459" s="133"/>
    </row>
    <row r="3460" spans="1:8" hidden="1" outlineLevel="1">
      <c r="A3460" s="418" t="s">
        <v>1851</v>
      </c>
      <c r="B3460" s="406">
        <v>36371963</v>
      </c>
      <c r="C3460" s="88">
        <v>0</v>
      </c>
      <c r="D3460" s="135">
        <v>36371963</v>
      </c>
      <c r="E3460" s="133" t="s">
        <v>1852</v>
      </c>
      <c r="F3460" s="133"/>
      <c r="G3460" s="133"/>
      <c r="H3460" s="133"/>
    </row>
    <row r="3461" spans="1:8" hidden="1" outlineLevel="1">
      <c r="A3461" s="418" t="s">
        <v>1853</v>
      </c>
      <c r="B3461" s="406">
        <v>63018175</v>
      </c>
      <c r="C3461" s="88">
        <v>2064829</v>
      </c>
      <c r="D3461" s="135">
        <v>65083004</v>
      </c>
      <c r="E3461" s="133" t="s">
        <v>1854</v>
      </c>
      <c r="F3461" s="133"/>
      <c r="G3461" s="133"/>
      <c r="H3461" s="133"/>
    </row>
    <row r="3462" spans="1:8" hidden="1" outlineLevel="1">
      <c r="A3462" s="418" t="s">
        <v>1855</v>
      </c>
      <c r="B3462" s="406">
        <v>219396407</v>
      </c>
      <c r="C3462" s="88">
        <v>-30032739</v>
      </c>
      <c r="D3462" s="135">
        <v>189363668</v>
      </c>
      <c r="E3462" s="133" t="s">
        <v>1856</v>
      </c>
      <c r="F3462" s="133"/>
      <c r="G3462" s="133"/>
      <c r="H3462" s="133"/>
    </row>
    <row r="3463" spans="1:8" hidden="1" outlineLevel="1">
      <c r="A3463" s="418" t="s">
        <v>1857</v>
      </c>
      <c r="B3463" s="406">
        <v>24576171</v>
      </c>
      <c r="C3463" s="88">
        <v>0</v>
      </c>
      <c r="D3463" s="135">
        <v>24576171</v>
      </c>
      <c r="E3463" s="133" t="s">
        <v>1858</v>
      </c>
      <c r="F3463" s="133"/>
      <c r="G3463" s="133"/>
      <c r="H3463" s="133"/>
    </row>
    <row r="3464" spans="1:8" hidden="1" outlineLevel="1">
      <c r="A3464" s="418" t="s">
        <v>1859</v>
      </c>
      <c r="B3464" s="406">
        <v>215134716</v>
      </c>
      <c r="C3464" s="88">
        <v>1293989</v>
      </c>
      <c r="D3464" s="135">
        <v>216428705</v>
      </c>
      <c r="E3464" s="133" t="s">
        <v>1860</v>
      </c>
      <c r="F3464" s="133"/>
      <c r="G3464" s="133"/>
      <c r="H3464" s="133"/>
    </row>
    <row r="3465" spans="1:8" hidden="1" outlineLevel="1">
      <c r="A3465" s="418" t="s">
        <v>1861</v>
      </c>
      <c r="B3465" s="406">
        <v>63341081</v>
      </c>
      <c r="C3465" s="88">
        <v>4706075</v>
      </c>
      <c r="D3465" s="135">
        <v>68047156</v>
      </c>
      <c r="E3465" s="133" t="s">
        <v>1862</v>
      </c>
      <c r="F3465" s="133"/>
      <c r="G3465" s="133"/>
      <c r="H3465" s="133"/>
    </row>
    <row r="3466" spans="1:8" hidden="1" outlineLevel="1">
      <c r="A3466" s="418" t="s">
        <v>1863</v>
      </c>
      <c r="B3466" s="406">
        <v>113720218</v>
      </c>
      <c r="C3466" s="88">
        <v>-6452227</v>
      </c>
      <c r="D3466" s="135">
        <v>107267991</v>
      </c>
      <c r="E3466" s="133" t="s">
        <v>1864</v>
      </c>
      <c r="F3466" s="133"/>
      <c r="G3466" s="133"/>
      <c r="H3466" s="133"/>
    </row>
    <row r="3467" spans="1:8" hidden="1" outlineLevel="1">
      <c r="A3467" s="418" t="s">
        <v>1865</v>
      </c>
      <c r="B3467" s="406">
        <v>118563011</v>
      </c>
      <c r="C3467" s="88">
        <v>9397030</v>
      </c>
      <c r="D3467" s="135">
        <v>127960041</v>
      </c>
      <c r="E3467" s="133" t="s">
        <v>1866</v>
      </c>
      <c r="F3467" s="133"/>
      <c r="G3467" s="133"/>
      <c r="H3467" s="133"/>
    </row>
    <row r="3468" spans="1:8" hidden="1" outlineLevel="1">
      <c r="A3468" s="418" t="s">
        <v>1867</v>
      </c>
      <c r="B3468" s="406">
        <v>66029882</v>
      </c>
      <c r="C3468" s="88">
        <v>0</v>
      </c>
      <c r="D3468" s="135">
        <v>66029882</v>
      </c>
      <c r="E3468" s="133" t="s">
        <v>1868</v>
      </c>
      <c r="F3468" s="133"/>
      <c r="G3468" s="133"/>
      <c r="H3468" s="133"/>
    </row>
    <row r="3469" spans="1:8" hidden="1" outlineLevel="1">
      <c r="A3469" s="418" t="s">
        <v>1869</v>
      </c>
      <c r="B3469" s="406">
        <v>188306175</v>
      </c>
      <c r="C3469" s="88">
        <v>-3867177</v>
      </c>
      <c r="D3469" s="135">
        <v>184438998</v>
      </c>
      <c r="E3469" s="133" t="s">
        <v>1870</v>
      </c>
      <c r="F3469" s="133"/>
      <c r="G3469" s="133"/>
      <c r="H3469" s="133"/>
    </row>
    <row r="3470" spans="1:8" hidden="1" outlineLevel="1">
      <c r="A3470" s="418" t="s">
        <v>1871</v>
      </c>
      <c r="B3470" s="406">
        <v>16932167</v>
      </c>
      <c r="C3470" s="88">
        <v>0</v>
      </c>
      <c r="D3470" s="135">
        <v>16932167</v>
      </c>
      <c r="E3470" s="133" t="s">
        <v>1872</v>
      </c>
      <c r="F3470" s="133"/>
      <c r="G3470" s="133"/>
      <c r="H3470" s="133"/>
    </row>
    <row r="3471" spans="1:8" hidden="1" outlineLevel="1">
      <c r="A3471" s="418" t="s">
        <v>1873</v>
      </c>
      <c r="B3471" s="406">
        <v>919698752</v>
      </c>
      <c r="C3471" s="88">
        <v>-11401890</v>
      </c>
      <c r="D3471" s="135">
        <v>908296862</v>
      </c>
      <c r="E3471" s="133" t="s">
        <v>1874</v>
      </c>
      <c r="F3471" s="133"/>
      <c r="G3471" s="133"/>
      <c r="H3471" s="133"/>
    </row>
    <row r="3472" spans="1:8" hidden="1" outlineLevel="1">
      <c r="A3472" s="418" t="s">
        <v>799</v>
      </c>
      <c r="B3472" s="406">
        <v>5575163</v>
      </c>
      <c r="C3472" s="88">
        <v>0</v>
      </c>
      <c r="D3472" s="135">
        <v>5575163</v>
      </c>
      <c r="E3472" s="133" t="s">
        <v>800</v>
      </c>
      <c r="F3472" s="133"/>
      <c r="G3472" s="133"/>
      <c r="H3472" s="133"/>
    </row>
    <row r="3473" spans="1:8" hidden="1" outlineLevel="1">
      <c r="A3473" s="418" t="s">
        <v>2295</v>
      </c>
      <c r="B3473" s="406">
        <v>51472405</v>
      </c>
      <c r="C3473" s="88">
        <v>0</v>
      </c>
      <c r="D3473" s="135">
        <v>51472405</v>
      </c>
      <c r="E3473" s="133" t="s">
        <v>2296</v>
      </c>
      <c r="F3473" s="133"/>
      <c r="G3473" s="133"/>
      <c r="H3473" s="133"/>
    </row>
    <row r="3474" spans="1:8" hidden="1" outlineLevel="1">
      <c r="A3474" s="418" t="s">
        <v>2297</v>
      </c>
      <c r="B3474" s="406">
        <v>49465606</v>
      </c>
      <c r="C3474" s="88">
        <v>210524314</v>
      </c>
      <c r="D3474" s="135">
        <v>259989920</v>
      </c>
      <c r="E3474" s="133" t="s">
        <v>2298</v>
      </c>
      <c r="F3474" s="133"/>
      <c r="G3474" s="133"/>
      <c r="H3474" s="133"/>
    </row>
    <row r="3475" spans="1:8" hidden="1" outlineLevel="1">
      <c r="A3475" s="418" t="s">
        <v>1875</v>
      </c>
      <c r="B3475" s="406">
        <v>14077746</v>
      </c>
      <c r="C3475" s="88">
        <v>89184</v>
      </c>
      <c r="D3475" s="135">
        <v>14166930</v>
      </c>
      <c r="E3475" s="133" t="s">
        <v>1876</v>
      </c>
      <c r="F3475" s="133"/>
      <c r="G3475" s="133"/>
      <c r="H3475" s="133"/>
    </row>
    <row r="3476" spans="1:8" hidden="1" outlineLevel="1">
      <c r="A3476" s="418" t="s">
        <v>1877</v>
      </c>
      <c r="B3476" s="406">
        <v>10938181</v>
      </c>
      <c r="C3476" s="88">
        <v>0</v>
      </c>
      <c r="D3476" s="135">
        <v>10938181</v>
      </c>
      <c r="E3476" s="133" t="s">
        <v>1878</v>
      </c>
      <c r="F3476" s="133"/>
      <c r="G3476" s="133"/>
      <c r="H3476" s="133"/>
    </row>
    <row r="3477" spans="1:8" hidden="1" outlineLevel="1">
      <c r="A3477" s="418" t="s">
        <v>1879</v>
      </c>
      <c r="B3477" s="406">
        <v>43661438</v>
      </c>
      <c r="C3477" s="88">
        <v>178426</v>
      </c>
      <c r="D3477" s="135">
        <v>43839864</v>
      </c>
      <c r="E3477" s="133" t="s">
        <v>1880</v>
      </c>
      <c r="F3477" s="133"/>
      <c r="G3477" s="133"/>
      <c r="H3477" s="133"/>
    </row>
    <row r="3478" spans="1:8" hidden="1" outlineLevel="1">
      <c r="A3478" s="418" t="s">
        <v>1881</v>
      </c>
      <c r="B3478" s="406">
        <v>25317725</v>
      </c>
      <c r="C3478" s="88">
        <v>0</v>
      </c>
      <c r="D3478" s="135">
        <v>25317725</v>
      </c>
      <c r="E3478" s="133" t="s">
        <v>1882</v>
      </c>
      <c r="F3478" s="133"/>
      <c r="G3478" s="133"/>
      <c r="H3478" s="133"/>
    </row>
    <row r="3479" spans="1:8" hidden="1" outlineLevel="1">
      <c r="A3479" s="418" t="s">
        <v>1883</v>
      </c>
      <c r="B3479" s="406">
        <v>49847697</v>
      </c>
      <c r="C3479" s="88">
        <v>0</v>
      </c>
      <c r="D3479" s="135">
        <v>49847697</v>
      </c>
      <c r="E3479" s="133" t="s">
        <v>1884</v>
      </c>
      <c r="F3479" s="133"/>
      <c r="G3479" s="133"/>
      <c r="H3479" s="133"/>
    </row>
    <row r="3480" spans="1:8" hidden="1" outlineLevel="1">
      <c r="A3480" s="418" t="s">
        <v>2299</v>
      </c>
      <c r="B3480" s="406">
        <v>22965175</v>
      </c>
      <c r="C3480" s="88">
        <v>0</v>
      </c>
      <c r="D3480" s="135">
        <v>22965175</v>
      </c>
      <c r="E3480" s="133" t="s">
        <v>2300</v>
      </c>
      <c r="F3480" s="133"/>
      <c r="G3480" s="133"/>
      <c r="H3480" s="133"/>
    </row>
    <row r="3481" spans="1:8" hidden="1" outlineLevel="1">
      <c r="A3481" s="418" t="s">
        <v>1885</v>
      </c>
      <c r="B3481" s="406">
        <v>18360303</v>
      </c>
      <c r="C3481" s="88">
        <v>0</v>
      </c>
      <c r="D3481" s="135">
        <v>18360303</v>
      </c>
      <c r="E3481" s="133" t="s">
        <v>1886</v>
      </c>
      <c r="F3481" s="133"/>
      <c r="G3481" s="133"/>
      <c r="H3481" s="133"/>
    </row>
    <row r="3482" spans="1:8" hidden="1" outlineLevel="1">
      <c r="A3482" s="418" t="s">
        <v>768</v>
      </c>
      <c r="B3482" s="406">
        <v>7968641</v>
      </c>
      <c r="C3482" s="88">
        <v>37803</v>
      </c>
      <c r="D3482" s="135">
        <v>8006444</v>
      </c>
      <c r="E3482" s="133" t="s">
        <v>2301</v>
      </c>
      <c r="F3482" s="133"/>
      <c r="G3482" s="133"/>
      <c r="H3482" s="133"/>
    </row>
    <row r="3483" spans="1:8" hidden="1" outlineLevel="1">
      <c r="A3483" s="418" t="s">
        <v>456</v>
      </c>
      <c r="B3483" s="406">
        <v>37709012</v>
      </c>
      <c r="C3483" s="88">
        <v>-259304</v>
      </c>
      <c r="D3483" s="135">
        <v>37449708</v>
      </c>
      <c r="E3483" s="133" t="s">
        <v>457</v>
      </c>
      <c r="F3483" s="133"/>
      <c r="G3483" s="133"/>
      <c r="H3483" s="133"/>
    </row>
    <row r="3484" spans="1:8" hidden="1" outlineLevel="1">
      <c r="A3484" s="418" t="s">
        <v>2077</v>
      </c>
      <c r="B3484" s="406">
        <v>4778562</v>
      </c>
      <c r="C3484" s="88">
        <v>39839</v>
      </c>
      <c r="D3484" s="135">
        <v>4818401</v>
      </c>
      <c r="E3484" s="133" t="s">
        <v>2078</v>
      </c>
      <c r="F3484" s="133"/>
      <c r="G3484" s="133"/>
      <c r="H3484" s="133"/>
    </row>
    <row r="3485" spans="1:8" hidden="1" outlineLevel="1">
      <c r="A3485" s="418" t="s">
        <v>2302</v>
      </c>
      <c r="B3485" s="406">
        <v>27822584</v>
      </c>
      <c r="C3485" s="88">
        <v>0</v>
      </c>
      <c r="D3485" s="135">
        <v>27822584</v>
      </c>
      <c r="E3485" s="133" t="s">
        <v>2303</v>
      </c>
      <c r="F3485" s="133"/>
      <c r="G3485" s="133"/>
      <c r="H3485" s="133"/>
    </row>
    <row r="3486" spans="1:8" hidden="1" outlineLevel="1">
      <c r="A3486" s="418" t="s">
        <v>2304</v>
      </c>
      <c r="B3486" s="406">
        <v>1766405</v>
      </c>
      <c r="C3486" s="88">
        <v>0</v>
      </c>
      <c r="D3486" s="135">
        <v>1766405</v>
      </c>
      <c r="E3486" s="133" t="s">
        <v>2305</v>
      </c>
      <c r="F3486" s="133"/>
      <c r="G3486" s="133"/>
      <c r="H3486" s="133"/>
    </row>
    <row r="3487" spans="1:8" hidden="1" outlineLevel="1">
      <c r="A3487" s="418" t="s">
        <v>1887</v>
      </c>
      <c r="B3487" s="406">
        <v>174967273</v>
      </c>
      <c r="C3487" s="88">
        <v>0</v>
      </c>
      <c r="D3487" s="135">
        <v>174967273</v>
      </c>
      <c r="E3487" s="133" t="s">
        <v>1888</v>
      </c>
      <c r="F3487" s="133"/>
      <c r="G3487" s="133"/>
      <c r="H3487" s="133"/>
    </row>
    <row r="3488" spans="1:8" hidden="1" outlineLevel="1">
      <c r="A3488" s="418" t="s">
        <v>2306</v>
      </c>
      <c r="B3488" s="406">
        <v>0</v>
      </c>
      <c r="C3488" s="88">
        <v>0</v>
      </c>
      <c r="D3488" s="135">
        <v>0</v>
      </c>
      <c r="E3488" s="133" t="s">
        <v>2307</v>
      </c>
      <c r="F3488" s="133"/>
      <c r="G3488" s="133"/>
      <c r="H3488" s="133"/>
    </row>
    <row r="3489" spans="1:8" hidden="1" outlineLevel="1">
      <c r="A3489" s="418" t="s">
        <v>2308</v>
      </c>
      <c r="B3489" s="406">
        <v>1995247</v>
      </c>
      <c r="C3489" s="88">
        <v>0</v>
      </c>
      <c r="D3489" s="135">
        <v>1995247</v>
      </c>
      <c r="E3489" s="133" t="s">
        <v>2309</v>
      </c>
      <c r="F3489" s="133"/>
      <c r="G3489" s="133"/>
      <c r="H3489" s="133"/>
    </row>
    <row r="3490" spans="1:8" hidden="1" outlineLevel="1">
      <c r="A3490" s="418" t="s">
        <v>1889</v>
      </c>
      <c r="B3490" s="406">
        <v>117138475</v>
      </c>
      <c r="C3490" s="88">
        <v>7230706</v>
      </c>
      <c r="D3490" s="135">
        <v>124369181</v>
      </c>
      <c r="E3490" s="133" t="s">
        <v>1890</v>
      </c>
      <c r="F3490" s="133"/>
      <c r="G3490" s="133"/>
      <c r="H3490" s="133"/>
    </row>
    <row r="3491" spans="1:8" hidden="1" outlineLevel="1">
      <c r="A3491" s="418" t="s">
        <v>2310</v>
      </c>
      <c r="B3491" s="406">
        <v>5478649</v>
      </c>
      <c r="C3491" s="88">
        <v>0</v>
      </c>
      <c r="D3491" s="135">
        <v>5478649</v>
      </c>
      <c r="E3491" s="133" t="s">
        <v>2311</v>
      </c>
      <c r="F3491" s="133"/>
      <c r="G3491" s="133"/>
      <c r="H3491" s="133"/>
    </row>
    <row r="3492" spans="1:8" hidden="1" outlineLevel="1">
      <c r="A3492" s="418" t="s">
        <v>1891</v>
      </c>
      <c r="B3492" s="406">
        <v>1243971</v>
      </c>
      <c r="C3492" s="88">
        <v>0</v>
      </c>
      <c r="D3492" s="135">
        <v>1243971</v>
      </c>
      <c r="E3492" s="133" t="s">
        <v>1892</v>
      </c>
      <c r="F3492" s="133"/>
      <c r="G3492" s="133"/>
      <c r="H3492" s="133"/>
    </row>
    <row r="3493" spans="1:8" hidden="1" outlineLevel="1">
      <c r="A3493" s="418" t="s">
        <v>951</v>
      </c>
      <c r="B3493" s="406">
        <v>456571</v>
      </c>
      <c r="C3493" s="88">
        <v>0</v>
      </c>
      <c r="D3493" s="135">
        <v>456571</v>
      </c>
      <c r="E3493" s="133" t="s">
        <v>2312</v>
      </c>
      <c r="F3493" s="133"/>
      <c r="G3493" s="133"/>
      <c r="H3493" s="133"/>
    </row>
    <row r="3494" spans="1:8" hidden="1" outlineLevel="1">
      <c r="A3494" s="418" t="s">
        <v>1893</v>
      </c>
      <c r="B3494" s="406">
        <v>1557733031</v>
      </c>
      <c r="C3494" s="88">
        <v>25356687</v>
      </c>
      <c r="D3494" s="135">
        <v>1583089718</v>
      </c>
      <c r="E3494" s="133" t="s">
        <v>1894</v>
      </c>
      <c r="F3494" s="133"/>
      <c r="G3494" s="133"/>
      <c r="H3494" s="133"/>
    </row>
    <row r="3495" spans="1:8" hidden="1" outlineLevel="1">
      <c r="A3495" s="418" t="s">
        <v>1895</v>
      </c>
      <c r="B3495" s="406">
        <v>1651805256</v>
      </c>
      <c r="C3495" s="88">
        <v>-8172960</v>
      </c>
      <c r="D3495" s="135">
        <v>1643632296</v>
      </c>
      <c r="E3495" s="133" t="s">
        <v>1896</v>
      </c>
      <c r="F3495" s="133"/>
      <c r="G3495" s="133"/>
      <c r="H3495" s="133"/>
    </row>
    <row r="3496" spans="1:8" hidden="1" outlineLevel="1">
      <c r="A3496" s="418" t="s">
        <v>1683</v>
      </c>
      <c r="B3496" s="406">
        <v>159141625</v>
      </c>
      <c r="C3496" s="711">
        <v>-400977</v>
      </c>
      <c r="D3496" s="135">
        <v>158740648</v>
      </c>
      <c r="E3496" s="133" t="s">
        <v>1684</v>
      </c>
      <c r="F3496" s="133"/>
      <c r="G3496" s="133"/>
      <c r="H3496" s="133"/>
    </row>
    <row r="3497" spans="1:8" hidden="1" outlineLevel="1">
      <c r="A3497" s="418" t="s">
        <v>1897</v>
      </c>
      <c r="B3497" s="406">
        <v>30942909</v>
      </c>
      <c r="C3497" s="88">
        <v>0</v>
      </c>
      <c r="D3497" s="135">
        <v>30942909</v>
      </c>
      <c r="E3497" s="133" t="s">
        <v>1898</v>
      </c>
      <c r="F3497" s="133"/>
      <c r="G3497" s="133"/>
      <c r="H3497" s="133"/>
    </row>
    <row r="3498" spans="1:8" hidden="1" outlineLevel="1">
      <c r="A3498" s="418" t="s">
        <v>977</v>
      </c>
      <c r="B3498" s="406">
        <v>16010870888</v>
      </c>
      <c r="C3498" s="88">
        <v>81034230</v>
      </c>
      <c r="D3498" s="135">
        <v>16091905118</v>
      </c>
      <c r="E3498" s="133" t="s">
        <v>978</v>
      </c>
      <c r="F3498" s="133"/>
      <c r="G3498" s="133"/>
      <c r="H3498" s="133"/>
    </row>
    <row r="3499" spans="1:8" hidden="1" outlineLevel="1">
      <c r="A3499" s="418" t="s">
        <v>1899</v>
      </c>
      <c r="B3499" s="406">
        <v>88824555</v>
      </c>
      <c r="C3499" s="88">
        <v>0</v>
      </c>
      <c r="D3499" s="135">
        <v>88824555</v>
      </c>
      <c r="E3499" s="133" t="s">
        <v>1900</v>
      </c>
      <c r="F3499" s="133"/>
      <c r="G3499" s="133"/>
      <c r="H3499" s="133"/>
    </row>
    <row r="3500" spans="1:8" hidden="1" outlineLevel="1">
      <c r="A3500" s="418" t="s">
        <v>1901</v>
      </c>
      <c r="B3500" s="406">
        <v>106825326</v>
      </c>
      <c r="C3500" s="88">
        <v>30968</v>
      </c>
      <c r="D3500" s="135">
        <v>106856294</v>
      </c>
      <c r="E3500" s="133" t="s">
        <v>1902</v>
      </c>
      <c r="F3500" s="133"/>
      <c r="G3500" s="133"/>
      <c r="H3500" s="133"/>
    </row>
    <row r="3501" spans="1:8" hidden="1" outlineLevel="1">
      <c r="A3501" s="418" t="s">
        <v>1903</v>
      </c>
      <c r="B3501" s="406">
        <v>1855285334</v>
      </c>
      <c r="C3501" s="88">
        <v>60563</v>
      </c>
      <c r="D3501" s="135">
        <v>1855345897</v>
      </c>
      <c r="E3501" s="133" t="s">
        <v>1904</v>
      </c>
      <c r="F3501" s="133"/>
      <c r="G3501" s="133"/>
      <c r="H3501" s="133"/>
    </row>
    <row r="3502" spans="1:8" hidden="1" outlineLevel="1">
      <c r="A3502" s="418" t="s">
        <v>1905</v>
      </c>
      <c r="B3502" s="406">
        <v>622546921</v>
      </c>
      <c r="C3502" s="88">
        <v>0</v>
      </c>
      <c r="D3502" s="135">
        <v>622546921</v>
      </c>
      <c r="E3502" s="133" t="s">
        <v>1906</v>
      </c>
      <c r="F3502" s="133"/>
      <c r="G3502" s="133"/>
      <c r="H3502" s="133"/>
    </row>
    <row r="3503" spans="1:8" hidden="1" outlineLevel="1">
      <c r="A3503" s="418" t="s">
        <v>1907</v>
      </c>
      <c r="B3503" s="406">
        <v>14666378</v>
      </c>
      <c r="C3503" s="88">
        <v>0</v>
      </c>
      <c r="D3503" s="135">
        <v>14666378</v>
      </c>
      <c r="E3503" s="133" t="s">
        <v>1908</v>
      </c>
      <c r="F3503" s="133"/>
      <c r="G3503" s="133"/>
      <c r="H3503" s="133"/>
    </row>
    <row r="3504" spans="1:8" hidden="1" outlineLevel="1">
      <c r="A3504" s="418" t="s">
        <v>2313</v>
      </c>
      <c r="B3504" s="406">
        <v>100075548</v>
      </c>
      <c r="C3504" s="88">
        <v>0</v>
      </c>
      <c r="D3504" s="135">
        <v>100075548</v>
      </c>
      <c r="E3504" s="133" t="s">
        <v>2314</v>
      </c>
      <c r="F3504" s="133"/>
      <c r="G3504" s="133"/>
      <c r="H3504" s="133"/>
    </row>
    <row r="3505" spans="1:8" hidden="1" outlineLevel="1">
      <c r="A3505" s="418" t="s">
        <v>1909</v>
      </c>
      <c r="B3505" s="406">
        <v>76618384</v>
      </c>
      <c r="C3505" s="88">
        <v>0</v>
      </c>
      <c r="D3505" s="135">
        <v>76618384</v>
      </c>
      <c r="E3505" s="133" t="s">
        <v>1910</v>
      </c>
      <c r="F3505" s="133"/>
      <c r="G3505" s="133"/>
      <c r="H3505" s="133"/>
    </row>
    <row r="3506" spans="1:8" hidden="1" outlineLevel="1">
      <c r="A3506" s="418" t="s">
        <v>1911</v>
      </c>
      <c r="B3506" s="406">
        <v>214969367</v>
      </c>
      <c r="C3506" s="88">
        <v>-2067654</v>
      </c>
      <c r="D3506" s="135">
        <v>212901713</v>
      </c>
      <c r="E3506" s="133" t="s">
        <v>1912</v>
      </c>
      <c r="F3506" s="133"/>
      <c r="G3506" s="133"/>
      <c r="H3506" s="133"/>
    </row>
    <row r="3507" spans="1:8" hidden="1" outlineLevel="1">
      <c r="A3507" s="418" t="s">
        <v>1913</v>
      </c>
      <c r="B3507" s="406">
        <v>153740441</v>
      </c>
      <c r="C3507" s="88">
        <v>-947046</v>
      </c>
      <c r="D3507" s="135">
        <v>152793395</v>
      </c>
      <c r="E3507" s="133" t="s">
        <v>1914</v>
      </c>
      <c r="F3507" s="133"/>
      <c r="G3507" s="133"/>
      <c r="H3507" s="133"/>
    </row>
    <row r="3508" spans="1:8" hidden="1" outlineLevel="1">
      <c r="A3508" s="418" t="s">
        <v>1915</v>
      </c>
      <c r="B3508" s="406">
        <v>431632263</v>
      </c>
      <c r="C3508" s="88">
        <v>-395822</v>
      </c>
      <c r="D3508" s="135">
        <v>431236441</v>
      </c>
      <c r="E3508" s="133" t="s">
        <v>1916</v>
      </c>
      <c r="F3508" s="133"/>
      <c r="G3508" s="133"/>
      <c r="H3508" s="133"/>
    </row>
    <row r="3509" spans="1:8" hidden="1" outlineLevel="1">
      <c r="A3509" s="418" t="s">
        <v>1917</v>
      </c>
      <c r="B3509" s="406">
        <v>91137468</v>
      </c>
      <c r="C3509" s="88">
        <v>758242</v>
      </c>
      <c r="D3509" s="135">
        <v>91895710</v>
      </c>
      <c r="E3509" s="133" t="s">
        <v>1918</v>
      </c>
      <c r="F3509" s="133"/>
      <c r="G3509" s="133"/>
      <c r="H3509" s="133"/>
    </row>
    <row r="3510" spans="1:8" hidden="1" outlineLevel="1">
      <c r="A3510" s="418" t="s">
        <v>1919</v>
      </c>
      <c r="B3510" s="406">
        <v>210681241</v>
      </c>
      <c r="C3510" s="88">
        <v>70977033</v>
      </c>
      <c r="D3510" s="135">
        <v>281658274</v>
      </c>
      <c r="E3510" s="133" t="s">
        <v>1920</v>
      </c>
      <c r="F3510" s="133"/>
      <c r="G3510" s="133"/>
      <c r="H3510" s="133"/>
    </row>
    <row r="3511" spans="1:8" hidden="1" outlineLevel="1">
      <c r="A3511" s="418" t="s">
        <v>1921</v>
      </c>
      <c r="B3511" s="406">
        <v>40807431</v>
      </c>
      <c r="C3511" s="88">
        <v>191101</v>
      </c>
      <c r="D3511" s="135">
        <v>40998532</v>
      </c>
      <c r="E3511" s="133" t="s">
        <v>1922</v>
      </c>
      <c r="F3511" s="133"/>
      <c r="G3511" s="133"/>
      <c r="H3511" s="133"/>
    </row>
    <row r="3512" spans="1:8" hidden="1" outlineLevel="1">
      <c r="A3512" s="418" t="s">
        <v>1923</v>
      </c>
      <c r="B3512" s="406">
        <v>19961393</v>
      </c>
      <c r="C3512" s="88">
        <v>87190</v>
      </c>
      <c r="D3512" s="135">
        <v>20048583</v>
      </c>
      <c r="E3512" s="133" t="s">
        <v>1924</v>
      </c>
      <c r="F3512" s="133"/>
      <c r="G3512" s="133"/>
      <c r="H3512" s="133"/>
    </row>
    <row r="3513" spans="1:8" hidden="1" outlineLevel="1">
      <c r="A3513" s="418" t="s">
        <v>1925</v>
      </c>
      <c r="B3513" s="406">
        <v>76998110</v>
      </c>
      <c r="C3513" s="88">
        <v>0</v>
      </c>
      <c r="D3513" s="135">
        <v>76998110</v>
      </c>
      <c r="E3513" s="133" t="s">
        <v>1926</v>
      </c>
      <c r="F3513" s="133"/>
      <c r="G3513" s="133"/>
      <c r="H3513" s="133"/>
    </row>
    <row r="3514" spans="1:8" hidden="1" outlineLevel="1">
      <c r="A3514" s="418" t="s">
        <v>1927</v>
      </c>
      <c r="B3514" s="406">
        <v>52487305</v>
      </c>
      <c r="C3514" s="88">
        <v>286356</v>
      </c>
      <c r="D3514" s="135">
        <v>52773661</v>
      </c>
      <c r="E3514" s="133" t="s">
        <v>1928</v>
      </c>
      <c r="F3514" s="133"/>
      <c r="G3514" s="133"/>
      <c r="H3514" s="133"/>
    </row>
    <row r="3515" spans="1:8" hidden="1" outlineLevel="1">
      <c r="A3515" s="418" t="s">
        <v>1929</v>
      </c>
      <c r="B3515" s="406">
        <v>37319691</v>
      </c>
      <c r="C3515" s="88">
        <v>0</v>
      </c>
      <c r="D3515" s="135">
        <v>37319691</v>
      </c>
      <c r="E3515" s="133" t="s">
        <v>1930</v>
      </c>
      <c r="F3515" s="133"/>
      <c r="G3515" s="133"/>
      <c r="H3515" s="133"/>
    </row>
    <row r="3516" spans="1:8" hidden="1" outlineLevel="1">
      <c r="A3516" s="418" t="s">
        <v>1931</v>
      </c>
      <c r="B3516" s="406">
        <v>218231681</v>
      </c>
      <c r="C3516" s="88">
        <v>0</v>
      </c>
      <c r="D3516" s="135">
        <v>218231681</v>
      </c>
      <c r="E3516" s="133" t="s">
        <v>1932</v>
      </c>
      <c r="F3516" s="133"/>
      <c r="G3516" s="133"/>
      <c r="H3516" s="133"/>
    </row>
    <row r="3517" spans="1:8" hidden="1" outlineLevel="1">
      <c r="A3517" s="418" t="s">
        <v>1933</v>
      </c>
      <c r="B3517" s="406">
        <v>127690550</v>
      </c>
      <c r="C3517" s="88">
        <v>0</v>
      </c>
      <c r="D3517" s="135">
        <v>127690550</v>
      </c>
      <c r="E3517" s="133" t="s">
        <v>1934</v>
      </c>
      <c r="F3517" s="133"/>
      <c r="G3517" s="133"/>
      <c r="H3517" s="133"/>
    </row>
    <row r="3518" spans="1:8" hidden="1" outlineLevel="1">
      <c r="A3518" s="418" t="s">
        <v>1935</v>
      </c>
      <c r="B3518" s="406">
        <v>189751725</v>
      </c>
      <c r="C3518" s="88">
        <v>17166854</v>
      </c>
      <c r="D3518" s="135">
        <v>206918579</v>
      </c>
      <c r="E3518" s="133" t="s">
        <v>1936</v>
      </c>
      <c r="F3518" s="133"/>
      <c r="G3518" s="133"/>
      <c r="H3518" s="133"/>
    </row>
    <row r="3519" spans="1:8" hidden="1" outlineLevel="1">
      <c r="A3519" s="418" t="s">
        <v>1937</v>
      </c>
      <c r="B3519" s="406">
        <v>120800162</v>
      </c>
      <c r="C3519" s="88">
        <v>128944494</v>
      </c>
      <c r="D3519" s="135">
        <v>249744656</v>
      </c>
      <c r="E3519" s="133" t="s">
        <v>1938</v>
      </c>
      <c r="F3519" s="133"/>
      <c r="G3519" s="133"/>
      <c r="H3519" s="133"/>
    </row>
    <row r="3520" spans="1:8" hidden="1" outlineLevel="1">
      <c r="A3520" s="418" t="s">
        <v>1939</v>
      </c>
      <c r="B3520" s="406">
        <v>52350592</v>
      </c>
      <c r="C3520" s="88">
        <v>75575</v>
      </c>
      <c r="D3520" s="135">
        <v>52426167</v>
      </c>
      <c r="E3520" s="133" t="s">
        <v>1940</v>
      </c>
      <c r="F3520" s="133"/>
      <c r="G3520" s="133"/>
      <c r="H3520" s="133"/>
    </row>
    <row r="3521" spans="1:8" hidden="1" outlineLevel="1">
      <c r="A3521" s="418" t="s">
        <v>1941</v>
      </c>
      <c r="B3521" s="406">
        <v>125059058</v>
      </c>
      <c r="C3521" s="88">
        <v>0</v>
      </c>
      <c r="D3521" s="135">
        <v>125059058</v>
      </c>
      <c r="E3521" s="133" t="s">
        <v>1942</v>
      </c>
      <c r="F3521" s="133"/>
      <c r="G3521" s="133"/>
      <c r="H3521" s="133"/>
    </row>
    <row r="3522" spans="1:8" hidden="1" outlineLevel="1">
      <c r="A3522" s="418" t="s">
        <v>1943</v>
      </c>
      <c r="B3522" s="406">
        <v>202647665</v>
      </c>
      <c r="C3522" s="88">
        <v>-176374</v>
      </c>
      <c r="D3522" s="135">
        <v>202471291</v>
      </c>
      <c r="E3522" s="133" t="s">
        <v>1944</v>
      </c>
      <c r="F3522" s="133"/>
      <c r="G3522" s="133"/>
      <c r="H3522" s="133"/>
    </row>
    <row r="3523" spans="1:8" hidden="1" outlineLevel="1">
      <c r="A3523" s="418" t="s">
        <v>1945</v>
      </c>
      <c r="B3523" s="406">
        <v>135981873</v>
      </c>
      <c r="C3523" s="88">
        <v>227576</v>
      </c>
      <c r="D3523" s="135">
        <v>136209449</v>
      </c>
      <c r="E3523" s="133" t="s">
        <v>1946</v>
      </c>
      <c r="F3523" s="133"/>
      <c r="G3523" s="133"/>
      <c r="H3523" s="133"/>
    </row>
    <row r="3524" spans="1:8" hidden="1" outlineLevel="1">
      <c r="A3524" s="418" t="s">
        <v>1947</v>
      </c>
      <c r="B3524" s="406">
        <v>35255619</v>
      </c>
      <c r="C3524" s="88">
        <v>30015</v>
      </c>
      <c r="D3524" s="135">
        <v>35285634</v>
      </c>
      <c r="E3524" s="133" t="s">
        <v>1948</v>
      </c>
      <c r="F3524" s="133"/>
      <c r="G3524" s="133"/>
      <c r="H3524" s="133"/>
    </row>
    <row r="3525" spans="1:8" hidden="1" outlineLevel="1">
      <c r="A3525" s="418" t="s">
        <v>1949</v>
      </c>
      <c r="B3525" s="406">
        <v>110945116</v>
      </c>
      <c r="C3525" s="88">
        <v>0</v>
      </c>
      <c r="D3525" s="135">
        <v>110945116</v>
      </c>
      <c r="E3525" s="133" t="s">
        <v>1950</v>
      </c>
      <c r="F3525" s="133"/>
      <c r="G3525" s="133"/>
      <c r="H3525" s="133"/>
    </row>
    <row r="3526" spans="1:8" hidden="1" outlineLevel="1">
      <c r="A3526" s="418" t="s">
        <v>1951</v>
      </c>
      <c r="B3526" s="406">
        <v>33733875</v>
      </c>
      <c r="C3526" s="88">
        <v>0</v>
      </c>
      <c r="D3526" s="135">
        <v>33733875</v>
      </c>
      <c r="E3526" s="133" t="s">
        <v>1952</v>
      </c>
      <c r="F3526" s="133"/>
      <c r="G3526" s="133"/>
      <c r="H3526" s="133"/>
    </row>
    <row r="3527" spans="1:8" hidden="1" outlineLevel="1">
      <c r="A3527" s="418" t="s">
        <v>1953</v>
      </c>
      <c r="B3527" s="406">
        <v>159167975</v>
      </c>
      <c r="C3527" s="88">
        <v>361727</v>
      </c>
      <c r="D3527" s="135">
        <v>159529702</v>
      </c>
      <c r="E3527" s="133" t="s">
        <v>1954</v>
      </c>
      <c r="F3527" s="133"/>
      <c r="G3527" s="133"/>
      <c r="H3527" s="133"/>
    </row>
    <row r="3528" spans="1:8" hidden="1" outlineLevel="1">
      <c r="A3528" s="418" t="s">
        <v>1955</v>
      </c>
      <c r="B3528" s="406">
        <v>123571455</v>
      </c>
      <c r="C3528" s="88">
        <v>-458755</v>
      </c>
      <c r="D3528" s="135">
        <v>123112700</v>
      </c>
      <c r="E3528" s="133" t="s">
        <v>1956</v>
      </c>
      <c r="F3528" s="133"/>
      <c r="G3528" s="133"/>
      <c r="H3528" s="133"/>
    </row>
    <row r="3529" spans="1:8" hidden="1" outlineLevel="1">
      <c r="A3529" s="418" t="s">
        <v>1957</v>
      </c>
      <c r="B3529" s="406">
        <v>92475346</v>
      </c>
      <c r="C3529" s="88">
        <v>-757280</v>
      </c>
      <c r="D3529" s="135">
        <v>91718066</v>
      </c>
      <c r="E3529" s="133" t="s">
        <v>1958</v>
      </c>
      <c r="F3529" s="133"/>
      <c r="G3529" s="133"/>
      <c r="H3529" s="133"/>
    </row>
    <row r="3530" spans="1:8" hidden="1" outlineLevel="1">
      <c r="A3530" s="418" t="s">
        <v>1959</v>
      </c>
      <c r="B3530" s="406">
        <v>26409727</v>
      </c>
      <c r="C3530" s="88">
        <v>0</v>
      </c>
      <c r="D3530" s="135">
        <v>26409727</v>
      </c>
      <c r="E3530" s="133" t="s">
        <v>1960</v>
      </c>
      <c r="F3530" s="133"/>
      <c r="G3530" s="133"/>
      <c r="H3530" s="133"/>
    </row>
    <row r="3531" spans="1:8" hidden="1" outlineLevel="1">
      <c r="A3531" s="418" t="s">
        <v>1961</v>
      </c>
      <c r="B3531" s="406">
        <v>34505456</v>
      </c>
      <c r="C3531" s="88">
        <v>-29095</v>
      </c>
      <c r="D3531" s="135">
        <v>34476361</v>
      </c>
      <c r="E3531" s="133" t="s">
        <v>1962</v>
      </c>
      <c r="F3531" s="133"/>
      <c r="G3531" s="133"/>
      <c r="H3531" s="133"/>
    </row>
    <row r="3532" spans="1:8" hidden="1" outlineLevel="1">
      <c r="A3532" s="418" t="s">
        <v>1963</v>
      </c>
      <c r="B3532" s="406">
        <v>755641450</v>
      </c>
      <c r="C3532" s="88">
        <v>-7858718</v>
      </c>
      <c r="D3532" s="135">
        <v>747782732</v>
      </c>
      <c r="E3532" s="133" t="s">
        <v>1964</v>
      </c>
      <c r="F3532" s="133"/>
      <c r="G3532" s="133"/>
      <c r="H3532" s="133"/>
    </row>
    <row r="3533" spans="1:8" hidden="1" outlineLevel="1">
      <c r="A3533" s="418" t="s">
        <v>1965</v>
      </c>
      <c r="B3533" s="406">
        <v>81136293</v>
      </c>
      <c r="C3533" s="88">
        <v>124976</v>
      </c>
      <c r="D3533" s="135">
        <v>81261269</v>
      </c>
      <c r="E3533" s="133" t="s">
        <v>1966</v>
      </c>
      <c r="F3533" s="133"/>
      <c r="G3533" s="133"/>
      <c r="H3533" s="133"/>
    </row>
    <row r="3534" spans="1:8" hidden="1" outlineLevel="1">
      <c r="A3534" s="418" t="s">
        <v>1967</v>
      </c>
      <c r="B3534" s="406">
        <v>1251247401</v>
      </c>
      <c r="C3534" s="88">
        <v>-4717271</v>
      </c>
      <c r="D3534" s="135">
        <v>1246530130</v>
      </c>
      <c r="E3534" s="133" t="s">
        <v>1968</v>
      </c>
      <c r="F3534" s="133"/>
      <c r="G3534" s="133"/>
      <c r="H3534" s="133"/>
    </row>
    <row r="3535" spans="1:8" hidden="1" outlineLevel="1">
      <c r="A3535" s="418" t="s">
        <v>1969</v>
      </c>
      <c r="B3535" s="406">
        <v>258306732</v>
      </c>
      <c r="C3535" s="88">
        <v>515644</v>
      </c>
      <c r="D3535" s="135">
        <v>258822376</v>
      </c>
      <c r="E3535" s="133" t="s">
        <v>1970</v>
      </c>
      <c r="F3535" s="133"/>
      <c r="G3535" s="133"/>
      <c r="H3535" s="133"/>
    </row>
    <row r="3536" spans="1:8" hidden="1" outlineLevel="1">
      <c r="A3536" s="418" t="s">
        <v>1971</v>
      </c>
      <c r="B3536" s="406">
        <v>138792526</v>
      </c>
      <c r="C3536" s="88">
        <v>-266624</v>
      </c>
      <c r="D3536" s="135">
        <v>138525902</v>
      </c>
      <c r="E3536" s="133" t="s">
        <v>1972</v>
      </c>
      <c r="F3536" s="133"/>
      <c r="G3536" s="133"/>
      <c r="H3536" s="133"/>
    </row>
    <row r="3537" spans="1:8" hidden="1" outlineLevel="1">
      <c r="A3537" s="418" t="s">
        <v>1132</v>
      </c>
      <c r="B3537" s="406">
        <v>363820814</v>
      </c>
      <c r="C3537" s="88">
        <v>0</v>
      </c>
      <c r="D3537" s="135">
        <v>363820814</v>
      </c>
      <c r="E3537" s="133" t="s">
        <v>1133</v>
      </c>
      <c r="F3537" s="133"/>
      <c r="G3537" s="133"/>
      <c r="H3537" s="133"/>
    </row>
    <row r="3538" spans="1:8" hidden="1" outlineLevel="1">
      <c r="A3538" s="418" t="s">
        <v>1973</v>
      </c>
      <c r="B3538" s="406">
        <v>36862506</v>
      </c>
      <c r="C3538" s="88">
        <v>3559208</v>
      </c>
      <c r="D3538" s="135">
        <v>40421714</v>
      </c>
      <c r="E3538" s="133" t="s">
        <v>1974</v>
      </c>
      <c r="F3538" s="133"/>
      <c r="G3538" s="133"/>
      <c r="H3538" s="133"/>
    </row>
    <row r="3539" spans="1:8" hidden="1" outlineLevel="1">
      <c r="A3539" s="418" t="s">
        <v>1975</v>
      </c>
      <c r="B3539" s="406">
        <v>84654171</v>
      </c>
      <c r="C3539" s="88">
        <v>0</v>
      </c>
      <c r="D3539" s="135">
        <v>84654171</v>
      </c>
      <c r="E3539" s="133" t="s">
        <v>1976</v>
      </c>
      <c r="F3539" s="133"/>
      <c r="G3539" s="133"/>
      <c r="H3539" s="133"/>
    </row>
    <row r="3540" spans="1:8" hidden="1" outlineLevel="1">
      <c r="A3540" s="418" t="s">
        <v>1977</v>
      </c>
      <c r="B3540" s="406">
        <v>112902736</v>
      </c>
      <c r="C3540" s="88">
        <v>0</v>
      </c>
      <c r="D3540" s="135">
        <v>112902736</v>
      </c>
      <c r="E3540" s="133" t="s">
        <v>1978</v>
      </c>
      <c r="F3540" s="133"/>
      <c r="G3540" s="133"/>
      <c r="H3540" s="133"/>
    </row>
    <row r="3541" spans="1:8" hidden="1" outlineLevel="1">
      <c r="A3541" s="418" t="s">
        <v>1979</v>
      </c>
      <c r="B3541" s="406">
        <v>52757791</v>
      </c>
      <c r="C3541" s="88">
        <v>208030</v>
      </c>
      <c r="D3541" s="135">
        <v>52965821</v>
      </c>
      <c r="E3541" s="133" t="s">
        <v>1980</v>
      </c>
      <c r="F3541" s="133"/>
      <c r="G3541" s="133"/>
      <c r="H3541" s="133"/>
    </row>
    <row r="3542" spans="1:8" hidden="1" outlineLevel="1">
      <c r="A3542" s="418" t="s">
        <v>1981</v>
      </c>
      <c r="B3542" s="406">
        <v>76339659</v>
      </c>
      <c r="C3542" s="88">
        <v>530263</v>
      </c>
      <c r="D3542" s="135">
        <v>76869922</v>
      </c>
      <c r="E3542" s="133" t="s">
        <v>1982</v>
      </c>
      <c r="F3542" s="133"/>
      <c r="G3542" s="133"/>
      <c r="H3542" s="133"/>
    </row>
    <row r="3543" spans="1:8" hidden="1" outlineLevel="1">
      <c r="A3543" s="418" t="s">
        <v>1983</v>
      </c>
      <c r="B3543" s="406">
        <v>25916851</v>
      </c>
      <c r="C3543" s="88">
        <v>-106904</v>
      </c>
      <c r="D3543" s="135">
        <v>25809947</v>
      </c>
      <c r="E3543" s="133" t="s">
        <v>1984</v>
      </c>
      <c r="F3543" s="133"/>
      <c r="G3543" s="133"/>
      <c r="H3543" s="133"/>
    </row>
    <row r="3544" spans="1:8" hidden="1" outlineLevel="1">
      <c r="A3544" s="418" t="s">
        <v>1985</v>
      </c>
      <c r="B3544" s="406">
        <v>119937716</v>
      </c>
      <c r="C3544" s="88">
        <v>4190273</v>
      </c>
      <c r="D3544" s="135">
        <v>124127989</v>
      </c>
      <c r="E3544" s="133" t="s">
        <v>1986</v>
      </c>
      <c r="F3544" s="133"/>
      <c r="G3544" s="133"/>
      <c r="H3544" s="133"/>
    </row>
    <row r="3545" spans="1:8" hidden="1" outlineLevel="1">
      <c r="A3545" s="418" t="s">
        <v>1987</v>
      </c>
      <c r="B3545" s="406">
        <v>55011585</v>
      </c>
      <c r="C3545" s="88">
        <v>0</v>
      </c>
      <c r="D3545" s="135">
        <v>55011585</v>
      </c>
      <c r="E3545" s="133" t="s">
        <v>1988</v>
      </c>
      <c r="F3545" s="133"/>
      <c r="G3545" s="133"/>
      <c r="H3545" s="133"/>
    </row>
    <row r="3546" spans="1:8" hidden="1" outlineLevel="1">
      <c r="A3546" s="418" t="s">
        <v>1989</v>
      </c>
      <c r="B3546" s="406">
        <v>100375865</v>
      </c>
      <c r="C3546" s="88">
        <v>208972</v>
      </c>
      <c r="D3546" s="135">
        <v>100584837</v>
      </c>
      <c r="E3546" s="133" t="s">
        <v>1990</v>
      </c>
      <c r="F3546" s="133"/>
      <c r="G3546" s="133"/>
      <c r="H3546" s="133"/>
    </row>
    <row r="3547" spans="1:8" hidden="1" outlineLevel="1">
      <c r="A3547" s="418" t="s">
        <v>1991</v>
      </c>
      <c r="B3547" s="406">
        <v>149529924</v>
      </c>
      <c r="C3547" s="88">
        <v>2613321</v>
      </c>
      <c r="D3547" s="135">
        <v>152143245</v>
      </c>
      <c r="E3547" s="133" t="s">
        <v>1992</v>
      </c>
      <c r="F3547" s="133"/>
      <c r="G3547" s="133"/>
      <c r="H3547" s="133"/>
    </row>
    <row r="3548" spans="1:8" hidden="1" outlineLevel="1">
      <c r="A3548" s="418" t="s">
        <v>1993</v>
      </c>
      <c r="B3548" s="406">
        <v>107808687</v>
      </c>
      <c r="C3548" s="88">
        <v>32830481</v>
      </c>
      <c r="D3548" s="135">
        <v>140639168</v>
      </c>
      <c r="E3548" s="133" t="s">
        <v>1994</v>
      </c>
      <c r="F3548" s="133"/>
      <c r="G3548" s="133"/>
      <c r="H3548" s="133"/>
    </row>
    <row r="3549" spans="1:8" hidden="1" outlineLevel="1">
      <c r="A3549" s="418" t="s">
        <v>1995</v>
      </c>
      <c r="B3549" s="406">
        <v>98147746</v>
      </c>
      <c r="C3549" s="88">
        <v>-43586485</v>
      </c>
      <c r="D3549" s="135">
        <v>54561261</v>
      </c>
      <c r="E3549" s="133" t="s">
        <v>1996</v>
      </c>
      <c r="F3549" s="133"/>
      <c r="G3549" s="133"/>
      <c r="H3549" s="133"/>
    </row>
    <row r="3550" spans="1:8" hidden="1" outlineLevel="1">
      <c r="A3550" s="418" t="s">
        <v>2315</v>
      </c>
      <c r="B3550" s="406">
        <v>188377326</v>
      </c>
      <c r="C3550" s="88">
        <v>0</v>
      </c>
      <c r="D3550" s="135">
        <v>188377326</v>
      </c>
      <c r="E3550" s="133" t="s">
        <v>2316</v>
      </c>
      <c r="F3550" s="133"/>
      <c r="G3550" s="133"/>
      <c r="H3550" s="133"/>
    </row>
    <row r="3551" spans="1:8" hidden="1" outlineLevel="1">
      <c r="A3551" s="418" t="s">
        <v>1154</v>
      </c>
      <c r="B3551" s="406">
        <v>247423192</v>
      </c>
      <c r="C3551" s="88">
        <v>2729428</v>
      </c>
      <c r="D3551" s="135">
        <v>250152620</v>
      </c>
      <c r="E3551" s="133" t="s">
        <v>1155</v>
      </c>
      <c r="F3551" s="133"/>
      <c r="G3551" s="133"/>
      <c r="H3551" s="133"/>
    </row>
    <row r="3552" spans="1:8" hidden="1" outlineLevel="1">
      <c r="A3552" s="418" t="s">
        <v>1997</v>
      </c>
      <c r="B3552" s="406">
        <v>72202814</v>
      </c>
      <c r="C3552" s="88">
        <v>0</v>
      </c>
      <c r="D3552" s="135">
        <v>72202814</v>
      </c>
      <c r="E3552" s="133" t="s">
        <v>1998</v>
      </c>
      <c r="F3552" s="133"/>
      <c r="G3552" s="133"/>
      <c r="H3552" s="133"/>
    </row>
    <row r="3553" spans="1:8" hidden="1" outlineLevel="1">
      <c r="A3553" s="418" t="s">
        <v>1999</v>
      </c>
      <c r="B3553" s="406">
        <v>212700825</v>
      </c>
      <c r="C3553" s="88">
        <v>0</v>
      </c>
      <c r="D3553" s="135">
        <v>212700825</v>
      </c>
      <c r="E3553" s="133" t="s">
        <v>2000</v>
      </c>
      <c r="F3553" s="133"/>
      <c r="G3553" s="133"/>
      <c r="H3553" s="133"/>
    </row>
    <row r="3554" spans="1:8" hidden="1" outlineLevel="1">
      <c r="A3554" s="418" t="s">
        <v>2001</v>
      </c>
      <c r="B3554" s="406">
        <v>49269078</v>
      </c>
      <c r="C3554" s="88">
        <v>0</v>
      </c>
      <c r="D3554" s="135">
        <v>49269078</v>
      </c>
      <c r="E3554" s="133" t="s">
        <v>2002</v>
      </c>
      <c r="F3554" s="133"/>
      <c r="G3554" s="133"/>
      <c r="H3554" s="133"/>
    </row>
    <row r="3555" spans="1:8" hidden="1" outlineLevel="1">
      <c r="A3555" s="418" t="s">
        <v>2003</v>
      </c>
      <c r="B3555" s="406">
        <v>438044095</v>
      </c>
      <c r="C3555" s="88">
        <v>-10667568</v>
      </c>
      <c r="D3555" s="135">
        <v>427376527</v>
      </c>
      <c r="E3555" s="133" t="s">
        <v>2004</v>
      </c>
      <c r="F3555" s="133"/>
      <c r="G3555" s="133"/>
      <c r="H3555" s="133"/>
    </row>
    <row r="3556" spans="1:8" hidden="1" outlineLevel="1">
      <c r="A3556" s="418" t="s">
        <v>2005</v>
      </c>
      <c r="B3556" s="406">
        <v>210611209</v>
      </c>
      <c r="C3556" s="88">
        <v>668298</v>
      </c>
      <c r="D3556" s="135">
        <v>211279507</v>
      </c>
      <c r="E3556" s="133" t="s">
        <v>2006</v>
      </c>
      <c r="F3556" s="133"/>
      <c r="G3556" s="133"/>
      <c r="H3556" s="133"/>
    </row>
    <row r="3557" spans="1:8" hidden="1" outlineLevel="1">
      <c r="A3557" s="418" t="s">
        <v>911</v>
      </c>
      <c r="B3557" s="406">
        <v>826209735</v>
      </c>
      <c r="C3557" s="88">
        <v>0</v>
      </c>
      <c r="D3557" s="135">
        <v>826209735</v>
      </c>
      <c r="E3557" s="133" t="s">
        <v>912</v>
      </c>
      <c r="F3557" s="133"/>
      <c r="G3557" s="133"/>
      <c r="H3557" s="133"/>
    </row>
    <row r="3558" spans="1:8" hidden="1" outlineLevel="1">
      <c r="A3558" s="418" t="s">
        <v>2007</v>
      </c>
      <c r="B3558" s="406">
        <v>99166495</v>
      </c>
      <c r="C3558" s="88">
        <v>0</v>
      </c>
      <c r="D3558" s="135">
        <v>99166495</v>
      </c>
      <c r="E3558" s="133" t="s">
        <v>2008</v>
      </c>
      <c r="F3558" s="133"/>
      <c r="G3558" s="133"/>
      <c r="H3558" s="133"/>
    </row>
    <row r="3559" spans="1:8" hidden="1" outlineLevel="1">
      <c r="A3559" s="418" t="s">
        <v>2009</v>
      </c>
      <c r="B3559" s="406">
        <v>341443617</v>
      </c>
      <c r="C3559" s="88">
        <v>1360856</v>
      </c>
      <c r="D3559" s="135">
        <v>342804473</v>
      </c>
      <c r="E3559" s="133" t="s">
        <v>2010</v>
      </c>
      <c r="F3559" s="133"/>
      <c r="G3559" s="133"/>
      <c r="H3559" s="133"/>
    </row>
    <row r="3560" spans="1:8" hidden="1" outlineLevel="1">
      <c r="A3560" s="418" t="s">
        <v>2011</v>
      </c>
      <c r="B3560" s="406">
        <v>88810904</v>
      </c>
      <c r="C3560" s="88">
        <v>0</v>
      </c>
      <c r="D3560" s="135">
        <v>88810904</v>
      </c>
      <c r="E3560" s="133" t="s">
        <v>2012</v>
      </c>
      <c r="F3560" s="133"/>
      <c r="G3560" s="133"/>
      <c r="H3560" s="133"/>
    </row>
    <row r="3561" spans="1:8" hidden="1" outlineLevel="1">
      <c r="A3561" s="418" t="s">
        <v>2013</v>
      </c>
      <c r="B3561" s="406">
        <v>91451060</v>
      </c>
      <c r="C3561" s="88">
        <v>0</v>
      </c>
      <c r="D3561" s="135">
        <v>91451060</v>
      </c>
      <c r="E3561" s="133" t="s">
        <v>2014</v>
      </c>
      <c r="F3561" s="133"/>
      <c r="G3561" s="133"/>
      <c r="H3561" s="133"/>
    </row>
    <row r="3562" spans="1:8" hidden="1" outlineLevel="1">
      <c r="A3562" s="418" t="s">
        <v>2015</v>
      </c>
      <c r="B3562" s="406">
        <v>59048410</v>
      </c>
      <c r="C3562" s="88">
        <v>607944</v>
      </c>
      <c r="D3562" s="135">
        <v>59656354</v>
      </c>
      <c r="E3562" s="133" t="s">
        <v>2016</v>
      </c>
      <c r="F3562" s="133"/>
      <c r="G3562" s="133"/>
      <c r="H3562" s="133"/>
    </row>
    <row r="3563" spans="1:8" hidden="1" outlineLevel="1">
      <c r="A3563" s="418" t="s">
        <v>2017</v>
      </c>
      <c r="B3563" s="406">
        <v>57642247</v>
      </c>
      <c r="C3563" s="88">
        <v>0</v>
      </c>
      <c r="D3563" s="135">
        <v>57642247</v>
      </c>
      <c r="E3563" s="133" t="s">
        <v>2018</v>
      </c>
      <c r="F3563" s="133"/>
      <c r="G3563" s="133"/>
      <c r="H3563" s="133"/>
    </row>
    <row r="3564" spans="1:8" hidden="1" outlineLevel="1">
      <c r="A3564" s="418" t="s">
        <v>2019</v>
      </c>
      <c r="B3564" s="406">
        <v>175537182</v>
      </c>
      <c r="C3564" s="88">
        <v>-1162912</v>
      </c>
      <c r="D3564" s="135">
        <v>174374270</v>
      </c>
      <c r="E3564" s="133" t="s">
        <v>2020</v>
      </c>
      <c r="F3564" s="133"/>
      <c r="G3564" s="133"/>
      <c r="H3564" s="133"/>
    </row>
    <row r="3565" spans="1:8" hidden="1" outlineLevel="1">
      <c r="A3565" s="418" t="s">
        <v>1314</v>
      </c>
      <c r="B3565" s="406">
        <v>129984008</v>
      </c>
      <c r="C3565" s="88">
        <v>2393482</v>
      </c>
      <c r="D3565" s="135">
        <v>132377490</v>
      </c>
      <c r="E3565" s="133" t="s">
        <v>1315</v>
      </c>
      <c r="F3565" s="133"/>
      <c r="G3565" s="133"/>
      <c r="H3565" s="133"/>
    </row>
    <row r="3566" spans="1:8" hidden="1" outlineLevel="1">
      <c r="A3566" s="418" t="s">
        <v>2021</v>
      </c>
      <c r="B3566" s="406">
        <v>93776782</v>
      </c>
      <c r="C3566" s="88">
        <v>-2050283</v>
      </c>
      <c r="D3566" s="135">
        <v>91726499</v>
      </c>
      <c r="E3566" s="133" t="s">
        <v>2022</v>
      </c>
      <c r="F3566" s="133"/>
      <c r="G3566" s="133"/>
      <c r="H3566" s="133"/>
    </row>
    <row r="3567" spans="1:8" hidden="1" outlineLevel="1">
      <c r="A3567" s="418" t="s">
        <v>2023</v>
      </c>
      <c r="B3567" s="406">
        <v>102001048</v>
      </c>
      <c r="C3567" s="88">
        <v>575068</v>
      </c>
      <c r="D3567" s="135">
        <v>102576116</v>
      </c>
      <c r="E3567" s="133" t="s">
        <v>2024</v>
      </c>
      <c r="F3567" s="133"/>
      <c r="G3567" s="133"/>
      <c r="H3567" s="133"/>
    </row>
    <row r="3568" spans="1:8" hidden="1" outlineLevel="1">
      <c r="A3568" s="418" t="s">
        <v>2025</v>
      </c>
      <c r="B3568" s="406">
        <v>36682493</v>
      </c>
      <c r="C3568" s="88">
        <v>0</v>
      </c>
      <c r="D3568" s="135">
        <v>36682493</v>
      </c>
      <c r="E3568" s="133" t="s">
        <v>2026</v>
      </c>
      <c r="F3568" s="133"/>
      <c r="G3568" s="133"/>
      <c r="H3568" s="133"/>
    </row>
    <row r="3569" spans="1:8" hidden="1" outlineLevel="1">
      <c r="A3569" s="418" t="s">
        <v>2027</v>
      </c>
      <c r="B3569" s="406">
        <v>2839108853</v>
      </c>
      <c r="C3569" s="88">
        <v>1774478</v>
      </c>
      <c r="D3569" s="135">
        <v>2840883331</v>
      </c>
      <c r="E3569" s="133" t="s">
        <v>2028</v>
      </c>
      <c r="F3569" s="133"/>
      <c r="G3569" s="133"/>
      <c r="H3569" s="133"/>
    </row>
    <row r="3570" spans="1:8" hidden="1" outlineLevel="1">
      <c r="A3570" s="418" t="s">
        <v>2029</v>
      </c>
      <c r="B3570" s="406">
        <v>137707067</v>
      </c>
      <c r="C3570" s="88">
        <v>688350</v>
      </c>
      <c r="D3570" s="135">
        <v>138395417</v>
      </c>
      <c r="E3570" s="133" t="s">
        <v>2030</v>
      </c>
      <c r="F3570" s="133"/>
      <c r="G3570" s="133"/>
      <c r="H3570" s="133"/>
    </row>
    <row r="3571" spans="1:8" hidden="1" outlineLevel="1">
      <c r="A3571" s="418" t="s">
        <v>2031</v>
      </c>
      <c r="B3571" s="406">
        <v>558118437</v>
      </c>
      <c r="C3571" s="88">
        <v>-2262150</v>
      </c>
      <c r="D3571" s="135">
        <v>555856287</v>
      </c>
      <c r="E3571" s="133" t="s">
        <v>2032</v>
      </c>
      <c r="F3571" s="133"/>
      <c r="G3571" s="133"/>
      <c r="H3571" s="133"/>
    </row>
    <row r="3572" spans="1:8" hidden="1" outlineLevel="1">
      <c r="A3572" s="418" t="s">
        <v>819</v>
      </c>
      <c r="B3572" s="406">
        <v>280218966</v>
      </c>
      <c r="C3572" s="88">
        <v>4102087</v>
      </c>
      <c r="D3572" s="135">
        <v>284321053</v>
      </c>
      <c r="E3572" s="133" t="s">
        <v>820</v>
      </c>
      <c r="F3572" s="133"/>
      <c r="G3572" s="133"/>
      <c r="H3572" s="133"/>
    </row>
    <row r="3573" spans="1:8" hidden="1" outlineLevel="1">
      <c r="A3573" s="418" t="s">
        <v>2033</v>
      </c>
      <c r="B3573" s="406">
        <v>4268736</v>
      </c>
      <c r="C3573" s="88">
        <v>0</v>
      </c>
      <c r="D3573" s="135">
        <v>4268736</v>
      </c>
      <c r="E3573" s="133" t="s">
        <v>2034</v>
      </c>
      <c r="F3573" s="133"/>
      <c r="G3573" s="133"/>
      <c r="H3573" s="133"/>
    </row>
    <row r="3574" spans="1:8" hidden="1" outlineLevel="1">
      <c r="A3574" s="418" t="s">
        <v>1202</v>
      </c>
      <c r="B3574" s="406">
        <v>206066094</v>
      </c>
      <c r="C3574" s="88">
        <v>0</v>
      </c>
      <c r="D3574" s="135">
        <v>206066094</v>
      </c>
      <c r="E3574" s="133" t="s">
        <v>1203</v>
      </c>
      <c r="F3574" s="133"/>
      <c r="G3574" s="133"/>
      <c r="H3574" s="133"/>
    </row>
    <row r="3575" spans="1:8" hidden="1" outlineLevel="1">
      <c r="A3575" s="418" t="s">
        <v>2035</v>
      </c>
      <c r="B3575" s="406">
        <v>1120413190</v>
      </c>
      <c r="C3575" s="88">
        <v>-85678103</v>
      </c>
      <c r="D3575" s="135">
        <v>1034735087</v>
      </c>
      <c r="E3575" s="133" t="s">
        <v>2036</v>
      </c>
      <c r="F3575" s="133"/>
      <c r="G3575" s="133"/>
      <c r="H3575" s="133"/>
    </row>
    <row r="3576" spans="1:8" hidden="1" outlineLevel="1">
      <c r="A3576" s="418" t="s">
        <v>2037</v>
      </c>
      <c r="B3576" s="406">
        <v>321553047</v>
      </c>
      <c r="C3576" s="88">
        <v>8658314</v>
      </c>
      <c r="D3576" s="135">
        <v>330211361</v>
      </c>
      <c r="E3576" s="133" t="s">
        <v>2038</v>
      </c>
      <c r="F3576" s="133"/>
      <c r="G3576" s="133"/>
      <c r="H3576" s="133"/>
    </row>
    <row r="3577" spans="1:8" hidden="1" outlineLevel="1">
      <c r="A3577" s="418" t="s">
        <v>2039</v>
      </c>
      <c r="B3577" s="406">
        <v>29224465</v>
      </c>
      <c r="C3577" s="88">
        <v>0</v>
      </c>
      <c r="D3577" s="135">
        <v>29224465</v>
      </c>
      <c r="E3577" s="133" t="s">
        <v>2040</v>
      </c>
      <c r="F3577" s="133"/>
      <c r="G3577" s="133"/>
      <c r="H3577" s="133"/>
    </row>
    <row r="3578" spans="1:8" hidden="1" outlineLevel="1">
      <c r="A3578" s="418" t="s">
        <v>2041</v>
      </c>
      <c r="B3578" s="406">
        <v>1531134171</v>
      </c>
      <c r="C3578" s="88">
        <v>-18479835</v>
      </c>
      <c r="D3578" s="135">
        <v>1512654336</v>
      </c>
      <c r="E3578" s="133" t="s">
        <v>2042</v>
      </c>
      <c r="F3578" s="133"/>
      <c r="G3578" s="133"/>
      <c r="H3578" s="133"/>
    </row>
    <row r="3579" spans="1:8" hidden="1" outlineLevel="1">
      <c r="A3579" s="418" t="s">
        <v>2317</v>
      </c>
      <c r="B3579" s="406">
        <v>4391818</v>
      </c>
      <c r="C3579" s="88">
        <v>0</v>
      </c>
      <c r="D3579" s="135">
        <v>4391818</v>
      </c>
      <c r="E3579" s="133" t="s">
        <v>2318</v>
      </c>
      <c r="F3579" s="133"/>
      <c r="G3579" s="133"/>
      <c r="H3579" s="133"/>
    </row>
    <row r="3580" spans="1:8" hidden="1" outlineLevel="1">
      <c r="A3580" s="418" t="s">
        <v>2043</v>
      </c>
      <c r="B3580" s="406">
        <v>42675627</v>
      </c>
      <c r="C3580" s="88">
        <v>0</v>
      </c>
      <c r="D3580" s="135">
        <v>42675627</v>
      </c>
      <c r="E3580" s="133" t="s">
        <v>2044</v>
      </c>
      <c r="F3580" s="133"/>
      <c r="G3580" s="133"/>
      <c r="H3580" s="133"/>
    </row>
    <row r="3581" spans="1:8" hidden="1" outlineLevel="1">
      <c r="A3581" s="418" t="s">
        <v>2045</v>
      </c>
      <c r="B3581" s="406">
        <v>4283926</v>
      </c>
      <c r="C3581" s="88">
        <v>120</v>
      </c>
      <c r="D3581" s="135">
        <v>4284046</v>
      </c>
      <c r="E3581" s="133" t="s">
        <v>2046</v>
      </c>
      <c r="F3581" s="133"/>
      <c r="G3581" s="133"/>
      <c r="H3581" s="133"/>
    </row>
    <row r="3582" spans="1:8" hidden="1" outlineLevel="1">
      <c r="A3582" s="418"/>
      <c r="B3582" s="406"/>
      <c r="C3582" s="88"/>
      <c r="D3582" s="135"/>
      <c r="E3582" s="133"/>
      <c r="F3582" s="133"/>
      <c r="G3582" s="133"/>
      <c r="H3582" s="133"/>
    </row>
    <row r="3583" spans="1:8" ht="13.5" collapsed="1" thickBot="1">
      <c r="A3583" s="410" t="s">
        <v>2047</v>
      </c>
      <c r="B3583" s="407">
        <f>B2667+B2839+B3074+B3444</f>
        <v>330416099300.01599</v>
      </c>
      <c r="C3583" s="136">
        <f>C2667+C2839+C3074+C3444</f>
        <v>682422169.66999996</v>
      </c>
      <c r="D3583" s="137">
        <f>D2667+D2839+D3074+D3444</f>
        <v>331098521469.68604</v>
      </c>
      <c r="E3583" s="10"/>
      <c r="F3583" s="10"/>
      <c r="G3583" s="10"/>
      <c r="H3583" s="10"/>
    </row>
    <row r="3585" spans="1:11" s="8" customFormat="1">
      <c r="B3585" s="192"/>
      <c r="C3585" s="192"/>
      <c r="D3585" s="192"/>
      <c r="E3585" s="192"/>
      <c r="F3585" s="192"/>
      <c r="G3585" s="192"/>
      <c r="H3585" s="192"/>
      <c r="I3585" s="192"/>
      <c r="J3585" s="192"/>
    </row>
    <row r="3586" spans="1:11" s="8" customFormat="1">
      <c r="A3586" s="1740" t="s">
        <v>2458</v>
      </c>
      <c r="B3586" s="192"/>
      <c r="C3586" s="192"/>
      <c r="D3586" s="192"/>
      <c r="E3586" s="192"/>
      <c r="F3586" s="192"/>
      <c r="G3586" s="192"/>
      <c r="H3586" s="192"/>
      <c r="I3586" s="192"/>
      <c r="J3586" s="192"/>
    </row>
    <row r="3587" spans="1:11" s="8" customFormat="1" ht="13.5" thickBot="1">
      <c r="B3587" s="192"/>
      <c r="C3587" s="192"/>
      <c r="D3587" s="192"/>
      <c r="E3587" s="192"/>
      <c r="F3587" s="192"/>
      <c r="G3587" s="192"/>
      <c r="H3587" s="192"/>
      <c r="I3587" s="192"/>
      <c r="J3587" s="192"/>
    </row>
    <row r="3588" spans="1:11" s="8" customFormat="1" ht="88.5" customHeight="1">
      <c r="A3588" s="882"/>
      <c r="B3588" s="883" t="s">
        <v>2459</v>
      </c>
      <c r="C3588" s="884" t="s">
        <v>2460</v>
      </c>
      <c r="D3588" s="837" t="s">
        <v>2461</v>
      </c>
      <c r="E3588" s="885" t="s">
        <v>2462</v>
      </c>
      <c r="F3588" s="884" t="s">
        <v>2463</v>
      </c>
      <c r="G3588" s="885" t="s">
        <v>2464</v>
      </c>
      <c r="H3588" s="886" t="s">
        <v>2465</v>
      </c>
      <c r="J3588" s="311"/>
    </row>
    <row r="3589" spans="1:11" s="8" customFormat="1" ht="13.5" thickBot="1">
      <c r="A3589" s="850"/>
      <c r="B3589" s="526" t="s">
        <v>454</v>
      </c>
      <c r="C3589" s="525" t="s">
        <v>2054</v>
      </c>
      <c r="D3589" s="525" t="s">
        <v>2054</v>
      </c>
      <c r="E3589" s="525" t="s">
        <v>454</v>
      </c>
      <c r="F3589" s="525" t="s">
        <v>2054</v>
      </c>
      <c r="G3589" s="525" t="s">
        <v>454</v>
      </c>
      <c r="H3589" s="864" t="s">
        <v>2054</v>
      </c>
    </row>
    <row r="3590" spans="1:11" s="8" customFormat="1">
      <c r="A3590" s="840" t="str">
        <f>'Anlage 2a_Letztverbrauch'!A2852</f>
        <v>Regelzone 50Hertz (gesamt)</v>
      </c>
      <c r="B3590" s="1720">
        <f>'Anlage 2a_Letztverbrauch'!B2852</f>
        <v>21205851920</v>
      </c>
      <c r="C3590" s="875">
        <f>'Anlage 2a_Letztverbrauch'!C2852+'Anlage 2a_Letztverbrauch'!C2896+'Anlage 2a_Letztverbrauch'!F2896+'Anlage 2a_Letztverbrauch'!I2896</f>
        <v>9503863.4799999986</v>
      </c>
      <c r="D3590" s="875">
        <f>'Anlage 2a_Letztverbrauch'!C2909+'Anlage 2a_Letztverbrauch'!F2909</f>
        <v>41517.1</v>
      </c>
      <c r="E3590" s="875">
        <f>'Anlage 2b_Korrekturen'!D1392</f>
        <v>-29515596</v>
      </c>
      <c r="F3590" s="875">
        <f>'Anlage 2b_Korrekturen'!E1392</f>
        <v>47340.19</v>
      </c>
      <c r="G3590" s="875">
        <f>B3590+E3590</f>
        <v>21176336324</v>
      </c>
      <c r="H3590" s="876">
        <f>C3590+F3590+D3590</f>
        <v>9592720.7699999977</v>
      </c>
      <c r="J3590" s="306"/>
    </row>
    <row r="3591" spans="1:11" s="8" customFormat="1">
      <c r="A3591" s="842" t="str">
        <f>'Anlage 2a_Letztverbrauch'!A2853</f>
        <v>Regelzone Amprion (gesamt)</v>
      </c>
      <c r="B3591" s="877">
        <f>'Anlage 2a_Letztverbrauch'!B2853</f>
        <v>43230394404</v>
      </c>
      <c r="C3591" s="326">
        <f>'Anlage 2a_Letztverbrauch'!C2853+'Anlage 2a_Letztverbrauch'!C2897+'Anlage 2a_Letztverbrauch'!F2897+'Anlage 2a_Letztverbrauch'!I2897</f>
        <v>17938477.109999999</v>
      </c>
      <c r="D3591" s="326">
        <f>'Anlage 2a_Letztverbrauch'!C2910+'Anlage 2a_Letztverbrauch'!F2910</f>
        <v>40224.050000000003</v>
      </c>
      <c r="E3591" s="326">
        <f>'Anlage 2b_Korrekturen'!D1396</f>
        <v>48617645</v>
      </c>
      <c r="F3591" s="326">
        <f>'Anlage 2b_Korrekturen'!E1396</f>
        <v>27005.539999999997</v>
      </c>
      <c r="G3591" s="326">
        <f>B3591+E3591</f>
        <v>43279012049</v>
      </c>
      <c r="H3591" s="878">
        <f t="shared" ref="H3591:H3593" si="124">C3591+F3591+D3591</f>
        <v>18005706.699999999</v>
      </c>
      <c r="J3591" s="306"/>
    </row>
    <row r="3592" spans="1:11" s="8" customFormat="1">
      <c r="A3592" s="842" t="str">
        <f>'Anlage 2a_Letztverbrauch'!A2854</f>
        <v>Regelzone TenneT (gesamt)</v>
      </c>
      <c r="B3592" s="877">
        <f>'Anlage 2a_Letztverbrauch'!B2854</f>
        <v>25245675565</v>
      </c>
      <c r="C3592" s="326">
        <f>'Anlage 2a_Letztverbrauch'!C2854+'Anlage 2a_Letztverbrauch'!C2898+'Anlage 2a_Letztverbrauch'!F2898+'Anlage 2a_Letztverbrauch'!I2898</f>
        <v>12247642.59</v>
      </c>
      <c r="D3592" s="326">
        <f>'Anlage 2a_Letztverbrauch'!C2911+'Anlage 2a_Letztverbrauch'!F2911</f>
        <v>411169.98</v>
      </c>
      <c r="E3592" s="326">
        <f>'Anlage 2b_Korrekturen'!D1405</f>
        <v>-55039508</v>
      </c>
      <c r="F3592" s="326">
        <f>'Anlage 2b_Korrekturen'!E1405</f>
        <v>-22596.55</v>
      </c>
      <c r="G3592" s="326">
        <f>B3592+E3592</f>
        <v>25190636057</v>
      </c>
      <c r="H3592" s="878">
        <f t="shared" si="124"/>
        <v>12636216.02</v>
      </c>
      <c r="J3592" s="306"/>
    </row>
    <row r="3593" spans="1:11" s="8" customFormat="1" ht="13.5" thickBot="1">
      <c r="A3593" s="844" t="str">
        <f>'Anlage 2a_Letztverbrauch'!A2855</f>
        <v>Regelzone TransnetBW (gesamt)</v>
      </c>
      <c r="B3593" s="879">
        <f>'Anlage 2a_Letztverbrauch'!B2855</f>
        <v>7978225548</v>
      </c>
      <c r="C3593" s="880">
        <f>'Anlage 2a_Letztverbrauch'!C2855+'Anlage 2a_Letztverbrauch'!C2899+'Anlage 2a_Letztverbrauch'!F2899+'Anlage 2a_Letztverbrauch'!I2899</f>
        <v>4151246.6</v>
      </c>
      <c r="D3593" s="880">
        <f>'Anlage 2a_Letztverbrauch'!C2912+'Anlage 2a_Letztverbrauch'!F2912</f>
        <v>33270.94</v>
      </c>
      <c r="E3593" s="880">
        <f>'Anlage 2b_Korrekturen'!D1409</f>
        <v>-1776072</v>
      </c>
      <c r="F3593" s="880">
        <f>'Anlage 2b_Korrekturen'!E1409</f>
        <v>-732.63</v>
      </c>
      <c r="G3593" s="880">
        <f>B3593+E3593</f>
        <v>7976449476</v>
      </c>
      <c r="H3593" s="881">
        <f t="shared" si="124"/>
        <v>4183784.91</v>
      </c>
      <c r="J3593" s="306"/>
    </row>
    <row r="3594" spans="1:11" s="8" customFormat="1" ht="15.75" thickBot="1">
      <c r="A3594" s="846" t="s">
        <v>2047</v>
      </c>
      <c r="B3594" s="887">
        <f>SUM(B3590:B3593)</f>
        <v>97660147437</v>
      </c>
      <c r="C3594" s="871">
        <f>SUM(C3590:C3593)</f>
        <v>43841229.779999994</v>
      </c>
      <c r="D3594" s="871">
        <f t="shared" ref="D3594" si="125">SUM(D3590:D3593)</f>
        <v>526182.07000000007</v>
      </c>
      <c r="E3594" s="871">
        <f>SUM(E3590:E3593)</f>
        <v>-37713531</v>
      </c>
      <c r="F3594" s="871">
        <f>SUM(F3590:F3593)</f>
        <v>51016.549999999996</v>
      </c>
      <c r="G3594" s="871">
        <f>SUM(G3590:G3593)</f>
        <v>97622433906</v>
      </c>
      <c r="H3594" s="888">
        <f>SUM(H3590:H3593)</f>
        <v>44418428.399999991</v>
      </c>
      <c r="J3594" s="312"/>
    </row>
    <row r="3595" spans="1:11" s="8" customFormat="1">
      <c r="B3595" s="192"/>
      <c r="C3595" s="192"/>
      <c r="D3595" s="192"/>
      <c r="E3595" s="192"/>
      <c r="F3595" s="192"/>
      <c r="G3595" s="192"/>
      <c r="H3595" s="192"/>
      <c r="I3595" s="192"/>
      <c r="J3595" s="192"/>
    </row>
    <row r="3596" spans="1:11" s="8" customFormat="1">
      <c r="A3596" s="1740" t="s">
        <v>2466</v>
      </c>
      <c r="B3596" s="192"/>
      <c r="C3596" s="192"/>
      <c r="D3596" s="192"/>
      <c r="E3596" s="192"/>
      <c r="F3596" s="192"/>
      <c r="G3596" s="192"/>
      <c r="H3596" s="192"/>
      <c r="I3596" s="192"/>
      <c r="J3596" s="192"/>
    </row>
    <row r="3597" spans="1:11" s="8" customFormat="1" ht="13.5" thickBot="1">
      <c r="B3597" s="192"/>
      <c r="C3597" s="192"/>
      <c r="D3597" s="192"/>
      <c r="E3597" s="192"/>
      <c r="F3597" s="192"/>
      <c r="G3597" s="192"/>
      <c r="H3597" s="192"/>
      <c r="I3597" s="192"/>
      <c r="J3597" s="192"/>
    </row>
    <row r="3598" spans="1:11" s="81" customFormat="1" ht="114.75" customHeight="1">
      <c r="A3598" s="421"/>
      <c r="B3598" s="494" t="s">
        <v>2467</v>
      </c>
      <c r="C3598" s="100" t="s">
        <v>2468</v>
      </c>
      <c r="D3598" s="219" t="s">
        <v>2469</v>
      </c>
      <c r="E3598" s="220" t="s">
        <v>2558</v>
      </c>
      <c r="F3598" s="219" t="s">
        <v>2470</v>
      </c>
      <c r="G3598" s="221" t="s">
        <v>2471</v>
      </c>
      <c r="H3598" s="90"/>
      <c r="I3598" s="90"/>
      <c r="J3598" s="90"/>
      <c r="K3598" s="3"/>
    </row>
    <row r="3599" spans="1:11" s="8" customFormat="1" ht="13.5" thickBot="1">
      <c r="A3599" s="489"/>
      <c r="B3599" s="526" t="s">
        <v>454</v>
      </c>
      <c r="C3599" s="525" t="s">
        <v>2054</v>
      </c>
      <c r="D3599" s="525" t="s">
        <v>454</v>
      </c>
      <c r="E3599" s="525" t="s">
        <v>2054</v>
      </c>
      <c r="F3599" s="525" t="s">
        <v>454</v>
      </c>
      <c r="G3599" s="531" t="s">
        <v>2054</v>
      </c>
      <c r="H3599" s="10"/>
    </row>
    <row r="3600" spans="1:11" s="8" customFormat="1" ht="15" customHeight="1">
      <c r="A3600" s="415" t="str">
        <f>'Anlage 2a_Letztverbrauch'!A2862</f>
        <v>Regelzone 50Hertz (gesamt)</v>
      </c>
      <c r="B3600" s="1720">
        <f>'Anlage 2a_Letztverbrauch'!I2862</f>
        <v>357493614</v>
      </c>
      <c r="C3600" s="875">
        <f>'Anlage 2a_Letztverbrauch'!I2873+'Anlage 2a_Letztverbrauch'!B2923</f>
        <v>1007280.19</v>
      </c>
      <c r="D3600" s="875">
        <f>'Anlage 2b_Korrekturen'!D1438</f>
        <v>-607320</v>
      </c>
      <c r="E3600" s="875">
        <f>'Anlage 2b_Korrekturen'!E1438</f>
        <v>-1670.13</v>
      </c>
      <c r="F3600" s="875">
        <f>B3600+D3600</f>
        <v>356886294</v>
      </c>
      <c r="G3600" s="876">
        <f>C3600+E3600</f>
        <v>1005610.0599999999</v>
      </c>
      <c r="H3600" s="306"/>
      <c r="I3600" s="306"/>
      <c r="J3600" s="306"/>
      <c r="K3600" s="18"/>
    </row>
    <row r="3601" spans="1:11" s="8" customFormat="1">
      <c r="A3601" s="374" t="str">
        <f>'Anlage 2a_Letztverbrauch'!A2863</f>
        <v>Regelzone Amprion (gesamt)</v>
      </c>
      <c r="B3601" s="877">
        <f>'Anlage 2a_Letztverbrauch'!I2863</f>
        <v>940409731</v>
      </c>
      <c r="C3601" s="326">
        <f>'Anlage 2a_Letztverbrauch'!I2874+'Anlage 2a_Letztverbrauch'!B2924</f>
        <v>2623260.7568800002</v>
      </c>
      <c r="D3601" s="326">
        <f>'Anlage 2b_Korrekturen'!D1491</f>
        <v>-30712956</v>
      </c>
      <c r="E3601" s="326">
        <f>'Anlage 2b_Korrekturen'!E1491</f>
        <v>-81045.587240000008</v>
      </c>
      <c r="F3601" s="326">
        <f t="shared" ref="F3601:G3603" si="126">B3601+D3601</f>
        <v>909696775</v>
      </c>
      <c r="G3601" s="878">
        <f t="shared" si="126"/>
        <v>2542215.1696400004</v>
      </c>
      <c r="H3601" s="306"/>
      <c r="I3601" s="306"/>
      <c r="J3601" s="306"/>
      <c r="K3601" s="18"/>
    </row>
    <row r="3602" spans="1:11" s="8" customFormat="1">
      <c r="A3602" s="374" t="str">
        <f>'Anlage 2a_Letztverbrauch'!A2864</f>
        <v>Regelzone TenneT (gesamt)</v>
      </c>
      <c r="B3602" s="877">
        <f>'Anlage 2a_Letztverbrauch'!I2864</f>
        <v>399644657</v>
      </c>
      <c r="C3602" s="326">
        <f>'Anlage 2a_Letztverbrauch'!I2875+'Anlage 2a_Letztverbrauch'!B2925</f>
        <v>1130749.3799999999</v>
      </c>
      <c r="D3602" s="326">
        <f>'Anlage 2b_Korrekturen'!D1509</f>
        <v>-68776388</v>
      </c>
      <c r="E3602" s="326">
        <f>'Anlage 2b_Korrekturen'!E1509</f>
        <v>-287198.23200000002</v>
      </c>
      <c r="F3602" s="326">
        <f t="shared" si="126"/>
        <v>330868269</v>
      </c>
      <c r="G3602" s="878">
        <f t="shared" si="126"/>
        <v>843551.14799999981</v>
      </c>
      <c r="H3602" s="306"/>
      <c r="I3602" s="306"/>
      <c r="J3602" s="306"/>
      <c r="K3602" s="18"/>
    </row>
    <row r="3603" spans="1:11" s="8" customFormat="1" ht="13.5" thickBot="1">
      <c r="A3603" s="403" t="str">
        <f>'Anlage 2a_Letztverbrauch'!A2865</f>
        <v>Regelzone TransnetBW (gesamt)</v>
      </c>
      <c r="B3603" s="879">
        <f>'Anlage 2a_Letztverbrauch'!I2865</f>
        <v>204333266</v>
      </c>
      <c r="C3603" s="880">
        <f>'Anlage 2a_Letztverbrauch'!I2876+'Anlage 2a_Letztverbrauch'!B2926</f>
        <v>566841.80587000004</v>
      </c>
      <c r="D3603" s="880">
        <f>'Anlage 2b_Korrekturen'!D1532</f>
        <v>214916</v>
      </c>
      <c r="E3603" s="880">
        <f>'Anlage 2b_Korrekturen'!E1532</f>
        <v>591.01900000000001</v>
      </c>
      <c r="F3603" s="880">
        <f t="shared" si="126"/>
        <v>204548182</v>
      </c>
      <c r="G3603" s="881">
        <f t="shared" si="126"/>
        <v>567432.82487000001</v>
      </c>
      <c r="H3603" s="306"/>
      <c r="I3603" s="306"/>
      <c r="J3603" s="306"/>
      <c r="K3603" s="18"/>
    </row>
    <row r="3604" spans="1:11" s="8" customFormat="1" ht="15.75" thickBot="1">
      <c r="A3604" s="401" t="s">
        <v>2047</v>
      </c>
      <c r="B3604" s="874">
        <f t="shared" ref="B3604:C3604" si="127">SUM(B3600:B3603)</f>
        <v>1901881268</v>
      </c>
      <c r="C3604" s="830">
        <f t="shared" si="127"/>
        <v>5328132.1327500008</v>
      </c>
      <c r="D3604" s="830">
        <f t="shared" ref="D3604:G3604" si="128">SUM(D3600:D3603)</f>
        <v>-99881748</v>
      </c>
      <c r="E3604" s="830">
        <f t="shared" si="128"/>
        <v>-369322.93024000007</v>
      </c>
      <c r="F3604" s="830">
        <f t="shared" si="128"/>
        <v>1801999520</v>
      </c>
      <c r="G3604" s="831">
        <f t="shared" si="128"/>
        <v>4958809.2025100002</v>
      </c>
      <c r="H3604" s="307"/>
      <c r="I3604" s="307"/>
      <c r="J3604" s="307"/>
      <c r="K3604" s="10"/>
    </row>
    <row r="3605" spans="1:11" s="8" customFormat="1">
      <c r="B3605" s="192"/>
      <c r="C3605" s="192"/>
      <c r="D3605" s="192"/>
      <c r="E3605" s="192"/>
      <c r="F3605" s="192"/>
      <c r="G3605" s="192"/>
      <c r="H3605" s="192"/>
      <c r="I3605" s="192"/>
      <c r="J3605" s="192"/>
    </row>
    <row r="3606" spans="1:11" s="8" customFormat="1"/>
    <row r="3607" spans="1:11" s="8" customFormat="1">
      <c r="B3607" s="192"/>
      <c r="C3607" s="192"/>
      <c r="D3607" s="192"/>
      <c r="E3607" s="192"/>
      <c r="F3607" s="192"/>
      <c r="G3607" s="192"/>
      <c r="H3607" s="192"/>
      <c r="I3607" s="192"/>
      <c r="J3607" s="192"/>
    </row>
    <row r="3610" spans="1:11">
      <c r="A3610" s="1191"/>
      <c r="B3610" s="1192"/>
      <c r="C3610" s="1192"/>
    </row>
    <row r="3611" spans="1:11">
      <c r="A3611" s="1191"/>
      <c r="B3611" s="1192"/>
      <c r="C3611" s="1192"/>
    </row>
    <row r="3612" spans="1:11" ht="25.5" customHeight="1">
      <c r="A3612" s="44"/>
      <c r="B3612" s="1193"/>
      <c r="C3612" s="1192"/>
    </row>
    <row r="3613" spans="1:11">
      <c r="A3613" s="44"/>
      <c r="B3613" s="1194"/>
      <c r="C3613" s="1192"/>
    </row>
    <row r="3614" spans="1:11">
      <c r="A3614" s="1195"/>
      <c r="B3614" s="1196"/>
      <c r="C3614" s="1192"/>
    </row>
    <row r="3615" spans="1:11">
      <c r="A3615" s="1195"/>
      <c r="B3615" s="1196"/>
      <c r="C3615" s="1192"/>
    </row>
    <row r="3616" spans="1:11">
      <c r="A3616" s="1195"/>
      <c r="B3616" s="1196"/>
      <c r="C3616" s="1192"/>
    </row>
    <row r="3617" spans="1:3">
      <c r="A3617" s="44"/>
      <c r="B3617" s="1196"/>
      <c r="C3617" s="1192"/>
    </row>
    <row r="3618" spans="1:3" ht="15">
      <c r="A3618" s="1197"/>
      <c r="B3618" s="1198"/>
      <c r="C3618" s="1192"/>
    </row>
  </sheetData>
  <conditionalFormatting sqref="B3614:B3617">
    <cfRule type="expression" dxfId="411" priority="1">
      <formula>B3614&lt;&gt;""</formula>
    </cfRule>
  </conditionalFormatting>
  <pageMargins left="0.23622047244094491" right="0.70866141732283472" top="1.1023622047244095" bottom="0.74803149606299213" header="0.31496062992125984" footer="0.31496062992125984"/>
  <pageSetup paperSize="9" scale="52" fitToHeight="2" orientation="landscape" r:id="rId1"/>
  <headerFooter scaleWithDoc="0">
    <oddHeader>&amp;L&amp;G</oddHeader>
    <oddFooter>&amp;R&amp;UAnlage 3a&amp;U
Seite &amp;P</oddFooter>
  </headerFooter>
  <rowBreaks count="1" manualBreakCount="1">
    <brk id="1739" max="16383" man="1"/>
  </rowBreaks>
  <ignoredErrors>
    <ignoredError sqref="E1917:E2119 I167:I300 D301:I345 D347:I401 D168:H200 D733:I740 F403:G403 D732:F732 I403:I732 F404:F731 E2521 D167:F167 H167 D202:H300 D201:G201 D346:F346 H346:I346 E1744:E1899 D741:G741 I741 E2150:E2518" formula="1"/>
  </ignoredErrors>
  <legacy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9974A-79F5-4C59-A2B2-FBEA23EDDDB2}">
  <sheetPr codeName="Tabelle11">
    <pageSetUpPr fitToPage="1"/>
  </sheetPr>
  <dimension ref="A1:K2751"/>
  <sheetViews>
    <sheetView view="pageLayout" zoomScale="80" zoomScaleNormal="100" zoomScalePageLayoutView="80" workbookViewId="0">
      <selection activeCell="L6" sqref="L6"/>
    </sheetView>
  </sheetViews>
  <sheetFormatPr baseColWidth="10" defaultColWidth="8.140625" defaultRowHeight="12.75" outlineLevelRow="2"/>
  <cols>
    <col min="1" max="1" width="30" customWidth="1"/>
    <col min="2" max="2" width="22" customWidth="1"/>
    <col min="3" max="3" width="31.5703125" customWidth="1"/>
    <col min="4" max="4" width="17.5703125" customWidth="1"/>
    <col min="5" max="5" width="18.7109375" customWidth="1"/>
    <col min="6" max="6" width="18.42578125" bestFit="1" customWidth="1"/>
    <col min="7" max="7" width="18.28515625" customWidth="1"/>
    <col min="8" max="8" width="16.42578125" customWidth="1"/>
    <col min="9" max="9" width="15.7109375" customWidth="1"/>
    <col min="10" max="10" width="14.85546875" customWidth="1"/>
  </cols>
  <sheetData>
    <row r="1" spans="1:9" ht="18">
      <c r="A1" s="126" t="s">
        <v>2472</v>
      </c>
    </row>
    <row r="2" spans="1:9">
      <c r="A2" s="13"/>
      <c r="D2" s="29"/>
      <c r="G2" s="29"/>
      <c r="I2" s="21"/>
    </row>
    <row r="3" spans="1:9">
      <c r="I3" s="29">
        <f>'Anlage 1a_Zuschlagszahlungen_NB'!E1</f>
        <v>46280</v>
      </c>
    </row>
    <row r="4" spans="1:9">
      <c r="A4" s="1739" t="s">
        <v>2473</v>
      </c>
      <c r="B4" s="89"/>
      <c r="C4" s="89"/>
      <c r="D4" s="89"/>
      <c r="E4" s="89"/>
      <c r="F4" s="89"/>
      <c r="G4" s="89"/>
    </row>
    <row r="5" spans="1:9" ht="13.5" thickBot="1">
      <c r="B5" s="89"/>
      <c r="C5" s="89"/>
      <c r="D5" s="89"/>
      <c r="E5" s="89"/>
      <c r="F5" s="89"/>
      <c r="G5" s="89"/>
    </row>
    <row r="6" spans="1:9" ht="67.5" customHeight="1">
      <c r="A6" s="847"/>
      <c r="B6" s="494" t="s">
        <v>2448</v>
      </c>
      <c r="C6" s="100" t="s">
        <v>2474</v>
      </c>
      <c r="D6" s="100" t="s">
        <v>2475</v>
      </c>
      <c r="E6" s="100" t="s">
        <v>2476</v>
      </c>
      <c r="F6" s="101" t="s">
        <v>2477</v>
      </c>
      <c r="G6" s="926" t="s">
        <v>2453</v>
      </c>
    </row>
    <row r="7" spans="1:9" s="8" customFormat="1" ht="13.5" thickBot="1">
      <c r="A7" s="850"/>
      <c r="B7" s="526" t="s">
        <v>2054</v>
      </c>
      <c r="C7" s="525" t="s">
        <v>2054</v>
      </c>
      <c r="D7" s="525" t="s">
        <v>2054</v>
      </c>
      <c r="E7" s="525" t="s">
        <v>2054</v>
      </c>
      <c r="F7" s="531" t="s">
        <v>2054</v>
      </c>
      <c r="G7" s="927" t="s">
        <v>2054</v>
      </c>
    </row>
    <row r="8" spans="1:9">
      <c r="A8" s="851" t="s">
        <v>455</v>
      </c>
      <c r="B8" s="1714">
        <f t="shared" ref="B8:G8" si="0">+SUM(B9:B179)</f>
        <v>528759275.46019179</v>
      </c>
      <c r="C8" s="1718">
        <f t="shared" si="0"/>
        <v>-40498602.966239996</v>
      </c>
      <c r="D8" s="1715">
        <f t="shared" si="0"/>
        <v>6663.68</v>
      </c>
      <c r="E8" s="1718">
        <f t="shared" si="0"/>
        <v>488267336.17395175</v>
      </c>
      <c r="F8" s="1721">
        <f>+SUM(F9:F179)</f>
        <v>2198199.9899999998</v>
      </c>
      <c r="G8" s="865">
        <f t="shared" si="0"/>
        <v>490465536.16395223</v>
      </c>
      <c r="I8" s="89"/>
    </row>
    <row r="9" spans="1:9" hidden="1" outlineLevel="1">
      <c r="A9" s="853" t="str">
        <f>+'Anlage 3a_Zusammenfassung_KWKG'!A1745</f>
        <v>SNB982046657236</v>
      </c>
      <c r="B9" s="1698">
        <f>+VLOOKUP(A9,'Anlage 2a_Letztverbrauch'!$A$1853:$I$2765,9,FALSE)</f>
        <v>39310715.503199995</v>
      </c>
      <c r="C9" s="711">
        <f>+IF(ISNA(VLOOKUP(A9,'Anlage 2a_Letztverbrauch'!$A$2774:$D$2786,4,0)),0,VLOOKUP(A9,'Anlage 2a_Letztverbrauch'!$A$2774:$D$2786,4,0))</f>
        <v>-38551473.35424</v>
      </c>
      <c r="D9" s="711">
        <v>0</v>
      </c>
      <c r="E9" s="667">
        <f t="shared" ref="E9:E72" si="1">B9+C9+D9</f>
        <v>759242.14895999432</v>
      </c>
      <c r="F9" s="135">
        <f>+SUMIF('Anlage 2b_Korrekturen'!$B$8:$B$226,A9,'Anlage 2b_Korrekturen'!$F$8:$F$226)</f>
        <v>-658665.79</v>
      </c>
      <c r="G9" s="928">
        <f t="shared" ref="G9:G72" si="2">E9+F9</f>
        <v>100576.35895999428</v>
      </c>
      <c r="H9" s="24"/>
      <c r="I9" s="24"/>
    </row>
    <row r="10" spans="1:9" hidden="1" outlineLevel="1">
      <c r="A10" s="853" t="str">
        <f>+'Anlage 3a_Zusammenfassung_KWKG'!A1746</f>
        <v>SNB990362338043</v>
      </c>
      <c r="B10" s="1698">
        <f>+VLOOKUP(A10,'Anlage 2a_Letztverbrauch'!$A$1853:$I$2765,9,FALSE)</f>
        <v>14920238.104319999</v>
      </c>
      <c r="C10" s="711">
        <f>+IF(ISNA(VLOOKUP(A10,'Anlage 2a_Letztverbrauch'!$A$2774:$D$2786,4,0)),0,VLOOKUP(A10,'Anlage 2a_Letztverbrauch'!$A$2774:$D$2786,4,0))</f>
        <v>-931528.98624</v>
      </c>
      <c r="D10" s="711">
        <v>0</v>
      </c>
      <c r="E10" s="667">
        <f t="shared" si="1"/>
        <v>13988709.118079999</v>
      </c>
      <c r="F10" s="668">
        <f>+SUMIF('Anlage 2b_Korrekturen'!$B$8:$B$226,A10,'Anlage 2b_Korrekturen'!$F$8:$F$226)</f>
        <v>-34554.28</v>
      </c>
      <c r="G10" s="928">
        <f t="shared" si="2"/>
        <v>13954154.83808</v>
      </c>
      <c r="H10" s="24"/>
      <c r="I10" s="24"/>
    </row>
    <row r="11" spans="1:9" hidden="1" outlineLevel="1">
      <c r="A11" s="853" t="str">
        <f>+'Anlage 3a_Zusammenfassung_KWKG'!A1747</f>
        <v>SNB911159111601</v>
      </c>
      <c r="B11" s="1698">
        <f>+VLOOKUP(A11,'Anlage 2a_Letztverbrauch'!$A$1853:$I$2765,9,FALSE)</f>
        <v>301256.81231999997</v>
      </c>
      <c r="C11" s="711">
        <f>+IF(ISNA(VLOOKUP(A11,'Anlage 2a_Letztverbrauch'!$A$2774:$D$2786,4,0)),0,VLOOKUP(A11,'Anlage 2a_Letztverbrauch'!$A$2774:$D$2786,4,0))</f>
        <v>0</v>
      </c>
      <c r="D11" s="711">
        <v>0</v>
      </c>
      <c r="E11" s="667">
        <f t="shared" si="1"/>
        <v>301256.81231999997</v>
      </c>
      <c r="F11" s="668">
        <f>+SUMIF('Anlage 2b_Korrekturen'!$B$8:$B$226,A11,'Anlage 2b_Korrekturen'!$F$8:$F$226)</f>
        <v>0</v>
      </c>
      <c r="G11" s="928">
        <f t="shared" si="2"/>
        <v>301256.81231999997</v>
      </c>
      <c r="H11" s="24"/>
      <c r="I11" s="24"/>
    </row>
    <row r="12" spans="1:9" hidden="1" outlineLevel="1">
      <c r="A12" s="853" t="str">
        <f>+'Anlage 3a_Zusammenfassung_KWKG'!A1748</f>
        <v>SNB917314328846</v>
      </c>
      <c r="B12" s="1698">
        <f>+VLOOKUP(A12,'Anlage 2a_Letztverbrauch'!$A$1853:$I$2765,9,FALSE)</f>
        <v>729038.91264</v>
      </c>
      <c r="C12" s="711">
        <f>+IF(ISNA(VLOOKUP(A12,'Anlage 2a_Letztverbrauch'!$A$2774:$D$2786,4,0)),0,VLOOKUP(A12,'Anlage 2a_Letztverbrauch'!$A$2774:$D$2786,4,0))</f>
        <v>0</v>
      </c>
      <c r="D12" s="711">
        <v>0</v>
      </c>
      <c r="E12" s="667">
        <f t="shared" si="1"/>
        <v>729038.91264</v>
      </c>
      <c r="F12" s="668">
        <f>+SUMIF('Anlage 2b_Korrekturen'!$B$8:$B$226,A12,'Anlage 2b_Korrekturen'!$F$8:$F$226)</f>
        <v>0</v>
      </c>
      <c r="G12" s="928">
        <f t="shared" si="2"/>
        <v>729038.91264</v>
      </c>
      <c r="H12" s="24"/>
      <c r="I12" s="24"/>
    </row>
    <row r="13" spans="1:9" hidden="1" outlineLevel="1">
      <c r="A13" s="853" t="str">
        <f>+'Anlage 3a_Zusammenfassung_KWKG'!A1749</f>
        <v>SNB942182027607</v>
      </c>
      <c r="B13" s="1698">
        <f>+VLOOKUP(A13,'Anlage 2a_Letztverbrauch'!$A$1853:$I$2765,9,FALSE)</f>
        <v>2743132.5919679999</v>
      </c>
      <c r="C13" s="711">
        <f>+IF(ISNA(VLOOKUP(A13,'Anlage 2a_Letztverbrauch'!$A$2774:$D$2786,4,0)),0,VLOOKUP(A13,'Anlage 2a_Letztverbrauch'!$A$2774:$D$2786,4,0))</f>
        <v>0</v>
      </c>
      <c r="D13" s="711">
        <v>0</v>
      </c>
      <c r="E13" s="667">
        <f t="shared" si="1"/>
        <v>2743132.5919679999</v>
      </c>
      <c r="F13" s="668">
        <f>+SUMIF('Anlage 2b_Korrekturen'!$B$8:$B$226,A13,'Anlage 2b_Korrekturen'!$F$8:$F$226)</f>
        <v>-7805.74</v>
      </c>
      <c r="G13" s="928">
        <f t="shared" si="2"/>
        <v>2735326.8519679997</v>
      </c>
      <c r="H13" s="24"/>
      <c r="I13" s="24"/>
    </row>
    <row r="14" spans="1:9" hidden="1" outlineLevel="1">
      <c r="A14" s="853" t="str">
        <f>+'Anlage 3a_Zusammenfassung_KWKG'!A1750</f>
        <v>SNB942182027607</v>
      </c>
      <c r="B14" s="1698">
        <v>1608079.5197759997</v>
      </c>
      <c r="C14" s="711">
        <f>+IF(ISNA(VLOOKUP(A14,'Anlage 2a_Letztverbrauch'!$A$2774:$D$2786,4,0)),0,VLOOKUP(A14,'Anlage 2a_Letztverbrauch'!$A$2774:$D$2786,4,0))</f>
        <v>0</v>
      </c>
      <c r="D14" s="711">
        <v>0</v>
      </c>
      <c r="E14" s="667">
        <f t="shared" si="1"/>
        <v>1608079.5197759997</v>
      </c>
      <c r="F14" s="1674">
        <v>0</v>
      </c>
      <c r="G14" s="928">
        <f t="shared" si="2"/>
        <v>1608079.5197759997</v>
      </c>
      <c r="H14" s="23"/>
      <c r="I14" s="24"/>
    </row>
    <row r="15" spans="1:9" hidden="1" outlineLevel="1">
      <c r="A15" s="853" t="str">
        <f>+'Anlage 3a_Zusammenfassung_KWKG'!A1751</f>
        <v>SNB980808485264</v>
      </c>
      <c r="B15" s="1698">
        <f>+VLOOKUP(A15,'Anlage 2a_Letztverbrauch'!$A$1853:$I$2765,9,FALSE)</f>
        <v>15833770.235855998</v>
      </c>
      <c r="C15" s="711">
        <f>+IF(ISNA(VLOOKUP(A15,'Anlage 2a_Letztverbrauch'!$A$2774:$D$2786,4,0)),0,VLOOKUP(A15,'Anlage 2a_Letztverbrauch'!$A$2774:$D$2786,4,0))</f>
        <v>-5682.6076799999992</v>
      </c>
      <c r="D15" s="711">
        <v>0</v>
      </c>
      <c r="E15" s="667">
        <f t="shared" si="1"/>
        <v>15828087.628175998</v>
      </c>
      <c r="F15" s="668">
        <f>+SUMIF('Anlage 2b_Korrekturen'!$B$8:$B$226,A15,'Anlage 2b_Korrekturen'!$F$8:$F$226)</f>
        <v>21140.99</v>
      </c>
      <c r="G15" s="928">
        <f t="shared" si="2"/>
        <v>15849228.618175998</v>
      </c>
      <c r="H15" s="23"/>
      <c r="I15" s="24"/>
    </row>
    <row r="16" spans="1:9" hidden="1" outlineLevel="1">
      <c r="A16" s="853" t="str">
        <f>+'Anlage 3a_Zusammenfassung_KWKG'!A1752</f>
        <v>SNB941690671609</v>
      </c>
      <c r="B16" s="1698">
        <f>+VLOOKUP(A16,'Anlage 2a_Letztverbrauch'!$A$1853:$I$2765,9,FALSE)</f>
        <v>56987923.795295991</v>
      </c>
      <c r="C16" s="711">
        <f>+IF(ISNA(VLOOKUP(A16,'Anlage 2a_Letztverbrauch'!$A$2774:$D$2786,4,0)),0,VLOOKUP(A16,'Anlage 2a_Letztverbrauch'!$A$2774:$D$2786,4,0))</f>
        <v>-13252.827359999997</v>
      </c>
      <c r="D16" s="711">
        <v>0</v>
      </c>
      <c r="E16" s="667">
        <f t="shared" si="1"/>
        <v>56974670.967935994</v>
      </c>
      <c r="F16" s="668">
        <f>+SUMIF('Anlage 2b_Korrekturen'!$B$8:$B$226,A16,'Anlage 2b_Korrekturen'!$F$8:$F$226)</f>
        <v>-107036.13999999998</v>
      </c>
      <c r="G16" s="928">
        <f t="shared" si="2"/>
        <v>56867634.827935994</v>
      </c>
    </row>
    <row r="17" spans="1:7" hidden="1" outlineLevel="1">
      <c r="A17" s="853" t="str">
        <f>+'Anlage 3a_Zusammenfassung_KWKG'!A1753</f>
        <v>SNB913768089142</v>
      </c>
      <c r="B17" s="1698">
        <f>+VLOOKUP(A17,'Anlage 2a_Letztverbrauch'!$A$1853:$I$2765,9,FALSE)</f>
        <v>52409.55023999999</v>
      </c>
      <c r="C17" s="711">
        <f>+IF(ISNA(VLOOKUP(A17,'Anlage 2a_Letztverbrauch'!$A$2774:$D$2786,4,0)),0,VLOOKUP(A17,'Anlage 2a_Letztverbrauch'!$A$2774:$D$2786,4,0))</f>
        <v>0</v>
      </c>
      <c r="D17" s="711">
        <v>0</v>
      </c>
      <c r="E17" s="667">
        <f t="shared" si="1"/>
        <v>52409.55023999999</v>
      </c>
      <c r="F17" s="668">
        <f>+SUMIF('Anlage 2b_Korrekturen'!$B$8:$B$226,A17,'Anlage 2b_Korrekturen'!$F$8:$F$226)</f>
        <v>0</v>
      </c>
      <c r="G17" s="928">
        <f t="shared" si="2"/>
        <v>52409.55023999999</v>
      </c>
    </row>
    <row r="18" spans="1:7" hidden="1" outlineLevel="1">
      <c r="A18" s="853" t="str">
        <f>+'Anlage 3a_Zusammenfassung_KWKG'!A1754</f>
        <v>SNB930525911119</v>
      </c>
      <c r="B18" s="1698">
        <f>+VLOOKUP(A18,'Anlage 2a_Letztverbrauch'!$A$1853:$I$2765,9,FALSE)</f>
        <v>18022.34736</v>
      </c>
      <c r="C18" s="711">
        <f>+IF(ISNA(VLOOKUP(A18,'Anlage 2a_Letztverbrauch'!$A$2774:$D$2786,4,0)),0,VLOOKUP(A18,'Anlage 2a_Letztverbrauch'!$A$2774:$D$2786,4,0))</f>
        <v>0</v>
      </c>
      <c r="D18" s="711">
        <v>0</v>
      </c>
      <c r="E18" s="667">
        <f t="shared" si="1"/>
        <v>18022.34736</v>
      </c>
      <c r="F18" s="668">
        <f>+SUMIF('Anlage 2b_Korrekturen'!$B$8:$B$226,A18,'Anlage 2b_Korrekturen'!$F$8:$F$226)</f>
        <v>514.98</v>
      </c>
      <c r="G18" s="928">
        <f t="shared" si="2"/>
        <v>18537.327359999999</v>
      </c>
    </row>
    <row r="19" spans="1:7" hidden="1" outlineLevel="1">
      <c r="A19" s="853" t="str">
        <f>+'Anlage 3a_Zusammenfassung_KWKG'!A1755</f>
        <v>SNB959492463384</v>
      </c>
      <c r="B19" s="1698">
        <f>+VLOOKUP(A19,'Anlage 2a_Letztverbrauch'!$A$1853:$I$2765,9,FALSE)</f>
        <v>261806.48447999998</v>
      </c>
      <c r="C19" s="711">
        <f>+IF(ISNA(VLOOKUP(A19,'Anlage 2a_Letztverbrauch'!$A$2774:$D$2786,4,0)),0,VLOOKUP(A19,'Anlage 2a_Letztverbrauch'!$A$2774:$D$2786,4,0))</f>
        <v>0</v>
      </c>
      <c r="D19" s="711">
        <v>0</v>
      </c>
      <c r="E19" s="667">
        <f t="shared" si="1"/>
        <v>261806.48447999998</v>
      </c>
      <c r="F19" s="668">
        <f>+SUMIF('Anlage 2b_Korrekturen'!$B$8:$B$226,A19,'Anlage 2b_Korrekturen'!$F$8:$F$226)</f>
        <v>0</v>
      </c>
      <c r="G19" s="928">
        <f t="shared" si="2"/>
        <v>261806.48447999998</v>
      </c>
    </row>
    <row r="20" spans="1:7" hidden="1" outlineLevel="1">
      <c r="A20" s="853" t="str">
        <f>+'Anlage 3a_Zusammenfassung_KWKG'!A1756</f>
        <v>SNB921629791202</v>
      </c>
      <c r="B20" s="1698">
        <f>+VLOOKUP(A20,'Anlage 2a_Letztverbrauch'!$A$1853:$I$2765,9,FALSE)</f>
        <v>47645.024159999994</v>
      </c>
      <c r="C20" s="711">
        <f>+IF(ISNA(VLOOKUP(A20,'Anlage 2a_Letztverbrauch'!$A$2774:$D$2786,4,0)),0,VLOOKUP(A20,'Anlage 2a_Letztverbrauch'!$A$2774:$D$2786,4,0))</f>
        <v>0</v>
      </c>
      <c r="D20" s="711">
        <v>0</v>
      </c>
      <c r="E20" s="667">
        <f t="shared" si="1"/>
        <v>47645.024159999994</v>
      </c>
      <c r="F20" s="668">
        <f>+SUMIF('Anlage 2b_Korrekturen'!$B$8:$B$226,A20,'Anlage 2b_Korrekturen'!$F$8:$F$226)</f>
        <v>0</v>
      </c>
      <c r="G20" s="928">
        <f t="shared" si="2"/>
        <v>47645.024159999994</v>
      </c>
    </row>
    <row r="21" spans="1:7" hidden="1" outlineLevel="1">
      <c r="A21" s="853" t="str">
        <f>+'Anlage 3a_Zusammenfassung_KWKG'!A1757</f>
        <v>SNB964092397892</v>
      </c>
      <c r="B21" s="1698">
        <f>+VLOOKUP(A21,'Anlage 2a_Letztverbrauch'!$A$1853:$I$2765,9,FALSE)</f>
        <v>333685.42751999997</v>
      </c>
      <c r="C21" s="711">
        <f>+IF(ISNA(VLOOKUP(A21,'Anlage 2a_Letztverbrauch'!$A$2774:$D$2786,4,0)),0,VLOOKUP(A21,'Anlage 2a_Letztverbrauch'!$A$2774:$D$2786,4,0))</f>
        <v>0</v>
      </c>
      <c r="D21" s="711">
        <v>0</v>
      </c>
      <c r="E21" s="667">
        <f t="shared" si="1"/>
        <v>333685.42751999997</v>
      </c>
      <c r="F21" s="668">
        <f>+SUMIF('Anlage 2b_Korrekturen'!$B$8:$B$226,A21,'Anlage 2b_Korrekturen'!$F$8:$F$226)</f>
        <v>0</v>
      </c>
      <c r="G21" s="928">
        <f t="shared" si="2"/>
        <v>333685.42751999997</v>
      </c>
    </row>
    <row r="22" spans="1:7" hidden="1" outlineLevel="1">
      <c r="A22" s="853" t="str">
        <f>+'Anlage 3a_Zusammenfassung_KWKG'!A1758</f>
        <v>SNB974693983233</v>
      </c>
      <c r="B22" s="1698">
        <f>+VLOOKUP(A22,'Anlage 2a_Letztverbrauch'!$A$1853:$I$2765,9,FALSE)</f>
        <v>1500686.1955199998</v>
      </c>
      <c r="C22" s="711">
        <f>+IF(ISNA(VLOOKUP(A22,'Anlage 2a_Letztverbrauch'!$A$2774:$D$2786,4,0)),0,VLOOKUP(A22,'Anlage 2a_Letztverbrauch'!$A$2774:$D$2786,4,0))</f>
        <v>0</v>
      </c>
      <c r="D22" s="711">
        <v>0</v>
      </c>
      <c r="E22" s="667">
        <f t="shared" si="1"/>
        <v>1500686.1955199998</v>
      </c>
      <c r="F22" s="668">
        <f>+SUMIF('Anlage 2b_Korrekturen'!$B$8:$B$226,A22,'Anlage 2b_Korrekturen'!$F$8:$F$226)</f>
        <v>0</v>
      </c>
      <c r="G22" s="928">
        <f t="shared" si="2"/>
        <v>1500686.1955199998</v>
      </c>
    </row>
    <row r="23" spans="1:7" hidden="1" outlineLevel="1">
      <c r="A23" s="853" t="str">
        <f>+'Anlage 3a_Zusammenfassung_KWKG'!A1759</f>
        <v>SNB939548785561</v>
      </c>
      <c r="B23" s="1698">
        <f>+VLOOKUP(A23,'Anlage 2a_Letztverbrauch'!$A$1853:$I$2765,9,FALSE)</f>
        <v>809689.44767999987</v>
      </c>
      <c r="C23" s="711">
        <f>+IF(ISNA(VLOOKUP(A23,'Anlage 2a_Letztverbrauch'!$A$2774:$D$2786,4,0)),0,VLOOKUP(A23,'Anlage 2a_Letztverbrauch'!$A$2774:$D$2786,4,0))</f>
        <v>0</v>
      </c>
      <c r="D23" s="711">
        <v>0</v>
      </c>
      <c r="E23" s="667">
        <f t="shared" si="1"/>
        <v>809689.44767999987</v>
      </c>
      <c r="F23" s="668">
        <f>+SUMIF('Anlage 2b_Korrekturen'!$B$8:$B$226,A23,'Anlage 2b_Korrekturen'!$F$8:$F$226)</f>
        <v>0</v>
      </c>
      <c r="G23" s="928">
        <f t="shared" si="2"/>
        <v>809689.44767999987</v>
      </c>
    </row>
    <row r="24" spans="1:7" hidden="1" outlineLevel="1">
      <c r="A24" s="853" t="str">
        <f>+'Anlage 3a_Zusammenfassung_KWKG'!A1760</f>
        <v>SNB990792528632</v>
      </c>
      <c r="B24" s="1698">
        <f>+VLOOKUP(A24,'Anlage 2a_Letztverbrauch'!$A$1853:$I$2765,9,FALSE)</f>
        <v>501206.83295999997</v>
      </c>
      <c r="C24" s="711">
        <f>+IF(ISNA(VLOOKUP(A24,'Anlage 2a_Letztverbrauch'!$A$2774:$D$2786,4,0)),0,VLOOKUP(A24,'Anlage 2a_Letztverbrauch'!$A$2774:$D$2786,4,0))</f>
        <v>0</v>
      </c>
      <c r="D24" s="711">
        <v>0</v>
      </c>
      <c r="E24" s="667">
        <f t="shared" si="1"/>
        <v>501206.83295999997</v>
      </c>
      <c r="F24" s="668">
        <f>+SUMIF('Anlage 2b_Korrekturen'!$B$8:$B$226,A24,'Anlage 2b_Korrekturen'!$F$8:$F$226)</f>
        <v>0</v>
      </c>
      <c r="G24" s="928">
        <f t="shared" si="2"/>
        <v>501206.83295999997</v>
      </c>
    </row>
    <row r="25" spans="1:7" hidden="1" outlineLevel="1">
      <c r="A25" s="853" t="str">
        <f>+'Anlage 3a_Zusammenfassung_KWKG'!A1761</f>
        <v>SNB901665585874</v>
      </c>
      <c r="B25" s="1698">
        <f>+VLOOKUP(A25,'Anlage 2a_Letztverbrauch'!$A$1853:$I$2765,9,FALSE)</f>
        <v>569137.57631999999</v>
      </c>
      <c r="C25" s="711">
        <f>+IF(ISNA(VLOOKUP(A25,'Anlage 2a_Letztverbrauch'!$A$2774:$D$2786,4,0)),0,VLOOKUP(A25,'Anlage 2a_Letztverbrauch'!$A$2774:$D$2786,4,0))</f>
        <v>0</v>
      </c>
      <c r="D25" s="711">
        <v>0</v>
      </c>
      <c r="E25" s="667">
        <f t="shared" si="1"/>
        <v>569137.57631999999</v>
      </c>
      <c r="F25" s="668">
        <f>+SUMIF('Anlage 2b_Korrekturen'!$B$8:$B$226,A25,'Anlage 2b_Korrekturen'!$F$8:$F$226)</f>
        <v>7002.97</v>
      </c>
      <c r="G25" s="928">
        <f t="shared" si="2"/>
        <v>576140.54631999996</v>
      </c>
    </row>
    <row r="26" spans="1:7" hidden="1" outlineLevel="1">
      <c r="A26" s="853" t="str">
        <f>+'Anlage 3a_Zusammenfassung_KWKG'!A1762</f>
        <v>SNB995332374861</v>
      </c>
      <c r="B26" s="1698">
        <f>+VLOOKUP(A26,'Anlage 2a_Letztverbrauch'!$A$1853:$I$2765,9,FALSE)</f>
        <v>590622.30959999992</v>
      </c>
      <c r="C26" s="711">
        <f>+IF(ISNA(VLOOKUP(A26,'Anlage 2a_Letztverbrauch'!$A$2774:$D$2786,4,0)),0,VLOOKUP(A26,'Anlage 2a_Letztverbrauch'!$A$2774:$D$2786,4,0))</f>
        <v>0</v>
      </c>
      <c r="D26" s="711">
        <v>0</v>
      </c>
      <c r="E26" s="667">
        <f t="shared" si="1"/>
        <v>590622.30959999992</v>
      </c>
      <c r="F26" s="668">
        <f>+SUMIF('Anlage 2b_Korrekturen'!$B$8:$B$226,A26,'Anlage 2b_Korrekturen'!$F$8:$F$226)</f>
        <v>8788.6200000000008</v>
      </c>
      <c r="G26" s="928">
        <f t="shared" si="2"/>
        <v>599410.92959999992</v>
      </c>
    </row>
    <row r="27" spans="1:7" hidden="1" outlineLevel="1">
      <c r="A27" s="853" t="str">
        <f>+'Anlage 3a_Zusammenfassung_KWKG'!A1763</f>
        <v>SNB918100919279</v>
      </c>
      <c r="B27" s="1698">
        <f>+VLOOKUP(A27,'Anlage 2a_Letztverbrauch'!$A$1853:$I$2765,9,FALSE)</f>
        <v>137937.17856</v>
      </c>
      <c r="C27" s="711">
        <f>+IF(ISNA(VLOOKUP(A27,'Anlage 2a_Letztverbrauch'!$A$2774:$D$2786,4,0)),0,VLOOKUP(A27,'Anlage 2a_Letztverbrauch'!$A$2774:$D$2786,4,0))</f>
        <v>0</v>
      </c>
      <c r="D27" s="711">
        <v>0</v>
      </c>
      <c r="E27" s="667">
        <f t="shared" si="1"/>
        <v>137937.17856</v>
      </c>
      <c r="F27" s="668">
        <f>+SUMIF('Anlage 2b_Korrekturen'!$B$8:$B$226,A27,'Anlage 2b_Korrekturen'!$F$8:$F$226)</f>
        <v>0</v>
      </c>
      <c r="G27" s="928">
        <f t="shared" si="2"/>
        <v>137937.17856</v>
      </c>
    </row>
    <row r="28" spans="1:7" hidden="1" outlineLevel="1">
      <c r="A28" s="853" t="str">
        <f>+'Anlage 3a_Zusammenfassung_KWKG'!A1764</f>
        <v>SNB982722829230</v>
      </c>
      <c r="B28" s="1698">
        <f>+VLOOKUP(A28,'Anlage 2a_Letztverbrauch'!$A$1853:$I$2765,9,FALSE)</f>
        <v>2315333.8468800001</v>
      </c>
      <c r="C28" s="711">
        <f>+IF(ISNA(VLOOKUP(A28,'Anlage 2a_Letztverbrauch'!$A$2774:$D$2786,4,0)),0,VLOOKUP(A28,'Anlage 2a_Letztverbrauch'!$A$2774:$D$2786,4,0))</f>
        <v>0</v>
      </c>
      <c r="D28" s="711">
        <v>0</v>
      </c>
      <c r="E28" s="667">
        <f t="shared" si="1"/>
        <v>2315333.8468800001</v>
      </c>
      <c r="F28" s="668">
        <f>+SUMIF('Anlage 2b_Korrekturen'!$B$8:$B$226,A28,'Anlage 2b_Korrekturen'!$F$8:$F$226)</f>
        <v>0</v>
      </c>
      <c r="G28" s="928">
        <f t="shared" si="2"/>
        <v>2315333.8468800001</v>
      </c>
    </row>
    <row r="29" spans="1:7" hidden="1" outlineLevel="1">
      <c r="A29" s="853" t="str">
        <f>+'Anlage 3a_Zusammenfassung_KWKG'!A1765</f>
        <v>SNB916269213931</v>
      </c>
      <c r="B29" s="1698">
        <f>+VLOOKUP(A29,'Anlage 2a_Letztverbrauch'!$A$1853:$I$2765,9,FALSE)</f>
        <v>63364892.210879996</v>
      </c>
      <c r="C29" s="711">
        <f>+IF(ISNA(VLOOKUP(A29,'Anlage 2a_Letztverbrauch'!$A$2774:$D$2786,4,0)),0,VLOOKUP(A29,'Anlage 2a_Letztverbrauch'!$A$2774:$D$2786,4,0))</f>
        <v>-235099.66943999997</v>
      </c>
      <c r="D29" s="711">
        <v>0</v>
      </c>
      <c r="E29" s="667">
        <f t="shared" si="1"/>
        <v>63129792.541439995</v>
      </c>
      <c r="F29" s="135">
        <f>+SUMIF('Anlage 2b_Korrekturen'!$B$8:$B$226,A29,'Anlage 2b_Korrekturen'!$F$8:$F$226)</f>
        <v>605455.23</v>
      </c>
      <c r="G29" s="928">
        <f t="shared" si="2"/>
        <v>63735247.771439992</v>
      </c>
    </row>
    <row r="30" spans="1:7" hidden="1" outlineLevel="1">
      <c r="A30" s="853" t="str">
        <f>+'Anlage 3a_Zusammenfassung_KWKG'!A1766</f>
        <v>SNB934071779865</v>
      </c>
      <c r="B30" s="1698">
        <f>+VLOOKUP(A30,'Anlage 2a_Letztverbrauch'!$A$1853:$I$2765,9,FALSE)</f>
        <v>144354.15359999999</v>
      </c>
      <c r="C30" s="711">
        <f>+IF(ISNA(VLOOKUP(A30,'Anlage 2a_Letztverbrauch'!$A$2774:$D$2786,4,0)),0,VLOOKUP(A30,'Anlage 2a_Letztverbrauch'!$A$2774:$D$2786,4,0))</f>
        <v>0</v>
      </c>
      <c r="D30" s="711">
        <v>0</v>
      </c>
      <c r="E30" s="667">
        <f t="shared" si="1"/>
        <v>144354.15359999999</v>
      </c>
      <c r="F30" s="668">
        <f>+SUMIF('Anlage 2b_Korrekturen'!$B$8:$B$226,A30,'Anlage 2b_Korrekturen'!$F$8:$F$226)</f>
        <v>0</v>
      </c>
      <c r="G30" s="928">
        <f t="shared" si="2"/>
        <v>144354.15359999999</v>
      </c>
    </row>
    <row r="31" spans="1:7" hidden="1" outlineLevel="1">
      <c r="A31" s="853" t="str">
        <f>+'Anlage 3a_Zusammenfassung_KWKG'!A1767</f>
        <v>SNB968914838013</v>
      </c>
      <c r="B31" s="1698">
        <f>+VLOOKUP(A31,'Anlage 2a_Letztverbrauch'!$A$1853:$I$2765,9,FALSE)</f>
        <v>16683877.068479998</v>
      </c>
      <c r="C31" s="711">
        <f>+IF(ISNA(VLOOKUP(A31,'Anlage 2a_Letztverbrauch'!$A$2774:$D$2786,4,0)),0,VLOOKUP(A31,'Anlage 2a_Letztverbrauch'!$A$2774:$D$2786,4,0))</f>
        <v>-49828.868640000001</v>
      </c>
      <c r="D31" s="711">
        <v>0</v>
      </c>
      <c r="E31" s="667">
        <f t="shared" si="1"/>
        <v>16634048.199839998</v>
      </c>
      <c r="F31" s="135">
        <f>+SUMIF('Anlage 2b_Korrekturen'!$B$8:$B$226,A31,'Anlage 2b_Korrekturen'!$F$8:$F$226)</f>
        <v>245058.98</v>
      </c>
      <c r="G31" s="928">
        <f t="shared" si="2"/>
        <v>16879107.179839998</v>
      </c>
    </row>
    <row r="32" spans="1:7" hidden="1" outlineLevel="1">
      <c r="A32" s="853" t="str">
        <f>+'Anlage 3a_Zusammenfassung_KWKG'!A1768</f>
        <v>SNB979269087643</v>
      </c>
      <c r="B32" s="1698">
        <f>+VLOOKUP(A32,'Anlage 2a_Letztverbrauch'!$A$1853:$I$2765,9,FALSE)</f>
        <v>86584783.229231998</v>
      </c>
      <c r="C32" s="711">
        <f>+IF(ISNA(VLOOKUP(A32,'Anlage 2a_Letztverbrauch'!$A$2774:$D$2786,4,0)),0,VLOOKUP(A32,'Anlage 2a_Letztverbrauch'!$A$2774:$D$2786,4,0))</f>
        <v>0</v>
      </c>
      <c r="D32" s="711">
        <v>0</v>
      </c>
      <c r="E32" s="667">
        <f t="shared" si="1"/>
        <v>86584783.229231998</v>
      </c>
      <c r="F32" s="668">
        <f>+SUMIF('Anlage 2b_Korrekturen'!$B$8:$B$226,A32,'Anlage 2b_Korrekturen'!$F$8:$F$226)</f>
        <v>454062.18000000005</v>
      </c>
      <c r="G32" s="928">
        <f t="shared" si="2"/>
        <v>87038845.409232005</v>
      </c>
    </row>
    <row r="33" spans="1:7" hidden="1" outlineLevel="1">
      <c r="A33" s="853" t="str">
        <f>+'Anlage 3a_Zusammenfassung_KWKG'!A1769</f>
        <v>SNB968295079586</v>
      </c>
      <c r="B33" s="1698">
        <f>+VLOOKUP(A33,'Anlage 2a_Letztverbrauch'!$A$1853:$I$2765,9,FALSE)</f>
        <v>54981332.765135996</v>
      </c>
      <c r="C33" s="711">
        <f>+IF(ISNA(VLOOKUP(A33,'Anlage 2a_Letztverbrauch'!$A$2774:$D$2786,4,0)),0,VLOOKUP(A33,'Anlage 2a_Letztverbrauch'!$A$2774:$D$2786,4,0))</f>
        <v>-165728.79215999998</v>
      </c>
      <c r="D33" s="711">
        <v>6663.68</v>
      </c>
      <c r="E33" s="667">
        <f t="shared" si="1"/>
        <v>54822267.652975999</v>
      </c>
      <c r="F33" s="668">
        <f>+SUMIF('Anlage 2b_Korrekturen'!$B$8:$B$226,A33,'Anlage 2b_Korrekturen'!$F$8:$F$226)</f>
        <v>127115.44</v>
      </c>
      <c r="G33" s="928">
        <f t="shared" si="2"/>
        <v>54949383.092975996</v>
      </c>
    </row>
    <row r="34" spans="1:7" hidden="1" outlineLevel="1">
      <c r="A34" s="853" t="str">
        <f>+'Anlage 3a_Zusammenfassung_KWKG'!A1770</f>
        <v>SNB980362940834</v>
      </c>
      <c r="B34" s="1698">
        <f>+VLOOKUP(A34,'Anlage 2a_Letztverbrauch'!$A$1853:$I$2765,9,FALSE)</f>
        <v>73275.453599999993</v>
      </c>
      <c r="C34" s="711">
        <f>+IF(ISNA(VLOOKUP(A34,'Anlage 2a_Letztverbrauch'!$A$2774:$D$2786,4,0)),0,VLOOKUP(A34,'Anlage 2a_Letztverbrauch'!$A$2774:$D$2786,4,0))</f>
        <v>0</v>
      </c>
      <c r="D34" s="711">
        <v>0</v>
      </c>
      <c r="E34" s="667">
        <f t="shared" si="1"/>
        <v>73275.453599999993</v>
      </c>
      <c r="F34" s="668">
        <f>+SUMIF('Anlage 2b_Korrekturen'!$B$8:$B$226,A34,'Anlage 2b_Korrekturen'!$F$8:$F$226)</f>
        <v>-1589.9</v>
      </c>
      <c r="G34" s="928">
        <f t="shared" si="2"/>
        <v>71685.553599999999</v>
      </c>
    </row>
    <row r="35" spans="1:7" hidden="1" outlineLevel="1">
      <c r="A35" s="853" t="str">
        <f>+'Anlage 3a_Zusammenfassung_KWKG'!A1771</f>
        <v>SNB934514392514</v>
      </c>
      <c r="B35" s="1698">
        <f>+VLOOKUP(A35,'Anlage 2a_Letztverbrauch'!$A$1853:$I$2765,9,FALSE)</f>
        <v>679289.49791999999</v>
      </c>
      <c r="C35" s="711">
        <f>+IF(ISNA(VLOOKUP(A35,'Anlage 2a_Letztverbrauch'!$A$2774:$D$2786,4,0)),0,VLOOKUP(A35,'Anlage 2a_Letztverbrauch'!$A$2774:$D$2786,4,0))</f>
        <v>0</v>
      </c>
      <c r="D35" s="711">
        <v>0</v>
      </c>
      <c r="E35" s="667">
        <f t="shared" si="1"/>
        <v>679289.49791999999</v>
      </c>
      <c r="F35" s="668">
        <f>+SUMIF('Anlage 2b_Korrekturen'!$B$8:$B$226,A35,'Anlage 2b_Korrekturen'!$F$8:$F$226)</f>
        <v>0</v>
      </c>
      <c r="G35" s="928">
        <f t="shared" si="2"/>
        <v>679289.49791999999</v>
      </c>
    </row>
    <row r="36" spans="1:7" hidden="1" outlineLevel="1">
      <c r="A36" s="853" t="str">
        <f>+'Anlage 3a_Zusammenfassung_KWKG'!A1772</f>
        <v>SNB981460842488</v>
      </c>
      <c r="B36" s="1698">
        <f>+VLOOKUP(A36,'Anlage 2a_Letztverbrauch'!$A$1853:$I$2765,9,FALSE)</f>
        <v>191565.80015999998</v>
      </c>
      <c r="C36" s="711">
        <f>+IF(ISNA(VLOOKUP(A36,'Anlage 2a_Letztverbrauch'!$A$2774:$D$2786,4,0)),0,VLOOKUP(A36,'Anlage 2a_Letztverbrauch'!$A$2774:$D$2786,4,0))</f>
        <v>0</v>
      </c>
      <c r="D36" s="711">
        <v>0</v>
      </c>
      <c r="E36" s="667">
        <f t="shared" si="1"/>
        <v>191565.80015999998</v>
      </c>
      <c r="F36" s="668">
        <f>+SUMIF('Anlage 2b_Korrekturen'!$B$8:$B$226,A36,'Anlage 2b_Korrekturen'!$F$8:$F$226)</f>
        <v>-785.18</v>
      </c>
      <c r="G36" s="928">
        <f t="shared" si="2"/>
        <v>190780.62015999999</v>
      </c>
    </row>
    <row r="37" spans="1:7" hidden="1" outlineLevel="1">
      <c r="A37" s="853" t="str">
        <f>+'Anlage 3a_Zusammenfassung_KWKG'!A1773</f>
        <v>SNB936769439815</v>
      </c>
      <c r="B37" s="1698">
        <f>+VLOOKUP(A37,'Anlage 2a_Letztverbrauch'!$A$1853:$I$2765,9,FALSE)</f>
        <v>736938.80447999993</v>
      </c>
      <c r="C37" s="711">
        <f>+IF(ISNA(VLOOKUP(A37,'Anlage 2a_Letztverbrauch'!$A$2774:$D$2786,4,0)),0,VLOOKUP(A37,'Anlage 2a_Letztverbrauch'!$A$2774:$D$2786,4,0))</f>
        <v>0</v>
      </c>
      <c r="D37" s="711">
        <v>0</v>
      </c>
      <c r="E37" s="667">
        <f t="shared" si="1"/>
        <v>736938.80447999993</v>
      </c>
      <c r="F37" s="668">
        <f>+SUMIF('Anlage 2b_Korrekturen'!$B$8:$B$226,A37,'Anlage 2b_Korrekturen'!$F$8:$F$226)</f>
        <v>0</v>
      </c>
      <c r="G37" s="928">
        <f t="shared" si="2"/>
        <v>736938.80447999993</v>
      </c>
    </row>
    <row r="38" spans="1:7" hidden="1" outlineLevel="1">
      <c r="A38" s="853" t="str">
        <f>+'Anlage 3a_Zusammenfassung_KWKG'!A1774</f>
        <v>SNB913563830420</v>
      </c>
      <c r="B38" s="1698">
        <f>+VLOOKUP(A38,'Anlage 2a_Letztverbrauch'!$A$1853:$I$2765,9,FALSE)</f>
        <v>781115.55935999984</v>
      </c>
      <c r="C38" s="711">
        <f>+IF(ISNA(VLOOKUP(A38,'Anlage 2a_Letztverbrauch'!$A$2774:$D$2786,4,0)),0,VLOOKUP(A38,'Anlage 2a_Letztverbrauch'!$A$2774:$D$2786,4,0))</f>
        <v>0</v>
      </c>
      <c r="D38" s="711">
        <v>0</v>
      </c>
      <c r="E38" s="667">
        <f t="shared" si="1"/>
        <v>781115.55935999984</v>
      </c>
      <c r="F38" s="668">
        <f>+SUMIF('Anlage 2b_Korrekturen'!$B$8:$B$226,A38,'Anlage 2b_Korrekturen'!$F$8:$F$226)</f>
        <v>748.82000000000016</v>
      </c>
      <c r="G38" s="928">
        <f t="shared" si="2"/>
        <v>781864.37935999979</v>
      </c>
    </row>
    <row r="39" spans="1:7" hidden="1" outlineLevel="1">
      <c r="A39" s="853" t="str">
        <f>+'Anlage 3a_Zusammenfassung_KWKG'!A1775</f>
        <v>SNB971962135690</v>
      </c>
      <c r="B39" s="1698">
        <f>+VLOOKUP(A39,'Anlage 2a_Letztverbrauch'!$A$1853:$I$2765,9,FALSE)</f>
        <v>601354.21919999993</v>
      </c>
      <c r="C39" s="711">
        <f>+IF(ISNA(VLOOKUP(A39,'Anlage 2a_Letztverbrauch'!$A$2774:$D$2786,4,0)),0,VLOOKUP(A39,'Anlage 2a_Letztverbrauch'!$A$2774:$D$2786,4,0))</f>
        <v>0</v>
      </c>
      <c r="D39" s="711">
        <v>0</v>
      </c>
      <c r="E39" s="667">
        <f t="shared" si="1"/>
        <v>601354.21919999993</v>
      </c>
      <c r="F39" s="668">
        <f>+SUMIF('Anlage 2b_Korrekturen'!$B$8:$B$226,A39,'Anlage 2b_Korrekturen'!$F$8:$F$226)</f>
        <v>0</v>
      </c>
      <c r="G39" s="928">
        <f t="shared" si="2"/>
        <v>601354.21919999993</v>
      </c>
    </row>
    <row r="40" spans="1:7" hidden="1" outlineLevel="1">
      <c r="A40" s="853" t="str">
        <f>+'Anlage 3a_Zusammenfassung_KWKG'!A1776</f>
        <v>SNB985993443181</v>
      </c>
      <c r="B40" s="1698">
        <f>+VLOOKUP(A40,'Anlage 2a_Letztverbrauch'!$A$1853:$I$2765,9,FALSE)</f>
        <v>896909.28863999993</v>
      </c>
      <c r="C40" s="711">
        <f>+IF(ISNA(VLOOKUP(A40,'Anlage 2a_Letztverbrauch'!$A$2774:$D$2786,4,0)),0,VLOOKUP(A40,'Anlage 2a_Letztverbrauch'!$A$2774:$D$2786,4,0))</f>
        <v>0</v>
      </c>
      <c r="D40" s="711">
        <v>0</v>
      </c>
      <c r="E40" s="667">
        <f t="shared" si="1"/>
        <v>896909.28863999993</v>
      </c>
      <c r="F40" s="668">
        <f>+SUMIF('Anlage 2b_Korrekturen'!$B$8:$B$226,A40,'Anlage 2b_Korrekturen'!$F$8:$F$226)</f>
        <v>4.24</v>
      </c>
      <c r="G40" s="928">
        <f t="shared" si="2"/>
        <v>896913.52863999992</v>
      </c>
    </row>
    <row r="41" spans="1:7" hidden="1" outlineLevel="1">
      <c r="A41" s="853" t="str">
        <f>+'Anlage 3a_Zusammenfassung_KWKG'!A1777</f>
        <v>SNB918620072652</v>
      </c>
      <c r="B41" s="1698">
        <f>+VLOOKUP(A41,'Anlage 2a_Letztverbrauch'!$A$1853:$I$2765,9,FALSE)</f>
        <v>496413.85295999999</v>
      </c>
      <c r="C41" s="711">
        <f>+IF(ISNA(VLOOKUP(A41,'Anlage 2a_Letztverbrauch'!$A$2774:$D$2786,4,0)),0,VLOOKUP(A41,'Anlage 2a_Letztverbrauch'!$A$2774:$D$2786,4,0))</f>
        <v>0</v>
      </c>
      <c r="D41" s="711">
        <v>0</v>
      </c>
      <c r="E41" s="667">
        <f t="shared" si="1"/>
        <v>496413.85295999999</v>
      </c>
      <c r="F41" s="668">
        <f>+SUMIF('Anlage 2b_Korrekturen'!$B$8:$B$226,A41,'Anlage 2b_Korrekturen'!$F$8:$F$226)</f>
        <v>-942.46</v>
      </c>
      <c r="G41" s="928">
        <f t="shared" si="2"/>
        <v>495471.39295999997</v>
      </c>
    </row>
    <row r="42" spans="1:7" hidden="1" outlineLevel="1">
      <c r="A42" s="853" t="str">
        <f>+'Anlage 3a_Zusammenfassung_KWKG'!A1778</f>
        <v>SNB957591716776</v>
      </c>
      <c r="B42" s="1698">
        <f>+VLOOKUP(A42,'Anlage 2a_Letztverbrauch'!$A$1853:$I$2765,9,FALSE)</f>
        <v>403227.89327999996</v>
      </c>
      <c r="C42" s="711">
        <f>+IF(ISNA(VLOOKUP(A42,'Anlage 2a_Letztverbrauch'!$A$2774:$D$2786,4,0)),0,VLOOKUP(A42,'Anlage 2a_Letztverbrauch'!$A$2774:$D$2786,4,0))</f>
        <v>0</v>
      </c>
      <c r="D42" s="711">
        <v>0</v>
      </c>
      <c r="E42" s="667">
        <f t="shared" si="1"/>
        <v>403227.89327999996</v>
      </c>
      <c r="F42" s="668">
        <f>+SUMIF('Anlage 2b_Korrekturen'!$B$8:$B$226,A42,'Anlage 2b_Korrekturen'!$F$8:$F$226)</f>
        <v>0</v>
      </c>
      <c r="G42" s="928">
        <f t="shared" si="2"/>
        <v>403227.89327999996</v>
      </c>
    </row>
    <row r="43" spans="1:7" hidden="1" outlineLevel="1">
      <c r="A43" s="853" t="str">
        <f>+'Anlage 3a_Zusammenfassung_KWKG'!A1779</f>
        <v>SNB939517994215</v>
      </c>
      <c r="B43" s="1698">
        <f>+VLOOKUP(A43,'Anlage 2a_Letztverbrauch'!$A$1853:$I$2765,9,FALSE)</f>
        <v>422232.68831999996</v>
      </c>
      <c r="C43" s="711">
        <f>+IF(ISNA(VLOOKUP(A43,'Anlage 2a_Letztverbrauch'!$A$2774:$D$2786,4,0)),0,VLOOKUP(A43,'Anlage 2a_Letztverbrauch'!$A$2774:$D$2786,4,0))</f>
        <v>0</v>
      </c>
      <c r="D43" s="711">
        <v>0</v>
      </c>
      <c r="E43" s="667">
        <f t="shared" si="1"/>
        <v>422232.68831999996</v>
      </c>
      <c r="F43" s="668">
        <f>+SUMIF('Anlage 2b_Korrekturen'!$B$8:$B$226,A43,'Anlage 2b_Korrekturen'!$F$8:$F$226)</f>
        <v>-222.85999999999999</v>
      </c>
      <c r="G43" s="928">
        <f t="shared" si="2"/>
        <v>422009.82831999997</v>
      </c>
    </row>
    <row r="44" spans="1:7" hidden="1" outlineLevel="1">
      <c r="A44" s="853" t="str">
        <f>+'Anlage 3a_Zusammenfassung_KWKG'!A1780</f>
        <v>SNB943962034624</v>
      </c>
      <c r="B44" s="1698">
        <f>+VLOOKUP(A44,'Anlage 2a_Letztverbrauch'!$A$1853:$I$2765,9,FALSE)</f>
        <v>976353.59615999996</v>
      </c>
      <c r="C44" s="711">
        <f>+IF(ISNA(VLOOKUP(A44,'Anlage 2a_Letztverbrauch'!$A$2774:$D$2786,4,0)),0,VLOOKUP(A44,'Anlage 2a_Letztverbrauch'!$A$2774:$D$2786,4,0))</f>
        <v>0</v>
      </c>
      <c r="D44" s="711">
        <v>0</v>
      </c>
      <c r="E44" s="667">
        <f t="shared" si="1"/>
        <v>976353.59615999996</v>
      </c>
      <c r="F44" s="668">
        <f>+SUMIF('Anlage 2b_Korrekturen'!$B$8:$B$226,A44,'Anlage 2b_Korrekturen'!$F$8:$F$226)</f>
        <v>4676.8600000000006</v>
      </c>
      <c r="G44" s="928">
        <f t="shared" si="2"/>
        <v>981030.45615999994</v>
      </c>
    </row>
    <row r="45" spans="1:7" hidden="1" outlineLevel="1">
      <c r="A45" s="853" t="str">
        <f>+'Anlage 3a_Zusammenfassung_KWKG'!A1781</f>
        <v>SNB962890977544</v>
      </c>
      <c r="B45" s="1698">
        <f>+VLOOKUP(A45,'Anlage 2a_Letztverbrauch'!$A$1853:$I$2765,9,FALSE)</f>
        <v>773009.66015999985</v>
      </c>
      <c r="C45" s="711">
        <f>+IF(ISNA(VLOOKUP(A45,'Anlage 2a_Letztverbrauch'!$A$2774:$D$2786,4,0)),0,VLOOKUP(A45,'Anlage 2a_Letztverbrauch'!$A$2774:$D$2786,4,0))</f>
        <v>0</v>
      </c>
      <c r="D45" s="711">
        <v>0</v>
      </c>
      <c r="E45" s="667">
        <f t="shared" si="1"/>
        <v>773009.66015999985</v>
      </c>
      <c r="F45" s="668">
        <f>+SUMIF('Anlage 2b_Korrekturen'!$B$8:$B$226,A45,'Anlage 2b_Korrekturen'!$F$8:$F$226)</f>
        <v>1374.06</v>
      </c>
      <c r="G45" s="928">
        <f t="shared" si="2"/>
        <v>774383.72015999991</v>
      </c>
    </row>
    <row r="46" spans="1:7" hidden="1" outlineLevel="1">
      <c r="A46" s="853" t="str">
        <f>+'Anlage 3a_Zusammenfassung_KWKG'!A1782</f>
        <v>SNB953669866350</v>
      </c>
      <c r="B46" s="1698">
        <f>+VLOOKUP(A46,'Anlage 2a_Letztverbrauch'!$A$1853:$I$2765,9,FALSE)</f>
        <v>781933.99919999996</v>
      </c>
      <c r="C46" s="711">
        <f>+IF(ISNA(VLOOKUP(A46,'Anlage 2a_Letztverbrauch'!$A$2774:$D$2786,4,0)),0,VLOOKUP(A46,'Anlage 2a_Letztverbrauch'!$A$2774:$D$2786,4,0))</f>
        <v>0</v>
      </c>
      <c r="D46" s="711">
        <v>0</v>
      </c>
      <c r="E46" s="667">
        <f t="shared" si="1"/>
        <v>781933.99919999996</v>
      </c>
      <c r="F46" s="668">
        <f>+SUMIF('Anlage 2b_Korrekturen'!$B$8:$B$226,A46,'Anlage 2b_Korrekturen'!$F$8:$F$226)</f>
        <v>62.830000000000013</v>
      </c>
      <c r="G46" s="928">
        <f t="shared" si="2"/>
        <v>781996.82919999992</v>
      </c>
    </row>
    <row r="47" spans="1:7" hidden="1" outlineLevel="1">
      <c r="A47" s="853" t="str">
        <f>+'Anlage 3a_Zusammenfassung_KWKG'!A1783</f>
        <v>SNB919654931526</v>
      </c>
      <c r="B47" s="1698">
        <f>+VLOOKUP(A47,'Anlage 2a_Letztverbrauch'!$A$1853:$I$2765,9,FALSE)</f>
        <v>245449.71551999997</v>
      </c>
      <c r="C47" s="711">
        <f>+IF(ISNA(VLOOKUP(A47,'Anlage 2a_Letztverbrauch'!$A$2774:$D$2786,4,0)),0,VLOOKUP(A47,'Anlage 2a_Letztverbrauch'!$A$2774:$D$2786,4,0))</f>
        <v>0</v>
      </c>
      <c r="D47" s="711">
        <v>0</v>
      </c>
      <c r="E47" s="667">
        <f t="shared" si="1"/>
        <v>245449.71551999997</v>
      </c>
      <c r="F47" s="668">
        <f>+SUMIF('Anlage 2b_Korrekturen'!$B$8:$B$226,A47,'Anlage 2b_Korrekturen'!$F$8:$F$226)</f>
        <v>0</v>
      </c>
      <c r="G47" s="928">
        <f t="shared" si="2"/>
        <v>245449.71551999997</v>
      </c>
    </row>
    <row r="48" spans="1:7" hidden="1" outlineLevel="1">
      <c r="A48" s="853" t="str">
        <f>+'Anlage 3a_Zusammenfassung_KWKG'!A1784</f>
        <v>SNB946013720880</v>
      </c>
      <c r="B48" s="1698">
        <f>+VLOOKUP(A48,'Anlage 2a_Letztverbrauch'!$A$1853:$I$2765,9,FALSE)</f>
        <v>331909.79519999999</v>
      </c>
      <c r="C48" s="711">
        <f>+IF(ISNA(VLOOKUP(A48,'Anlage 2a_Letztverbrauch'!$A$2774:$D$2786,4,0)),0,VLOOKUP(A48,'Anlage 2a_Letztverbrauch'!$A$2774:$D$2786,4,0))</f>
        <v>0</v>
      </c>
      <c r="D48" s="711">
        <v>0</v>
      </c>
      <c r="E48" s="667">
        <f t="shared" si="1"/>
        <v>331909.79519999999</v>
      </c>
      <c r="F48" s="668">
        <f>+SUMIF('Anlage 2b_Korrekturen'!$B$8:$B$226,A48,'Anlage 2b_Korrekturen'!$F$8:$F$226)</f>
        <v>-490.67</v>
      </c>
      <c r="G48" s="928">
        <f t="shared" si="2"/>
        <v>331419.12520000001</v>
      </c>
    </row>
    <row r="49" spans="1:7" hidden="1" outlineLevel="1">
      <c r="A49" s="853" t="str">
        <f>+'Anlage 3a_Zusammenfassung_KWKG'!A1785</f>
        <v>SNB971199523673</v>
      </c>
      <c r="B49" s="1698">
        <f>+VLOOKUP(A49,'Anlage 2a_Letztverbrauch'!$A$1853:$I$2765,9,FALSE)</f>
        <v>1758551.7598559998</v>
      </c>
      <c r="C49" s="711">
        <f>+IF(ISNA(VLOOKUP(A49,'Anlage 2a_Letztverbrauch'!$A$2774:$D$2786,4,0)),0,VLOOKUP(A49,'Anlage 2a_Letztverbrauch'!$A$2774:$D$2786,4,0))</f>
        <v>0</v>
      </c>
      <c r="D49" s="711">
        <v>0</v>
      </c>
      <c r="E49" s="667">
        <f t="shared" si="1"/>
        <v>1758551.7598559998</v>
      </c>
      <c r="F49" s="668">
        <f>+SUMIF('Anlage 2b_Korrekturen'!$B$8:$B$226,A49,'Anlage 2b_Korrekturen'!$F$8:$F$226)</f>
        <v>36205.79</v>
      </c>
      <c r="G49" s="928">
        <f t="shared" si="2"/>
        <v>1794757.5498559999</v>
      </c>
    </row>
    <row r="50" spans="1:7" hidden="1" outlineLevel="1">
      <c r="A50" s="853" t="str">
        <f>+'Anlage 3a_Zusammenfassung_KWKG'!A1786</f>
        <v>SNB927160517950</v>
      </c>
      <c r="B50" s="1698">
        <f>+VLOOKUP(A50,'Anlage 2a_Letztverbrauch'!$A$1853:$I$2765,9,FALSE)</f>
        <v>596298.91151999997</v>
      </c>
      <c r="C50" s="711">
        <f>+IF(ISNA(VLOOKUP(A50,'Anlage 2a_Letztverbrauch'!$A$2774:$D$2786,4,0)),0,VLOOKUP(A50,'Anlage 2a_Letztverbrauch'!$A$2774:$D$2786,4,0))</f>
        <v>0</v>
      </c>
      <c r="D50" s="711">
        <v>0</v>
      </c>
      <c r="E50" s="667">
        <f t="shared" si="1"/>
        <v>596298.91151999997</v>
      </c>
      <c r="F50" s="668">
        <f>+SUMIF('Anlage 2b_Korrekturen'!$B$8:$B$226,A50,'Anlage 2b_Korrekturen'!$F$8:$F$226)</f>
        <v>20288.349999999999</v>
      </c>
      <c r="G50" s="928">
        <f t="shared" si="2"/>
        <v>616587.26151999994</v>
      </c>
    </row>
    <row r="51" spans="1:7" hidden="1" outlineLevel="1">
      <c r="A51" s="853" t="str">
        <f>+'Anlage 3a_Zusammenfassung_KWKG'!A1787</f>
        <v>SNB916663914472</v>
      </c>
      <c r="B51" s="1698">
        <f>+VLOOKUP(A51,'Anlage 2a_Letztverbrauch'!$A$1853:$I$2765,9,FALSE)</f>
        <v>5396852.8391039995</v>
      </c>
      <c r="C51" s="711">
        <f>+IF(ISNA(VLOOKUP(A51,'Anlage 2a_Letztverbrauch'!$A$2774:$D$2786,4,0)),0,VLOOKUP(A51,'Anlage 2a_Letztverbrauch'!$A$2774:$D$2786,4,0))</f>
        <v>-39579.614880000001</v>
      </c>
      <c r="D51" s="711">
        <v>0</v>
      </c>
      <c r="E51" s="667">
        <f t="shared" si="1"/>
        <v>5357273.2242239993</v>
      </c>
      <c r="F51" s="668">
        <f>+SUMIF('Anlage 2b_Korrekturen'!$B$8:$B$226,A51,'Anlage 2b_Korrekturen'!$F$8:$F$226)</f>
        <v>0</v>
      </c>
      <c r="G51" s="928">
        <f t="shared" si="2"/>
        <v>5357273.2242239993</v>
      </c>
    </row>
    <row r="52" spans="1:7" hidden="1" outlineLevel="1">
      <c r="A52" s="853" t="str">
        <f>+'Anlage 3a_Zusammenfassung_KWKG'!A1788</f>
        <v>SNB931431136771</v>
      </c>
      <c r="B52" s="1698">
        <f>+VLOOKUP(A52,'Anlage 2a_Letztverbrauch'!$A$1853:$I$2765,9,FALSE)</f>
        <v>1758808.8626879998</v>
      </c>
      <c r="C52" s="711">
        <f>+IF(ISNA(VLOOKUP(A52,'Anlage 2a_Letztverbrauch'!$A$2774:$D$2786,4,0)),0,VLOOKUP(A52,'Anlage 2a_Letztverbrauch'!$A$2774:$D$2786,4,0))</f>
        <v>0</v>
      </c>
      <c r="D52" s="711">
        <v>0</v>
      </c>
      <c r="E52" s="667">
        <f t="shared" si="1"/>
        <v>1758808.8626879998</v>
      </c>
      <c r="F52" s="668">
        <f>+SUMIF('Anlage 2b_Korrekturen'!$B$8:$B$226,A52,'Anlage 2b_Korrekturen'!$F$8:$F$226)</f>
        <v>0</v>
      </c>
      <c r="G52" s="928">
        <f t="shared" si="2"/>
        <v>1758808.8626879998</v>
      </c>
    </row>
    <row r="53" spans="1:7" hidden="1" outlineLevel="1">
      <c r="A53" s="853" t="str">
        <f>+'Anlage 3a_Zusammenfassung_KWKG'!A1789</f>
        <v>SNB937001443546</v>
      </c>
      <c r="B53" s="1698">
        <f>+VLOOKUP(A53,'Anlage 2a_Letztverbrauch'!$A$1853:$I$2765,9,FALSE)</f>
        <v>483467.42544000002</v>
      </c>
      <c r="C53" s="711">
        <f>+IF(ISNA(VLOOKUP(A53,'Anlage 2a_Letztverbrauch'!$A$2774:$D$2786,4,0)),0,VLOOKUP(A53,'Anlage 2a_Letztverbrauch'!$A$2774:$D$2786,4,0))</f>
        <v>0</v>
      </c>
      <c r="D53" s="711">
        <v>0</v>
      </c>
      <c r="E53" s="667">
        <f t="shared" si="1"/>
        <v>483467.42544000002</v>
      </c>
      <c r="F53" s="668">
        <f>+SUMIF('Anlage 2b_Korrekturen'!$B$8:$B$226,A53,'Anlage 2b_Korrekturen'!$F$8:$F$226)</f>
        <v>-1263.3799999999999</v>
      </c>
      <c r="G53" s="928">
        <f t="shared" si="2"/>
        <v>482204.04544000002</v>
      </c>
    </row>
    <row r="54" spans="1:7" hidden="1" outlineLevel="1">
      <c r="A54" s="853" t="str">
        <f>+'Anlage 3a_Zusammenfassung_KWKG'!A1790</f>
        <v>SNB954281375657</v>
      </c>
      <c r="B54" s="1698">
        <f>+VLOOKUP(A54,'Anlage 2a_Letztverbrauch'!$A$1853:$I$2765,9,FALSE)</f>
        <v>2060846.0011199999</v>
      </c>
      <c r="C54" s="711">
        <f>+IF(ISNA(VLOOKUP(A54,'Anlage 2a_Letztverbrauch'!$A$2774:$D$2786,4,0)),0,VLOOKUP(A54,'Anlage 2a_Letztverbrauch'!$A$2774:$D$2786,4,0))</f>
        <v>0</v>
      </c>
      <c r="D54" s="711">
        <v>0</v>
      </c>
      <c r="E54" s="667">
        <f t="shared" si="1"/>
        <v>2060846.0011199999</v>
      </c>
      <c r="F54" s="668">
        <f>+SUMIF('Anlage 2b_Korrekturen'!$B$8:$B$226,A54,'Anlage 2b_Korrekturen'!$F$8:$F$226)</f>
        <v>4900.59</v>
      </c>
      <c r="G54" s="928">
        <f t="shared" si="2"/>
        <v>2065746.59112</v>
      </c>
    </row>
    <row r="55" spans="1:7" hidden="1" outlineLevel="1">
      <c r="A55" s="853" t="str">
        <f>+'Anlage 3a_Zusammenfassung_KWKG'!A1791</f>
        <v>SNB976679550309</v>
      </c>
      <c r="B55" s="1698">
        <f>+VLOOKUP(A55,'Anlage 2a_Letztverbrauch'!$A$1853:$I$2765,9,FALSE)</f>
        <v>687605.28047999996</v>
      </c>
      <c r="C55" s="711">
        <f>+IF(ISNA(VLOOKUP(A55,'Anlage 2a_Letztverbrauch'!$A$2774:$D$2786,4,0)),0,VLOOKUP(A55,'Anlage 2a_Letztverbrauch'!$A$2774:$D$2786,4,0))</f>
        <v>0</v>
      </c>
      <c r="D55" s="711">
        <v>0</v>
      </c>
      <c r="E55" s="667">
        <f t="shared" si="1"/>
        <v>687605.28047999996</v>
      </c>
      <c r="F55" s="668">
        <f>+SUMIF('Anlage 2b_Korrekturen'!$B$8:$B$226,A55,'Anlage 2b_Korrekturen'!$F$8:$F$226)</f>
        <v>0</v>
      </c>
      <c r="G55" s="928">
        <f t="shared" si="2"/>
        <v>687605.28047999996</v>
      </c>
    </row>
    <row r="56" spans="1:7" hidden="1" outlineLevel="1">
      <c r="A56" s="853" t="str">
        <f>+'Anlage 3a_Zusammenfassung_KWKG'!A1792</f>
        <v>SNB936480897581</v>
      </c>
      <c r="B56" s="1698">
        <f>+VLOOKUP(A56,'Anlage 2a_Letztverbrauch'!$A$1853:$I$2765,9,FALSE)</f>
        <v>6099.1267199999993</v>
      </c>
      <c r="C56" s="711">
        <f>+IF(ISNA(VLOOKUP(A56,'Anlage 2a_Letztverbrauch'!$A$2774:$D$2786,4,0)),0,VLOOKUP(A56,'Anlage 2a_Letztverbrauch'!$A$2774:$D$2786,4,0))</f>
        <v>0</v>
      </c>
      <c r="D56" s="711">
        <v>0</v>
      </c>
      <c r="E56" s="667">
        <f t="shared" si="1"/>
        <v>6099.1267199999993</v>
      </c>
      <c r="F56" s="668">
        <f>+SUMIF('Anlage 2b_Korrekturen'!$B$8:$B$226,A56,'Anlage 2b_Korrekturen'!$F$8:$F$226)</f>
        <v>0</v>
      </c>
      <c r="G56" s="928">
        <f t="shared" si="2"/>
        <v>6099.1267199999993</v>
      </c>
    </row>
    <row r="57" spans="1:7" hidden="1" outlineLevel="1">
      <c r="A57" s="853" t="str">
        <f>+'Anlage 3a_Zusammenfassung_KWKG'!A1793</f>
        <v>SNB977174706994</v>
      </c>
      <c r="B57" s="1698">
        <f>+VLOOKUP(A57,'Anlage 2a_Letztverbrauch'!$A$1853:$I$2765,9,FALSE)</f>
        <v>307846.98336000001</v>
      </c>
      <c r="C57" s="711">
        <f>+IF(ISNA(VLOOKUP(A57,'Anlage 2a_Letztverbrauch'!$A$2774:$D$2786,4,0)),0,VLOOKUP(A57,'Anlage 2a_Letztverbrauch'!$A$2774:$D$2786,4,0))</f>
        <v>0</v>
      </c>
      <c r="D57" s="711">
        <v>0</v>
      </c>
      <c r="E57" s="667">
        <f t="shared" si="1"/>
        <v>307846.98336000001</v>
      </c>
      <c r="F57" s="668">
        <f>+SUMIF('Anlage 2b_Korrekturen'!$B$8:$B$226,A57,'Anlage 2b_Korrekturen'!$F$8:$F$226)</f>
        <v>5684.14</v>
      </c>
      <c r="G57" s="928">
        <f t="shared" si="2"/>
        <v>313531.12336000003</v>
      </c>
    </row>
    <row r="58" spans="1:7" hidden="1" outlineLevel="1">
      <c r="A58" s="853" t="str">
        <f>+'Anlage 3a_Zusammenfassung_KWKG'!A1794</f>
        <v>SNB989700422711</v>
      </c>
      <c r="B58" s="1698">
        <f>+VLOOKUP(A58,'Anlage 2a_Letztverbrauch'!$A$1853:$I$2765,9,FALSE)</f>
        <v>1236107.8243199999</v>
      </c>
      <c r="C58" s="711">
        <f>+IF(ISNA(VLOOKUP(A58,'Anlage 2a_Letztverbrauch'!$A$2774:$D$2786,4,0)),0,VLOOKUP(A58,'Anlage 2a_Letztverbrauch'!$A$2774:$D$2786,4,0))</f>
        <v>0</v>
      </c>
      <c r="D58" s="711">
        <v>0</v>
      </c>
      <c r="E58" s="667">
        <f t="shared" si="1"/>
        <v>1236107.8243199999</v>
      </c>
      <c r="F58" s="668">
        <f>+SUMIF('Anlage 2b_Korrekturen'!$B$8:$B$226,A58,'Anlage 2b_Korrekturen'!$F$8:$F$226)</f>
        <v>-451.36</v>
      </c>
      <c r="G58" s="928">
        <f t="shared" si="2"/>
        <v>1235656.4643199998</v>
      </c>
    </row>
    <row r="59" spans="1:7" hidden="1" outlineLevel="1">
      <c r="A59" s="853" t="str">
        <f>+'Anlage 3a_Zusammenfassung_KWKG'!A1795</f>
        <v>SNB917432806905</v>
      </c>
      <c r="B59" s="1698">
        <f>+VLOOKUP(A59,'Anlage 2a_Letztverbrauch'!$A$1853:$I$2765,9,FALSE)</f>
        <v>266766.38543999998</v>
      </c>
      <c r="C59" s="711">
        <f>+IF(ISNA(VLOOKUP(A59,'Anlage 2a_Letztverbrauch'!$A$2774:$D$2786,4,0)),0,VLOOKUP(A59,'Anlage 2a_Letztverbrauch'!$A$2774:$D$2786,4,0))</f>
        <v>0</v>
      </c>
      <c r="D59" s="711">
        <v>0</v>
      </c>
      <c r="E59" s="667">
        <f t="shared" si="1"/>
        <v>266766.38543999998</v>
      </c>
      <c r="F59" s="668">
        <f>+SUMIF('Anlage 2b_Korrekturen'!$B$8:$B$226,A59,'Anlage 2b_Korrekturen'!$F$8:$F$226)</f>
        <v>2381.73</v>
      </c>
      <c r="G59" s="928">
        <f t="shared" si="2"/>
        <v>269148.11543999997</v>
      </c>
    </row>
    <row r="60" spans="1:7" hidden="1" outlineLevel="1">
      <c r="A60" s="853" t="str">
        <f>+'Anlage 3a_Zusammenfassung_KWKG'!A1796</f>
        <v>SNB912218404412</v>
      </c>
      <c r="B60" s="1698">
        <f>+VLOOKUP(A60,'Anlage 2a_Letztverbrauch'!$A$1853:$I$2765,9,FALSE)</f>
        <v>471158.84063999995</v>
      </c>
      <c r="C60" s="711">
        <f>+IF(ISNA(VLOOKUP(A60,'Anlage 2a_Letztverbrauch'!$A$2774:$D$2786,4,0)),0,VLOOKUP(A60,'Anlage 2a_Letztverbrauch'!$A$2774:$D$2786,4,0))</f>
        <v>0</v>
      </c>
      <c r="D60" s="711">
        <v>0</v>
      </c>
      <c r="E60" s="667">
        <f t="shared" si="1"/>
        <v>471158.84063999995</v>
      </c>
      <c r="F60" s="668">
        <f>+SUMIF('Anlage 2b_Korrekturen'!$B$8:$B$226,A60,'Anlage 2b_Korrekturen'!$F$8:$F$226)</f>
        <v>-537.22</v>
      </c>
      <c r="G60" s="928">
        <f t="shared" si="2"/>
        <v>470621.62063999998</v>
      </c>
    </row>
    <row r="61" spans="1:7" hidden="1" outlineLevel="1">
      <c r="A61" s="853" t="str">
        <f>+'Anlage 3a_Zusammenfassung_KWKG'!A1797</f>
        <v>SNB971770548286</v>
      </c>
      <c r="B61" s="1698">
        <f>+VLOOKUP(A61,'Anlage 2a_Letztverbrauch'!$A$1853:$I$2765,9,FALSE)</f>
        <v>215004.34752000001</v>
      </c>
      <c r="C61" s="711">
        <f>+IF(ISNA(VLOOKUP(A61,'Anlage 2a_Letztverbrauch'!$A$2774:$D$2786,4,0)),0,VLOOKUP(A61,'Anlage 2a_Letztverbrauch'!$A$2774:$D$2786,4,0))</f>
        <v>0</v>
      </c>
      <c r="D61" s="711">
        <v>0</v>
      </c>
      <c r="E61" s="667">
        <f t="shared" si="1"/>
        <v>215004.34752000001</v>
      </c>
      <c r="F61" s="668">
        <f>+SUMIF('Anlage 2b_Korrekturen'!$B$8:$B$226,A61,'Anlage 2b_Korrekturen'!$F$8:$F$226)</f>
        <v>-335.21</v>
      </c>
      <c r="G61" s="928">
        <f t="shared" si="2"/>
        <v>214669.13752000002</v>
      </c>
    </row>
    <row r="62" spans="1:7" hidden="1" outlineLevel="1">
      <c r="A62" s="853" t="str">
        <f>+'Anlage 3a_Zusammenfassung_KWKG'!A1798</f>
        <v>SNB920699937404</v>
      </c>
      <c r="B62" s="1698">
        <f>+VLOOKUP(A62,'Anlage 2a_Letztverbrauch'!$A$1853:$I$2765,9,FALSE)</f>
        <v>1284640.9094399998</v>
      </c>
      <c r="C62" s="711">
        <f>+IF(ISNA(VLOOKUP(A62,'Anlage 2a_Letztverbrauch'!$A$2774:$D$2786,4,0)),0,VLOOKUP(A62,'Anlage 2a_Letztverbrauch'!$A$2774:$D$2786,4,0))</f>
        <v>0</v>
      </c>
      <c r="D62" s="711">
        <v>0</v>
      </c>
      <c r="E62" s="667">
        <f t="shared" si="1"/>
        <v>1284640.9094399998</v>
      </c>
      <c r="F62" s="668">
        <f>+SUMIF('Anlage 2b_Korrekturen'!$B$8:$B$226,A62,'Anlage 2b_Korrekturen'!$F$8:$F$226)</f>
        <v>6509.33</v>
      </c>
      <c r="G62" s="928">
        <f t="shared" si="2"/>
        <v>1291150.2394399999</v>
      </c>
    </row>
    <row r="63" spans="1:7" hidden="1" outlineLevel="1">
      <c r="A63" s="853" t="str">
        <f>+'Anlage 3a_Zusammenfassung_KWKG'!A1799</f>
        <v>SNB950262883869</v>
      </c>
      <c r="B63" s="1698">
        <f>+VLOOKUP(A63,'Anlage 2a_Letztverbrauch'!$A$1853:$I$2765,9,FALSE)</f>
        <v>5011507.1100959992</v>
      </c>
      <c r="C63" s="711">
        <f>+IF(ISNA(VLOOKUP(A63,'Anlage 2a_Letztverbrauch'!$A$2774:$D$2786,4,0)),0,VLOOKUP(A63,'Anlage 2a_Letztverbrauch'!$A$2774:$D$2786,4,0))</f>
        <v>0</v>
      </c>
      <c r="D63" s="711">
        <v>0</v>
      </c>
      <c r="E63" s="667">
        <f t="shared" si="1"/>
        <v>5011507.1100959992</v>
      </c>
      <c r="F63" s="668">
        <f>+SUMIF('Anlage 2b_Korrekturen'!$B$8:$B$226,A63,'Anlage 2b_Korrekturen'!$F$8:$F$226)</f>
        <v>-877.83999999999651</v>
      </c>
      <c r="G63" s="928">
        <f t="shared" si="2"/>
        <v>5010629.2700959994</v>
      </c>
    </row>
    <row r="64" spans="1:7" hidden="1" outlineLevel="1">
      <c r="A64" s="853" t="str">
        <f>+'Anlage 3a_Zusammenfassung_KWKG'!A1800</f>
        <v>SNB957549782006</v>
      </c>
      <c r="B64" s="1698">
        <f>+VLOOKUP(A64,'Anlage 2a_Letztverbrauch'!$A$1853:$I$2765,9,FALSE)</f>
        <v>313121.15856000001</v>
      </c>
      <c r="C64" s="711">
        <f>+IF(ISNA(VLOOKUP(A64,'Anlage 2a_Letztverbrauch'!$A$2774:$D$2786,4,0)),0,VLOOKUP(A64,'Anlage 2a_Letztverbrauch'!$A$2774:$D$2786,4,0))</f>
        <v>0</v>
      </c>
      <c r="D64" s="711">
        <v>0</v>
      </c>
      <c r="E64" s="667">
        <f t="shared" si="1"/>
        <v>313121.15856000001</v>
      </c>
      <c r="F64" s="668">
        <f>+SUMIF('Anlage 2b_Korrekturen'!$B$8:$B$226,A64,'Anlage 2b_Korrekturen'!$F$8:$F$226)</f>
        <v>0</v>
      </c>
      <c r="G64" s="928">
        <f t="shared" si="2"/>
        <v>313121.15856000001</v>
      </c>
    </row>
    <row r="65" spans="1:7" hidden="1" outlineLevel="1">
      <c r="A65" s="853" t="str">
        <f>+'Anlage 3a_Zusammenfassung_KWKG'!A1801</f>
        <v>SNB922055731633</v>
      </c>
      <c r="B65" s="1698">
        <f>+VLOOKUP(A65,'Anlage 2a_Letztverbrauch'!$A$1853:$I$2765,9,FALSE)</f>
        <v>372324.09647999995</v>
      </c>
      <c r="C65" s="711">
        <f>+IF(ISNA(VLOOKUP(A65,'Anlage 2a_Letztverbrauch'!$A$2774:$D$2786,4,0)),0,VLOOKUP(A65,'Anlage 2a_Letztverbrauch'!$A$2774:$D$2786,4,0))</f>
        <v>0</v>
      </c>
      <c r="D65" s="711">
        <v>0</v>
      </c>
      <c r="E65" s="667">
        <f t="shared" si="1"/>
        <v>372324.09647999995</v>
      </c>
      <c r="F65" s="668">
        <f>+SUMIF('Anlage 2b_Korrekturen'!$B$8:$B$226,A65,'Anlage 2b_Korrekturen'!$F$8:$F$226)</f>
        <v>35323.649999999994</v>
      </c>
      <c r="G65" s="928">
        <f t="shared" si="2"/>
        <v>407647.74647999997</v>
      </c>
    </row>
    <row r="66" spans="1:7" hidden="1" outlineLevel="1">
      <c r="A66" s="853" t="str">
        <f>+'Anlage 3a_Zusammenfassung_KWKG'!A1802</f>
        <v>SNB954814647626</v>
      </c>
      <c r="B66" s="1698">
        <f>+VLOOKUP(A66,'Anlage 2a_Letztverbrauch'!$A$1853:$I$2765,9,FALSE)</f>
        <v>1595003.4722879997</v>
      </c>
      <c r="C66" s="711">
        <f>+IF(ISNA(VLOOKUP(A66,'Anlage 2a_Letztverbrauch'!$A$2774:$D$2786,4,0)),0,VLOOKUP(A66,'Anlage 2a_Letztverbrauch'!$A$2774:$D$2786,4,0))</f>
        <v>0</v>
      </c>
      <c r="D66" s="711">
        <v>0</v>
      </c>
      <c r="E66" s="667">
        <f t="shared" si="1"/>
        <v>1595003.4722879997</v>
      </c>
      <c r="F66" s="668">
        <f>+SUMIF('Anlage 2b_Korrekturen'!$B$8:$B$226,A66,'Anlage 2b_Korrekturen'!$F$8:$F$226)</f>
        <v>0</v>
      </c>
      <c r="G66" s="928">
        <f t="shared" si="2"/>
        <v>1595003.4722879997</v>
      </c>
    </row>
    <row r="67" spans="1:7" hidden="1" outlineLevel="1">
      <c r="A67" s="853" t="str">
        <f>+'Anlage 3a_Zusammenfassung_KWKG'!A1803</f>
        <v>SNB990971435621</v>
      </c>
      <c r="B67" s="1698">
        <f>+VLOOKUP(A67,'Anlage 2a_Letztverbrauch'!$A$1853:$I$2765,9,FALSE)</f>
        <v>1156328.6467199998</v>
      </c>
      <c r="C67" s="711">
        <f>+IF(ISNA(VLOOKUP(A67,'Anlage 2a_Letztverbrauch'!$A$2774:$D$2786,4,0)),0,VLOOKUP(A67,'Anlage 2a_Letztverbrauch'!$A$2774:$D$2786,4,0))</f>
        <v>0</v>
      </c>
      <c r="D67" s="711">
        <v>0</v>
      </c>
      <c r="E67" s="667">
        <f t="shared" si="1"/>
        <v>1156328.6467199998</v>
      </c>
      <c r="F67" s="668">
        <f>+SUMIF('Anlage 2b_Korrekturen'!$B$8:$B$226,A67,'Anlage 2b_Korrekturen'!$F$8:$F$226)</f>
        <v>12149.49</v>
      </c>
      <c r="G67" s="928">
        <f t="shared" si="2"/>
        <v>1168478.1367199998</v>
      </c>
    </row>
    <row r="68" spans="1:7" hidden="1" outlineLevel="1">
      <c r="A68" s="853" t="str">
        <f>+'Anlage 3a_Zusammenfassung_KWKG'!A1804</f>
        <v>SNB982241851170</v>
      </c>
      <c r="B68" s="1698">
        <f>+VLOOKUP(A68,'Anlage 2a_Letztverbrauch'!$A$1853:$I$2765,9,FALSE)</f>
        <v>621265.28015999997</v>
      </c>
      <c r="C68" s="711">
        <f>+IF(ISNA(VLOOKUP(A68,'Anlage 2a_Letztverbrauch'!$A$2774:$D$2786,4,0)),0,VLOOKUP(A68,'Anlage 2a_Letztverbrauch'!$A$2774:$D$2786,4,0))</f>
        <v>0</v>
      </c>
      <c r="D68" s="711">
        <v>0</v>
      </c>
      <c r="E68" s="667">
        <f t="shared" si="1"/>
        <v>621265.28015999997</v>
      </c>
      <c r="F68" s="668">
        <f>+SUMIF('Anlage 2b_Korrekturen'!$B$8:$B$226,A68,'Anlage 2b_Korrekturen'!$F$8:$F$226)</f>
        <v>0</v>
      </c>
      <c r="G68" s="928">
        <f t="shared" si="2"/>
        <v>621265.28015999997</v>
      </c>
    </row>
    <row r="69" spans="1:7" hidden="1" outlineLevel="1">
      <c r="A69" s="853" t="str">
        <f>+'Anlage 3a_Zusammenfassung_KWKG'!A1805</f>
        <v>SNB948816192529</v>
      </c>
      <c r="B69" s="1698">
        <f>+VLOOKUP(A69,'Anlage 2a_Letztverbrauch'!$A$1853:$I$2765,9,FALSE)</f>
        <v>2159272.3642079998</v>
      </c>
      <c r="C69" s="711">
        <f>+IF(ISNA(VLOOKUP(A69,'Anlage 2a_Letztverbrauch'!$A$2774:$D$2786,4,0)),0,VLOOKUP(A69,'Anlage 2a_Letztverbrauch'!$A$2774:$D$2786,4,0))</f>
        <v>-2383.1606400000001</v>
      </c>
      <c r="D69" s="711">
        <v>0</v>
      </c>
      <c r="E69" s="667">
        <f t="shared" si="1"/>
        <v>2156889.2035679999</v>
      </c>
      <c r="F69" s="668">
        <f>+SUMIF('Anlage 2b_Korrekturen'!$B$8:$B$226,A69,'Anlage 2b_Korrekturen'!$F$8:$F$226)</f>
        <v>19659.830000000002</v>
      </c>
      <c r="G69" s="928">
        <f t="shared" si="2"/>
        <v>2176549.033568</v>
      </c>
    </row>
    <row r="70" spans="1:7" hidden="1" outlineLevel="1">
      <c r="A70" s="853" t="str">
        <f>+'Anlage 3a_Zusammenfassung_KWKG'!A1806</f>
        <v>SNB975176329548</v>
      </c>
      <c r="B70" s="1698">
        <f>+VLOOKUP(A70,'Anlage 2a_Letztverbrauch'!$A$1853:$I$2765,9,FALSE)</f>
        <v>13441.38048</v>
      </c>
      <c r="C70" s="711">
        <f>+IF(ISNA(VLOOKUP(A70,'Anlage 2a_Letztverbrauch'!$A$2774:$D$2786,4,0)),0,VLOOKUP(A70,'Anlage 2a_Letztverbrauch'!$A$2774:$D$2786,4,0))</f>
        <v>0</v>
      </c>
      <c r="D70" s="711">
        <v>0</v>
      </c>
      <c r="E70" s="667">
        <f t="shared" si="1"/>
        <v>13441.38048</v>
      </c>
      <c r="F70" s="668">
        <f>+SUMIF('Anlage 2b_Korrekturen'!$B$8:$B$226,A70,'Anlage 2b_Korrekturen'!$F$8:$F$226)</f>
        <v>0</v>
      </c>
      <c r="G70" s="928">
        <f t="shared" si="2"/>
        <v>13441.38048</v>
      </c>
    </row>
    <row r="71" spans="1:7" hidden="1" outlineLevel="1">
      <c r="A71" s="853" t="str">
        <f>+'Anlage 3a_Zusammenfassung_KWKG'!A1807</f>
        <v>SNB963070917732</v>
      </c>
      <c r="B71" s="1698">
        <f>+VLOOKUP(A71,'Anlage 2a_Letztverbrauch'!$A$1853:$I$2765,9,FALSE)</f>
        <v>494642.36592000001</v>
      </c>
      <c r="C71" s="711">
        <f>+IF(ISNA(VLOOKUP(A71,'Anlage 2a_Letztverbrauch'!$A$2774:$D$2786,4,0)),0,VLOOKUP(A71,'Anlage 2a_Letztverbrauch'!$A$2774:$D$2786,4,0))</f>
        <v>0</v>
      </c>
      <c r="D71" s="711">
        <v>0</v>
      </c>
      <c r="E71" s="667">
        <f t="shared" si="1"/>
        <v>494642.36592000001</v>
      </c>
      <c r="F71" s="668">
        <f>+SUMIF('Anlage 2b_Korrekturen'!$B$8:$B$226,A71,'Anlage 2b_Korrekturen'!$F$8:$F$226)</f>
        <v>0</v>
      </c>
      <c r="G71" s="928">
        <f t="shared" si="2"/>
        <v>494642.36592000001</v>
      </c>
    </row>
    <row r="72" spans="1:7" hidden="1" outlineLevel="1">
      <c r="A72" s="853" t="str">
        <f>+'Anlage 3a_Zusammenfassung_KWKG'!A1808</f>
        <v>SNB938672757734</v>
      </c>
      <c r="B72" s="1698">
        <f>+VLOOKUP(A72,'Anlage 2a_Letztverbrauch'!$A$1853:$I$2765,9,FALSE)</f>
        <v>939054.25247999991</v>
      </c>
      <c r="C72" s="711">
        <f>+IF(ISNA(VLOOKUP(A72,'Anlage 2a_Letztverbrauch'!$A$2774:$D$2786,4,0)),0,VLOOKUP(A72,'Anlage 2a_Letztverbrauch'!$A$2774:$D$2786,4,0))</f>
        <v>0</v>
      </c>
      <c r="D72" s="711">
        <v>0</v>
      </c>
      <c r="E72" s="667">
        <f t="shared" si="1"/>
        <v>939054.25247999991</v>
      </c>
      <c r="F72" s="668">
        <f>+SUMIF('Anlage 2b_Korrekturen'!$B$8:$B$226,A72,'Anlage 2b_Korrekturen'!$F$8:$F$226)</f>
        <v>0</v>
      </c>
      <c r="G72" s="928">
        <f t="shared" si="2"/>
        <v>939054.25247999991</v>
      </c>
    </row>
    <row r="73" spans="1:7" hidden="1" outlineLevel="1">
      <c r="A73" s="853" t="str">
        <f>+'Anlage 3a_Zusammenfassung_KWKG'!A1809</f>
        <v>SNB961316124487</v>
      </c>
      <c r="B73" s="1698">
        <f>+VLOOKUP(A73,'Anlage 2a_Letztverbrauch'!$A$1853:$I$2765,9,FALSE)</f>
        <v>1176885.6124799999</v>
      </c>
      <c r="C73" s="711">
        <f>+IF(ISNA(VLOOKUP(A73,'Anlage 2a_Letztverbrauch'!$A$2774:$D$2786,4,0)),0,VLOOKUP(A73,'Anlage 2a_Letztverbrauch'!$A$2774:$D$2786,4,0))</f>
        <v>0</v>
      </c>
      <c r="D73" s="711">
        <v>0</v>
      </c>
      <c r="E73" s="667">
        <f t="shared" ref="E73:E136" si="3">B73+C73+D73</f>
        <v>1176885.6124799999</v>
      </c>
      <c r="F73" s="668">
        <f>+SUMIF('Anlage 2b_Korrekturen'!$B$8:$B$226,A73,'Anlage 2b_Korrekturen'!$F$8:$F$226)</f>
        <v>0</v>
      </c>
      <c r="G73" s="928">
        <f t="shared" ref="G73:G136" si="4">E73+F73</f>
        <v>1176885.6124799999</v>
      </c>
    </row>
    <row r="74" spans="1:7" hidden="1" outlineLevel="1">
      <c r="A74" s="853" t="str">
        <f>+'Anlage 3a_Zusammenfassung_KWKG'!A1810</f>
        <v>SNB926442995943</v>
      </c>
      <c r="B74" s="1698">
        <f>+VLOOKUP(A74,'Anlage 2a_Letztverbrauch'!$A$1853:$I$2765,9,FALSE)</f>
        <v>1509160.0944000001</v>
      </c>
      <c r="C74" s="711">
        <f>+IF(ISNA(VLOOKUP(A74,'Anlage 2a_Letztverbrauch'!$A$2774:$D$2786,4,0)),0,VLOOKUP(A74,'Anlage 2a_Letztverbrauch'!$A$2774:$D$2786,4,0))</f>
        <v>0</v>
      </c>
      <c r="D74" s="711">
        <v>0</v>
      </c>
      <c r="E74" s="667">
        <f t="shared" si="3"/>
        <v>1509160.0944000001</v>
      </c>
      <c r="F74" s="668">
        <f>+SUMIF('Anlage 2b_Korrekturen'!$B$8:$B$226,A74,'Anlage 2b_Korrekturen'!$F$8:$F$226)</f>
        <v>14045.06</v>
      </c>
      <c r="G74" s="928">
        <f t="shared" si="4"/>
        <v>1523205.1544000001</v>
      </c>
    </row>
    <row r="75" spans="1:7" hidden="1" outlineLevel="1">
      <c r="A75" s="853" t="str">
        <f>+'Anlage 3a_Zusammenfassung_KWKG'!A1811</f>
        <v>SNB930067626847</v>
      </c>
      <c r="B75" s="1698">
        <f>+VLOOKUP(A75,'Anlage 2a_Letztverbrauch'!$A$1853:$I$2765,9,FALSE)</f>
        <v>410814.79199999996</v>
      </c>
      <c r="C75" s="711">
        <f>+IF(ISNA(VLOOKUP(A75,'Anlage 2a_Letztverbrauch'!$A$2774:$D$2786,4,0)),0,VLOOKUP(A75,'Anlage 2a_Letztverbrauch'!$A$2774:$D$2786,4,0))</f>
        <v>0</v>
      </c>
      <c r="D75" s="711">
        <v>0</v>
      </c>
      <c r="E75" s="667">
        <f t="shared" si="3"/>
        <v>410814.79199999996</v>
      </c>
      <c r="F75" s="668">
        <f>+SUMIF('Anlage 2b_Korrekturen'!$B$8:$B$226,A75,'Anlage 2b_Korrekturen'!$F$8:$F$226)</f>
        <v>-1246.21</v>
      </c>
      <c r="G75" s="928">
        <f t="shared" si="4"/>
        <v>409568.58199999994</v>
      </c>
    </row>
    <row r="76" spans="1:7" hidden="1" outlineLevel="1">
      <c r="A76" s="853" t="str">
        <f>+'Anlage 3a_Zusammenfassung_KWKG'!A1812</f>
        <v>SNB991689251534</v>
      </c>
      <c r="B76" s="1698">
        <f>+VLOOKUP(A76,'Anlage 2a_Letztverbrauch'!$A$1853:$I$2765,9,FALSE)</f>
        <v>214589.71343999996</v>
      </c>
      <c r="C76" s="711">
        <f>+IF(ISNA(VLOOKUP(A76,'Anlage 2a_Letztverbrauch'!$A$2774:$D$2786,4,0)),0,VLOOKUP(A76,'Anlage 2a_Letztverbrauch'!$A$2774:$D$2786,4,0))</f>
        <v>0</v>
      </c>
      <c r="D76" s="711">
        <v>0</v>
      </c>
      <c r="E76" s="667">
        <f t="shared" si="3"/>
        <v>214589.71343999996</v>
      </c>
      <c r="F76" s="668">
        <f>+SUMIF('Anlage 2b_Korrekturen'!$B$8:$B$226,A76,'Anlage 2b_Korrekturen'!$F$8:$F$226)</f>
        <v>0</v>
      </c>
      <c r="G76" s="928">
        <f t="shared" si="4"/>
        <v>214589.71343999996</v>
      </c>
    </row>
    <row r="77" spans="1:7" hidden="1" outlineLevel="1">
      <c r="A77" s="853" t="str">
        <f>+'Anlage 3a_Zusammenfassung_KWKG'!A1813</f>
        <v>SNB915186313908</v>
      </c>
      <c r="B77" s="1698">
        <f>+VLOOKUP(A77,'Anlage 2a_Letztverbrauch'!$A$1853:$I$2765,9,FALSE)</f>
        <v>342646.31519999995</v>
      </c>
      <c r="C77" s="711">
        <f>+IF(ISNA(VLOOKUP(A77,'Anlage 2a_Letztverbrauch'!$A$2774:$D$2786,4,0)),0,VLOOKUP(A77,'Anlage 2a_Letztverbrauch'!$A$2774:$D$2786,4,0))</f>
        <v>0</v>
      </c>
      <c r="D77" s="711">
        <v>0</v>
      </c>
      <c r="E77" s="667">
        <f t="shared" si="3"/>
        <v>342646.31519999995</v>
      </c>
      <c r="F77" s="668">
        <f>+SUMIF('Anlage 2b_Korrekturen'!$B$8:$B$226,A77,'Anlage 2b_Korrekturen'!$F$8:$F$226)</f>
        <v>0</v>
      </c>
      <c r="G77" s="928">
        <f t="shared" si="4"/>
        <v>342646.31519999995</v>
      </c>
    </row>
    <row r="78" spans="1:7" hidden="1" outlineLevel="1">
      <c r="A78" s="853" t="str">
        <f>+'Anlage 3a_Zusammenfassung_KWKG'!A1814</f>
        <v>SNB983029590205</v>
      </c>
      <c r="B78" s="1698">
        <f>+VLOOKUP(A78,'Anlage 2a_Letztverbrauch'!$A$1853:$I$2765,9,FALSE)</f>
        <v>623759.27807999996</v>
      </c>
      <c r="C78" s="711">
        <f>+IF(ISNA(VLOOKUP(A78,'Anlage 2a_Letztverbrauch'!$A$2774:$D$2786,4,0)),0,VLOOKUP(A78,'Anlage 2a_Letztverbrauch'!$A$2774:$D$2786,4,0))</f>
        <v>0</v>
      </c>
      <c r="D78" s="711">
        <v>0</v>
      </c>
      <c r="E78" s="667">
        <f t="shared" si="3"/>
        <v>623759.27807999996</v>
      </c>
      <c r="F78" s="668">
        <f>+SUMIF('Anlage 2b_Korrekturen'!$B$8:$B$226,A78,'Anlage 2b_Korrekturen'!$F$8:$F$226)</f>
        <v>0</v>
      </c>
      <c r="G78" s="928">
        <f t="shared" si="4"/>
        <v>623759.27807999996</v>
      </c>
    </row>
    <row r="79" spans="1:7" hidden="1" outlineLevel="1">
      <c r="A79" s="853" t="str">
        <f>+'Anlage 3a_Zusammenfassung_KWKG'!A1815</f>
        <v>SNB928602915495</v>
      </c>
      <c r="B79" s="1698">
        <f>+VLOOKUP(A79,'Anlage 2a_Letztverbrauch'!$A$1853:$I$2765,9,FALSE)</f>
        <v>343421.31935999996</v>
      </c>
      <c r="C79" s="711">
        <f>+IF(ISNA(VLOOKUP(A79,'Anlage 2a_Letztverbrauch'!$A$2774:$D$2786,4,0)),0,VLOOKUP(A79,'Anlage 2a_Letztverbrauch'!$A$2774:$D$2786,4,0))</f>
        <v>0</v>
      </c>
      <c r="D79" s="711">
        <v>0</v>
      </c>
      <c r="E79" s="667">
        <f t="shared" si="3"/>
        <v>343421.31935999996</v>
      </c>
      <c r="F79" s="668">
        <f>+SUMIF('Anlage 2b_Korrekturen'!$B$8:$B$226,A79,'Anlage 2b_Korrekturen'!$F$8:$F$226)</f>
        <v>0</v>
      </c>
      <c r="G79" s="928">
        <f t="shared" si="4"/>
        <v>343421.31935999996</v>
      </c>
    </row>
    <row r="80" spans="1:7" hidden="1" outlineLevel="1">
      <c r="A80" s="853" t="str">
        <f>+'Anlage 3a_Zusammenfassung_KWKG'!A1816</f>
        <v>SNB977374861035</v>
      </c>
      <c r="B80" s="1698">
        <f>+VLOOKUP(A80,'Anlage 2a_Letztverbrauch'!$A$1853:$I$2765,9,FALSE)</f>
        <v>1031482.27056</v>
      </c>
      <c r="C80" s="711">
        <f>+IF(ISNA(VLOOKUP(A80,'Anlage 2a_Letztverbrauch'!$A$2774:$D$2786,4,0)),0,VLOOKUP(A80,'Anlage 2a_Letztverbrauch'!$A$2774:$D$2786,4,0))</f>
        <v>0</v>
      </c>
      <c r="D80" s="711">
        <v>0</v>
      </c>
      <c r="E80" s="667">
        <f t="shared" si="3"/>
        <v>1031482.27056</v>
      </c>
      <c r="F80" s="668">
        <f>+SUMIF('Anlage 2b_Korrekturen'!$B$8:$B$226,A80,'Anlage 2b_Korrekturen'!$F$8:$F$226)</f>
        <v>0</v>
      </c>
      <c r="G80" s="928">
        <f t="shared" si="4"/>
        <v>1031482.27056</v>
      </c>
    </row>
    <row r="81" spans="1:7" hidden="1" outlineLevel="1">
      <c r="A81" s="853" t="str">
        <f>+'Anlage 3a_Zusammenfassung_KWKG'!A1817</f>
        <v>SNB959120377328</v>
      </c>
      <c r="B81" s="1698">
        <f>+VLOOKUP(A81,'Anlage 2a_Letztverbrauch'!$A$1853:$I$2765,9,FALSE)</f>
        <v>914728.4601599999</v>
      </c>
      <c r="C81" s="711">
        <f>+IF(ISNA(VLOOKUP(A81,'Anlage 2a_Letztverbrauch'!$A$2774:$D$2786,4,0)),0,VLOOKUP(A81,'Anlage 2a_Letztverbrauch'!$A$2774:$D$2786,4,0))</f>
        <v>0</v>
      </c>
      <c r="D81" s="711">
        <v>0</v>
      </c>
      <c r="E81" s="667">
        <f t="shared" si="3"/>
        <v>914728.4601599999</v>
      </c>
      <c r="F81" s="668">
        <f>+SUMIF('Anlage 2b_Korrekturen'!$B$8:$B$226,A81,'Anlage 2b_Korrekturen'!$F$8:$F$226)</f>
        <v>-810.89</v>
      </c>
      <c r="G81" s="928">
        <f t="shared" si="4"/>
        <v>913917.57015999989</v>
      </c>
    </row>
    <row r="82" spans="1:7" hidden="1" outlineLevel="1">
      <c r="A82" s="853" t="str">
        <f>+'Anlage 3a_Zusammenfassung_KWKG'!A1818</f>
        <v>SNB982934611074</v>
      </c>
      <c r="B82" s="1698">
        <f>+VLOOKUP(A82,'Anlage 2a_Letztverbrauch'!$A$1853:$I$2765,9,FALSE)</f>
        <v>5209934.5196159994</v>
      </c>
      <c r="C82" s="711">
        <f>+IF(ISNA(VLOOKUP(A82,'Anlage 2a_Letztverbrauch'!$A$2774:$D$2786,4,0)),0,VLOOKUP(A82,'Anlage 2a_Letztverbrauch'!$A$2774:$D$2786,4,0))</f>
        <v>-438.50207999999998</v>
      </c>
      <c r="D82" s="711">
        <v>0</v>
      </c>
      <c r="E82" s="667">
        <f t="shared" si="3"/>
        <v>5209496.0175359994</v>
      </c>
      <c r="F82" s="668">
        <f>+SUMIF('Anlage 2b_Korrekturen'!$B$8:$B$226,A82,'Anlage 2b_Korrekturen'!$F$8:$F$226)</f>
        <v>0</v>
      </c>
      <c r="G82" s="928">
        <f t="shared" si="4"/>
        <v>5209496.0175359994</v>
      </c>
    </row>
    <row r="83" spans="1:7" hidden="1" outlineLevel="1">
      <c r="A83" s="853" t="str">
        <f>+'Anlage 3a_Zusammenfassung_KWKG'!A1819</f>
        <v>SNB960729432592</v>
      </c>
      <c r="B83" s="1698">
        <f>+VLOOKUP(A83,'Anlage 2a_Letztverbrauch'!$A$1853:$I$2765,9,FALSE)</f>
        <v>116960.88671999998</v>
      </c>
      <c r="C83" s="711">
        <f>+IF(ISNA(VLOOKUP(A83,'Anlage 2a_Letztverbrauch'!$A$2774:$D$2786,4,0)),0,VLOOKUP(A83,'Anlage 2a_Letztverbrauch'!$A$2774:$D$2786,4,0))</f>
        <v>0</v>
      </c>
      <c r="D83" s="711">
        <v>0</v>
      </c>
      <c r="E83" s="667">
        <f t="shared" si="3"/>
        <v>116960.88671999998</v>
      </c>
      <c r="F83" s="668">
        <f>+SUMIF('Anlage 2b_Korrekturen'!$B$8:$B$226,A83,'Anlage 2b_Korrekturen'!$F$8:$F$226)</f>
        <v>7333.13</v>
      </c>
      <c r="G83" s="928">
        <f t="shared" si="4"/>
        <v>124294.01671999999</v>
      </c>
    </row>
    <row r="84" spans="1:7" hidden="1" outlineLevel="1">
      <c r="A84" s="853" t="str">
        <f>+'Anlage 3a_Zusammenfassung_KWKG'!A1820</f>
        <v>SNB952677840789</v>
      </c>
      <c r="B84" s="1698">
        <f>+VLOOKUP(A84,'Anlage 2a_Letztverbrauch'!$A$1853:$I$2765,9,FALSE)</f>
        <v>697566.82895999996</v>
      </c>
      <c r="C84" s="711">
        <f>+IF(ISNA(VLOOKUP(A84,'Anlage 2a_Letztverbrauch'!$A$2774:$D$2786,4,0)),0,VLOOKUP(A84,'Anlage 2a_Letztverbrauch'!$A$2774:$D$2786,4,0))</f>
        <v>0</v>
      </c>
      <c r="D84" s="711">
        <v>0</v>
      </c>
      <c r="E84" s="667">
        <f t="shared" si="3"/>
        <v>697566.82895999996</v>
      </c>
      <c r="F84" s="668">
        <f>+SUMIF('Anlage 2b_Korrekturen'!$B$8:$B$226,A84,'Anlage 2b_Korrekturen'!$F$8:$F$226)</f>
        <v>1759.32</v>
      </c>
      <c r="G84" s="928">
        <f t="shared" si="4"/>
        <v>699326.1489599999</v>
      </c>
    </row>
    <row r="85" spans="1:7" hidden="1" outlineLevel="1">
      <c r="A85" s="853" t="str">
        <f>+'Anlage 3a_Zusammenfassung_KWKG'!A1821</f>
        <v>SNB944962954653</v>
      </c>
      <c r="B85" s="1698">
        <f>+VLOOKUP(A85,'Anlage 2a_Letztverbrauch'!$A$1853:$I$2765,9,FALSE)</f>
        <v>228703.24943999999</v>
      </c>
      <c r="C85" s="711">
        <f>+IF(ISNA(VLOOKUP(A85,'Anlage 2a_Letztverbrauch'!$A$2774:$D$2786,4,0)),0,VLOOKUP(A85,'Anlage 2a_Letztverbrauch'!$A$2774:$D$2786,4,0))</f>
        <v>0</v>
      </c>
      <c r="D85" s="711">
        <v>0</v>
      </c>
      <c r="E85" s="667">
        <f t="shared" si="3"/>
        <v>228703.24943999999</v>
      </c>
      <c r="F85" s="668">
        <f>+SUMIF('Anlage 2b_Korrekturen'!$B$8:$B$226,A85,'Anlage 2b_Korrekturen'!$F$8:$F$226)</f>
        <v>-1571.49</v>
      </c>
      <c r="G85" s="928">
        <f t="shared" si="4"/>
        <v>227131.75943999999</v>
      </c>
    </row>
    <row r="86" spans="1:7" hidden="1" outlineLevel="1">
      <c r="A86" s="853" t="str">
        <f>+'Anlage 3a_Zusammenfassung_KWKG'!A1822</f>
        <v>SNB946612539746</v>
      </c>
      <c r="B86" s="1698">
        <f>+VLOOKUP(A86,'Anlage 2a_Letztverbrauch'!$A$1853:$I$2765,9,FALSE)</f>
        <v>617982.91200000001</v>
      </c>
      <c r="C86" s="711">
        <f>+IF(ISNA(VLOOKUP(A86,'Anlage 2a_Letztverbrauch'!$A$2774:$D$2786,4,0)),0,VLOOKUP(A86,'Anlage 2a_Letztverbrauch'!$A$2774:$D$2786,4,0))</f>
        <v>0</v>
      </c>
      <c r="D86" s="711">
        <v>0</v>
      </c>
      <c r="E86" s="667">
        <f t="shared" si="3"/>
        <v>617982.91200000001</v>
      </c>
      <c r="F86" s="668">
        <f>+SUMIF('Anlage 2b_Korrekturen'!$B$8:$B$226,A86,'Anlage 2b_Korrekturen'!$F$8:$F$226)</f>
        <v>-10332.36</v>
      </c>
      <c r="G86" s="928">
        <f t="shared" si="4"/>
        <v>607650.55200000003</v>
      </c>
    </row>
    <row r="87" spans="1:7" hidden="1" outlineLevel="1">
      <c r="A87" s="853" t="str">
        <f>+'Anlage 3a_Zusammenfassung_KWKG'!A1823</f>
        <v>SNB964659661008</v>
      </c>
      <c r="B87" s="1698">
        <f>+VLOOKUP(A87,'Anlage 2a_Letztverbrauch'!$A$1853:$I$2765,9,FALSE)</f>
        <v>658749.68447999994</v>
      </c>
      <c r="C87" s="711">
        <f>+IF(ISNA(VLOOKUP(A87,'Anlage 2a_Letztverbrauch'!$A$2774:$D$2786,4,0)),0,VLOOKUP(A87,'Anlage 2a_Letztverbrauch'!$A$2774:$D$2786,4,0))</f>
        <v>0</v>
      </c>
      <c r="D87" s="711">
        <v>0</v>
      </c>
      <c r="E87" s="667">
        <f t="shared" si="3"/>
        <v>658749.68447999994</v>
      </c>
      <c r="F87" s="668">
        <f>+SUMIF('Anlage 2b_Korrekturen'!$B$8:$B$226,A87,'Anlage 2b_Korrekturen'!$F$8:$F$226)</f>
        <v>0</v>
      </c>
      <c r="G87" s="928">
        <f t="shared" si="4"/>
        <v>658749.68447999994</v>
      </c>
    </row>
    <row r="88" spans="1:7" hidden="1" outlineLevel="1">
      <c r="A88" s="853" t="str">
        <f>+'Anlage 3a_Zusammenfassung_KWKG'!A1824</f>
        <v>SNB974763887737</v>
      </c>
      <c r="B88" s="1698">
        <f>+VLOOKUP(A88,'Anlage 2a_Letztverbrauch'!$A$1853:$I$2765,9,FALSE)</f>
        <v>280955.10768000002</v>
      </c>
      <c r="C88" s="711">
        <f>+IF(ISNA(VLOOKUP(A88,'Anlage 2a_Letztverbrauch'!$A$2774:$D$2786,4,0)),0,VLOOKUP(A88,'Anlage 2a_Letztverbrauch'!$A$2774:$D$2786,4,0))</f>
        <v>0</v>
      </c>
      <c r="D88" s="711">
        <v>0</v>
      </c>
      <c r="E88" s="667">
        <f t="shared" si="3"/>
        <v>280955.10768000002</v>
      </c>
      <c r="F88" s="668">
        <f>+SUMIF('Anlage 2b_Korrekturen'!$B$8:$B$226,A88,'Anlage 2b_Korrekturen'!$F$8:$F$226)</f>
        <v>0</v>
      </c>
      <c r="G88" s="928">
        <f t="shared" si="4"/>
        <v>280955.10768000002</v>
      </c>
    </row>
    <row r="89" spans="1:7" hidden="1" outlineLevel="1">
      <c r="A89" s="853" t="str">
        <f>+'Anlage 3a_Zusammenfassung_KWKG'!A1825</f>
        <v>SNB945861817537</v>
      </c>
      <c r="B89" s="1698">
        <f>+VLOOKUP(A89,'Anlage 2a_Letztverbrauch'!$A$1853:$I$2765,9,FALSE)</f>
        <v>4895221.5262079993</v>
      </c>
      <c r="C89" s="711">
        <f>+IF(ISNA(VLOOKUP(A89,'Anlage 2a_Letztverbrauch'!$A$2774:$D$2786,4,0)),0,VLOOKUP(A89,'Anlage 2a_Letztverbrauch'!$A$2774:$D$2786,4,0))</f>
        <v>0</v>
      </c>
      <c r="D89" s="711">
        <v>0</v>
      </c>
      <c r="E89" s="667">
        <f t="shared" si="3"/>
        <v>4895221.5262079993</v>
      </c>
      <c r="F89" s="668">
        <f>+SUMIF('Anlage 2b_Korrekturen'!$B$8:$B$226,A89,'Anlage 2b_Korrekturen'!$F$8:$F$226)</f>
        <v>2776.42</v>
      </c>
      <c r="G89" s="928">
        <f t="shared" si="4"/>
        <v>4897997.9462079993</v>
      </c>
    </row>
    <row r="90" spans="1:7" hidden="1" outlineLevel="1">
      <c r="A90" s="853" t="str">
        <f>+'Anlage 3a_Zusammenfassung_KWKG'!A1826</f>
        <v>SNB934984130722</v>
      </c>
      <c r="B90" s="1698">
        <f>+VLOOKUP(A90,'Anlage 2a_Letztverbrauch'!$A$1853:$I$2765,9,FALSE)</f>
        <v>320277.57647999999</v>
      </c>
      <c r="C90" s="711">
        <f>+IF(ISNA(VLOOKUP(A90,'Anlage 2a_Letztverbrauch'!$A$2774:$D$2786,4,0)),0,VLOOKUP(A90,'Anlage 2a_Letztverbrauch'!$A$2774:$D$2786,4,0))</f>
        <v>0</v>
      </c>
      <c r="D90" s="711">
        <v>0</v>
      </c>
      <c r="E90" s="667">
        <f t="shared" si="3"/>
        <v>320277.57647999999</v>
      </c>
      <c r="F90" s="668">
        <f>+SUMIF('Anlage 2b_Korrekturen'!$B$8:$B$226,A90,'Anlage 2b_Korrekturen'!$F$8:$F$226)</f>
        <v>-2116.3399999999997</v>
      </c>
      <c r="G90" s="928">
        <f t="shared" si="4"/>
        <v>318161.23647999996</v>
      </c>
    </row>
    <row r="91" spans="1:7" hidden="1" outlineLevel="1">
      <c r="A91" s="853" t="str">
        <f>+'Anlage 3a_Zusammenfassung_KWKG'!A1827</f>
        <v>SNB948859455841</v>
      </c>
      <c r="B91" s="1698">
        <f>+VLOOKUP(A91,'Anlage 2a_Letztverbrauch'!$A$1853:$I$2765,9,FALSE)</f>
        <v>13090857.559152</v>
      </c>
      <c r="C91" s="711">
        <f>+IF(ISNA(VLOOKUP(A91,'Anlage 2a_Letztverbrauch'!$A$2774:$D$2786,4,0)),0,VLOOKUP(A91,'Anlage 2a_Letztverbrauch'!$A$2774:$D$2786,4,0))</f>
        <v>0</v>
      </c>
      <c r="D91" s="711">
        <v>0</v>
      </c>
      <c r="E91" s="667">
        <f t="shared" si="3"/>
        <v>13090857.559152</v>
      </c>
      <c r="F91" s="668">
        <f>+SUMIF('Anlage 2b_Korrekturen'!$B$8:$B$226,A91,'Anlage 2b_Korrekturen'!$F$8:$F$226)</f>
        <v>0</v>
      </c>
      <c r="G91" s="928">
        <f t="shared" si="4"/>
        <v>13090857.559152</v>
      </c>
    </row>
    <row r="92" spans="1:7" hidden="1" outlineLevel="1">
      <c r="A92" s="853" t="str">
        <f>+'Anlage 3a_Zusammenfassung_KWKG'!A1828</f>
        <v>SNB926470799582</v>
      </c>
      <c r="B92" s="1698">
        <f>+VLOOKUP(A92,'Anlage 2a_Letztverbrauch'!$A$1853:$I$2765,9,FALSE)</f>
        <v>329232.40943999996</v>
      </c>
      <c r="C92" s="711">
        <f>+IF(ISNA(VLOOKUP(A92,'Anlage 2a_Letztverbrauch'!$A$2774:$D$2786,4,0)),0,VLOOKUP(A92,'Anlage 2a_Letztverbrauch'!$A$2774:$D$2786,4,0))</f>
        <v>0</v>
      </c>
      <c r="D92" s="711">
        <v>0</v>
      </c>
      <c r="E92" s="667">
        <f t="shared" si="3"/>
        <v>329232.40943999996</v>
      </c>
      <c r="F92" s="668">
        <f>+SUMIF('Anlage 2b_Korrekturen'!$B$8:$B$226,A92,'Anlage 2b_Korrekturen'!$F$8:$F$226)</f>
        <v>2521.2199999999998</v>
      </c>
      <c r="G92" s="928">
        <f t="shared" si="4"/>
        <v>331753.62943999993</v>
      </c>
    </row>
    <row r="93" spans="1:7" hidden="1" outlineLevel="1">
      <c r="A93" s="853" t="str">
        <f>+'Anlage 3a_Zusammenfassung_KWKG'!A1829</f>
        <v>SNB915358347793</v>
      </c>
      <c r="B93" s="1698">
        <f>+VLOOKUP(A93,'Anlage 2a_Letztverbrauch'!$A$1853:$I$2765,9,FALSE)</f>
        <v>197026.06415999998</v>
      </c>
      <c r="C93" s="711">
        <f>+IF(ISNA(VLOOKUP(A93,'Anlage 2a_Letztverbrauch'!$A$2774:$D$2786,4,0)),0,VLOOKUP(A93,'Anlage 2a_Letztverbrauch'!$A$2774:$D$2786,4,0))</f>
        <v>0</v>
      </c>
      <c r="D93" s="711">
        <v>0</v>
      </c>
      <c r="E93" s="667">
        <f t="shared" si="3"/>
        <v>197026.06415999998</v>
      </c>
      <c r="F93" s="668">
        <f>+SUMIF('Anlage 2b_Korrekturen'!$B$8:$B$226,A93,'Anlage 2b_Korrekturen'!$F$8:$F$226)</f>
        <v>0</v>
      </c>
      <c r="G93" s="928">
        <f t="shared" si="4"/>
        <v>197026.06415999998</v>
      </c>
    </row>
    <row r="94" spans="1:7" hidden="1" outlineLevel="1">
      <c r="A94" s="853" t="str">
        <f>+'Anlage 3a_Zusammenfassung_KWKG'!A1830</f>
        <v>SNB922689183730</v>
      </c>
      <c r="B94" s="1698">
        <f>+VLOOKUP(A94,'Anlage 2a_Letztverbrauch'!$A$1853:$I$2765,9,FALSE)</f>
        <v>803664.90336</v>
      </c>
      <c r="C94" s="711">
        <f>+IF(ISNA(VLOOKUP(A94,'Anlage 2a_Letztverbrauch'!$A$2774:$D$2786,4,0)),0,VLOOKUP(A94,'Anlage 2a_Letztverbrauch'!$A$2774:$D$2786,4,0))</f>
        <v>0</v>
      </c>
      <c r="D94" s="711">
        <v>0</v>
      </c>
      <c r="E94" s="667">
        <f t="shared" si="3"/>
        <v>803664.90336</v>
      </c>
      <c r="F94" s="668">
        <f>+SUMIF('Anlage 2b_Korrekturen'!$B$8:$B$226,A94,'Anlage 2b_Korrekturen'!$F$8:$F$226)</f>
        <v>2032.6999999999998</v>
      </c>
      <c r="G94" s="928">
        <f t="shared" si="4"/>
        <v>805697.60335999995</v>
      </c>
    </row>
    <row r="95" spans="1:7" hidden="1" outlineLevel="1">
      <c r="A95" s="853" t="str">
        <f>+'Anlage 3a_Zusammenfassung_KWKG'!A1831</f>
        <v>SNB943531720705</v>
      </c>
      <c r="B95" s="1698">
        <f>+VLOOKUP(A95,'Anlage 2a_Letztverbrauch'!$A$1853:$I$2765,9,FALSE)</f>
        <v>502528.10831999994</v>
      </c>
      <c r="C95" s="711">
        <f>+IF(ISNA(VLOOKUP(A95,'Anlage 2a_Letztverbrauch'!$A$2774:$D$2786,4,0)),0,VLOOKUP(A95,'Anlage 2a_Letztverbrauch'!$A$2774:$D$2786,4,0))</f>
        <v>0</v>
      </c>
      <c r="D95" s="711">
        <v>0</v>
      </c>
      <c r="E95" s="667">
        <f t="shared" si="3"/>
        <v>502528.10831999994</v>
      </c>
      <c r="F95" s="668">
        <f>+SUMIF('Anlage 2b_Korrekturen'!$B$8:$B$226,A95,'Anlage 2b_Korrekturen'!$F$8:$F$226)</f>
        <v>0</v>
      </c>
      <c r="G95" s="928">
        <f t="shared" si="4"/>
        <v>502528.10831999994</v>
      </c>
    </row>
    <row r="96" spans="1:7" hidden="1" outlineLevel="1">
      <c r="A96" s="853" t="str">
        <f>+'Anlage 3a_Zusammenfassung_KWKG'!A1832</f>
        <v>SNB983765888505</v>
      </c>
      <c r="B96" s="1698">
        <f>+VLOOKUP(A96,'Anlage 2a_Letztverbrauch'!$A$1853:$I$2765,9,FALSE)</f>
        <v>428960.81232000003</v>
      </c>
      <c r="C96" s="711">
        <f>+IF(ISNA(VLOOKUP(A96,'Anlage 2a_Letztverbrauch'!$A$2774:$D$2786,4,0)),0,VLOOKUP(A96,'Anlage 2a_Letztverbrauch'!$A$2774:$D$2786,4,0))</f>
        <v>0</v>
      </c>
      <c r="D96" s="711">
        <v>0</v>
      </c>
      <c r="E96" s="667">
        <f t="shared" si="3"/>
        <v>428960.81232000003</v>
      </c>
      <c r="F96" s="668">
        <f>+SUMIF('Anlage 2b_Korrekturen'!$B$8:$B$226,A96,'Anlage 2b_Korrekturen'!$F$8:$F$226)</f>
        <v>0</v>
      </c>
      <c r="G96" s="928">
        <f t="shared" si="4"/>
        <v>428960.81232000003</v>
      </c>
    </row>
    <row r="97" spans="1:7" hidden="1" outlineLevel="1">
      <c r="A97" s="853" t="str">
        <f>+'Anlage 3a_Zusammenfassung_KWKG'!A1833</f>
        <v>SNB928200943784</v>
      </c>
      <c r="B97" s="1698">
        <f>+VLOOKUP(A97,'Anlage 2a_Letztverbrauch'!$A$1853:$I$2765,9,FALSE)</f>
        <v>299188.66031999997</v>
      </c>
      <c r="C97" s="711">
        <f>+IF(ISNA(VLOOKUP(A97,'Anlage 2a_Letztverbrauch'!$A$2774:$D$2786,4,0)),0,VLOOKUP(A97,'Anlage 2a_Letztverbrauch'!$A$2774:$D$2786,4,0))</f>
        <v>0</v>
      </c>
      <c r="D97" s="711">
        <v>0</v>
      </c>
      <c r="E97" s="667">
        <f t="shared" si="3"/>
        <v>299188.66031999997</v>
      </c>
      <c r="F97" s="668">
        <f>+SUMIF('Anlage 2b_Korrekturen'!$B$8:$B$226,A97,'Anlage 2b_Korrekturen'!$F$8:$F$226)</f>
        <v>-816.54</v>
      </c>
      <c r="G97" s="928">
        <f t="shared" si="4"/>
        <v>298372.12031999999</v>
      </c>
    </row>
    <row r="98" spans="1:7" hidden="1" outlineLevel="1">
      <c r="A98" s="853" t="str">
        <f>+'Anlage 3a_Zusammenfassung_KWKG'!A1834</f>
        <v>SNB946425570127</v>
      </c>
      <c r="B98" s="1698">
        <f>+VLOOKUP(A98,'Anlage 2a_Letztverbrauch'!$A$1853:$I$2765,9,FALSE)</f>
        <v>1024105.2878399999</v>
      </c>
      <c r="C98" s="711">
        <f>+IF(ISNA(VLOOKUP(A98,'Anlage 2a_Letztverbrauch'!$A$2774:$D$2786,4,0)),0,VLOOKUP(A98,'Anlage 2a_Letztverbrauch'!$A$2774:$D$2786,4,0))</f>
        <v>0</v>
      </c>
      <c r="D98" s="711">
        <v>0</v>
      </c>
      <c r="E98" s="667">
        <f t="shared" si="3"/>
        <v>1024105.2878399999</v>
      </c>
      <c r="F98" s="668">
        <f>+SUMIF('Anlage 2b_Korrekturen'!$B$8:$B$226,A98,'Anlage 2b_Korrekturen'!$F$8:$F$226)</f>
        <v>-620.16</v>
      </c>
      <c r="G98" s="928">
        <f t="shared" si="4"/>
        <v>1023485.1278399999</v>
      </c>
    </row>
    <row r="99" spans="1:7" hidden="1" outlineLevel="1">
      <c r="A99" s="853" t="str">
        <f>+'Anlage 3a_Zusammenfassung_KWKG'!A1835</f>
        <v>SNB932107297727</v>
      </c>
      <c r="B99" s="1698">
        <f>+VLOOKUP(A99,'Anlage 2a_Letztverbrauch'!$A$1853:$I$2765,9,FALSE)</f>
        <v>2025019.4721599999</v>
      </c>
      <c r="C99" s="711">
        <f>+IF(ISNA(VLOOKUP(A99,'Anlage 2a_Letztverbrauch'!$A$2774:$D$2786,4,0)),0,VLOOKUP(A99,'Anlage 2a_Letztverbrauch'!$A$2774:$D$2786,4,0))</f>
        <v>0</v>
      </c>
      <c r="D99" s="711">
        <v>0</v>
      </c>
      <c r="E99" s="667">
        <f t="shared" si="3"/>
        <v>2025019.4721599999</v>
      </c>
      <c r="F99" s="668">
        <f>+SUMIF('Anlage 2b_Korrekturen'!$B$8:$B$226,A99,'Anlage 2b_Korrekturen'!$F$8:$F$226)</f>
        <v>-6020.86</v>
      </c>
      <c r="G99" s="928">
        <f t="shared" si="4"/>
        <v>2018998.6121599998</v>
      </c>
    </row>
    <row r="100" spans="1:7" hidden="1" outlineLevel="1">
      <c r="A100" s="853" t="str">
        <f>+'Anlage 3a_Zusammenfassung_KWKG'!A1836</f>
        <v>SNB933459598975</v>
      </c>
      <c r="B100" s="1698">
        <f>+VLOOKUP(A100,'Anlage 2a_Letztverbrauch'!$A$1853:$I$2765,9,FALSE)</f>
        <v>5966153.0385119999</v>
      </c>
      <c r="C100" s="711">
        <f>+IF(ISNA(VLOOKUP(A100,'Anlage 2a_Letztverbrauch'!$A$2774:$D$2786,4,0)),0,VLOOKUP(A100,'Anlage 2a_Letztverbrauch'!$A$2774:$D$2786,4,0))</f>
        <v>0</v>
      </c>
      <c r="D100" s="711">
        <v>0</v>
      </c>
      <c r="E100" s="667">
        <f t="shared" si="3"/>
        <v>5966153.0385119999</v>
      </c>
      <c r="F100" s="668">
        <f>+SUMIF('Anlage 2b_Korrekturen'!$B$8:$B$226,A100,'Anlage 2b_Korrekturen'!$F$8:$F$226)</f>
        <v>0</v>
      </c>
      <c r="G100" s="928">
        <f t="shared" si="4"/>
        <v>5966153.0385119999</v>
      </c>
    </row>
    <row r="101" spans="1:7" hidden="1" outlineLevel="1">
      <c r="A101" s="853" t="str">
        <f>+'Anlage 3a_Zusammenfassung_KWKG'!A1837</f>
        <v>SNB948470226516</v>
      </c>
      <c r="B101" s="1698">
        <f>+VLOOKUP(A101,'Anlage 2a_Letztverbrauch'!$A$1853:$I$2765,9,FALSE)</f>
        <v>157975.28255999999</v>
      </c>
      <c r="C101" s="711">
        <f>+IF(ISNA(VLOOKUP(A101,'Anlage 2a_Letztverbrauch'!$A$2774:$D$2786,4,0)),0,VLOOKUP(A101,'Anlage 2a_Letztverbrauch'!$A$2774:$D$2786,4,0))</f>
        <v>0</v>
      </c>
      <c r="D101" s="711">
        <v>0</v>
      </c>
      <c r="E101" s="667">
        <f t="shared" si="3"/>
        <v>157975.28255999999</v>
      </c>
      <c r="F101" s="668">
        <f>+SUMIF('Anlage 2b_Korrekturen'!$B$8:$B$226,A101,'Anlage 2b_Korrekturen'!$F$8:$F$226)</f>
        <v>0</v>
      </c>
      <c r="G101" s="928">
        <f t="shared" si="4"/>
        <v>157975.28255999999</v>
      </c>
    </row>
    <row r="102" spans="1:7" hidden="1" outlineLevel="1">
      <c r="A102" s="853" t="str">
        <f>+'Anlage 3a_Zusammenfassung_KWKG'!A1838</f>
        <v>SNB918070278383</v>
      </c>
      <c r="B102" s="1698">
        <f>+VLOOKUP(A102,'Anlage 2a_Letztverbrauch'!$A$1853:$I$2765,9,FALSE)</f>
        <v>525994.74239999999</v>
      </c>
      <c r="C102" s="711">
        <f>+IF(ISNA(VLOOKUP(A102,'Anlage 2a_Letztverbrauch'!$A$2774:$D$2786,4,0)),0,VLOOKUP(A102,'Anlage 2a_Letztverbrauch'!$A$2774:$D$2786,4,0))</f>
        <v>0</v>
      </c>
      <c r="D102" s="711">
        <v>0</v>
      </c>
      <c r="E102" s="667">
        <f t="shared" si="3"/>
        <v>525994.74239999999</v>
      </c>
      <c r="F102" s="668">
        <f>+SUMIF('Anlage 2b_Korrekturen'!$B$8:$B$226,A102,'Anlage 2b_Korrekturen'!$F$8:$F$226)</f>
        <v>0</v>
      </c>
      <c r="G102" s="928">
        <f t="shared" si="4"/>
        <v>525994.74239999999</v>
      </c>
    </row>
    <row r="103" spans="1:7" hidden="1" outlineLevel="1">
      <c r="A103" s="853" t="str">
        <f>+'Anlage 3a_Zusammenfassung_KWKG'!A1839</f>
        <v>SNB925883927308</v>
      </c>
      <c r="B103" s="1698">
        <f>+VLOOKUP(A103,'Anlage 2a_Letztverbrauch'!$A$1853:$I$2765,9,FALSE)</f>
        <v>660213.00095999998</v>
      </c>
      <c r="C103" s="711">
        <f>+IF(ISNA(VLOOKUP(A103,'Anlage 2a_Letztverbrauch'!$A$2774:$D$2786,4,0)),0,VLOOKUP(A103,'Anlage 2a_Letztverbrauch'!$A$2774:$D$2786,4,0))</f>
        <v>0</v>
      </c>
      <c r="D103" s="711">
        <v>0</v>
      </c>
      <c r="E103" s="667">
        <f t="shared" si="3"/>
        <v>660213.00095999998</v>
      </c>
      <c r="F103" s="668">
        <f>+SUMIF('Anlage 2b_Korrekturen'!$B$8:$B$226,A103,'Anlage 2b_Korrekturen'!$F$8:$F$226)</f>
        <v>10547.78</v>
      </c>
      <c r="G103" s="928">
        <f t="shared" si="4"/>
        <v>670760.78096</v>
      </c>
    </row>
    <row r="104" spans="1:7" hidden="1" outlineLevel="1">
      <c r="A104" s="853" t="str">
        <f>+'Anlage 3a_Zusammenfassung_KWKG'!A1840</f>
        <v>SNB914103081760</v>
      </c>
      <c r="B104" s="1698">
        <f>+VLOOKUP(A104,'Anlage 2a_Letztverbrauch'!$A$1853:$I$2765,9,FALSE)</f>
        <v>715247.40288000007</v>
      </c>
      <c r="C104" s="711">
        <f>+IF(ISNA(VLOOKUP(A104,'Anlage 2a_Letztverbrauch'!$A$2774:$D$2786,4,0)),0,VLOOKUP(A104,'Anlage 2a_Letztverbrauch'!$A$2774:$D$2786,4,0))</f>
        <v>0</v>
      </c>
      <c r="D104" s="711">
        <v>0</v>
      </c>
      <c r="E104" s="667">
        <f t="shared" si="3"/>
        <v>715247.40288000007</v>
      </c>
      <c r="F104" s="668">
        <f>+SUMIF('Anlage 2b_Korrekturen'!$B$8:$B$226,A104,'Anlage 2b_Korrekturen'!$F$8:$F$226)</f>
        <v>11660.12</v>
      </c>
      <c r="G104" s="928">
        <f t="shared" si="4"/>
        <v>726907.52288000006</v>
      </c>
    </row>
    <row r="105" spans="1:7" hidden="1" outlineLevel="1">
      <c r="A105" s="853" t="str">
        <f>+'Anlage 3a_Zusammenfassung_KWKG'!A1841</f>
        <v>SNB913006238462</v>
      </c>
      <c r="B105" s="1698">
        <f>+VLOOKUP(A105,'Anlage 2a_Letztverbrauch'!$A$1853:$I$2765,9,FALSE)</f>
        <v>673699.17739199998</v>
      </c>
      <c r="C105" s="711">
        <f>+IF(ISNA(VLOOKUP(A105,'Anlage 2a_Letztverbrauch'!$A$2774:$D$2786,4,0)),0,VLOOKUP(A105,'Anlage 2a_Letztverbrauch'!$A$2774:$D$2786,4,0))</f>
        <v>-18554.175359999997</v>
      </c>
      <c r="D105" s="711">
        <v>0</v>
      </c>
      <c r="E105" s="667">
        <f t="shared" si="3"/>
        <v>655145.00203199999</v>
      </c>
      <c r="F105" s="668">
        <f>+SUMIF('Anlage 2b_Korrekturen'!$B$8:$B$226,A105,'Anlage 2b_Korrekturen'!$F$8:$F$226)</f>
        <v>5626.45</v>
      </c>
      <c r="G105" s="928">
        <f t="shared" si="4"/>
        <v>660771.45203199994</v>
      </c>
    </row>
    <row r="106" spans="1:7" hidden="1" outlineLevel="1">
      <c r="A106" s="853" t="str">
        <f>+'Anlage 3a_Zusammenfassung_KWKG'!A1842</f>
        <v>SNB931986174853</v>
      </c>
      <c r="B106" s="1698">
        <f>+VLOOKUP(A106,'Anlage 2a_Letztverbrauch'!$A$1853:$I$2765,9,FALSE)</f>
        <v>779302.92143999995</v>
      </c>
      <c r="C106" s="711">
        <f>+IF(ISNA(VLOOKUP(A106,'Anlage 2a_Letztverbrauch'!$A$2774:$D$2786,4,0)),0,VLOOKUP(A106,'Anlage 2a_Letztverbrauch'!$A$2774:$D$2786,4,0))</f>
        <v>0</v>
      </c>
      <c r="D106" s="711">
        <v>0</v>
      </c>
      <c r="E106" s="667">
        <f t="shared" si="3"/>
        <v>779302.92143999995</v>
      </c>
      <c r="F106" s="668">
        <f>+SUMIF('Anlage 2b_Korrekturen'!$B$8:$B$226,A106,'Anlage 2b_Korrekturen'!$F$8:$F$226)</f>
        <v>0</v>
      </c>
      <c r="G106" s="928">
        <f t="shared" si="4"/>
        <v>779302.92143999995</v>
      </c>
    </row>
    <row r="107" spans="1:7" hidden="1" outlineLevel="1">
      <c r="A107" s="853" t="str">
        <f>+'Anlage 3a_Zusammenfassung_KWKG'!A1843</f>
        <v>SNB978071940108</v>
      </c>
      <c r="B107" s="1698">
        <f>+VLOOKUP(A107,'Anlage 2a_Letztverbrauch'!$A$1853:$I$2765,9,FALSE)</f>
        <v>547489.4961600001</v>
      </c>
      <c r="C107" s="711">
        <f>+IF(ISNA(VLOOKUP(A107,'Anlage 2a_Letztverbrauch'!$A$2774:$D$2786,4,0)),0,VLOOKUP(A107,'Anlage 2a_Letztverbrauch'!$A$2774:$D$2786,4,0))</f>
        <v>0</v>
      </c>
      <c r="D107" s="711">
        <v>0</v>
      </c>
      <c r="E107" s="667">
        <f t="shared" si="3"/>
        <v>547489.4961600001</v>
      </c>
      <c r="F107" s="668">
        <f>+SUMIF('Anlage 2b_Korrekturen'!$B$8:$B$226,A107,'Anlage 2b_Korrekturen'!$F$8:$F$226)</f>
        <v>980.99000000000012</v>
      </c>
      <c r="G107" s="928">
        <f t="shared" si="4"/>
        <v>548470.48616000009</v>
      </c>
    </row>
    <row r="108" spans="1:7" hidden="1" outlineLevel="1">
      <c r="A108" s="853" t="str">
        <f>+'Anlage 3a_Zusammenfassung_KWKG'!A1844</f>
        <v>SNB939624707241</v>
      </c>
      <c r="B108" s="1698">
        <f>+VLOOKUP(A108,'Anlage 2a_Letztverbrauch'!$A$1853:$I$2765,9,FALSE)</f>
        <v>1440494.39616</v>
      </c>
      <c r="C108" s="711">
        <f>+IF(ISNA(VLOOKUP(A108,'Anlage 2a_Letztverbrauch'!$A$2774:$D$2786,4,0)),0,VLOOKUP(A108,'Anlage 2a_Letztverbrauch'!$A$2774:$D$2786,4,0))</f>
        <v>0</v>
      </c>
      <c r="D108" s="711">
        <v>0</v>
      </c>
      <c r="E108" s="667">
        <f t="shared" si="3"/>
        <v>1440494.39616</v>
      </c>
      <c r="F108" s="668">
        <f>+SUMIF('Anlage 2b_Korrekturen'!$B$8:$B$226,A108,'Anlage 2b_Korrekturen'!$F$8:$F$226)</f>
        <v>0</v>
      </c>
      <c r="G108" s="928">
        <f t="shared" si="4"/>
        <v>1440494.39616</v>
      </c>
    </row>
    <row r="109" spans="1:7" hidden="1" outlineLevel="1">
      <c r="A109" s="853" t="str">
        <f>+'Anlage 3a_Zusammenfassung_KWKG'!A1845</f>
        <v>SNB920348005966</v>
      </c>
      <c r="B109" s="1698">
        <f>+VLOOKUP(A109,'Anlage 2a_Letztverbrauch'!$A$1853:$I$2765,9,FALSE)</f>
        <v>927018.34223999991</v>
      </c>
      <c r="C109" s="711">
        <f>+IF(ISNA(VLOOKUP(A109,'Anlage 2a_Letztverbrauch'!$A$2774:$D$2786,4,0)),0,VLOOKUP(A109,'Anlage 2a_Letztverbrauch'!$A$2774:$D$2786,4,0))</f>
        <v>0</v>
      </c>
      <c r="D109" s="711">
        <v>0</v>
      </c>
      <c r="E109" s="667">
        <f t="shared" si="3"/>
        <v>927018.34223999991</v>
      </c>
      <c r="F109" s="668">
        <f>+SUMIF('Anlage 2b_Korrekturen'!$B$8:$B$226,A109,'Anlage 2b_Korrekturen'!$F$8:$F$226)</f>
        <v>-314.88</v>
      </c>
      <c r="G109" s="928">
        <f t="shared" si="4"/>
        <v>926703.46223999991</v>
      </c>
    </row>
    <row r="110" spans="1:7" hidden="1" outlineLevel="1">
      <c r="A110" s="853" t="str">
        <f>+'Anlage 3a_Zusammenfassung_KWKG'!A1846</f>
        <v>SNB931294328658</v>
      </c>
      <c r="B110" s="1698">
        <f>+VLOOKUP(A110,'Anlage 2a_Letztverbrauch'!$A$1853:$I$2765,9,FALSE)</f>
        <v>225448.74768</v>
      </c>
      <c r="C110" s="711">
        <f>+IF(ISNA(VLOOKUP(A110,'Anlage 2a_Letztverbrauch'!$A$2774:$D$2786,4,0)),0,VLOOKUP(A110,'Anlage 2a_Letztverbrauch'!$A$2774:$D$2786,4,0))</f>
        <v>0</v>
      </c>
      <c r="D110" s="711">
        <v>0</v>
      </c>
      <c r="E110" s="667">
        <f t="shared" si="3"/>
        <v>225448.74768</v>
      </c>
      <c r="F110" s="668">
        <f>+SUMIF('Anlage 2b_Korrekturen'!$B$8:$B$226,A110,'Anlage 2b_Korrekturen'!$F$8:$F$226)</f>
        <v>-166.54000000000002</v>
      </c>
      <c r="G110" s="928">
        <f t="shared" si="4"/>
        <v>225282.20767999999</v>
      </c>
    </row>
    <row r="111" spans="1:7" hidden="1" outlineLevel="1">
      <c r="A111" s="853" t="str">
        <f>+'Anlage 3a_Zusammenfassung_KWKG'!A1847</f>
        <v>SNB914630088973</v>
      </c>
      <c r="B111" s="1698">
        <f>+VLOOKUP(A111,'Anlage 2a_Letztverbrauch'!$A$1853:$I$2765,9,FALSE)</f>
        <v>430915.09967999993</v>
      </c>
      <c r="C111" s="711">
        <f>+IF(ISNA(VLOOKUP(A111,'Anlage 2a_Letztverbrauch'!$A$2774:$D$2786,4,0)),0,VLOOKUP(A111,'Anlage 2a_Letztverbrauch'!$A$2774:$D$2786,4,0))</f>
        <v>0</v>
      </c>
      <c r="D111" s="711">
        <v>0</v>
      </c>
      <c r="E111" s="667">
        <f t="shared" si="3"/>
        <v>430915.09967999993</v>
      </c>
      <c r="F111" s="668">
        <f>+SUMIF('Anlage 2b_Korrekturen'!$B$8:$B$226,A111,'Anlage 2b_Korrekturen'!$F$8:$F$226)</f>
        <v>0</v>
      </c>
      <c r="G111" s="928">
        <f t="shared" si="4"/>
        <v>430915.09967999993</v>
      </c>
    </row>
    <row r="112" spans="1:7" hidden="1" outlineLevel="1">
      <c r="A112" s="853" t="str">
        <f>+'Anlage 3a_Zusammenfassung_KWKG'!A1848</f>
        <v>SNB961943991735</v>
      </c>
      <c r="B112" s="1698">
        <f>+VLOOKUP(A112,'Anlage 2a_Letztverbrauch'!$A$1853:$I$2765,9,FALSE)</f>
        <v>276987.31584</v>
      </c>
      <c r="C112" s="711">
        <f>+IF(ISNA(VLOOKUP(A112,'Anlage 2a_Letztverbrauch'!$A$2774:$D$2786,4,0)),0,VLOOKUP(A112,'Anlage 2a_Letztverbrauch'!$A$2774:$D$2786,4,0))</f>
        <v>0</v>
      </c>
      <c r="D112" s="711">
        <v>0</v>
      </c>
      <c r="E112" s="667">
        <f t="shared" si="3"/>
        <v>276987.31584</v>
      </c>
      <c r="F112" s="668">
        <f>+SUMIF('Anlage 2b_Korrekturen'!$B$8:$B$226,A112,'Anlage 2b_Korrekturen'!$F$8:$F$226)</f>
        <v>0</v>
      </c>
      <c r="G112" s="928">
        <f t="shared" si="4"/>
        <v>276987.31584</v>
      </c>
    </row>
    <row r="113" spans="1:7" hidden="1" outlineLevel="1">
      <c r="A113" s="853" t="str">
        <f>+'Anlage 3a_Zusammenfassung_KWKG'!A1849</f>
        <v>SNB959176447266</v>
      </c>
      <c r="B113" s="1698">
        <f>+VLOOKUP(A113,'Anlage 2a_Letztverbrauch'!$A$1853:$I$2765,9,FALSE)</f>
        <v>1169181.34032</v>
      </c>
      <c r="C113" s="711">
        <f>+IF(ISNA(VLOOKUP(A113,'Anlage 2a_Letztverbrauch'!$A$2774:$D$2786,4,0)),0,VLOOKUP(A113,'Anlage 2a_Letztverbrauch'!$A$2774:$D$2786,4,0))</f>
        <v>0</v>
      </c>
      <c r="D113" s="711">
        <v>0</v>
      </c>
      <c r="E113" s="667">
        <f t="shared" si="3"/>
        <v>1169181.34032</v>
      </c>
      <c r="F113" s="668">
        <f>+SUMIF('Anlage 2b_Korrekturen'!$B$8:$B$226,A113,'Anlage 2b_Korrekturen'!$F$8:$F$226)</f>
        <v>0</v>
      </c>
      <c r="G113" s="928">
        <f t="shared" si="4"/>
        <v>1169181.34032</v>
      </c>
    </row>
    <row r="114" spans="1:7" hidden="1" outlineLevel="1">
      <c r="A114" s="853" t="str">
        <f>+'Anlage 3a_Zusammenfassung_KWKG'!A1850</f>
        <v>SNB941314694489</v>
      </c>
      <c r="B114" s="1698">
        <f>+VLOOKUP(A114,'Anlage 2a_Letztverbrauch'!$A$1853:$I$2765,9,FALSE)</f>
        <v>267010.01856</v>
      </c>
      <c r="C114" s="711">
        <f>+IF(ISNA(VLOOKUP(A114,'Anlage 2a_Letztverbrauch'!$A$2774:$D$2786,4,0)),0,VLOOKUP(A114,'Anlage 2a_Letztverbrauch'!$A$2774:$D$2786,4,0))</f>
        <v>0</v>
      </c>
      <c r="D114" s="711">
        <v>0</v>
      </c>
      <c r="E114" s="667">
        <f t="shared" si="3"/>
        <v>267010.01856</v>
      </c>
      <c r="F114" s="668">
        <f>+SUMIF('Anlage 2b_Korrekturen'!$B$8:$B$226,A114,'Anlage 2b_Korrekturen'!$F$8:$F$226)</f>
        <v>-316.62</v>
      </c>
      <c r="G114" s="928">
        <f t="shared" si="4"/>
        <v>266693.39856</v>
      </c>
    </row>
    <row r="115" spans="1:7" hidden="1" outlineLevel="1">
      <c r="A115" s="853" t="str">
        <f>+'Anlage 3a_Zusammenfassung_KWKG'!A1851</f>
        <v>SNB991836941189</v>
      </c>
      <c r="B115" s="1698">
        <f>+VLOOKUP(A115,'Anlage 2a_Letztverbrauch'!$A$1853:$I$2765,9,FALSE)</f>
        <v>296886.16943999997</v>
      </c>
      <c r="C115" s="711">
        <f>+IF(ISNA(VLOOKUP(A115,'Anlage 2a_Letztverbrauch'!$A$2774:$D$2786,4,0)),0,VLOOKUP(A115,'Anlage 2a_Letztverbrauch'!$A$2774:$D$2786,4,0))</f>
        <v>0</v>
      </c>
      <c r="D115" s="711">
        <v>0</v>
      </c>
      <c r="E115" s="667">
        <f t="shared" si="3"/>
        <v>296886.16943999997</v>
      </c>
      <c r="F115" s="668">
        <f>+SUMIF('Anlage 2b_Korrekturen'!$B$8:$B$226,A115,'Anlage 2b_Korrekturen'!$F$8:$F$226)</f>
        <v>0</v>
      </c>
      <c r="G115" s="928">
        <f t="shared" si="4"/>
        <v>296886.16943999997</v>
      </c>
    </row>
    <row r="116" spans="1:7" hidden="1" outlineLevel="1">
      <c r="A116" s="853" t="str">
        <f>+'Anlage 3a_Zusammenfassung_KWKG'!A1852</f>
        <v>SNB951105240061</v>
      </c>
      <c r="B116" s="1698">
        <f>+VLOOKUP(A116,'Anlage 2a_Letztverbrauch'!$A$1853:$I$2765,9,FALSE)</f>
        <v>1603046.2555199999</v>
      </c>
      <c r="C116" s="711">
        <f>+IF(ISNA(VLOOKUP(A116,'Anlage 2a_Letztverbrauch'!$A$2774:$D$2786,4,0)),0,VLOOKUP(A116,'Anlage 2a_Letztverbrauch'!$A$2774:$D$2786,4,0))</f>
        <v>0</v>
      </c>
      <c r="D116" s="711">
        <v>0</v>
      </c>
      <c r="E116" s="667">
        <f t="shared" si="3"/>
        <v>1603046.2555199999</v>
      </c>
      <c r="F116" s="668">
        <f>+SUMIF('Anlage 2b_Korrekturen'!$B$8:$B$226,A116,'Anlage 2b_Korrekturen'!$F$8:$F$226)</f>
        <v>5723</v>
      </c>
      <c r="G116" s="928">
        <f t="shared" si="4"/>
        <v>1608769.2555199999</v>
      </c>
    </row>
    <row r="117" spans="1:7" hidden="1" outlineLevel="1">
      <c r="A117" s="853" t="str">
        <f>+'Anlage 3a_Zusammenfassung_KWKG'!A1853</f>
        <v>SNB987317008403</v>
      </c>
      <c r="B117" s="1698">
        <f>+VLOOKUP(A117,'Anlage 2a_Letztverbrauch'!$A$1853:$I$2765,9,FALSE)</f>
        <v>327828.93023999996</v>
      </c>
      <c r="C117" s="711">
        <f>+IF(ISNA(VLOOKUP(A117,'Anlage 2a_Letztverbrauch'!$A$2774:$D$2786,4,0)),0,VLOOKUP(A117,'Anlage 2a_Letztverbrauch'!$A$2774:$D$2786,4,0))</f>
        <v>0</v>
      </c>
      <c r="D117" s="711">
        <v>0</v>
      </c>
      <c r="E117" s="667">
        <f t="shared" si="3"/>
        <v>327828.93023999996</v>
      </c>
      <c r="F117" s="668">
        <f>+SUMIF('Anlage 2b_Korrekturen'!$B$8:$B$226,A117,'Anlage 2b_Korrekturen'!$F$8:$F$226)</f>
        <v>-6025.46</v>
      </c>
      <c r="G117" s="928">
        <f t="shared" si="4"/>
        <v>321803.47023999994</v>
      </c>
    </row>
    <row r="118" spans="1:7" hidden="1" outlineLevel="1">
      <c r="A118" s="853" t="str">
        <f>+'Anlage 3a_Zusammenfassung_KWKG'!A1854</f>
        <v>SNB999125588145</v>
      </c>
      <c r="B118" s="1698">
        <f>+VLOOKUP(A118,'Anlage 2a_Letztverbrauch'!$A$1853:$I$2765,9,FALSE)</f>
        <v>426968.82575999998</v>
      </c>
      <c r="C118" s="711">
        <f>+IF(ISNA(VLOOKUP(A118,'Anlage 2a_Letztverbrauch'!$A$2774:$D$2786,4,0)),0,VLOOKUP(A118,'Anlage 2a_Letztverbrauch'!$A$2774:$D$2786,4,0))</f>
        <v>0</v>
      </c>
      <c r="D118" s="711">
        <v>0</v>
      </c>
      <c r="E118" s="667">
        <f t="shared" si="3"/>
        <v>426968.82575999998</v>
      </c>
      <c r="F118" s="668">
        <f>+SUMIF('Anlage 2b_Korrekturen'!$B$8:$B$226,A118,'Anlage 2b_Korrekturen'!$F$8:$F$226)</f>
        <v>1548.8999999999999</v>
      </c>
      <c r="G118" s="928">
        <f t="shared" si="4"/>
        <v>428517.72576</v>
      </c>
    </row>
    <row r="119" spans="1:7" hidden="1" outlineLevel="1">
      <c r="A119" s="853" t="str">
        <f>+'Anlage 3a_Zusammenfassung_KWKG'!A1855</f>
        <v>SNB961833910969</v>
      </c>
      <c r="B119" s="1698">
        <f>+VLOOKUP(A119,'Anlage 2a_Letztverbrauch'!$A$1853:$I$2765,9,FALSE)</f>
        <v>296872.02815999999</v>
      </c>
      <c r="C119" s="711">
        <f>+IF(ISNA(VLOOKUP(A119,'Anlage 2a_Letztverbrauch'!$A$2774:$D$2786,4,0)),0,VLOOKUP(A119,'Anlage 2a_Letztverbrauch'!$A$2774:$D$2786,4,0))</f>
        <v>0</v>
      </c>
      <c r="D119" s="711">
        <v>0</v>
      </c>
      <c r="E119" s="667">
        <f t="shared" si="3"/>
        <v>296872.02815999999</v>
      </c>
      <c r="F119" s="668">
        <f>+SUMIF('Anlage 2b_Korrekturen'!$B$8:$B$226,A119,'Anlage 2b_Korrekturen'!$F$8:$F$226)</f>
        <v>0</v>
      </c>
      <c r="G119" s="928">
        <f t="shared" si="4"/>
        <v>296872.02815999999</v>
      </c>
    </row>
    <row r="120" spans="1:7" hidden="1" outlineLevel="1">
      <c r="A120" s="853" t="str">
        <f>+'Anlage 3a_Zusammenfassung_KWKG'!A1856</f>
        <v>SNB927925826730</v>
      </c>
      <c r="B120" s="1698">
        <f>+VLOOKUP(A120,'Anlage 2a_Letztverbrauch'!$A$1853:$I$2765,9,FALSE)</f>
        <v>928561.47167999996</v>
      </c>
      <c r="C120" s="711">
        <f>+IF(ISNA(VLOOKUP(A120,'Anlage 2a_Letztverbrauch'!$A$2774:$D$2786,4,0)),0,VLOOKUP(A120,'Anlage 2a_Letztverbrauch'!$A$2774:$D$2786,4,0))</f>
        <v>0</v>
      </c>
      <c r="D120" s="711">
        <v>0</v>
      </c>
      <c r="E120" s="667">
        <f t="shared" si="3"/>
        <v>928561.47167999996</v>
      </c>
      <c r="F120" s="668">
        <f>+SUMIF('Anlage 2b_Korrekturen'!$B$8:$B$226,A120,'Anlage 2b_Korrekturen'!$F$8:$F$226)</f>
        <v>2180.71</v>
      </c>
      <c r="G120" s="928">
        <f t="shared" si="4"/>
        <v>930742.18167999992</v>
      </c>
    </row>
    <row r="121" spans="1:7" hidden="1" outlineLevel="1">
      <c r="A121" s="853" t="str">
        <f>+'Anlage 3a_Zusammenfassung_KWKG'!A1857</f>
        <v>SNB977641826996</v>
      </c>
      <c r="B121" s="1698">
        <f>+VLOOKUP(A121,'Anlage 2a_Letztverbrauch'!$A$1853:$I$2765,9,FALSE)</f>
        <v>1527878.9483519997</v>
      </c>
      <c r="C121" s="711">
        <f>+IF(ISNA(VLOOKUP(A121,'Anlage 2a_Letztverbrauch'!$A$2774:$D$2786,4,0)),0,VLOOKUP(A121,'Anlage 2a_Letztverbrauch'!$A$2774:$D$2786,4,0))</f>
        <v>0</v>
      </c>
      <c r="D121" s="711">
        <v>0</v>
      </c>
      <c r="E121" s="667">
        <f t="shared" si="3"/>
        <v>1527878.9483519997</v>
      </c>
      <c r="F121" s="668">
        <f>+SUMIF('Anlage 2b_Korrekturen'!$B$8:$B$226,A121,'Anlage 2b_Korrekturen'!$F$8:$F$226)</f>
        <v>-8127.73</v>
      </c>
      <c r="G121" s="928">
        <f t="shared" si="4"/>
        <v>1519751.2183519998</v>
      </c>
    </row>
    <row r="122" spans="1:7" hidden="1" outlineLevel="1">
      <c r="A122" s="853" t="str">
        <f>+'Anlage 3a_Zusammenfassung_KWKG'!A1858</f>
        <v>SNB929027950139</v>
      </c>
      <c r="B122" s="1698">
        <f>+VLOOKUP(A122,'Anlage 2a_Letztverbrauch'!$A$1853:$I$2765,9,FALSE)</f>
        <v>4244736.2203679997</v>
      </c>
      <c r="C122" s="711">
        <f>+IF(ISNA(VLOOKUP(A122,'Anlage 2a_Letztverbrauch'!$A$2774:$D$2786,4,0)),0,VLOOKUP(A122,'Anlage 2a_Letztverbrauch'!$A$2774:$D$2786,4,0))</f>
        <v>0</v>
      </c>
      <c r="D122" s="711">
        <v>0</v>
      </c>
      <c r="E122" s="667">
        <f t="shared" si="3"/>
        <v>4244736.2203679997</v>
      </c>
      <c r="F122" s="668">
        <f>+SUMIF('Anlage 2b_Korrekturen'!$B$8:$B$226,A122,'Anlage 2b_Korrekturen'!$F$8:$F$226)</f>
        <v>35484.359999999993</v>
      </c>
      <c r="G122" s="928">
        <f t="shared" si="4"/>
        <v>4280220.5803680001</v>
      </c>
    </row>
    <row r="123" spans="1:7" hidden="1" outlineLevel="1">
      <c r="A123" s="853" t="str">
        <f>+'Anlage 3a_Zusammenfassung_KWKG'!A1859</f>
        <v>SNB941283828373</v>
      </c>
      <c r="B123" s="1698">
        <f>+VLOOKUP(A123,'Anlage 2a_Letztverbrauch'!$A$1853:$I$2765,9,FALSE)</f>
        <v>489706.79807999998</v>
      </c>
      <c r="C123" s="711">
        <f>+IF(ISNA(VLOOKUP(A123,'Anlage 2a_Letztverbrauch'!$A$2774:$D$2786,4,0)),0,VLOOKUP(A123,'Anlage 2a_Letztverbrauch'!$A$2774:$D$2786,4,0))</f>
        <v>0</v>
      </c>
      <c r="D123" s="711">
        <v>0</v>
      </c>
      <c r="E123" s="667">
        <f t="shared" si="3"/>
        <v>489706.79807999998</v>
      </c>
      <c r="F123" s="668">
        <f>+SUMIF('Anlage 2b_Korrekturen'!$B$8:$B$226,A123,'Anlage 2b_Korrekturen'!$F$8:$F$226)</f>
        <v>0</v>
      </c>
      <c r="G123" s="928">
        <f t="shared" si="4"/>
        <v>489706.79807999998</v>
      </c>
    </row>
    <row r="124" spans="1:7" hidden="1" outlineLevel="1">
      <c r="A124" s="853" t="str">
        <f>+'Anlage 3a_Zusammenfassung_KWKG'!A1860</f>
        <v>SNB988532040636</v>
      </c>
      <c r="B124" s="1698">
        <f>+VLOOKUP(A124,'Anlage 2a_Letztverbrauch'!$A$1853:$I$2765,9,FALSE)</f>
        <v>240940.05888</v>
      </c>
      <c r="C124" s="711">
        <f>+IF(ISNA(VLOOKUP(A124,'Anlage 2a_Letztverbrauch'!$A$2774:$D$2786,4,0)),0,VLOOKUP(A124,'Anlage 2a_Letztverbrauch'!$A$2774:$D$2786,4,0))</f>
        <v>0</v>
      </c>
      <c r="D124" s="711">
        <v>0</v>
      </c>
      <c r="E124" s="667">
        <f t="shared" si="3"/>
        <v>240940.05888</v>
      </c>
      <c r="F124" s="668">
        <f>+SUMIF('Anlage 2b_Korrekturen'!$B$8:$B$226,A124,'Anlage 2b_Korrekturen'!$F$8:$F$226)</f>
        <v>0</v>
      </c>
      <c r="G124" s="928">
        <f t="shared" si="4"/>
        <v>240940.05888</v>
      </c>
    </row>
    <row r="125" spans="1:7" hidden="1" outlineLevel="1">
      <c r="A125" s="853" t="str">
        <f>+'Anlage 3a_Zusammenfassung_KWKG'!A1861</f>
        <v>SNB922354559020</v>
      </c>
      <c r="B125" s="1698">
        <f>+VLOOKUP(A125,'Anlage 2a_Letztverbrauch'!$A$1853:$I$2765,9,FALSE)</f>
        <v>226360.68479999996</v>
      </c>
      <c r="C125" s="711">
        <f>+IF(ISNA(VLOOKUP(A125,'Anlage 2a_Letztverbrauch'!$A$2774:$D$2786,4,0)),0,VLOOKUP(A125,'Anlage 2a_Letztverbrauch'!$A$2774:$D$2786,4,0))</f>
        <v>0</v>
      </c>
      <c r="D125" s="711">
        <v>0</v>
      </c>
      <c r="E125" s="667">
        <f t="shared" si="3"/>
        <v>226360.68479999996</v>
      </c>
      <c r="F125" s="668">
        <f>+SUMIF('Anlage 2b_Korrekturen'!$B$8:$B$226,A125,'Anlage 2b_Korrekturen'!$F$8:$F$226)</f>
        <v>0</v>
      </c>
      <c r="G125" s="928">
        <f t="shared" si="4"/>
        <v>226360.68479999996</v>
      </c>
    </row>
    <row r="126" spans="1:7" hidden="1" outlineLevel="1">
      <c r="A126" s="853" t="str">
        <f>+'Anlage 3a_Zusammenfassung_KWKG'!A1862</f>
        <v>SNB970223838288</v>
      </c>
      <c r="B126" s="1698">
        <f>+VLOOKUP(A126,'Anlage 2a_Letztverbrauch'!$A$1853:$I$2765,9,FALSE)</f>
        <v>684275.95967999997</v>
      </c>
      <c r="C126" s="711">
        <f>+IF(ISNA(VLOOKUP(A126,'Anlage 2a_Letztverbrauch'!$A$2774:$D$2786,4,0)),0,VLOOKUP(A126,'Anlage 2a_Letztverbrauch'!$A$2774:$D$2786,4,0))</f>
        <v>0</v>
      </c>
      <c r="D126" s="711">
        <v>0</v>
      </c>
      <c r="E126" s="667">
        <f t="shared" si="3"/>
        <v>684275.95967999997</v>
      </c>
      <c r="F126" s="668">
        <f>+SUMIF('Anlage 2b_Korrekturen'!$B$8:$B$226,A126,'Anlage 2b_Korrekturen'!$F$8:$F$226)</f>
        <v>0</v>
      </c>
      <c r="G126" s="928">
        <f t="shared" si="4"/>
        <v>684275.95967999997</v>
      </c>
    </row>
    <row r="127" spans="1:7" hidden="1" outlineLevel="1">
      <c r="A127" s="853" t="str">
        <f>+'Anlage 3a_Zusammenfassung_KWKG'!A1863</f>
        <v>SNB959567240391</v>
      </c>
      <c r="B127" s="1698">
        <f>+VLOOKUP(A127,'Anlage 2a_Letztverbrauch'!$A$1853:$I$2765,9,FALSE)</f>
        <v>428180.92848</v>
      </c>
      <c r="C127" s="711">
        <f>+IF(ISNA(VLOOKUP(A127,'Anlage 2a_Letztverbrauch'!$A$2774:$D$2786,4,0)),0,VLOOKUP(A127,'Anlage 2a_Letztverbrauch'!$A$2774:$D$2786,4,0))</f>
        <v>0</v>
      </c>
      <c r="D127" s="711">
        <v>0</v>
      </c>
      <c r="E127" s="667">
        <f t="shared" si="3"/>
        <v>428180.92848</v>
      </c>
      <c r="F127" s="668">
        <f>+SUMIF('Anlage 2b_Korrekturen'!$B$8:$B$226,A127,'Anlage 2b_Korrekturen'!$F$8:$F$226)</f>
        <v>0</v>
      </c>
      <c r="G127" s="928">
        <f t="shared" si="4"/>
        <v>428180.92848</v>
      </c>
    </row>
    <row r="128" spans="1:7" hidden="1" outlineLevel="1">
      <c r="A128" s="853" t="str">
        <f>+'Anlage 3a_Zusammenfassung_KWKG'!A1864</f>
        <v>SNB936940951426</v>
      </c>
      <c r="B128" s="1698">
        <f>+VLOOKUP(A128,'Anlage 2a_Letztverbrauch'!$A$1853:$I$2765,9,FALSE)</f>
        <v>449545.53023999999</v>
      </c>
      <c r="C128" s="711">
        <f>+IF(ISNA(VLOOKUP(A128,'Anlage 2a_Letztverbrauch'!$A$2774:$D$2786,4,0)),0,VLOOKUP(A128,'Anlage 2a_Letztverbrauch'!$A$2774:$D$2786,4,0))</f>
        <v>0</v>
      </c>
      <c r="D128" s="711">
        <v>0</v>
      </c>
      <c r="E128" s="667">
        <f t="shared" si="3"/>
        <v>449545.53023999999</v>
      </c>
      <c r="F128" s="668">
        <f>+SUMIF('Anlage 2b_Korrekturen'!$B$8:$B$226,A128,'Anlage 2b_Korrekturen'!$F$8:$F$226)</f>
        <v>-388.05</v>
      </c>
      <c r="G128" s="928">
        <f t="shared" si="4"/>
        <v>449157.48024</v>
      </c>
    </row>
    <row r="129" spans="1:7" hidden="1" outlineLevel="1">
      <c r="A129" s="853" t="str">
        <f>+'Anlage 3a_Zusammenfassung_KWKG'!A1865</f>
        <v>SNB951305396193</v>
      </c>
      <c r="B129" s="1698">
        <f>+VLOOKUP(A129,'Anlage 2a_Letztverbrauch'!$A$1853:$I$2765,9,FALSE)</f>
        <v>666196.77791999991</v>
      </c>
      <c r="C129" s="711">
        <f>+IF(ISNA(VLOOKUP(A129,'Anlage 2a_Letztverbrauch'!$A$2774:$D$2786,4,0)),0,VLOOKUP(A129,'Anlage 2a_Letztverbrauch'!$A$2774:$D$2786,4,0))</f>
        <v>0</v>
      </c>
      <c r="D129" s="711">
        <v>0</v>
      </c>
      <c r="E129" s="667">
        <f t="shared" si="3"/>
        <v>666196.77791999991</v>
      </c>
      <c r="F129" s="668">
        <f>+SUMIF('Anlage 2b_Korrekturen'!$B$8:$B$226,A129,'Anlage 2b_Korrekturen'!$F$8:$F$226)</f>
        <v>880.51</v>
      </c>
      <c r="G129" s="928">
        <f t="shared" si="4"/>
        <v>667077.28791999992</v>
      </c>
    </row>
    <row r="130" spans="1:7" hidden="1" outlineLevel="1">
      <c r="A130" s="853" t="str">
        <f>+'Anlage 3a_Zusammenfassung_KWKG'!A1866</f>
        <v>SNB939724292715</v>
      </c>
      <c r="B130" s="1698">
        <f>+VLOOKUP(A130,'Anlage 2a_Letztverbrauch'!$A$1853:$I$2765,9,FALSE)</f>
        <v>5371593.7843199996</v>
      </c>
      <c r="C130" s="711">
        <f>+IF(ISNA(VLOOKUP(A130,'Anlage 2a_Letztverbrauch'!$A$2774:$D$2786,4,0)),0,VLOOKUP(A130,'Anlage 2a_Letztverbrauch'!$A$2774:$D$2786,4,0))</f>
        <v>0</v>
      </c>
      <c r="D130" s="711">
        <v>0</v>
      </c>
      <c r="E130" s="667">
        <f t="shared" si="3"/>
        <v>5371593.7843199996</v>
      </c>
      <c r="F130" s="668">
        <f>+SUMIF('Anlage 2b_Korrekturen'!$B$8:$B$226,A130,'Anlage 2b_Korrekturen'!$F$8:$F$226)</f>
        <v>17763.789999999997</v>
      </c>
      <c r="G130" s="928">
        <f t="shared" si="4"/>
        <v>5389357.5743199997</v>
      </c>
    </row>
    <row r="131" spans="1:7" hidden="1" outlineLevel="1">
      <c r="A131" s="853" t="str">
        <f>+'Anlage 3a_Zusammenfassung_KWKG'!A1867</f>
        <v>SNB953495670831</v>
      </c>
      <c r="B131" s="1698">
        <f>+VLOOKUP(A131,'Anlage 2a_Letztverbrauch'!$A$1853:$I$2765,9,FALSE)</f>
        <v>613363.12800000003</v>
      </c>
      <c r="C131" s="711">
        <f>+IF(ISNA(VLOOKUP(A131,'Anlage 2a_Letztverbrauch'!$A$2774:$D$2786,4,0)),0,VLOOKUP(A131,'Anlage 2a_Letztverbrauch'!$A$2774:$D$2786,4,0))</f>
        <v>0</v>
      </c>
      <c r="D131" s="711">
        <v>0</v>
      </c>
      <c r="E131" s="667">
        <f t="shared" si="3"/>
        <v>613363.12800000003</v>
      </c>
      <c r="F131" s="668">
        <f>+SUMIF('Anlage 2b_Korrekturen'!$B$8:$B$226,A131,'Anlage 2b_Korrekturen'!$F$8:$F$226)</f>
        <v>0</v>
      </c>
      <c r="G131" s="928">
        <f t="shared" si="4"/>
        <v>613363.12800000003</v>
      </c>
    </row>
    <row r="132" spans="1:7" hidden="1" outlineLevel="1">
      <c r="A132" s="853" t="str">
        <f>+'Anlage 3a_Zusammenfassung_KWKG'!A1868</f>
        <v>SNB958237843443</v>
      </c>
      <c r="B132" s="1698">
        <f>+VLOOKUP(A132,'Anlage 2a_Letztverbrauch'!$A$1853:$I$2765,9,FALSE)</f>
        <v>599108.29343999992</v>
      </c>
      <c r="C132" s="711">
        <f>+IF(ISNA(VLOOKUP(A132,'Anlage 2a_Letztverbrauch'!$A$2774:$D$2786,4,0)),0,VLOOKUP(A132,'Anlage 2a_Letztverbrauch'!$A$2774:$D$2786,4,0))</f>
        <v>0</v>
      </c>
      <c r="D132" s="711">
        <v>0</v>
      </c>
      <c r="E132" s="667">
        <f t="shared" si="3"/>
        <v>599108.29343999992</v>
      </c>
      <c r="F132" s="668">
        <f>+SUMIF('Anlage 2b_Korrekturen'!$B$8:$B$226,A132,'Anlage 2b_Korrekturen'!$F$8:$F$226)</f>
        <v>-2239.0700000000002</v>
      </c>
      <c r="G132" s="928">
        <f t="shared" si="4"/>
        <v>596869.22343999997</v>
      </c>
    </row>
    <row r="133" spans="1:7" hidden="1" outlineLevel="1">
      <c r="A133" s="853" t="str">
        <f>+'Anlage 3a_Zusammenfassung_KWKG'!A1869</f>
        <v>SNB922861338965</v>
      </c>
      <c r="B133" s="1698">
        <f>+VLOOKUP(A133,'Anlage 2a_Letztverbrauch'!$A$1853:$I$2765,9,FALSE)</f>
        <v>642008.00015999994</v>
      </c>
      <c r="C133" s="711">
        <f>+IF(ISNA(VLOOKUP(A133,'Anlage 2a_Letztverbrauch'!$A$2774:$D$2786,4,0)),0,VLOOKUP(A133,'Anlage 2a_Letztverbrauch'!$A$2774:$D$2786,4,0))</f>
        <v>0</v>
      </c>
      <c r="D133" s="711">
        <v>0</v>
      </c>
      <c r="E133" s="667">
        <f t="shared" si="3"/>
        <v>642008.00015999994</v>
      </c>
      <c r="F133" s="668">
        <f>+SUMIF('Anlage 2b_Korrekturen'!$B$8:$B$226,A133,'Anlage 2b_Korrekturen'!$F$8:$F$226)</f>
        <v>0</v>
      </c>
      <c r="G133" s="928">
        <f t="shared" si="4"/>
        <v>642008.00015999994</v>
      </c>
    </row>
    <row r="134" spans="1:7" hidden="1" outlineLevel="1">
      <c r="A134" s="853" t="str">
        <f>+'Anlage 3a_Zusammenfassung_KWKG'!A1870</f>
        <v>SNB981597332487</v>
      </c>
      <c r="B134" s="1698">
        <f>+VLOOKUP(A134,'Anlage 2a_Letztverbrauch'!$A$1853:$I$2765,9,FALSE)</f>
        <v>36363.660960000001</v>
      </c>
      <c r="C134" s="711">
        <f>+IF(ISNA(VLOOKUP(A134,'Anlage 2a_Letztverbrauch'!$A$2774:$D$2786,4,0)),0,VLOOKUP(A134,'Anlage 2a_Letztverbrauch'!$A$2774:$D$2786,4,0))</f>
        <v>0</v>
      </c>
      <c r="D134" s="711">
        <v>0</v>
      </c>
      <c r="E134" s="667">
        <f t="shared" si="3"/>
        <v>36363.660960000001</v>
      </c>
      <c r="F134" s="668">
        <f>+SUMIF('Anlage 2b_Korrekturen'!$B$8:$B$226,A134,'Anlage 2b_Korrekturen'!$F$8:$F$226)</f>
        <v>0</v>
      </c>
      <c r="G134" s="928">
        <f t="shared" si="4"/>
        <v>36363.660960000001</v>
      </c>
    </row>
    <row r="135" spans="1:7" hidden="1" outlineLevel="1">
      <c r="A135" s="853" t="str">
        <f>+'Anlage 3a_Zusammenfassung_KWKG'!A1871</f>
        <v>SNB942159258331</v>
      </c>
      <c r="B135" s="1698">
        <f>+VLOOKUP(A135,'Anlage 2a_Letztverbrauch'!$A$1853:$I$2765,9,FALSE)</f>
        <v>705206.88192000007</v>
      </c>
      <c r="C135" s="711">
        <f>+IF(ISNA(VLOOKUP(A135,'Anlage 2a_Letztverbrauch'!$A$2774:$D$2786,4,0)),0,VLOOKUP(A135,'Anlage 2a_Letztverbrauch'!$A$2774:$D$2786,4,0))</f>
        <v>0</v>
      </c>
      <c r="D135" s="711">
        <v>0</v>
      </c>
      <c r="E135" s="667">
        <f t="shared" si="3"/>
        <v>705206.88192000007</v>
      </c>
      <c r="F135" s="668">
        <f>+SUMIF('Anlage 2b_Korrekturen'!$B$8:$B$226,A135,'Anlage 2b_Korrekturen'!$F$8:$F$226)</f>
        <v>-1405.8400000000001</v>
      </c>
      <c r="G135" s="928">
        <f t="shared" si="4"/>
        <v>703801.04192000011</v>
      </c>
    </row>
    <row r="136" spans="1:7" hidden="1" outlineLevel="1">
      <c r="A136" s="853" t="str">
        <f>+'Anlage 3a_Zusammenfassung_KWKG'!A1872</f>
        <v>SNB919985327685</v>
      </c>
      <c r="B136" s="1698">
        <f>+VLOOKUP(A136,'Anlage 2a_Letztverbrauch'!$A$1853:$I$2765,9,FALSE)</f>
        <v>187082.05967999998</v>
      </c>
      <c r="C136" s="711">
        <f>+IF(ISNA(VLOOKUP(A136,'Anlage 2a_Letztverbrauch'!$A$2774:$D$2786,4,0)),0,VLOOKUP(A136,'Anlage 2a_Letztverbrauch'!$A$2774:$D$2786,4,0))</f>
        <v>0</v>
      </c>
      <c r="D136" s="711">
        <v>0</v>
      </c>
      <c r="E136" s="667">
        <f t="shared" si="3"/>
        <v>187082.05967999998</v>
      </c>
      <c r="F136" s="668">
        <f>+SUMIF('Anlage 2b_Korrekturen'!$B$8:$B$226,A136,'Anlage 2b_Korrekturen'!$F$8:$F$226)</f>
        <v>0</v>
      </c>
      <c r="G136" s="928">
        <f t="shared" si="4"/>
        <v>187082.05967999998</v>
      </c>
    </row>
    <row r="137" spans="1:7" hidden="1" outlineLevel="1">
      <c r="A137" s="853" t="str">
        <f>+'Anlage 3a_Zusammenfassung_KWKG'!A1873</f>
        <v>SNB979429791342</v>
      </c>
      <c r="B137" s="1698">
        <f>+VLOOKUP(A137,'Anlage 2a_Letztverbrauch'!$A$1853:$I$2765,9,FALSE)</f>
        <v>480902.63951999997</v>
      </c>
      <c r="C137" s="711">
        <f>+IF(ISNA(VLOOKUP(A137,'Anlage 2a_Letztverbrauch'!$A$2774:$D$2786,4,0)),0,VLOOKUP(A137,'Anlage 2a_Letztverbrauch'!$A$2774:$D$2786,4,0))</f>
        <v>-8048.5751999999993</v>
      </c>
      <c r="D137" s="711">
        <v>0</v>
      </c>
      <c r="E137" s="667">
        <f t="shared" ref="E137:E175" si="5">B137+C137+D137</f>
        <v>472854.06431999995</v>
      </c>
      <c r="F137" s="668">
        <f>+SUMIF('Anlage 2b_Korrekturen'!$B$8:$B$226,A137,'Anlage 2b_Korrekturen'!$F$8:$F$226)</f>
        <v>0</v>
      </c>
      <c r="G137" s="928">
        <f t="shared" ref="G137:G203" si="6">E137+F137</f>
        <v>472854.06431999995</v>
      </c>
    </row>
    <row r="138" spans="1:7" hidden="1" outlineLevel="1">
      <c r="A138" s="853" t="str">
        <f>+'Anlage 3a_Zusammenfassung_KWKG'!A1874</f>
        <v>SNB936461984224</v>
      </c>
      <c r="B138" s="1698">
        <f>+VLOOKUP(A138,'Anlage 2a_Letztverbrauch'!$A$1853:$I$2765,9,FALSE)</f>
        <v>974488.74239999999</v>
      </c>
      <c r="C138" s="711">
        <f>+IF(ISNA(VLOOKUP(A138,'Anlage 2a_Letztverbrauch'!$A$2774:$D$2786,4,0)),0,VLOOKUP(A138,'Anlage 2a_Letztverbrauch'!$A$2774:$D$2786,4,0))</f>
        <v>0</v>
      </c>
      <c r="D138" s="711">
        <v>0</v>
      </c>
      <c r="E138" s="667">
        <f t="shared" si="5"/>
        <v>974488.74239999999</v>
      </c>
      <c r="F138" s="668">
        <f>+SUMIF('Anlage 2b_Korrekturen'!$B$8:$B$226,A138,'Anlage 2b_Korrekturen'!$F$8:$F$226)</f>
        <v>-1560.6599999999999</v>
      </c>
      <c r="G138" s="928">
        <f t="shared" si="6"/>
        <v>972928.08239999996</v>
      </c>
    </row>
    <row r="139" spans="1:7" hidden="1" outlineLevel="1">
      <c r="A139" s="853" t="str">
        <f>+'Anlage 3a_Zusammenfassung_KWKG'!A1875</f>
        <v>SNB985072256732</v>
      </c>
      <c r="B139" s="1698">
        <f>+VLOOKUP(A139,'Anlage 2a_Letztverbrauch'!$A$1853:$I$2765,9,FALSE)</f>
        <v>336438.36671999999</v>
      </c>
      <c r="C139" s="711">
        <f>+IF(ISNA(VLOOKUP(A139,'Anlage 2a_Letztverbrauch'!$A$2774:$D$2786,4,0)),0,VLOOKUP(A139,'Anlage 2a_Letztverbrauch'!$A$2774:$D$2786,4,0))</f>
        <v>0</v>
      </c>
      <c r="D139" s="711">
        <v>0</v>
      </c>
      <c r="E139" s="667">
        <f t="shared" si="5"/>
        <v>336438.36671999999</v>
      </c>
      <c r="F139" s="668">
        <f>+SUMIF('Anlage 2b_Korrekturen'!$B$8:$B$226,A139,'Anlage 2b_Korrekturen'!$F$8:$F$226)</f>
        <v>0</v>
      </c>
      <c r="G139" s="928">
        <f t="shared" si="6"/>
        <v>336438.36671999999</v>
      </c>
    </row>
    <row r="140" spans="1:7" hidden="1" outlineLevel="1">
      <c r="A140" s="853" t="str">
        <f>+'Anlage 3a_Zusammenfassung_KWKG'!A1876</f>
        <v>SNB913280322543</v>
      </c>
      <c r="B140" s="1698">
        <f>+VLOOKUP(A140,'Anlage 2a_Letztverbrauch'!$A$1853:$I$2765,9,FALSE)</f>
        <v>696855.52992</v>
      </c>
      <c r="C140" s="711">
        <f>+IF(ISNA(VLOOKUP(A140,'Anlage 2a_Letztverbrauch'!$A$2774:$D$2786,4,0)),0,VLOOKUP(A140,'Anlage 2a_Letztverbrauch'!$A$2774:$D$2786,4,0))</f>
        <v>0</v>
      </c>
      <c r="D140" s="711">
        <v>0</v>
      </c>
      <c r="E140" s="667">
        <f t="shared" si="5"/>
        <v>696855.52992</v>
      </c>
      <c r="F140" s="668">
        <f>+SUMIF('Anlage 2b_Korrekturen'!$B$8:$B$226,A140,'Anlage 2b_Korrekturen'!$F$8:$F$226)</f>
        <v>0</v>
      </c>
      <c r="G140" s="928">
        <f t="shared" si="6"/>
        <v>696855.52992</v>
      </c>
    </row>
    <row r="141" spans="1:7" hidden="1" outlineLevel="1">
      <c r="A141" s="853" t="str">
        <f>+'Anlage 3a_Zusammenfassung_KWKG'!A1877</f>
        <v>SNB913130054136</v>
      </c>
      <c r="B141" s="1698">
        <f>+VLOOKUP(A141,'Anlage 2a_Letztverbrauch'!$A$1853:$I$2765,9,FALSE)</f>
        <v>2487971.9713439997</v>
      </c>
      <c r="C141" s="711">
        <f>+IF(ISNA(VLOOKUP(A141,'Anlage 2a_Letztverbrauch'!$A$2774:$D$2786,4,0)),0,VLOOKUP(A141,'Anlage 2a_Letztverbrauch'!$A$2774:$D$2786,4,0))</f>
        <v>0</v>
      </c>
      <c r="D141" s="711">
        <v>0</v>
      </c>
      <c r="E141" s="667">
        <f t="shared" si="5"/>
        <v>2487971.9713439997</v>
      </c>
      <c r="F141" s="668">
        <f>+SUMIF('Anlage 2b_Korrekturen'!$B$8:$B$226,A141,'Anlage 2b_Korrekturen'!$F$8:$F$226)</f>
        <v>0</v>
      </c>
      <c r="G141" s="928">
        <f t="shared" si="6"/>
        <v>2487971.9713439997</v>
      </c>
    </row>
    <row r="142" spans="1:7" hidden="1" outlineLevel="1">
      <c r="A142" s="853" t="str">
        <f>+'Anlage 3a_Zusammenfassung_KWKG'!A1878</f>
        <v>SNB995034381532</v>
      </c>
      <c r="B142" s="1698">
        <f>+VLOOKUP(A142,'Anlage 2a_Letztverbrauch'!$A$1853:$I$2765,9,FALSE)</f>
        <v>564274.32239999995</v>
      </c>
      <c r="C142" s="711">
        <f>+IF(ISNA(VLOOKUP(A142,'Anlage 2a_Letztverbrauch'!$A$2774:$D$2786,4,0)),0,VLOOKUP(A142,'Anlage 2a_Letztverbrauch'!$A$2774:$D$2786,4,0))</f>
        <v>0</v>
      </c>
      <c r="D142" s="711">
        <v>0</v>
      </c>
      <c r="E142" s="667">
        <f t="shared" si="5"/>
        <v>564274.32239999995</v>
      </c>
      <c r="F142" s="668">
        <f>+SUMIF('Anlage 2b_Korrekturen'!$B$8:$B$226,A142,'Anlage 2b_Korrekturen'!$F$8:$F$226)</f>
        <v>0</v>
      </c>
      <c r="G142" s="928">
        <f t="shared" si="6"/>
        <v>564274.32239999995</v>
      </c>
    </row>
    <row r="143" spans="1:7" hidden="1" outlineLevel="1">
      <c r="A143" s="853" t="str">
        <f>+'Anlage 3a_Zusammenfassung_KWKG'!A1879</f>
        <v>SNB932006596143</v>
      </c>
      <c r="B143" s="1698">
        <f>+VLOOKUP(A143,'Anlage 2a_Letztverbrauch'!$A$1853:$I$2765,9,FALSE)</f>
        <v>370262.30927999993</v>
      </c>
      <c r="C143" s="711">
        <f>+IF(ISNA(VLOOKUP(A143,'Anlage 2a_Letztverbrauch'!$A$2774:$D$2786,4,0)),0,VLOOKUP(A143,'Anlage 2a_Letztverbrauch'!$A$2774:$D$2786,4,0))</f>
        <v>0</v>
      </c>
      <c r="D143" s="711">
        <v>0</v>
      </c>
      <c r="E143" s="667">
        <f t="shared" si="5"/>
        <v>370262.30927999993</v>
      </c>
      <c r="F143" s="668">
        <f>+SUMIF('Anlage 2b_Korrekturen'!$B$8:$B$226,A143,'Anlage 2b_Korrekturen'!$F$8:$F$226)</f>
        <v>0</v>
      </c>
      <c r="G143" s="928">
        <f t="shared" si="6"/>
        <v>370262.30927999993</v>
      </c>
    </row>
    <row r="144" spans="1:7" hidden="1" outlineLevel="1">
      <c r="A144" s="853" t="str">
        <f>+'Anlage 3a_Zusammenfassung_KWKG'!A1880</f>
        <v>SNB987483520273</v>
      </c>
      <c r="B144" s="1698">
        <f>+VLOOKUP(A144,'Anlage 2a_Letztverbrauch'!$A$1853:$I$2765,9,FALSE)</f>
        <v>580835.18927999993</v>
      </c>
      <c r="C144" s="711">
        <f>+IF(ISNA(VLOOKUP(A144,'Anlage 2a_Letztverbrauch'!$A$2774:$D$2786,4,0)),0,VLOOKUP(A144,'Anlage 2a_Letztverbrauch'!$A$2774:$D$2786,4,0))</f>
        <v>0</v>
      </c>
      <c r="D144" s="711">
        <v>0</v>
      </c>
      <c r="E144" s="667">
        <f t="shared" si="5"/>
        <v>580835.18927999993</v>
      </c>
      <c r="F144" s="668">
        <f>+SUMIF('Anlage 2b_Korrekturen'!$B$8:$B$226,A144,'Anlage 2b_Korrekturen'!$F$8:$F$226)</f>
        <v>0</v>
      </c>
      <c r="G144" s="928">
        <f t="shared" si="6"/>
        <v>580835.18927999993</v>
      </c>
    </row>
    <row r="145" spans="1:7" hidden="1" outlineLevel="1">
      <c r="A145" s="853" t="str">
        <f>+'Anlage 3a_Zusammenfassung_KWKG'!A1881</f>
        <v>SNB919657321775</v>
      </c>
      <c r="B145" s="1698">
        <f>+VLOOKUP(A145,'Anlage 2a_Letztverbrauch'!$A$1853:$I$2765,9,FALSE)</f>
        <v>701190.27695999993</v>
      </c>
      <c r="C145" s="711">
        <f>+IF(ISNA(VLOOKUP(A145,'Anlage 2a_Letztverbrauch'!$A$2774:$D$2786,4,0)),0,VLOOKUP(A145,'Anlage 2a_Letztverbrauch'!$A$2774:$D$2786,4,0))</f>
        <v>0</v>
      </c>
      <c r="D145" s="711">
        <v>0</v>
      </c>
      <c r="E145" s="667">
        <f t="shared" si="5"/>
        <v>701190.27695999993</v>
      </c>
      <c r="F145" s="668">
        <f>+SUMIF('Anlage 2b_Korrekturen'!$B$8:$B$226,A145,'Anlage 2b_Korrekturen'!$F$8:$F$226)</f>
        <v>-798.64</v>
      </c>
      <c r="G145" s="928">
        <f t="shared" si="6"/>
        <v>700391.63695999992</v>
      </c>
    </row>
    <row r="146" spans="1:7" hidden="1" outlineLevel="1">
      <c r="A146" s="853" t="str">
        <f>+'Anlage 3a_Zusammenfassung_KWKG'!A1882</f>
        <v>SNB926394976090</v>
      </c>
      <c r="B146" s="1698">
        <f>+VLOOKUP(A146,'Anlage 2a_Letztverbrauch'!$A$1853:$I$2765,9,FALSE)</f>
        <v>484082.01215999998</v>
      </c>
      <c r="C146" s="711">
        <f>+IF(ISNA(VLOOKUP(A146,'Anlage 2a_Letztverbrauch'!$A$2774:$D$2786,4,0)),0,VLOOKUP(A146,'Anlage 2a_Letztverbrauch'!$A$2774:$D$2786,4,0))</f>
        <v>0</v>
      </c>
      <c r="D146" s="711">
        <v>0</v>
      </c>
      <c r="E146" s="667">
        <f t="shared" si="5"/>
        <v>484082.01215999998</v>
      </c>
      <c r="F146" s="668">
        <f>+SUMIF('Anlage 2b_Korrekturen'!$B$8:$B$226,A146,'Anlage 2b_Korrekturen'!$F$8:$F$226)</f>
        <v>0</v>
      </c>
      <c r="G146" s="928">
        <f t="shared" si="6"/>
        <v>484082.01215999998</v>
      </c>
    </row>
    <row r="147" spans="1:7" hidden="1" outlineLevel="1">
      <c r="A147" s="853" t="str">
        <f>+'Anlage 3a_Zusammenfassung_KWKG'!A1883</f>
        <v>SNB976240506834</v>
      </c>
      <c r="B147" s="1698">
        <f>+VLOOKUP(A147,'Anlage 2a_Letztverbrauch'!$A$1853:$I$2765,9,FALSE)</f>
        <v>150918.55536</v>
      </c>
      <c r="C147" s="711">
        <f>+IF(ISNA(VLOOKUP(A147,'Anlage 2a_Letztverbrauch'!$A$2774:$D$2786,4,0)),0,VLOOKUP(A147,'Anlage 2a_Letztverbrauch'!$A$2774:$D$2786,4,0))</f>
        <v>0</v>
      </c>
      <c r="D147" s="711">
        <v>0</v>
      </c>
      <c r="E147" s="667">
        <f t="shared" si="5"/>
        <v>150918.55536</v>
      </c>
      <c r="F147" s="668">
        <f>+SUMIF('Anlage 2b_Korrekturen'!$B$8:$B$226,A147,'Anlage 2b_Korrekturen'!$F$8:$F$226)</f>
        <v>0</v>
      </c>
      <c r="G147" s="928">
        <f t="shared" si="6"/>
        <v>150918.55536</v>
      </c>
    </row>
    <row r="148" spans="1:7" hidden="1" outlineLevel="1">
      <c r="A148" s="853" t="str">
        <f>+'Anlage 3a_Zusammenfassung_KWKG'!A1884</f>
        <v>SNB910474681448</v>
      </c>
      <c r="B148" s="1698">
        <f>+VLOOKUP(A148,'Anlage 2a_Letztverbrauch'!$A$1853:$I$2765,9,FALSE)</f>
        <v>650251.0199999999</v>
      </c>
      <c r="C148" s="711">
        <f>+IF(ISNA(VLOOKUP(A148,'Anlage 2a_Letztverbrauch'!$A$2774:$D$2786,4,0)),0,VLOOKUP(A148,'Anlage 2a_Letztverbrauch'!$A$2774:$D$2786,4,0))</f>
        <v>0</v>
      </c>
      <c r="D148" s="711">
        <v>0</v>
      </c>
      <c r="E148" s="667">
        <f t="shared" si="5"/>
        <v>650251.0199999999</v>
      </c>
      <c r="F148" s="668">
        <f>+SUMIF('Anlage 2b_Korrekturen'!$B$8:$B$226,A148,'Anlage 2b_Korrekturen'!$F$8:$F$226)</f>
        <v>-2051.6</v>
      </c>
      <c r="G148" s="928">
        <f t="shared" si="6"/>
        <v>648199.41999999993</v>
      </c>
    </row>
    <row r="149" spans="1:7" hidden="1" outlineLevel="1">
      <c r="A149" s="853" t="str">
        <f>+'Anlage 3a_Zusammenfassung_KWKG'!A1885</f>
        <v>SNB957404386462</v>
      </c>
      <c r="B149" s="1698">
        <f>+VLOOKUP(A149,'Anlage 2a_Letztverbrauch'!$A$1853:$I$2765,9,FALSE)</f>
        <v>720887.17056</v>
      </c>
      <c r="C149" s="711">
        <f>+IF(ISNA(VLOOKUP(A149,'Anlage 2a_Letztverbrauch'!$A$2774:$D$2786,4,0)),0,VLOOKUP(A149,'Anlage 2a_Letztverbrauch'!$A$2774:$D$2786,4,0))</f>
        <v>0</v>
      </c>
      <c r="D149" s="711">
        <v>0</v>
      </c>
      <c r="E149" s="667">
        <f t="shared" si="5"/>
        <v>720887.17056</v>
      </c>
      <c r="F149" s="668">
        <f>+SUMIF('Anlage 2b_Korrekturen'!$B$8:$B$226,A149,'Anlage 2b_Korrekturen'!$F$8:$F$226)</f>
        <v>0</v>
      </c>
      <c r="G149" s="928">
        <f t="shared" si="6"/>
        <v>720887.17056</v>
      </c>
    </row>
    <row r="150" spans="1:7" hidden="1" outlineLevel="1">
      <c r="A150" s="853" t="str">
        <f>+'Anlage 3a_Zusammenfassung_KWKG'!A1886</f>
        <v>SNB915638224585</v>
      </c>
      <c r="B150" s="1698">
        <f>+VLOOKUP(A150,'Anlage 2a_Letztverbrauch'!$A$1853:$I$2765,9,FALSE)</f>
        <v>169305.10800000001</v>
      </c>
      <c r="C150" s="711">
        <f>+IF(ISNA(VLOOKUP(A150,'Anlage 2a_Letztverbrauch'!$A$2774:$D$2786,4,0)),0,VLOOKUP(A150,'Anlage 2a_Letztverbrauch'!$A$2774:$D$2786,4,0))</f>
        <v>0</v>
      </c>
      <c r="D150" s="711">
        <v>0</v>
      </c>
      <c r="E150" s="667">
        <f t="shared" si="5"/>
        <v>169305.10800000001</v>
      </c>
      <c r="F150" s="668">
        <f>+SUMIF('Anlage 2b_Korrekturen'!$B$8:$B$226,A150,'Anlage 2b_Korrekturen'!$F$8:$F$226)</f>
        <v>0</v>
      </c>
      <c r="G150" s="928">
        <f t="shared" si="6"/>
        <v>169305.10800000001</v>
      </c>
    </row>
    <row r="151" spans="1:7" hidden="1" outlineLevel="1">
      <c r="A151" s="853" t="str">
        <f>+'Anlage 3a_Zusammenfassung_KWKG'!A1887</f>
        <v>SNB915638224585</v>
      </c>
      <c r="B151" s="1698">
        <v>1253780.0505599999</v>
      </c>
      <c r="C151" s="711">
        <f>+IF(ISNA(VLOOKUP(A151,'Anlage 2a_Letztverbrauch'!$A$2774:$D$2786,4,0)),0,VLOOKUP(A151,'Anlage 2a_Letztverbrauch'!$A$2774:$D$2786,4,0))</f>
        <v>0</v>
      </c>
      <c r="D151" s="711">
        <v>0</v>
      </c>
      <c r="E151" s="667">
        <f t="shared" si="5"/>
        <v>1253780.0505599999</v>
      </c>
      <c r="F151" s="668">
        <f>+SUMIF('Anlage 2b_Korrekturen'!$B$8:$B$226,A151,'Anlage 2b_Korrekturen'!$F$8:$F$226)</f>
        <v>0</v>
      </c>
      <c r="G151" s="928">
        <f t="shared" si="6"/>
        <v>1253780.0505599999</v>
      </c>
    </row>
    <row r="152" spans="1:7" hidden="1" outlineLevel="1">
      <c r="A152" s="853" t="str">
        <f>+'Anlage 3a_Zusammenfassung_KWKG'!A1888</f>
        <v>SNB975846871759</v>
      </c>
      <c r="B152" s="1698">
        <f>+VLOOKUP(A152,'Anlage 2a_Letztverbrauch'!$A$1853:$I$2765,9,FALSE)</f>
        <v>558074.04431999999</v>
      </c>
      <c r="C152" s="711">
        <f>+IF(ISNA(VLOOKUP(A152,'Anlage 2a_Letztverbrauch'!$A$2774:$D$2786,4,0)),0,VLOOKUP(A152,'Anlage 2a_Letztverbrauch'!$A$2774:$D$2786,4,0))</f>
        <v>0</v>
      </c>
      <c r="D152" s="711">
        <v>0</v>
      </c>
      <c r="E152" s="667">
        <f t="shared" si="5"/>
        <v>558074.04431999999</v>
      </c>
      <c r="F152" s="668">
        <f>+SUMIF('Anlage 2b_Korrekturen'!$B$8:$B$226,A152,'Anlage 2b_Korrekturen'!$F$8:$F$226)</f>
        <v>0</v>
      </c>
      <c r="G152" s="928">
        <f t="shared" si="6"/>
        <v>558074.04431999999</v>
      </c>
    </row>
    <row r="153" spans="1:7" hidden="1" outlineLevel="1">
      <c r="A153" s="853" t="str">
        <f>+'Anlage 3a_Zusammenfassung_KWKG'!A1889</f>
        <v>SNB981122608278</v>
      </c>
      <c r="B153" s="1698">
        <f>+VLOOKUP(A153,'Anlage 2a_Letztverbrauch'!$A$1853:$I$2765,9,FALSE)</f>
        <v>7215.6676799999996</v>
      </c>
      <c r="C153" s="711">
        <f>+IF(ISNA(VLOOKUP(A153,'Anlage 2a_Letztverbrauch'!$A$2774:$D$2786,4,0)),0,VLOOKUP(A153,'Anlage 2a_Letztverbrauch'!$A$2774:$D$2786,4,0))</f>
        <v>0</v>
      </c>
      <c r="D153" s="711">
        <v>0</v>
      </c>
      <c r="E153" s="667">
        <f t="shared" si="5"/>
        <v>7215.6676799999996</v>
      </c>
      <c r="F153" s="668">
        <f>+SUMIF('Anlage 2b_Korrekturen'!$B$8:$B$226,A153,'Anlage 2b_Korrekturen'!$F$8:$F$226)</f>
        <v>81.5</v>
      </c>
      <c r="G153" s="928">
        <f t="shared" si="6"/>
        <v>7297.1676799999996</v>
      </c>
    </row>
    <row r="154" spans="1:7" hidden="1" outlineLevel="1">
      <c r="A154" s="853" t="str">
        <f>+'Anlage 3a_Zusammenfassung_KWKG'!A1890</f>
        <v>SNB933869654360</v>
      </c>
      <c r="B154" s="1698">
        <f>+VLOOKUP(A154,'Anlage 2a_Letztverbrauch'!$A$1853:$I$2765,9,FALSE)</f>
        <v>433646.34143999993</v>
      </c>
      <c r="C154" s="711">
        <f>+IF(ISNA(VLOOKUP(A154,'Anlage 2a_Letztverbrauch'!$A$2774:$D$2786,4,0)),0,VLOOKUP(A154,'Anlage 2a_Letztverbrauch'!$A$2774:$D$2786,4,0))</f>
        <v>0</v>
      </c>
      <c r="D154" s="711">
        <v>0</v>
      </c>
      <c r="E154" s="667">
        <f t="shared" si="5"/>
        <v>433646.34143999993</v>
      </c>
      <c r="F154" s="668">
        <f>+SUMIF('Anlage 2b_Korrekturen'!$B$8:$B$226,A154,'Anlage 2b_Korrekturen'!$F$8:$F$226)</f>
        <v>947.68</v>
      </c>
      <c r="G154" s="928">
        <f t="shared" si="6"/>
        <v>434594.02143999992</v>
      </c>
    </row>
    <row r="155" spans="1:7" hidden="1" outlineLevel="1">
      <c r="A155" s="853" t="str">
        <f>+'Anlage 3a_Zusammenfassung_KWKG'!A1891</f>
        <v>SNB935760057516</v>
      </c>
      <c r="B155" s="1698">
        <f>+VLOOKUP(A155,'Anlage 2a_Letztverbrauch'!$A$1853:$I$2765,9,FALSE)</f>
        <v>1255085.34864</v>
      </c>
      <c r="C155" s="711">
        <f>+IF(ISNA(VLOOKUP(A155,'Anlage 2a_Letztverbrauch'!$A$2774:$D$2786,4,0)),0,VLOOKUP(A155,'Anlage 2a_Letztverbrauch'!$A$2774:$D$2786,4,0))</f>
        <v>0</v>
      </c>
      <c r="D155" s="711">
        <v>0</v>
      </c>
      <c r="E155" s="667">
        <f t="shared" si="5"/>
        <v>1255085.34864</v>
      </c>
      <c r="F155" s="668">
        <f>+SUMIF('Anlage 2b_Korrekturen'!$B$8:$B$226,A155,'Anlage 2b_Korrekturen'!$F$8:$F$226)</f>
        <v>0</v>
      </c>
      <c r="G155" s="928">
        <f t="shared" si="6"/>
        <v>1255085.34864</v>
      </c>
    </row>
    <row r="156" spans="1:7" hidden="1" outlineLevel="1">
      <c r="A156" s="853" t="str">
        <f>+'Anlage 3a_Zusammenfassung_KWKG'!A1892</f>
        <v>SNB932509765411</v>
      </c>
      <c r="B156" s="1698">
        <f>+VLOOKUP(A156,'Anlage 2a_Letztverbrauch'!$A$1853:$I$2765,9,FALSE)</f>
        <v>306396.49439999997</v>
      </c>
      <c r="C156" s="711">
        <f>+IF(ISNA(VLOOKUP(A156,'Anlage 2a_Letztverbrauch'!$A$2774:$D$2786,4,0)),0,VLOOKUP(A156,'Anlage 2a_Letztverbrauch'!$A$2774:$D$2786,4,0))</f>
        <v>0</v>
      </c>
      <c r="D156" s="711">
        <v>0</v>
      </c>
      <c r="E156" s="667">
        <f t="shared" si="5"/>
        <v>306396.49439999997</v>
      </c>
      <c r="F156" s="668">
        <f>+SUMIF('Anlage 2b_Korrekturen'!$B$8:$B$226,A156,'Anlage 2b_Korrekturen'!$F$8:$F$226)</f>
        <v>0</v>
      </c>
      <c r="G156" s="928">
        <f t="shared" si="6"/>
        <v>306396.49439999997</v>
      </c>
    </row>
    <row r="157" spans="1:7" hidden="1" outlineLevel="1">
      <c r="A157" s="853" t="str">
        <f>+'Anlage 3a_Zusammenfassung_KWKG'!A1893</f>
        <v>SNB933235634552</v>
      </c>
      <c r="B157" s="1698">
        <f>+VLOOKUP(A157,'Anlage 2a_Letztverbrauch'!$A$1853:$I$2765,9,FALSE)</f>
        <v>1067371.64784</v>
      </c>
      <c r="C157" s="711">
        <f>+IF(ISNA(VLOOKUP(A157,'Anlage 2a_Letztverbrauch'!$A$2774:$D$2786,4,0)),0,VLOOKUP(A157,'Anlage 2a_Letztverbrauch'!$A$2774:$D$2786,4,0))</f>
        <v>0</v>
      </c>
      <c r="D157" s="711">
        <v>0</v>
      </c>
      <c r="E157" s="667">
        <f t="shared" si="5"/>
        <v>1067371.64784</v>
      </c>
      <c r="F157" s="668">
        <f>+SUMIF('Anlage 2b_Korrekturen'!$B$8:$B$226,A157,'Anlage 2b_Korrekturen'!$F$8:$F$226)</f>
        <v>405.9</v>
      </c>
      <c r="G157" s="928">
        <f t="shared" si="6"/>
        <v>1067777.5478399999</v>
      </c>
    </row>
    <row r="158" spans="1:7" hidden="1" outlineLevel="1">
      <c r="A158" s="853" t="str">
        <f>+'Anlage 3a_Zusammenfassung_KWKG'!A1894</f>
        <v>SNB957440824454</v>
      </c>
      <c r="B158" s="1698">
        <f>+VLOOKUP(A158,'Anlage 2a_Letztverbrauch'!$A$1853:$I$2765,9,FALSE)</f>
        <v>371026.99103999994</v>
      </c>
      <c r="C158" s="711">
        <f>+IF(ISNA(VLOOKUP(A158,'Anlage 2a_Letztverbrauch'!$A$2774:$D$2786,4,0)),0,VLOOKUP(A158,'Anlage 2a_Letztverbrauch'!$A$2774:$D$2786,4,0))</f>
        <v>0</v>
      </c>
      <c r="D158" s="711">
        <v>0</v>
      </c>
      <c r="E158" s="667">
        <f t="shared" si="5"/>
        <v>371026.99103999994</v>
      </c>
      <c r="F158" s="668">
        <f>+SUMIF('Anlage 2b_Korrekturen'!$B$8:$B$226,A158,'Anlage 2b_Korrekturen'!$F$8:$F$226)</f>
        <v>0</v>
      </c>
      <c r="G158" s="928">
        <f t="shared" si="6"/>
        <v>371026.99103999994</v>
      </c>
    </row>
    <row r="159" spans="1:7" hidden="1" outlineLevel="1">
      <c r="A159" s="853" t="str">
        <f>+'Anlage 3a_Zusammenfassung_KWKG'!A1895</f>
        <v>SNB973505068113</v>
      </c>
      <c r="B159" s="1698">
        <f>+VLOOKUP(A159,'Anlage 2a_Letztverbrauch'!$A$1853:$I$2765,9,FALSE)</f>
        <v>560411.73743999994</v>
      </c>
      <c r="C159" s="711">
        <f>+IF(ISNA(VLOOKUP(A159,'Anlage 2a_Letztverbrauch'!$A$2774:$D$2786,4,0)),0,VLOOKUP(A159,'Anlage 2a_Letztverbrauch'!$A$2774:$D$2786,4,0))</f>
        <v>0</v>
      </c>
      <c r="D159" s="711">
        <v>0</v>
      </c>
      <c r="E159" s="667">
        <f t="shared" si="5"/>
        <v>560411.73743999994</v>
      </c>
      <c r="F159" s="668">
        <f>+SUMIF('Anlage 2b_Korrekturen'!$B$8:$B$226,A159,'Anlage 2b_Korrekturen'!$F$8:$F$226)</f>
        <v>0</v>
      </c>
      <c r="G159" s="928">
        <f t="shared" si="6"/>
        <v>560411.73743999994</v>
      </c>
    </row>
    <row r="160" spans="1:7" hidden="1" outlineLevel="1">
      <c r="A160" s="853" t="str">
        <f>+'Anlage 3a_Zusammenfassung_KWKG'!A1896</f>
        <v>SNB963792700889</v>
      </c>
      <c r="B160" s="1698">
        <f>+VLOOKUP(A160,'Anlage 2a_Letztverbrauch'!$A$1853:$I$2765,9,FALSE)</f>
        <v>1418530.1241599999</v>
      </c>
      <c r="C160" s="711">
        <f>+IF(ISNA(VLOOKUP(A160,'Anlage 2a_Letztverbrauch'!$A$2774:$D$2786,4,0)),0,VLOOKUP(A160,'Anlage 2a_Letztverbrauch'!$A$2774:$D$2786,4,0))</f>
        <v>0</v>
      </c>
      <c r="D160" s="711">
        <v>0</v>
      </c>
      <c r="E160" s="667">
        <f t="shared" si="5"/>
        <v>1418530.1241599999</v>
      </c>
      <c r="F160" s="668">
        <f>+SUMIF('Anlage 2b_Korrekturen'!$B$8:$B$226,A160,'Anlage 2b_Korrekturen'!$F$8:$F$226)</f>
        <v>571.6</v>
      </c>
      <c r="G160" s="928">
        <f t="shared" si="6"/>
        <v>1419101.72416</v>
      </c>
    </row>
    <row r="161" spans="1:7" hidden="1" outlineLevel="1">
      <c r="A161" s="853" t="str">
        <f>+'Anlage 3a_Zusammenfassung_KWKG'!A1897</f>
        <v>SNB933274941888</v>
      </c>
      <c r="B161" s="1698">
        <f>+VLOOKUP(A161,'Anlage 2a_Letztverbrauch'!$A$1853:$I$2765,9,FALSE)</f>
        <v>754839.9023999999</v>
      </c>
      <c r="C161" s="711">
        <f>+IF(ISNA(VLOOKUP(A161,'Anlage 2a_Letztverbrauch'!$A$2774:$D$2786,4,0)),0,VLOOKUP(A161,'Anlage 2a_Letztverbrauch'!$A$2774:$D$2786,4,0))</f>
        <v>0</v>
      </c>
      <c r="D161" s="711">
        <v>0</v>
      </c>
      <c r="E161" s="667">
        <f t="shared" si="5"/>
        <v>754839.9023999999</v>
      </c>
      <c r="F161" s="668">
        <f>+SUMIF('Anlage 2b_Korrekturen'!$B$8:$B$226,A161,'Anlage 2b_Korrekturen'!$F$8:$F$226)</f>
        <v>171.61</v>
      </c>
      <c r="G161" s="928">
        <f t="shared" si="6"/>
        <v>755011.51239999989</v>
      </c>
    </row>
    <row r="162" spans="1:7" hidden="1" outlineLevel="1">
      <c r="A162" s="853" t="str">
        <f>+'Anlage 3a_Zusammenfassung_KWKG'!A1898</f>
        <v>SNB918084816830</v>
      </c>
      <c r="B162" s="1698">
        <f>+VLOOKUP(A162,'Anlage 2a_Letztverbrauch'!$A$1853:$I$2765,9,FALSE)</f>
        <v>281322.59327999997</v>
      </c>
      <c r="C162" s="711">
        <f>+IF(ISNA(VLOOKUP(A162,'Anlage 2a_Letztverbrauch'!$A$2774:$D$2786,4,0)),0,VLOOKUP(A162,'Anlage 2a_Letztverbrauch'!$A$2774:$D$2786,4,0))</f>
        <v>0</v>
      </c>
      <c r="D162" s="711">
        <v>0</v>
      </c>
      <c r="E162" s="667">
        <f t="shared" si="5"/>
        <v>281322.59327999997</v>
      </c>
      <c r="F162" s="668">
        <f>+SUMIF('Anlage 2b_Korrekturen'!$B$8:$B$226,A162,'Anlage 2b_Korrekturen'!$F$8:$F$226)</f>
        <v>0</v>
      </c>
      <c r="G162" s="928">
        <f t="shared" si="6"/>
        <v>281322.59327999997</v>
      </c>
    </row>
    <row r="163" spans="1:7" hidden="1" outlineLevel="1">
      <c r="A163" s="853" t="str">
        <f>+'Anlage 3a_Zusammenfassung_KWKG'!A1899</f>
        <v>SNB962389410347</v>
      </c>
      <c r="B163" s="1698">
        <f>+VLOOKUP(A163,'Anlage 2a_Letztverbrauch'!$A$1853:$I$2765,9,FALSE)</f>
        <v>419090.98223999998</v>
      </c>
      <c r="C163" s="711">
        <f>+IF(ISNA(VLOOKUP(A163,'Anlage 2a_Letztverbrauch'!$A$2774:$D$2786,4,0)),0,VLOOKUP(A163,'Anlage 2a_Letztverbrauch'!$A$2774:$D$2786,4,0))</f>
        <v>0</v>
      </c>
      <c r="D163" s="711">
        <v>0</v>
      </c>
      <c r="E163" s="667">
        <f t="shared" si="5"/>
        <v>419090.98223999998</v>
      </c>
      <c r="F163" s="668">
        <f>+SUMIF('Anlage 2b_Korrekturen'!$B$8:$B$226,A163,'Anlage 2b_Korrekturen'!$F$8:$F$226)</f>
        <v>-3008.74</v>
      </c>
      <c r="G163" s="928">
        <f t="shared" si="6"/>
        <v>416082.24223999999</v>
      </c>
    </row>
    <row r="164" spans="1:7" hidden="1" outlineLevel="1">
      <c r="A164" s="853" t="str">
        <f>+'Anlage 3a_Zusammenfassung_KWKG'!A1900</f>
        <v>SNB914879260819</v>
      </c>
      <c r="B164" s="1698">
        <f>+VLOOKUP(A164,'Anlage 2a_Letztverbrauch'!$A$1853:$I$2765,9,FALSE)</f>
        <v>1098810.4468799999</v>
      </c>
      <c r="C164" s="711">
        <f>+IF(ISNA(VLOOKUP(A164,'Anlage 2a_Letztverbrauch'!$A$2774:$D$2786,4,0)),0,VLOOKUP(A164,'Anlage 2a_Letztverbrauch'!$A$2774:$D$2786,4,0))</f>
        <v>0</v>
      </c>
      <c r="D164" s="711">
        <v>0</v>
      </c>
      <c r="E164" s="667">
        <f t="shared" si="5"/>
        <v>1098810.4468799999</v>
      </c>
      <c r="F164" s="668">
        <f>+SUMIF('Anlage 2b_Korrekturen'!$B$8:$B$226,A164,'Anlage 2b_Korrekturen'!$F$8:$F$226)</f>
        <v>-2038.7800000000002</v>
      </c>
      <c r="G164" s="928">
        <f t="shared" si="6"/>
        <v>1096771.6668799999</v>
      </c>
    </row>
    <row r="165" spans="1:7" hidden="1" outlineLevel="1">
      <c r="A165" s="853" t="str">
        <f>+'Anlage 3a_Zusammenfassung_KWKG'!A1901</f>
        <v>SNB973501936539</v>
      </c>
      <c r="B165" s="1698">
        <f>+VLOOKUP(A165,'Anlage 2a_Letztverbrauch'!$A$1853:$I$2765,9,FALSE)</f>
        <v>750273.17471999989</v>
      </c>
      <c r="C165" s="711">
        <f>+IF(ISNA(VLOOKUP(A165,'Anlage 2a_Letztverbrauch'!$A$2774:$D$2786,4,0)),0,VLOOKUP(A165,'Anlage 2a_Letztverbrauch'!$A$2774:$D$2786,4,0))</f>
        <v>0</v>
      </c>
      <c r="D165" s="711">
        <v>0</v>
      </c>
      <c r="E165" s="667">
        <f t="shared" si="5"/>
        <v>750273.17471999989</v>
      </c>
      <c r="F165" s="668">
        <f>+SUMIF('Anlage 2b_Korrekturen'!$B$8:$B$226,A165,'Anlage 2b_Korrekturen'!$F$8:$F$226)</f>
        <v>0</v>
      </c>
      <c r="G165" s="928">
        <f t="shared" si="6"/>
        <v>750273.17471999989</v>
      </c>
    </row>
    <row r="166" spans="1:7" hidden="1" outlineLevel="1">
      <c r="A166" s="853" t="str">
        <f>+'Anlage 3a_Zusammenfassung_KWKG'!A1902</f>
        <v>SNB964045995373</v>
      </c>
      <c r="B166" s="1698">
        <f>+VLOOKUP(A166,'Anlage 2a_Letztverbrauch'!$A$1853:$I$2765,9,FALSE)</f>
        <v>1120077.07152</v>
      </c>
      <c r="C166" s="711">
        <f>+IF(ISNA(VLOOKUP(A166,'Anlage 2a_Letztverbrauch'!$A$2774:$D$2786,4,0)),0,VLOOKUP(A166,'Anlage 2a_Letztverbrauch'!$A$2774:$D$2786,4,0))</f>
        <v>0</v>
      </c>
      <c r="D166" s="711">
        <v>0</v>
      </c>
      <c r="E166" s="667">
        <f t="shared" si="5"/>
        <v>1120077.07152</v>
      </c>
      <c r="F166" s="668">
        <f>+SUMIF('Anlage 2b_Korrekturen'!$B$8:$B$226,A166,'Anlage 2b_Korrekturen'!$F$8:$F$226)</f>
        <v>9579.08</v>
      </c>
      <c r="G166" s="928">
        <f t="shared" si="6"/>
        <v>1129656.1515200001</v>
      </c>
    </row>
    <row r="167" spans="1:7" hidden="1" outlineLevel="1">
      <c r="A167" s="853" t="str">
        <f>+'Anlage 3a_Zusammenfassung_KWKG'!A1903</f>
        <v>SNB941081544895</v>
      </c>
      <c r="B167" s="1698">
        <f>+VLOOKUP(A167,'Anlage 2a_Letztverbrauch'!$A$1853:$I$2765,9,FALSE)</f>
        <v>442078.22447999998</v>
      </c>
      <c r="C167" s="711">
        <f>+IF(ISNA(VLOOKUP(A167,'Anlage 2a_Letztverbrauch'!$A$2774:$D$2786,4,0)),0,VLOOKUP(A167,'Anlage 2a_Letztverbrauch'!$A$2774:$D$2786,4,0))</f>
        <v>0</v>
      </c>
      <c r="D167" s="711">
        <v>0</v>
      </c>
      <c r="E167" s="667">
        <f t="shared" si="5"/>
        <v>442078.22447999998</v>
      </c>
      <c r="F167" s="668">
        <f>+SUMIF('Anlage 2b_Korrekturen'!$B$8:$B$226,A167,'Anlage 2b_Korrekturen'!$F$8:$F$226)</f>
        <v>0</v>
      </c>
      <c r="G167" s="928">
        <f t="shared" si="6"/>
        <v>442078.22447999998</v>
      </c>
    </row>
    <row r="168" spans="1:7" hidden="1" outlineLevel="1">
      <c r="A168" s="853" t="str">
        <f>+'Anlage 3a_Zusammenfassung_KWKG'!A1904</f>
        <v>SNB978051166283</v>
      </c>
      <c r="B168" s="1698">
        <f>+VLOOKUP(A168,'Anlage 2a_Letztverbrauch'!$A$1853:$I$2765,9,FALSE)</f>
        <v>220434.75407999998</v>
      </c>
      <c r="C168" s="711">
        <f>+IF(ISNA(VLOOKUP(A168,'Anlage 2a_Letztverbrauch'!$A$2774:$D$2786,4,0)),0,VLOOKUP(A168,'Anlage 2a_Letztverbrauch'!$A$2774:$D$2786,4,0))</f>
        <v>0</v>
      </c>
      <c r="D168" s="711">
        <v>0</v>
      </c>
      <c r="E168" s="667">
        <f t="shared" si="5"/>
        <v>220434.75407999998</v>
      </c>
      <c r="F168" s="668">
        <f>+SUMIF('Anlage 2b_Korrekturen'!$B$8:$B$226,A168,'Anlage 2b_Korrekturen'!$F$8:$F$226)</f>
        <v>3177.3199999999997</v>
      </c>
      <c r="G168" s="928">
        <f t="shared" si="6"/>
        <v>223612.07407999999</v>
      </c>
    </row>
    <row r="169" spans="1:7" hidden="1" outlineLevel="1">
      <c r="A169" s="853" t="str">
        <f>+'Anlage 3a_Zusammenfassung_KWKG'!A1905</f>
        <v>SNB971345683381</v>
      </c>
      <c r="B169" s="1698">
        <f>+VLOOKUP(A169,'Anlage 2a_Letztverbrauch'!$A$1853:$I$2765,9,FALSE)</f>
        <v>288080.79504</v>
      </c>
      <c r="C169" s="711">
        <f>+IF(ISNA(VLOOKUP(A169,'Anlage 2a_Letztverbrauch'!$A$2774:$D$2786,4,0)),0,VLOOKUP(A169,'Anlage 2a_Letztverbrauch'!$A$2774:$D$2786,4,0))</f>
        <v>0</v>
      </c>
      <c r="D169" s="711">
        <v>0</v>
      </c>
      <c r="E169" s="667">
        <f t="shared" si="5"/>
        <v>288080.79504</v>
      </c>
      <c r="F169" s="668">
        <f>+SUMIF('Anlage 2b_Korrekturen'!$B$8:$B$226,A169,'Anlage 2b_Korrekturen'!$F$8:$F$226)</f>
        <v>0</v>
      </c>
      <c r="G169" s="928">
        <f t="shared" si="6"/>
        <v>288080.79504</v>
      </c>
    </row>
    <row r="170" spans="1:7" hidden="1" outlineLevel="1">
      <c r="A170" s="853" t="str">
        <f>+'Anlage 3a_Zusammenfassung_KWKG'!A1906</f>
        <v>SNB934355412402</v>
      </c>
      <c r="B170" s="1698">
        <f>+VLOOKUP(A170,'Anlage 2a_Letztverbrauch'!$A$1853:$I$2765,9,FALSE)</f>
        <v>200209.61471999998</v>
      </c>
      <c r="C170" s="711">
        <f>+IF(ISNA(VLOOKUP(A170,'Anlage 2a_Letztverbrauch'!$A$2774:$D$2786,4,0)),0,VLOOKUP(A170,'Anlage 2a_Letztverbrauch'!$A$2774:$D$2786,4,0))</f>
        <v>0</v>
      </c>
      <c r="D170" s="711">
        <v>0</v>
      </c>
      <c r="E170" s="667">
        <f t="shared" si="5"/>
        <v>200209.61471999998</v>
      </c>
      <c r="F170" s="668">
        <f>+SUMIF('Anlage 2b_Korrekturen'!$B$8:$B$226,A170,'Anlage 2b_Korrekturen'!$F$8:$F$226)</f>
        <v>-5344.85</v>
      </c>
      <c r="G170" s="928">
        <f t="shared" si="6"/>
        <v>194864.76471999998</v>
      </c>
    </row>
    <row r="171" spans="1:7" hidden="1" outlineLevel="1">
      <c r="A171" s="853" t="str">
        <f>+'Anlage 3a_Zusammenfassung_KWKG'!A1907</f>
        <v>SNB963995572245</v>
      </c>
      <c r="B171" s="1698">
        <f>+VLOOKUP(A171,'Anlage 2a_Letztverbrauch'!$A$1853:$I$2765,9,FALSE)</f>
        <v>468737.03423999995</v>
      </c>
      <c r="C171" s="711">
        <f>+IF(ISNA(VLOOKUP(A171,'Anlage 2a_Letztverbrauch'!$A$2774:$D$2786,4,0)),0,VLOOKUP(A171,'Anlage 2a_Letztverbrauch'!$A$2774:$D$2786,4,0))</f>
        <v>0</v>
      </c>
      <c r="D171" s="711">
        <v>0</v>
      </c>
      <c r="E171" s="667">
        <f t="shared" si="5"/>
        <v>468737.03423999995</v>
      </c>
      <c r="F171" s="668">
        <f>+SUMIF('Anlage 2b_Korrekturen'!$B$8:$B$226,A171,'Anlage 2b_Korrekturen'!$F$8:$F$226)</f>
        <v>-1933.09</v>
      </c>
      <c r="G171" s="928">
        <f t="shared" si="6"/>
        <v>466803.94423999992</v>
      </c>
    </row>
    <row r="172" spans="1:7" hidden="1" outlineLevel="1">
      <c r="A172" s="853" t="str">
        <f>+'Anlage 3a_Zusammenfassung_KWKG'!A1908</f>
        <v>SNB918539636471</v>
      </c>
      <c r="B172" s="1698">
        <f>+VLOOKUP(A172,'Anlage 2a_Letztverbrauch'!$A$1853:$I$2765,9,FALSE)</f>
        <v>519665.81375999993</v>
      </c>
      <c r="C172" s="711">
        <f>+IF(ISNA(VLOOKUP(A172,'Anlage 2a_Letztverbrauch'!$A$2774:$D$2786,4,0)),0,VLOOKUP(A172,'Anlage 2a_Letztverbrauch'!$A$2774:$D$2786,4,0))</f>
        <v>0</v>
      </c>
      <c r="D172" s="711">
        <v>0</v>
      </c>
      <c r="E172" s="667">
        <f t="shared" si="5"/>
        <v>519665.81375999993</v>
      </c>
      <c r="F172" s="668">
        <f>+SUMIF('Anlage 2b_Korrekturen'!$B$8:$B$226,A172,'Anlage 2b_Korrekturen'!$F$8:$F$226)</f>
        <v>0</v>
      </c>
      <c r="G172" s="928">
        <f t="shared" si="6"/>
        <v>519665.81375999993</v>
      </c>
    </row>
    <row r="173" spans="1:7" hidden="1" outlineLevel="1">
      <c r="A173" s="853" t="str">
        <f>+'Anlage 3a_Zusammenfassung_KWKG'!A1909</f>
        <v>SNB974684403535</v>
      </c>
      <c r="B173" s="1698">
        <f>+VLOOKUP(A173,'Anlage 2a_Letztverbrauch'!$A$1853:$I$2765,9,FALSE)</f>
        <v>363101.87663999997</v>
      </c>
      <c r="C173" s="711">
        <f>+IF(ISNA(VLOOKUP(A173,'Anlage 2a_Letztverbrauch'!$A$2774:$D$2786,4,0)),0,VLOOKUP(A173,'Anlage 2a_Letztverbrauch'!$A$2774:$D$2786,4,0))</f>
        <v>0</v>
      </c>
      <c r="D173" s="711">
        <v>0</v>
      </c>
      <c r="E173" s="667">
        <f t="shared" si="5"/>
        <v>363101.87663999997</v>
      </c>
      <c r="F173" s="668">
        <f>+SUMIF('Anlage 2b_Korrekturen'!$B$8:$B$226,A173,'Anlage 2b_Korrekturen'!$F$8:$F$226)</f>
        <v>0</v>
      </c>
      <c r="G173" s="928">
        <f t="shared" si="6"/>
        <v>363101.87663999997</v>
      </c>
    </row>
    <row r="174" spans="1:7" hidden="1" outlineLevel="1">
      <c r="A174" s="853" t="str">
        <f>+'Anlage 3a_Zusammenfassung_KWKG'!A1910</f>
        <v>SNB959966681252</v>
      </c>
      <c r="B174" s="1698">
        <f>+VLOOKUP(A174,'Anlage 2a_Letztverbrauch'!$A$1853:$I$2765,9,FALSE)</f>
        <v>513360.21455999999</v>
      </c>
      <c r="C174" s="711">
        <f>+IF(ISNA(VLOOKUP(A174,'Anlage 2a_Letztverbrauch'!$A$2774:$D$2786,4,0)),0,VLOOKUP(A174,'Anlage 2a_Letztverbrauch'!$A$2774:$D$2786,4,0))</f>
        <v>0</v>
      </c>
      <c r="D174" s="711">
        <v>0</v>
      </c>
      <c r="E174" s="667">
        <f t="shared" si="5"/>
        <v>513360.21455999999</v>
      </c>
      <c r="F174" s="668">
        <f>+SUMIF('Anlage 2b_Korrekturen'!$B$8:$B$226,A174,'Anlage 2b_Korrekturen'!$F$8:$F$226)</f>
        <v>-7732.51</v>
      </c>
      <c r="G174" s="928">
        <f t="shared" si="6"/>
        <v>505627.70455999998</v>
      </c>
    </row>
    <row r="175" spans="1:7" hidden="1" outlineLevel="1">
      <c r="A175" s="853" t="str">
        <f>+'Anlage 3a_Zusammenfassung_KWKG'!A1911</f>
        <v>SNB925823629552</v>
      </c>
      <c r="B175" s="1698">
        <f>+VLOOKUP(A175,'Anlage 2a_Letztverbrauch'!$A$1853:$I$2765,9,FALSE)</f>
        <v>1994702.4764639998</v>
      </c>
      <c r="C175" s="711">
        <f>+IF(ISNA(VLOOKUP(A175,'Anlage 2a_Letztverbrauch'!$A$2774:$D$2786,4,0)),0,VLOOKUP(A175,'Anlage 2a_Letztverbrauch'!$A$2774:$D$2786,4,0))</f>
        <v>0</v>
      </c>
      <c r="D175" s="711">
        <v>0</v>
      </c>
      <c r="E175" s="667">
        <f t="shared" si="5"/>
        <v>1994702.4764639998</v>
      </c>
      <c r="F175" s="668">
        <f>+SUMIF('Anlage 2b_Korrekturen'!$B$8:$B$226,A175,'Anlage 2b_Korrekturen'!$F$8:$F$226)</f>
        <v>0</v>
      </c>
      <c r="G175" s="928">
        <f t="shared" si="6"/>
        <v>1994702.4764639998</v>
      </c>
    </row>
    <row r="176" spans="1:7" s="92" customFormat="1" hidden="1" outlineLevel="1">
      <c r="A176" s="853" t="str">
        <f>+'Anlage 3a_Zusammenfassung_KWKG'!A1912</f>
        <v>SNB970821959712</v>
      </c>
      <c r="B176" s="1698">
        <f>+VLOOKUP(A176,'Anlage 2a_Letztverbrauch'!$A$1853:$I$2765,9,FALSE)</f>
        <v>22832699.322719999</v>
      </c>
      <c r="C176" s="711">
        <f>+IF(ISNA(VLOOKUP(A176,'Anlage 2a_Letztverbrauch'!$A$2774:$D$2786,4,0)),0,VLOOKUP(A176,'Anlage 2a_Letztverbrauch'!$A$2774:$D$2786,4,0))</f>
        <v>-477003.83231999993</v>
      </c>
      <c r="D176" s="711">
        <v>0</v>
      </c>
      <c r="E176" s="667">
        <f>B176+C176+D176</f>
        <v>22355695.490399998</v>
      </c>
      <c r="F176" s="135">
        <f>+SUMIF('Anlage 2b_Korrekturen'!$B$8:$B$226,A176,'Anlage 2b_Korrekturen'!$F$8:$F$226)</f>
        <v>1348622.9399999997</v>
      </c>
      <c r="G176" s="928">
        <f t="shared" ref="G176:G181" si="7">E176+F176</f>
        <v>23704318.430399999</v>
      </c>
    </row>
    <row r="177" spans="1:10" hidden="1" outlineLevel="1">
      <c r="A177" s="853" t="str">
        <f>+'Anlage 3a_Zusammenfassung_KWKG'!A1913</f>
        <v>SNB985414225433</v>
      </c>
      <c r="B177" s="1698">
        <f>+VLOOKUP(A177,'Anlage 2a_Letztverbrauch'!$A$1853:$I$2765,9,FALSE)</f>
        <v>64408.022399999994</v>
      </c>
      <c r="C177" s="711">
        <f>+IF(ISNA(VLOOKUP(A177,'Anlage 2a_Letztverbrauch'!$A$2774:$D$2786,4,0)),0,VLOOKUP(A177,'Anlage 2a_Letztverbrauch'!$A$2774:$D$2786,4,0))</f>
        <v>0</v>
      </c>
      <c r="D177" s="711">
        <v>0</v>
      </c>
      <c r="E177" s="667">
        <f>B177+C177+D177</f>
        <v>64408.022399999994</v>
      </c>
      <c r="F177" s="668">
        <f>+SUMIF('Anlage 2b_Korrekturen'!$B$8:$B$226,A177,'Anlage 2b_Korrekturen'!$F$8:$F$226)</f>
        <v>0</v>
      </c>
      <c r="G177" s="928">
        <f t="shared" si="7"/>
        <v>64408.022399999994</v>
      </c>
    </row>
    <row r="178" spans="1:10" hidden="1" outlineLevel="1">
      <c r="A178" s="853" t="str">
        <f>+'Anlage 3a_Zusammenfassung_KWKG'!A1914</f>
        <v>SNB928759560869</v>
      </c>
      <c r="B178" s="1698">
        <f>+VLOOKUP(A178,'Anlage 2a_Letztverbrauch'!$A$1853:$I$2765,9,FALSE)</f>
        <v>6557957.61216</v>
      </c>
      <c r="C178" s="711">
        <f>+IF(ISNA(VLOOKUP(A178,'Anlage 2a_Letztverbrauch'!$A$2774:$D$2786,4,0)),0,VLOOKUP(A178,'Anlage 2a_Letztverbrauch'!$A$2774:$D$2786,4,0))</f>
        <v>0</v>
      </c>
      <c r="D178" s="711">
        <v>0</v>
      </c>
      <c r="E178" s="667">
        <f>B178+C178+D178</f>
        <v>6557957.61216</v>
      </c>
      <c r="F178" s="668">
        <f>+SUMIF('Anlage 2b_Korrekturen'!$B$8:$B$226,A178,'Anlage 2b_Korrekturen'!$F$8:$F$226)</f>
        <v>-24785.26</v>
      </c>
      <c r="G178" s="928">
        <f t="shared" si="7"/>
        <v>6533172.3521600002</v>
      </c>
    </row>
    <row r="179" spans="1:10" hidden="1" outlineLevel="1">
      <c r="A179" s="853" t="str">
        <f>+'Anlage 3a_Zusammenfassung_KWKG'!A1915</f>
        <v>SNB988556835096</v>
      </c>
      <c r="B179" s="1698">
        <f>+VLOOKUP(A179,'Anlage 2a_Letztverbrauch'!$A$1853:$I$2765,9,FALSE)</f>
        <v>290386.15007999999</v>
      </c>
      <c r="C179" s="711">
        <f>+IF(ISNA(VLOOKUP(A179,'Anlage 2a_Letztverbrauch'!$A$2774:$D$2786,4,0)),0,VLOOKUP(A179,'Anlage 2a_Letztverbrauch'!$A$2774:$D$2786,4,0))</f>
        <v>0</v>
      </c>
      <c r="D179" s="711">
        <v>0</v>
      </c>
      <c r="E179" s="667">
        <f>B179+C179+D179</f>
        <v>290386.15007999999</v>
      </c>
      <c r="F179" s="668">
        <f>+SUMIF('Anlage 2b_Korrekturen'!$B$8:$B$226,A179,'Anlage 2b_Korrekturen'!$F$8:$F$226)</f>
        <v>0</v>
      </c>
      <c r="G179" s="928">
        <f t="shared" si="7"/>
        <v>290386.15007999999</v>
      </c>
    </row>
    <row r="180" spans="1:10" collapsed="1">
      <c r="A180" s="853" t="s">
        <v>774</v>
      </c>
      <c r="B180" s="1698">
        <f>SUM(B181:B414)</f>
        <v>852910362.85000038</v>
      </c>
      <c r="C180" s="667">
        <f>SUM(C181:C414)</f>
        <v>-23475648.259999998</v>
      </c>
      <c r="D180" s="711">
        <f>SUM(D182:D414)</f>
        <v>33</v>
      </c>
      <c r="E180" s="667">
        <f>B180+C180+D180</f>
        <v>829434747.59000039</v>
      </c>
      <c r="F180" s="668">
        <f>SUM(F181:F414)</f>
        <v>59791.829999999747</v>
      </c>
      <c r="G180" s="928">
        <f t="shared" si="7"/>
        <v>829494539.42000043</v>
      </c>
    </row>
    <row r="181" spans="1:10" hidden="1" outlineLevel="1">
      <c r="A181" s="853" t="s">
        <v>775</v>
      </c>
      <c r="B181" s="1698">
        <f>+VLOOKUP(A181,'Anlage 2a_Letztverbrauch'!$A$2025:$I$2257,9,FALSE)</f>
        <v>743376.18</v>
      </c>
      <c r="C181" s="711">
        <f>+IF(ISNA(VLOOKUP(A181,'Anlage 2a_Letztverbrauch'!$A$2788:$D$2795,4,0)),0,VLOOKUP(A181,'Anlage 2a_Letztverbrauch'!$A$2788:$D$2795,4,0))</f>
        <v>0</v>
      </c>
      <c r="D181" s="711">
        <v>0</v>
      </c>
      <c r="E181" s="667">
        <f t="shared" ref="E181:E244" si="8">B181+C181+D181</f>
        <v>743376.18</v>
      </c>
      <c r="F181" s="668">
        <f>+SUMIF('Anlage 2b_Korrekturen'!$B$234:$B$693,'Anlage 3b_Zusammenfassung ONU'!A181,'Anlage 2b_Korrekturen'!$F$234:$F$693)</f>
        <v>-21029.27</v>
      </c>
      <c r="G181" s="928">
        <f t="shared" si="7"/>
        <v>722346.91</v>
      </c>
      <c r="J181" t="s">
        <v>776</v>
      </c>
    </row>
    <row r="182" spans="1:10" hidden="1" outlineLevel="1">
      <c r="A182" s="853" t="s">
        <v>456</v>
      </c>
      <c r="B182" s="1698">
        <f>+VLOOKUP(A182,'Anlage 2a_Letztverbrauch'!$A$2025:$I$2257,9,FALSE)</f>
        <v>847018.68</v>
      </c>
      <c r="C182" s="711">
        <f>+IF(ISNA(VLOOKUP(A182,'Anlage 2a_Letztverbrauch'!$A$2788:$D$2795,4,0)),0,VLOOKUP(A182,'Anlage 2a_Letztverbrauch'!$A$2788:$D$2795,4,0))</f>
        <v>0</v>
      </c>
      <c r="D182" s="711">
        <v>0</v>
      </c>
      <c r="E182" s="667">
        <f t="shared" si="8"/>
        <v>847018.68</v>
      </c>
      <c r="F182" s="668">
        <f>+SUMIF('Anlage 2b_Korrekturen'!$B$234:$B$693,'Anlage 3b_Zusammenfassung ONU'!A182,'Anlage 2b_Korrekturen'!$F$234:$F$693)</f>
        <v>29890.519999999997</v>
      </c>
      <c r="G182" s="928">
        <f t="shared" si="6"/>
        <v>876909.20000000007</v>
      </c>
      <c r="J182" t="s">
        <v>457</v>
      </c>
    </row>
    <row r="183" spans="1:10" hidden="1" outlineLevel="1">
      <c r="A183" s="853" t="s">
        <v>777</v>
      </c>
      <c r="B183" s="1698">
        <f>+VLOOKUP(A183,'Anlage 2a_Letztverbrauch'!$A$2025:$I$2257,9,FALSE)</f>
        <v>981420.08</v>
      </c>
      <c r="C183" s="711">
        <f>+IF(ISNA(VLOOKUP(A183,'Anlage 2a_Letztverbrauch'!$A$2788:$D$2795,4,0)),0,VLOOKUP(A183,'Anlage 2a_Letztverbrauch'!$A$2788:$D$2795,4,0))</f>
        <v>0</v>
      </c>
      <c r="D183" s="711">
        <v>0</v>
      </c>
      <c r="E183" s="667">
        <f t="shared" si="8"/>
        <v>981420.08</v>
      </c>
      <c r="F183" s="668">
        <f>+SUMIF('Anlage 2b_Korrekturen'!$B$234:$B$693,'Anlage 3b_Zusammenfassung ONU'!A183,'Anlage 2b_Korrekturen'!$F$234:$F$693)</f>
        <v>921.73</v>
      </c>
      <c r="G183" s="928">
        <f t="shared" si="6"/>
        <v>982341.80999999994</v>
      </c>
      <c r="J183" t="s">
        <v>778</v>
      </c>
    </row>
    <row r="184" spans="1:10" hidden="1" outlineLevel="1">
      <c r="A184" s="853" t="s">
        <v>779</v>
      </c>
      <c r="B184" s="1698">
        <f>+VLOOKUP(A184,'Anlage 2a_Letztverbrauch'!$A$2025:$I$2257,9,FALSE)</f>
        <v>2431369.63</v>
      </c>
      <c r="C184" s="711">
        <f>+IF(ISNA(VLOOKUP(A184,'Anlage 2a_Letztverbrauch'!$A$2788:$D$2795,4,0)),0,VLOOKUP(A184,'Anlage 2a_Letztverbrauch'!$A$2788:$D$2795,4,0))</f>
        <v>0</v>
      </c>
      <c r="D184" s="711">
        <v>0</v>
      </c>
      <c r="E184" s="667">
        <f t="shared" si="8"/>
        <v>2431369.63</v>
      </c>
      <c r="F184" s="668">
        <f>+SUMIF('Anlage 2b_Korrekturen'!$B$234:$B$693,'Anlage 3b_Zusammenfassung ONU'!A184,'Anlage 2b_Korrekturen'!$F$234:$F$693)</f>
        <v>0</v>
      </c>
      <c r="G184" s="928">
        <f t="shared" si="6"/>
        <v>2431369.63</v>
      </c>
      <c r="J184" t="s">
        <v>780</v>
      </c>
    </row>
    <row r="185" spans="1:10" hidden="1" outlineLevel="1">
      <c r="A185" s="853" t="s">
        <v>781</v>
      </c>
      <c r="B185" s="1698">
        <f>+VLOOKUP(A185,'Anlage 2a_Letztverbrauch'!$A$2025:$I$2257,9,FALSE)</f>
        <v>7538420.75</v>
      </c>
      <c r="C185" s="711">
        <f>+IF(ISNA(VLOOKUP(A185,'Anlage 2a_Letztverbrauch'!$A$2788:$D$2795,4,0)),0,VLOOKUP(A185,'Anlage 2a_Letztverbrauch'!$A$2788:$D$2795,4,0))</f>
        <v>0</v>
      </c>
      <c r="D185" s="711">
        <v>0</v>
      </c>
      <c r="E185" s="667">
        <f t="shared" si="8"/>
        <v>7538420.75</v>
      </c>
      <c r="F185" s="668">
        <f>+SUMIF('Anlage 2b_Korrekturen'!$B$234:$B$693,'Anlage 3b_Zusammenfassung ONU'!A185,'Anlage 2b_Korrekturen'!$F$234:$F$693)</f>
        <v>-11597.39</v>
      </c>
      <c r="G185" s="928">
        <f t="shared" si="6"/>
        <v>7526823.3600000003</v>
      </c>
      <c r="J185" t="s">
        <v>782</v>
      </c>
    </row>
    <row r="186" spans="1:10" hidden="1" outlineLevel="1">
      <c r="A186" s="853" t="s">
        <v>783</v>
      </c>
      <c r="B186" s="1698">
        <f>+VLOOKUP(A186,'Anlage 2a_Letztverbrauch'!$A$2025:$I$2257,9,FALSE)</f>
        <v>1369062.93</v>
      </c>
      <c r="C186" s="711">
        <f>+IF(ISNA(VLOOKUP(A186,'Anlage 2a_Letztverbrauch'!$A$2788:$D$2795,4,0)),0,VLOOKUP(A186,'Anlage 2a_Letztverbrauch'!$A$2788:$D$2795,4,0))</f>
        <v>0</v>
      </c>
      <c r="D186" s="711">
        <v>0</v>
      </c>
      <c r="E186" s="667">
        <f t="shared" si="8"/>
        <v>1369062.93</v>
      </c>
      <c r="F186" s="668">
        <f>+SUMIF('Anlage 2b_Korrekturen'!$B$234:$B$693,'Anlage 3b_Zusammenfassung ONU'!A186,'Anlage 2b_Korrekturen'!$F$234:$F$693)</f>
        <v>9382.98</v>
      </c>
      <c r="G186" s="928">
        <f t="shared" si="6"/>
        <v>1378445.91</v>
      </c>
      <c r="J186" t="s">
        <v>784</v>
      </c>
    </row>
    <row r="187" spans="1:10" hidden="1" outlineLevel="1">
      <c r="A187" s="853" t="s">
        <v>785</v>
      </c>
      <c r="B187" s="1698">
        <f>+VLOOKUP(A187,'Anlage 2a_Letztverbrauch'!$A$2025:$I$2257,9,FALSE)</f>
        <v>1011285.98</v>
      </c>
      <c r="C187" s="711">
        <f>+IF(ISNA(VLOOKUP(A187,'Anlage 2a_Letztverbrauch'!$A$2788:$D$2795,4,0)),0,VLOOKUP(A187,'Anlage 2a_Letztverbrauch'!$A$2788:$D$2795,4,0))</f>
        <v>0</v>
      </c>
      <c r="D187" s="711">
        <v>0</v>
      </c>
      <c r="E187" s="667">
        <f t="shared" si="8"/>
        <v>1011285.98</v>
      </c>
      <c r="F187" s="668">
        <f>+SUMIF('Anlage 2b_Korrekturen'!$B$234:$B$693,'Anlage 3b_Zusammenfassung ONU'!A187,'Anlage 2b_Korrekturen'!$F$234:$F$693)</f>
        <v>0</v>
      </c>
      <c r="G187" s="928">
        <f t="shared" si="6"/>
        <v>1011285.98</v>
      </c>
      <c r="J187" t="s">
        <v>786</v>
      </c>
    </row>
    <row r="188" spans="1:10" hidden="1" outlineLevel="1">
      <c r="A188" s="853" t="s">
        <v>787</v>
      </c>
      <c r="B188" s="1698">
        <f>+VLOOKUP(A188,'Anlage 2a_Letztverbrauch'!$A$2025:$I$2257,9,FALSE)</f>
        <v>19461987.130000003</v>
      </c>
      <c r="C188" s="711">
        <f>+IF(ISNA(VLOOKUP(A188,'Anlage 2a_Letztverbrauch'!$A$2788:$D$2795,4,0)),0,VLOOKUP(A188,'Anlage 2a_Letztverbrauch'!$A$2788:$D$2795,4,0))</f>
        <v>0</v>
      </c>
      <c r="D188" s="711">
        <v>0</v>
      </c>
      <c r="E188" s="667">
        <f t="shared" si="8"/>
        <v>19461987.130000003</v>
      </c>
      <c r="F188" s="668">
        <f>+SUMIF('Anlage 2b_Korrekturen'!$B$234:$B$693,'Anlage 3b_Zusammenfassung ONU'!A188,'Anlage 2b_Korrekturen'!$F$234:$F$693)</f>
        <v>-30914.489999999998</v>
      </c>
      <c r="G188" s="928">
        <f t="shared" si="6"/>
        <v>19431072.640000004</v>
      </c>
      <c r="J188" t="s">
        <v>788</v>
      </c>
    </row>
    <row r="189" spans="1:10" hidden="1" outlineLevel="1">
      <c r="A189" s="853" t="s">
        <v>789</v>
      </c>
      <c r="B189" s="1698">
        <f>+VLOOKUP(A189,'Anlage 2a_Letztverbrauch'!$A$2025:$I$2257,9,FALSE)</f>
        <v>29108051.850000001</v>
      </c>
      <c r="C189" s="711">
        <f>+IF(ISNA(VLOOKUP(A189,'Anlage 2a_Letztverbrauch'!$A$2788:$D$2795,4,0)),0,VLOOKUP(A189,'Anlage 2a_Letztverbrauch'!$A$2788:$D$2795,4,0))</f>
        <v>-202232.75</v>
      </c>
      <c r="D189" s="711">
        <v>0</v>
      </c>
      <c r="E189" s="667">
        <f t="shared" si="8"/>
        <v>28905819.100000001</v>
      </c>
      <c r="F189" s="668">
        <f>+SUMIF('Anlage 2b_Korrekturen'!$B$234:$B$693,'Anlage 3b_Zusammenfassung ONU'!A189,'Anlage 2b_Korrekturen'!$F$234:$F$693)</f>
        <v>269955.67000000004</v>
      </c>
      <c r="G189" s="928">
        <f t="shared" si="6"/>
        <v>29175774.770000003</v>
      </c>
      <c r="J189" t="s">
        <v>790</v>
      </c>
    </row>
    <row r="190" spans="1:10" hidden="1" outlineLevel="1">
      <c r="A190" s="853" t="s">
        <v>791</v>
      </c>
      <c r="B190" s="1698">
        <f>+VLOOKUP(A190,'Anlage 2a_Letztverbrauch'!$A$2025:$I$2257,9,FALSE)</f>
        <v>998386.99</v>
      </c>
      <c r="C190" s="711">
        <f>+IF(ISNA(VLOOKUP(A190,'Anlage 2a_Letztverbrauch'!$A$2788:$D$2795,4,0)),0,VLOOKUP(A190,'Anlage 2a_Letztverbrauch'!$A$2788:$D$2795,4,0))</f>
        <v>0</v>
      </c>
      <c r="D190" s="711">
        <v>0</v>
      </c>
      <c r="E190" s="667">
        <f t="shared" si="8"/>
        <v>998386.99</v>
      </c>
      <c r="F190" s="668">
        <f>+SUMIF('Anlage 2b_Korrekturen'!$B$234:$B$693,'Anlage 3b_Zusammenfassung ONU'!A190,'Anlage 2b_Korrekturen'!$F$234:$F$693)</f>
        <v>18243.39</v>
      </c>
      <c r="G190" s="928">
        <f t="shared" si="6"/>
        <v>1016630.38</v>
      </c>
      <c r="J190" t="s">
        <v>792</v>
      </c>
    </row>
    <row r="191" spans="1:10" hidden="1" outlineLevel="1">
      <c r="A191" s="853" t="s">
        <v>793</v>
      </c>
      <c r="B191" s="1698">
        <f>+VLOOKUP(A191,'Anlage 2a_Letztverbrauch'!$A$2025:$I$2257,9,FALSE)</f>
        <v>1211560.76</v>
      </c>
      <c r="C191" s="711">
        <f>+IF(ISNA(VLOOKUP(A191,'Anlage 2a_Letztverbrauch'!$A$2788:$D$2795,4,0)),0,VLOOKUP(A191,'Anlage 2a_Letztverbrauch'!$A$2788:$D$2795,4,0))</f>
        <v>0</v>
      </c>
      <c r="D191" s="711">
        <v>0</v>
      </c>
      <c r="E191" s="667">
        <f t="shared" si="8"/>
        <v>1211560.76</v>
      </c>
      <c r="F191" s="668">
        <f>+SUMIF('Anlage 2b_Korrekturen'!$B$234:$B$693,'Anlage 3b_Zusammenfassung ONU'!A191,'Anlage 2b_Korrekturen'!$F$234:$F$693)</f>
        <v>-2965.6099999999997</v>
      </c>
      <c r="G191" s="928">
        <f t="shared" si="6"/>
        <v>1208595.1499999999</v>
      </c>
      <c r="J191" t="s">
        <v>794</v>
      </c>
    </row>
    <row r="192" spans="1:10" hidden="1" outlineLevel="1">
      <c r="A192" s="853" t="s">
        <v>795</v>
      </c>
      <c r="B192" s="1698">
        <f>+VLOOKUP(A192,'Anlage 2a_Letztverbrauch'!$A$2025:$I$2257,9,FALSE)</f>
        <v>4683270.6399999997</v>
      </c>
      <c r="C192" s="711">
        <f>+IF(ISNA(VLOOKUP(A192,'Anlage 2a_Letztverbrauch'!$A$2788:$D$2795,4,0)),0,VLOOKUP(A192,'Anlage 2a_Letztverbrauch'!$A$2788:$D$2795,4,0))</f>
        <v>0</v>
      </c>
      <c r="D192" s="711">
        <v>0</v>
      </c>
      <c r="E192" s="667">
        <f t="shared" si="8"/>
        <v>4683270.6399999997</v>
      </c>
      <c r="F192" s="668">
        <f>+SUMIF('Anlage 2b_Korrekturen'!$B$234:$B$693,'Anlage 3b_Zusammenfassung ONU'!A192,'Anlage 2b_Korrekturen'!$F$234:$F$693)</f>
        <v>6519.7899999999991</v>
      </c>
      <c r="G192" s="928">
        <f t="shared" si="6"/>
        <v>4689790.43</v>
      </c>
      <c r="J192" t="s">
        <v>796</v>
      </c>
    </row>
    <row r="193" spans="1:10" hidden="1" outlineLevel="1">
      <c r="A193" s="853" t="s">
        <v>797</v>
      </c>
      <c r="B193" s="1698">
        <f>+VLOOKUP(A193,'Anlage 2a_Letztverbrauch'!$A$2025:$I$2257,9,FALSE)</f>
        <v>2876781.97</v>
      </c>
      <c r="C193" s="711">
        <f>+IF(ISNA(VLOOKUP(A193,'Anlage 2a_Letztverbrauch'!$A$2788:$D$2795,4,0)),0,VLOOKUP(A193,'Anlage 2a_Letztverbrauch'!$A$2788:$D$2795,4,0))</f>
        <v>0</v>
      </c>
      <c r="D193" s="711">
        <v>0</v>
      </c>
      <c r="E193" s="667">
        <f t="shared" si="8"/>
        <v>2876781.97</v>
      </c>
      <c r="F193" s="668">
        <f>+SUMIF('Anlage 2b_Korrekturen'!$B$234:$B$693,'Anlage 3b_Zusammenfassung ONU'!A193,'Anlage 2b_Korrekturen'!$F$234:$F$693)</f>
        <v>-11927.52</v>
      </c>
      <c r="G193" s="928">
        <f t="shared" si="6"/>
        <v>2864854.45</v>
      </c>
      <c r="J193" t="s">
        <v>798</v>
      </c>
    </row>
    <row r="194" spans="1:10" hidden="1" outlineLevel="1">
      <c r="A194" s="853" t="s">
        <v>799</v>
      </c>
      <c r="B194" s="1698">
        <f>+VLOOKUP(A194,'Anlage 2a_Letztverbrauch'!$A$2025:$I$2257,9,FALSE)</f>
        <v>414558.92</v>
      </c>
      <c r="C194" s="711">
        <f>+IF(ISNA(VLOOKUP(A194,'Anlage 2a_Letztverbrauch'!$A$2788:$D$2795,4,0)),0,VLOOKUP(A194,'Anlage 2a_Letztverbrauch'!$A$2788:$D$2795,4,0))</f>
        <v>0</v>
      </c>
      <c r="D194" s="711">
        <v>0</v>
      </c>
      <c r="E194" s="667">
        <f t="shared" si="8"/>
        <v>414558.92</v>
      </c>
      <c r="F194" s="668">
        <f>+SUMIF('Anlage 2b_Korrekturen'!$B$234:$B$693,'Anlage 3b_Zusammenfassung ONU'!A194,'Anlage 2b_Korrekturen'!$F$234:$F$693)</f>
        <v>-9281.07</v>
      </c>
      <c r="G194" s="928">
        <f t="shared" si="6"/>
        <v>405277.85</v>
      </c>
      <c r="J194" t="s">
        <v>800</v>
      </c>
    </row>
    <row r="195" spans="1:10" hidden="1" outlineLevel="1">
      <c r="A195" s="853" t="s">
        <v>801</v>
      </c>
      <c r="B195" s="1698">
        <f>+VLOOKUP(A195,'Anlage 2a_Letztverbrauch'!$A$2025:$I$2257,9,FALSE)</f>
        <v>267054.99</v>
      </c>
      <c r="C195" s="711">
        <f>+IF(ISNA(VLOOKUP(A195,'Anlage 2a_Letztverbrauch'!$A$2788:$D$2795,4,0)),0,VLOOKUP(A195,'Anlage 2a_Letztverbrauch'!$A$2788:$D$2795,4,0))</f>
        <v>0</v>
      </c>
      <c r="D195" s="711">
        <v>0</v>
      </c>
      <c r="E195" s="667">
        <f t="shared" si="8"/>
        <v>267054.99</v>
      </c>
      <c r="F195" s="668">
        <f>+SUMIF('Anlage 2b_Korrekturen'!$B$234:$B$693,'Anlage 3b_Zusammenfassung ONU'!A195,'Anlage 2b_Korrekturen'!$F$234:$F$693)</f>
        <v>7412.04</v>
      </c>
      <c r="G195" s="928">
        <f t="shared" si="6"/>
        <v>274467.02999999997</v>
      </c>
      <c r="J195" t="s">
        <v>802</v>
      </c>
    </row>
    <row r="196" spans="1:10" hidden="1" outlineLevel="1">
      <c r="A196" s="853" t="s">
        <v>803</v>
      </c>
      <c r="B196" s="1698">
        <f>+VLOOKUP(A196,'Anlage 2a_Letztverbrauch'!$A$2025:$I$2257,9,FALSE)</f>
        <v>9983478.8399999999</v>
      </c>
      <c r="C196" s="711">
        <f>+IF(ISNA(VLOOKUP(A196,'Anlage 2a_Letztverbrauch'!$A$2788:$D$2795,4,0)),0,VLOOKUP(A196,'Anlage 2a_Letztverbrauch'!$A$2788:$D$2795,4,0))</f>
        <v>0</v>
      </c>
      <c r="D196" s="711">
        <v>0</v>
      </c>
      <c r="E196" s="667">
        <f t="shared" si="8"/>
        <v>9983478.8399999999</v>
      </c>
      <c r="F196" s="668">
        <f>+SUMIF('Anlage 2b_Korrekturen'!$B$234:$B$693,'Anlage 3b_Zusammenfassung ONU'!A196,'Anlage 2b_Korrekturen'!$F$234:$F$693)</f>
        <v>0</v>
      </c>
      <c r="G196" s="928">
        <f t="shared" si="6"/>
        <v>9983478.8399999999</v>
      </c>
      <c r="J196" t="s">
        <v>804</v>
      </c>
    </row>
    <row r="197" spans="1:10" hidden="1" outlineLevel="1">
      <c r="A197" s="853" t="s">
        <v>805</v>
      </c>
      <c r="B197" s="1698">
        <f>+VLOOKUP(A197,'Anlage 2a_Letztverbrauch'!$A$2025:$I$2257,9,FALSE)</f>
        <v>1000750.23</v>
      </c>
      <c r="C197" s="711">
        <f>+IF(ISNA(VLOOKUP(A197,'Anlage 2a_Letztverbrauch'!$A$2788:$D$2795,4,0)),0,VLOOKUP(A197,'Anlage 2a_Letztverbrauch'!$A$2788:$D$2795,4,0))</f>
        <v>0</v>
      </c>
      <c r="D197" s="711">
        <v>0</v>
      </c>
      <c r="E197" s="667">
        <f t="shared" si="8"/>
        <v>1000750.23</v>
      </c>
      <c r="F197" s="668">
        <f>+SUMIF('Anlage 2b_Korrekturen'!$B$234:$B$693,'Anlage 3b_Zusammenfassung ONU'!A197,'Anlage 2b_Korrekturen'!$F$234:$F$693)</f>
        <v>-4122.8399999999992</v>
      </c>
      <c r="G197" s="928">
        <f t="shared" si="6"/>
        <v>996627.39</v>
      </c>
      <c r="J197" t="s">
        <v>806</v>
      </c>
    </row>
    <row r="198" spans="1:10" hidden="1" outlineLevel="1">
      <c r="A198" s="853" t="s">
        <v>807</v>
      </c>
      <c r="B198" s="1698">
        <f>+VLOOKUP(A198,'Anlage 2a_Letztverbrauch'!$A$2025:$I$2257,9,FALSE)</f>
        <v>7819766.96</v>
      </c>
      <c r="C198" s="711">
        <f>+IF(ISNA(VLOOKUP(A198,'Anlage 2a_Letztverbrauch'!$A$2788:$D$2795,4,0)),0,VLOOKUP(A198,'Anlage 2a_Letztverbrauch'!$A$2788:$D$2795,4,0))</f>
        <v>0</v>
      </c>
      <c r="D198" s="711">
        <v>0</v>
      </c>
      <c r="E198" s="667">
        <f t="shared" si="8"/>
        <v>7819766.96</v>
      </c>
      <c r="F198" s="668">
        <f>+SUMIF('Anlage 2b_Korrekturen'!$B$234:$B$693,'Anlage 3b_Zusammenfassung ONU'!A198,'Anlage 2b_Korrekturen'!$F$234:$F$693)</f>
        <v>12692.3</v>
      </c>
      <c r="G198" s="928">
        <f t="shared" si="6"/>
        <v>7832459.2599999998</v>
      </c>
      <c r="J198" t="s">
        <v>808</v>
      </c>
    </row>
    <row r="199" spans="1:10" hidden="1" outlineLevel="1">
      <c r="A199" s="853" t="s">
        <v>809</v>
      </c>
      <c r="B199" s="1698">
        <f>+VLOOKUP(A199,'Anlage 2a_Letztverbrauch'!$A$2025:$I$2257,9,FALSE)</f>
        <v>1480610.42</v>
      </c>
      <c r="C199" s="711">
        <f>+IF(ISNA(VLOOKUP(A199,'Anlage 2a_Letztverbrauch'!$A$2788:$D$2795,4,0)),0,VLOOKUP(A199,'Anlage 2a_Letztverbrauch'!$A$2788:$D$2795,4,0))</f>
        <v>0</v>
      </c>
      <c r="D199" s="711">
        <v>0</v>
      </c>
      <c r="E199" s="667">
        <f t="shared" si="8"/>
        <v>1480610.42</v>
      </c>
      <c r="F199" s="668">
        <f>+SUMIF('Anlage 2b_Korrekturen'!$B$234:$B$693,'Anlage 3b_Zusammenfassung ONU'!A199,'Anlage 2b_Korrekturen'!$F$234:$F$693)</f>
        <v>-4710.66</v>
      </c>
      <c r="G199" s="928">
        <f t="shared" si="6"/>
        <v>1475899.76</v>
      </c>
      <c r="J199" t="s">
        <v>810</v>
      </c>
    </row>
    <row r="200" spans="1:10" hidden="1" outlineLevel="1">
      <c r="A200" s="853" t="s">
        <v>811</v>
      </c>
      <c r="B200" s="1698">
        <f>+VLOOKUP(A200,'Anlage 2a_Letztverbrauch'!$A$2025:$I$2257,9,FALSE)</f>
        <v>11379460.91</v>
      </c>
      <c r="C200" s="711">
        <f>+IF(ISNA(VLOOKUP(A200,'Anlage 2a_Letztverbrauch'!$A$2788:$D$2795,4,0)),0,VLOOKUP(A200,'Anlage 2a_Letztverbrauch'!$A$2788:$D$2795,4,0))</f>
        <v>0</v>
      </c>
      <c r="D200" s="711">
        <v>0</v>
      </c>
      <c r="E200" s="667">
        <f t="shared" si="8"/>
        <v>11379460.91</v>
      </c>
      <c r="F200" s="668">
        <f>+SUMIF('Anlage 2b_Korrekturen'!$B$234:$B$693,'Anlage 3b_Zusammenfassung ONU'!A200,'Anlage 2b_Korrekturen'!$F$234:$F$693)</f>
        <v>-177081.36</v>
      </c>
      <c r="G200" s="928">
        <f t="shared" si="6"/>
        <v>11202379.550000001</v>
      </c>
      <c r="J200" t="s">
        <v>812</v>
      </c>
    </row>
    <row r="201" spans="1:10" hidden="1" outlineLevel="1">
      <c r="A201" s="853" t="s">
        <v>813</v>
      </c>
      <c r="B201" s="1698">
        <f>+VLOOKUP(A201,'Anlage 2a_Letztverbrauch'!$A$2025:$I$2257,9,FALSE)</f>
        <v>80731.33</v>
      </c>
      <c r="C201" s="711">
        <f>+IF(ISNA(VLOOKUP(A201,'Anlage 2a_Letztverbrauch'!$A$2788:$D$2795,4,0)),0,VLOOKUP(A201,'Anlage 2a_Letztverbrauch'!$A$2788:$D$2795,4,0))</f>
        <v>0</v>
      </c>
      <c r="D201" s="711">
        <v>0</v>
      </c>
      <c r="E201" s="667">
        <f t="shared" si="8"/>
        <v>80731.33</v>
      </c>
      <c r="F201" s="668">
        <f>+SUMIF('Anlage 2b_Korrekturen'!$B$234:$B$693,'Anlage 3b_Zusammenfassung ONU'!A201,'Anlage 2b_Korrekturen'!$F$234:$F$693)</f>
        <v>-274.94</v>
      </c>
      <c r="G201" s="928">
        <f t="shared" si="6"/>
        <v>80456.39</v>
      </c>
      <c r="J201" t="s">
        <v>814</v>
      </c>
    </row>
    <row r="202" spans="1:10" hidden="1" outlineLevel="1">
      <c r="A202" s="853" t="s">
        <v>815</v>
      </c>
      <c r="B202" s="1698">
        <f>+VLOOKUP(A202,'Anlage 2a_Letztverbrauch'!$A$2025:$I$2257,9,FALSE)</f>
        <v>1828345</v>
      </c>
      <c r="C202" s="711">
        <f>+IF(ISNA(VLOOKUP(A202,'Anlage 2a_Letztverbrauch'!$A$2788:$D$2795,4,0)),0,VLOOKUP(A202,'Anlage 2a_Letztverbrauch'!$A$2788:$D$2795,4,0))</f>
        <v>0</v>
      </c>
      <c r="D202" s="711">
        <v>0</v>
      </c>
      <c r="E202" s="667">
        <f t="shared" si="8"/>
        <v>1828345</v>
      </c>
      <c r="F202" s="668">
        <f>+SUMIF('Anlage 2b_Korrekturen'!$B$234:$B$693,'Anlage 3b_Zusammenfassung ONU'!A202,'Anlage 2b_Korrekturen'!$F$234:$F$693)</f>
        <v>0</v>
      </c>
      <c r="G202" s="928">
        <f t="shared" si="6"/>
        <v>1828345</v>
      </c>
      <c r="J202" t="s">
        <v>816</v>
      </c>
    </row>
    <row r="203" spans="1:10" hidden="1" outlineLevel="1">
      <c r="A203" s="853" t="s">
        <v>817</v>
      </c>
      <c r="B203" s="1698">
        <f>+VLOOKUP(A203,'Anlage 2a_Letztverbrauch'!$A$2025:$I$2257,9,FALSE)</f>
        <v>876147.07</v>
      </c>
      <c r="C203" s="711">
        <f>+IF(ISNA(VLOOKUP(A203,'Anlage 2a_Letztverbrauch'!$A$2788:$D$2795,4,0)),0,VLOOKUP(A203,'Anlage 2a_Letztverbrauch'!$A$2788:$D$2795,4,0))</f>
        <v>0</v>
      </c>
      <c r="D203" s="711">
        <v>0</v>
      </c>
      <c r="E203" s="667">
        <f t="shared" si="8"/>
        <v>876147.07</v>
      </c>
      <c r="F203" s="668">
        <f>+SUMIF('Anlage 2b_Korrekturen'!$B$234:$B$693,'Anlage 3b_Zusammenfassung ONU'!A203,'Anlage 2b_Korrekturen'!$F$234:$F$693)</f>
        <v>-161.39999999999998</v>
      </c>
      <c r="G203" s="928">
        <f t="shared" si="6"/>
        <v>875985.66999999993</v>
      </c>
      <c r="J203" t="s">
        <v>818</v>
      </c>
    </row>
    <row r="204" spans="1:10" hidden="1" outlineLevel="1">
      <c r="A204" s="853" t="s">
        <v>819</v>
      </c>
      <c r="B204" s="1698">
        <f>+VLOOKUP(A204,'Anlage 2a_Letztverbrauch'!$A$2025:$I$2257,9,FALSE)</f>
        <v>44387367.380000003</v>
      </c>
      <c r="C204" s="711">
        <f>+IF(ISNA(VLOOKUP(A204,'Anlage 2a_Letztverbrauch'!$A$2788:$D$2795,4,0)),0,VLOOKUP(A204,'Anlage 2a_Letztverbrauch'!$A$2788:$D$2795,4,0))</f>
        <v>0</v>
      </c>
      <c r="D204" s="711">
        <v>0</v>
      </c>
      <c r="E204" s="667">
        <f t="shared" si="8"/>
        <v>44387367.380000003</v>
      </c>
      <c r="F204" s="668">
        <f>+SUMIF('Anlage 2b_Korrekturen'!$B$234:$B$693,'Anlage 3b_Zusammenfassung ONU'!A204,'Anlage 2b_Korrekturen'!$F$234:$F$693)</f>
        <v>204974.13999999998</v>
      </c>
      <c r="G204" s="928">
        <f t="shared" ref="G204:G267" si="9">E204+F204</f>
        <v>44592341.520000003</v>
      </c>
      <c r="J204" t="s">
        <v>820</v>
      </c>
    </row>
    <row r="205" spans="1:10" hidden="1" outlineLevel="1">
      <c r="A205" s="853" t="s">
        <v>821</v>
      </c>
      <c r="B205" s="1698">
        <f>+VLOOKUP(A205,'Anlage 2a_Letztverbrauch'!$A$2025:$I$2257,9,FALSE)</f>
        <v>577103.27</v>
      </c>
      <c r="C205" s="711">
        <f>+IF(ISNA(VLOOKUP(A205,'Anlage 2a_Letztverbrauch'!$A$2788:$D$2795,4,0)),0,VLOOKUP(A205,'Anlage 2a_Letztverbrauch'!$A$2788:$D$2795,4,0))</f>
        <v>0</v>
      </c>
      <c r="D205" s="711">
        <v>0</v>
      </c>
      <c r="E205" s="667">
        <f t="shared" si="8"/>
        <v>577103.27</v>
      </c>
      <c r="F205" s="668">
        <f>+SUMIF('Anlage 2b_Korrekturen'!$B$234:$B$693,'Anlage 3b_Zusammenfassung ONU'!A205,'Anlage 2b_Korrekturen'!$F$234:$F$693)</f>
        <v>862.5</v>
      </c>
      <c r="G205" s="928">
        <f t="shared" si="9"/>
        <v>577965.77</v>
      </c>
      <c r="J205" t="s">
        <v>822</v>
      </c>
    </row>
    <row r="206" spans="1:10" hidden="1" outlineLevel="1">
      <c r="A206" s="853" t="s">
        <v>823</v>
      </c>
      <c r="B206" s="1698">
        <f>+VLOOKUP(A206,'Anlage 2a_Letztverbrauch'!$A$2025:$I$2257,9,FALSE)</f>
        <v>2089233.88</v>
      </c>
      <c r="C206" s="711">
        <f>+IF(ISNA(VLOOKUP(A206,'Anlage 2a_Letztverbrauch'!$A$2788:$D$2795,4,0)),0,VLOOKUP(A206,'Anlage 2a_Letztverbrauch'!$A$2788:$D$2795,4,0))</f>
        <v>0</v>
      </c>
      <c r="D206" s="711">
        <v>0</v>
      </c>
      <c r="E206" s="667">
        <f t="shared" si="8"/>
        <v>2089233.88</v>
      </c>
      <c r="F206" s="668">
        <f>+SUMIF('Anlage 2b_Korrekturen'!$B$234:$B$693,'Anlage 3b_Zusammenfassung ONU'!A206,'Anlage 2b_Korrekturen'!$F$234:$F$693)</f>
        <v>3405.56</v>
      </c>
      <c r="G206" s="928">
        <f t="shared" si="9"/>
        <v>2092639.44</v>
      </c>
      <c r="J206" t="s">
        <v>824</v>
      </c>
    </row>
    <row r="207" spans="1:10" hidden="1" outlineLevel="1">
      <c r="A207" s="853" t="s">
        <v>825</v>
      </c>
      <c r="B207" s="1698">
        <f>+VLOOKUP(A207,'Anlage 2a_Letztverbrauch'!$A$2025:$I$2257,9,FALSE)</f>
        <v>230671.63</v>
      </c>
      <c r="C207" s="711">
        <f>+IF(ISNA(VLOOKUP(A207,'Anlage 2a_Letztverbrauch'!$A$2788:$D$2795,4,0)),0,VLOOKUP(A207,'Anlage 2a_Letztverbrauch'!$A$2788:$D$2795,4,0))</f>
        <v>0</v>
      </c>
      <c r="D207" s="711">
        <v>0</v>
      </c>
      <c r="E207" s="667">
        <f t="shared" si="8"/>
        <v>230671.63</v>
      </c>
      <c r="F207" s="668">
        <f>+SUMIF('Anlage 2b_Korrekturen'!$B$234:$B$693,'Anlage 3b_Zusammenfassung ONU'!A207,'Anlage 2b_Korrekturen'!$F$234:$F$693)</f>
        <v>-702.13</v>
      </c>
      <c r="G207" s="928">
        <f t="shared" si="9"/>
        <v>229969.5</v>
      </c>
      <c r="J207" t="s">
        <v>826</v>
      </c>
    </row>
    <row r="208" spans="1:10" hidden="1" outlineLevel="1">
      <c r="A208" s="853" t="s">
        <v>827</v>
      </c>
      <c r="B208" s="1698">
        <f>+VLOOKUP(A208,'Anlage 2a_Letztverbrauch'!$A$2025:$I$2257,9,FALSE)</f>
        <v>38908.76</v>
      </c>
      <c r="C208" s="711">
        <f>+IF(ISNA(VLOOKUP(A208,'Anlage 2a_Letztverbrauch'!$A$2788:$D$2795,4,0)),0,VLOOKUP(A208,'Anlage 2a_Letztverbrauch'!$A$2788:$D$2795,4,0))</f>
        <v>0</v>
      </c>
      <c r="D208" s="711">
        <v>0</v>
      </c>
      <c r="E208" s="667">
        <f t="shared" si="8"/>
        <v>38908.76</v>
      </c>
      <c r="F208" s="668">
        <f>+SUMIF('Anlage 2b_Korrekturen'!$B$234:$B$693,'Anlage 3b_Zusammenfassung ONU'!A208,'Anlage 2b_Korrekturen'!$F$234:$F$693)</f>
        <v>1537.33</v>
      </c>
      <c r="G208" s="928">
        <f t="shared" si="9"/>
        <v>40446.090000000004</v>
      </c>
      <c r="J208" t="s">
        <v>828</v>
      </c>
    </row>
    <row r="209" spans="1:10" hidden="1" outlineLevel="1">
      <c r="A209" s="853" t="s">
        <v>829</v>
      </c>
      <c r="B209" s="1698">
        <f>+VLOOKUP(A209,'Anlage 2a_Letztverbrauch'!$A$2025:$I$2257,9,FALSE)</f>
        <v>2369301.4500000002</v>
      </c>
      <c r="C209" s="711">
        <f>+IF(ISNA(VLOOKUP(A209,'Anlage 2a_Letztverbrauch'!$A$2788:$D$2795,4,0)),0,VLOOKUP(A209,'Anlage 2a_Letztverbrauch'!$A$2788:$D$2795,4,0))</f>
        <v>0</v>
      </c>
      <c r="D209" s="711">
        <v>0</v>
      </c>
      <c r="E209" s="667">
        <f t="shared" si="8"/>
        <v>2369301.4500000002</v>
      </c>
      <c r="F209" s="668">
        <f>+SUMIF('Anlage 2b_Korrekturen'!$B$234:$B$693,'Anlage 3b_Zusammenfassung ONU'!A209,'Anlage 2b_Korrekturen'!$F$234:$F$693)</f>
        <v>-6717.96</v>
      </c>
      <c r="G209" s="928">
        <f t="shared" si="9"/>
        <v>2362583.4900000002</v>
      </c>
      <c r="J209" t="s">
        <v>830</v>
      </c>
    </row>
    <row r="210" spans="1:10" hidden="1" outlineLevel="1">
      <c r="A210" s="853" t="s">
        <v>831</v>
      </c>
      <c r="B210" s="1698">
        <f>+VLOOKUP(A210,'Anlage 2a_Letztverbrauch'!$A$2025:$I$2257,9,FALSE)</f>
        <v>243960.95999999999</v>
      </c>
      <c r="C210" s="711">
        <f>+IF(ISNA(VLOOKUP(A210,'Anlage 2a_Letztverbrauch'!$A$2788:$D$2795,4,0)),0,VLOOKUP(A210,'Anlage 2a_Letztverbrauch'!$A$2788:$D$2795,4,0))</f>
        <v>0</v>
      </c>
      <c r="D210" s="711">
        <v>0</v>
      </c>
      <c r="E210" s="667">
        <f t="shared" si="8"/>
        <v>243960.95999999999</v>
      </c>
      <c r="F210" s="668">
        <f>+SUMIF('Anlage 2b_Korrekturen'!$B$234:$B$693,'Anlage 3b_Zusammenfassung ONU'!A210,'Anlage 2b_Korrekturen'!$F$234:$F$693)</f>
        <v>-424.8</v>
      </c>
      <c r="G210" s="928">
        <f t="shared" si="9"/>
        <v>243536.16</v>
      </c>
      <c r="J210" t="s">
        <v>832</v>
      </c>
    </row>
    <row r="211" spans="1:10" hidden="1" outlineLevel="1">
      <c r="A211" s="853" t="s">
        <v>833</v>
      </c>
      <c r="B211" s="1698">
        <f>+VLOOKUP(A211,'Anlage 2a_Letztverbrauch'!$A$2025:$I$2257,9,FALSE)</f>
        <v>16982626.280000001</v>
      </c>
      <c r="C211" s="711">
        <f>+IF(ISNA(VLOOKUP(A211,'Anlage 2a_Letztverbrauch'!$A$2788:$D$2795,4,0)),0,VLOOKUP(A211,'Anlage 2a_Letztverbrauch'!$A$2788:$D$2795,4,0))</f>
        <v>-2263902.2599999998</v>
      </c>
      <c r="D211" s="711">
        <v>0</v>
      </c>
      <c r="E211" s="667">
        <f t="shared" si="8"/>
        <v>14718724.020000001</v>
      </c>
      <c r="F211" s="668">
        <f>+SUMIF('Anlage 2b_Korrekturen'!$B$234:$B$693,'Anlage 3b_Zusammenfassung ONU'!A211,'Anlage 2b_Korrekturen'!$F$234:$F$693)</f>
        <v>-51469.24</v>
      </c>
      <c r="G211" s="928">
        <f t="shared" si="9"/>
        <v>14667254.780000001</v>
      </c>
      <c r="J211" t="s">
        <v>834</v>
      </c>
    </row>
    <row r="212" spans="1:10" hidden="1" outlineLevel="1">
      <c r="A212" s="853" t="s">
        <v>835</v>
      </c>
      <c r="B212" s="1698">
        <f>+VLOOKUP(A212,'Anlage 2a_Letztverbrauch'!$A$2025:$I$2257,9,FALSE)</f>
        <v>48209.919999999998</v>
      </c>
      <c r="C212" s="711">
        <f>+IF(ISNA(VLOOKUP(A212,'Anlage 2a_Letztverbrauch'!$A$2788:$D$2795,4,0)),0,VLOOKUP(A212,'Anlage 2a_Letztverbrauch'!$A$2788:$D$2795,4,0))</f>
        <v>0</v>
      </c>
      <c r="D212" s="711">
        <v>0</v>
      </c>
      <c r="E212" s="667">
        <f t="shared" si="8"/>
        <v>48209.919999999998</v>
      </c>
      <c r="F212" s="668">
        <f>+SUMIF('Anlage 2b_Korrekturen'!$B$234:$B$693,'Anlage 3b_Zusammenfassung ONU'!A212,'Anlage 2b_Korrekturen'!$F$234:$F$693)</f>
        <v>-65.63</v>
      </c>
      <c r="G212" s="928">
        <f t="shared" si="9"/>
        <v>48144.29</v>
      </c>
      <c r="J212" t="s">
        <v>836</v>
      </c>
    </row>
    <row r="213" spans="1:10" hidden="1" outlineLevel="1">
      <c r="A213" s="853" t="s">
        <v>837</v>
      </c>
      <c r="B213" s="1698">
        <f>+VLOOKUP(A213,'Anlage 2a_Letztverbrauch'!$A$2025:$I$2257,9,FALSE)</f>
        <v>876184.98</v>
      </c>
      <c r="C213" s="711">
        <f>+IF(ISNA(VLOOKUP(A213,'Anlage 2a_Letztverbrauch'!$A$2788:$D$2795,4,0)),0,VLOOKUP(A213,'Anlage 2a_Letztverbrauch'!$A$2788:$D$2795,4,0))</f>
        <v>0</v>
      </c>
      <c r="D213" s="711">
        <v>0</v>
      </c>
      <c r="E213" s="667">
        <f t="shared" si="8"/>
        <v>876184.98</v>
      </c>
      <c r="F213" s="668">
        <f>+SUMIF('Anlage 2b_Korrekturen'!$B$234:$B$693,'Anlage 3b_Zusammenfassung ONU'!A213,'Anlage 2b_Korrekturen'!$F$234:$F$693)</f>
        <v>0</v>
      </c>
      <c r="G213" s="928">
        <f t="shared" si="9"/>
        <v>876184.98</v>
      </c>
      <c r="J213" t="s">
        <v>838</v>
      </c>
    </row>
    <row r="214" spans="1:10" hidden="1" outlineLevel="1">
      <c r="A214" s="853" t="s">
        <v>839</v>
      </c>
      <c r="B214" s="1698">
        <f>+VLOOKUP(A214,'Anlage 2a_Letztverbrauch'!$A$2025:$I$2257,9,FALSE)</f>
        <v>181229959.53000003</v>
      </c>
      <c r="C214" s="711">
        <f>+IF(ISNA(VLOOKUP(A214,'Anlage 2a_Letztverbrauch'!$A$2788:$D$2795,4,0)),0,VLOOKUP(A214,'Anlage 2a_Letztverbrauch'!$A$2788:$D$2795,4,0))</f>
        <v>-2873615.13</v>
      </c>
      <c r="D214" s="711">
        <v>0</v>
      </c>
      <c r="E214" s="667">
        <f t="shared" si="8"/>
        <v>178356344.40000004</v>
      </c>
      <c r="F214" s="668">
        <f>+SUMIF('Anlage 2b_Korrekturen'!$B$234:$B$693,'Anlage 3b_Zusammenfassung ONU'!A214,'Anlage 2b_Korrekturen'!$F$234:$F$693)</f>
        <v>94228.58</v>
      </c>
      <c r="G214" s="928">
        <f t="shared" si="9"/>
        <v>178450572.98000005</v>
      </c>
      <c r="J214" t="s">
        <v>840</v>
      </c>
    </row>
    <row r="215" spans="1:10" hidden="1" outlineLevel="1">
      <c r="A215" s="853" t="s">
        <v>841</v>
      </c>
      <c r="B215" s="1698">
        <f>+VLOOKUP(A215,'Anlage 2a_Letztverbrauch'!$A$2025:$I$2257,9,FALSE)</f>
        <v>1116459.3700000001</v>
      </c>
      <c r="C215" s="711">
        <f>+IF(ISNA(VLOOKUP(A215,'Anlage 2a_Letztverbrauch'!$A$2788:$D$2795,4,0)),0,VLOOKUP(A215,'Anlage 2a_Letztverbrauch'!$A$2788:$D$2795,4,0))</f>
        <v>0</v>
      </c>
      <c r="D215" s="711">
        <v>0</v>
      </c>
      <c r="E215" s="667">
        <f t="shared" si="8"/>
        <v>1116459.3700000001</v>
      </c>
      <c r="F215" s="668">
        <f>+SUMIF('Anlage 2b_Korrekturen'!$B$234:$B$693,'Anlage 3b_Zusammenfassung ONU'!A215,'Anlage 2b_Korrekturen'!$F$234:$F$693)</f>
        <v>-56729.8</v>
      </c>
      <c r="G215" s="928">
        <f t="shared" si="9"/>
        <v>1059729.57</v>
      </c>
      <c r="J215" t="s">
        <v>842</v>
      </c>
    </row>
    <row r="216" spans="1:10" hidden="1" outlineLevel="1">
      <c r="A216" s="853" t="s">
        <v>843</v>
      </c>
      <c r="B216" s="1698">
        <f>+VLOOKUP(A216,'Anlage 2a_Letztverbrauch'!$A$2025:$I$2257,9,FALSE)</f>
        <v>135180.56</v>
      </c>
      <c r="C216" s="711">
        <f>+IF(ISNA(VLOOKUP(A216,'Anlage 2a_Letztverbrauch'!$A$2788:$D$2795,4,0)),0,VLOOKUP(A216,'Anlage 2a_Letztverbrauch'!$A$2788:$D$2795,4,0))</f>
        <v>0</v>
      </c>
      <c r="D216" s="711">
        <v>0</v>
      </c>
      <c r="E216" s="667">
        <f t="shared" si="8"/>
        <v>135180.56</v>
      </c>
      <c r="F216" s="668">
        <f>+SUMIF('Anlage 2b_Korrekturen'!$B$234:$B$693,'Anlage 3b_Zusammenfassung ONU'!A216,'Anlage 2b_Korrekturen'!$F$234:$F$693)</f>
        <v>0</v>
      </c>
      <c r="G216" s="928">
        <f t="shared" si="9"/>
        <v>135180.56</v>
      </c>
      <c r="J216" t="s">
        <v>844</v>
      </c>
    </row>
    <row r="217" spans="1:10" hidden="1" outlineLevel="1">
      <c r="A217" s="853" t="s">
        <v>845</v>
      </c>
      <c r="B217" s="1698">
        <f>+VLOOKUP(A217,'Anlage 2a_Letztverbrauch'!$A$2025:$I$2257,9,FALSE)</f>
        <v>478633.34</v>
      </c>
      <c r="C217" s="711">
        <f>+IF(ISNA(VLOOKUP(A217,'Anlage 2a_Letztverbrauch'!$A$2788:$D$2795,4,0)),0,VLOOKUP(A217,'Anlage 2a_Letztverbrauch'!$A$2788:$D$2795,4,0))</f>
        <v>0</v>
      </c>
      <c r="D217" s="711">
        <v>0</v>
      </c>
      <c r="E217" s="667">
        <f t="shared" si="8"/>
        <v>478633.34</v>
      </c>
      <c r="F217" s="668">
        <f>+SUMIF('Anlage 2b_Korrekturen'!$B$234:$B$693,'Anlage 3b_Zusammenfassung ONU'!A217,'Anlage 2b_Korrekturen'!$F$234:$F$693)</f>
        <v>1244.8499999999999</v>
      </c>
      <c r="G217" s="928">
        <f t="shared" si="9"/>
        <v>479878.19</v>
      </c>
      <c r="J217" t="s">
        <v>846</v>
      </c>
    </row>
    <row r="218" spans="1:10" hidden="1" outlineLevel="1">
      <c r="A218" s="853" t="s">
        <v>847</v>
      </c>
      <c r="B218" s="1698">
        <f>+VLOOKUP(A218,'Anlage 2a_Letztverbrauch'!$A$2025:$I$2257,9,FALSE)</f>
        <v>9848014.4199999999</v>
      </c>
      <c r="C218" s="711">
        <f>+IF(ISNA(VLOOKUP(A218,'Anlage 2a_Letztverbrauch'!$A$2788:$D$2795,4,0)),0,VLOOKUP(A218,'Anlage 2a_Letztverbrauch'!$A$2788:$D$2795,4,0))</f>
        <v>0</v>
      </c>
      <c r="D218" s="711">
        <v>0</v>
      </c>
      <c r="E218" s="667">
        <f t="shared" si="8"/>
        <v>9848014.4199999999</v>
      </c>
      <c r="F218" s="668">
        <f>+SUMIF('Anlage 2b_Korrekturen'!$B$234:$B$693,'Anlage 3b_Zusammenfassung ONU'!A218,'Anlage 2b_Korrekturen'!$F$234:$F$693)</f>
        <v>-10442.14</v>
      </c>
      <c r="G218" s="928">
        <f t="shared" si="9"/>
        <v>9837572.2799999993</v>
      </c>
      <c r="J218" t="s">
        <v>848</v>
      </c>
    </row>
    <row r="219" spans="1:10" hidden="1" outlineLevel="1">
      <c r="A219" s="853" t="s">
        <v>849</v>
      </c>
      <c r="B219" s="1698">
        <f>+VLOOKUP(A219,'Anlage 2a_Letztverbrauch'!$A$2025:$I$2257,9,FALSE)</f>
        <v>1475100.34</v>
      </c>
      <c r="C219" s="711">
        <f>+IF(ISNA(VLOOKUP(A219,'Anlage 2a_Letztverbrauch'!$A$2788:$D$2795,4,0)),0,VLOOKUP(A219,'Anlage 2a_Letztverbrauch'!$A$2788:$D$2795,4,0))</f>
        <v>0</v>
      </c>
      <c r="D219" s="711">
        <v>0</v>
      </c>
      <c r="E219" s="667">
        <f t="shared" si="8"/>
        <v>1475100.34</v>
      </c>
      <c r="F219" s="668">
        <f>+SUMIF('Anlage 2b_Korrekturen'!$B$234:$B$693,'Anlage 3b_Zusammenfassung ONU'!A219,'Anlage 2b_Korrekturen'!$F$234:$F$693)</f>
        <v>-4728.76</v>
      </c>
      <c r="G219" s="928">
        <f t="shared" si="9"/>
        <v>1470371.58</v>
      </c>
      <c r="J219" t="s">
        <v>850</v>
      </c>
    </row>
    <row r="220" spans="1:10" hidden="1" outlineLevel="1">
      <c r="A220" s="853" t="s">
        <v>851</v>
      </c>
      <c r="B220" s="1698">
        <f>+VLOOKUP(A220,'Anlage 2a_Letztverbrauch'!$A$2025:$I$2257,9,FALSE)</f>
        <v>958974.95</v>
      </c>
      <c r="C220" s="711">
        <f>+IF(ISNA(VLOOKUP(A220,'Anlage 2a_Letztverbrauch'!$A$2788:$D$2795,4,0)),0,VLOOKUP(A220,'Anlage 2a_Letztverbrauch'!$A$2788:$D$2795,4,0))</f>
        <v>0</v>
      </c>
      <c r="D220" s="711">
        <v>0</v>
      </c>
      <c r="E220" s="667">
        <f t="shared" si="8"/>
        <v>958974.95</v>
      </c>
      <c r="F220" s="668">
        <f>+SUMIF('Anlage 2b_Korrekturen'!$B$234:$B$693,'Anlage 3b_Zusammenfassung ONU'!A220,'Anlage 2b_Korrekturen'!$F$234:$F$693)</f>
        <v>0</v>
      </c>
      <c r="G220" s="928">
        <f t="shared" si="9"/>
        <v>958974.95</v>
      </c>
      <c r="J220" t="s">
        <v>852</v>
      </c>
    </row>
    <row r="221" spans="1:10" hidden="1" outlineLevel="1">
      <c r="A221" s="853" t="s">
        <v>853</v>
      </c>
      <c r="B221" s="1698">
        <f>+VLOOKUP(A221,'Anlage 2a_Letztverbrauch'!$A$2025:$I$2257,9,FALSE)</f>
        <v>53043763.109999999</v>
      </c>
      <c r="C221" s="711">
        <f>+IF(ISNA(VLOOKUP(A221,'Anlage 2a_Letztverbrauch'!$A$2788:$D$2795,4,0)),0,VLOOKUP(A221,'Anlage 2a_Letztverbrauch'!$A$2788:$D$2795,4,0))</f>
        <v>0</v>
      </c>
      <c r="D221" s="711">
        <v>0</v>
      </c>
      <c r="E221" s="667">
        <f t="shared" si="8"/>
        <v>53043763.109999999</v>
      </c>
      <c r="F221" s="668">
        <f>+SUMIF('Anlage 2b_Korrekturen'!$B$234:$B$693,'Anlage 3b_Zusammenfassung ONU'!A221,'Anlage 2b_Korrekturen'!$F$234:$F$693)</f>
        <v>-643404.12</v>
      </c>
      <c r="G221" s="928">
        <f t="shared" si="9"/>
        <v>52400358.990000002</v>
      </c>
      <c r="J221" t="s">
        <v>854</v>
      </c>
    </row>
    <row r="222" spans="1:10" hidden="1" outlineLevel="1">
      <c r="A222" s="853" t="s">
        <v>855</v>
      </c>
      <c r="B222" s="1698">
        <f>+VLOOKUP(A222,'Anlage 2a_Letztverbrauch'!$A$2025:$I$2257,9,FALSE)</f>
        <v>2770612.93</v>
      </c>
      <c r="C222" s="711">
        <f>+IF(ISNA(VLOOKUP(A222,'Anlage 2a_Letztverbrauch'!$A$2788:$D$2795,4,0)),0,VLOOKUP(A222,'Anlage 2a_Letztverbrauch'!$A$2788:$D$2795,4,0))</f>
        <v>0</v>
      </c>
      <c r="D222" s="711">
        <v>0</v>
      </c>
      <c r="E222" s="667">
        <f t="shared" si="8"/>
        <v>2770612.93</v>
      </c>
      <c r="F222" s="668">
        <f>+SUMIF('Anlage 2b_Korrekturen'!$B$234:$B$693,'Anlage 3b_Zusammenfassung ONU'!A222,'Anlage 2b_Korrekturen'!$F$234:$F$693)</f>
        <v>17287.13</v>
      </c>
      <c r="G222" s="928">
        <f t="shared" si="9"/>
        <v>2787900.06</v>
      </c>
      <c r="J222" t="s">
        <v>856</v>
      </c>
    </row>
    <row r="223" spans="1:10" hidden="1" outlineLevel="1">
      <c r="A223" s="853" t="s">
        <v>857</v>
      </c>
      <c r="B223" s="1698">
        <f>+VLOOKUP(A223,'Anlage 2a_Letztverbrauch'!$A$2025:$I$2257,9,FALSE)</f>
        <v>559972.93999999994</v>
      </c>
      <c r="C223" s="711">
        <f>+IF(ISNA(VLOOKUP(A223,'Anlage 2a_Letztverbrauch'!$A$2788:$D$2795,4,0)),0,VLOOKUP(A223,'Anlage 2a_Letztverbrauch'!$A$2788:$D$2795,4,0))</f>
        <v>0</v>
      </c>
      <c r="D223" s="711">
        <v>0</v>
      </c>
      <c r="E223" s="667">
        <f t="shared" si="8"/>
        <v>559972.93999999994</v>
      </c>
      <c r="F223" s="668">
        <f>+SUMIF('Anlage 2b_Korrekturen'!$B$234:$B$693,'Anlage 3b_Zusammenfassung ONU'!A223,'Anlage 2b_Korrekturen'!$F$234:$F$693)</f>
        <v>879.24</v>
      </c>
      <c r="G223" s="928">
        <f t="shared" si="9"/>
        <v>560852.17999999993</v>
      </c>
      <c r="J223" t="s">
        <v>858</v>
      </c>
    </row>
    <row r="224" spans="1:10" hidden="1" outlineLevel="1">
      <c r="A224" s="853" t="s">
        <v>859</v>
      </c>
      <c r="B224" s="1698">
        <f>+VLOOKUP(A224,'Anlage 2a_Letztverbrauch'!$A$2025:$I$2257,9,FALSE)</f>
        <v>3581887.32</v>
      </c>
      <c r="C224" s="711">
        <f>+IF(ISNA(VLOOKUP(A224,'Anlage 2a_Letztverbrauch'!$A$2788:$D$2795,4,0)),0,VLOOKUP(A224,'Anlage 2a_Letztverbrauch'!$A$2788:$D$2795,4,0))</f>
        <v>0</v>
      </c>
      <c r="D224" s="711">
        <v>0</v>
      </c>
      <c r="E224" s="667">
        <f t="shared" si="8"/>
        <v>3581887.32</v>
      </c>
      <c r="F224" s="668">
        <f>+SUMIF('Anlage 2b_Korrekturen'!$B$234:$B$693,'Anlage 3b_Zusammenfassung ONU'!A224,'Anlage 2b_Korrekturen'!$F$234:$F$693)</f>
        <v>3615.8900000000003</v>
      </c>
      <c r="G224" s="928">
        <f t="shared" si="9"/>
        <v>3585503.21</v>
      </c>
      <c r="J224" t="s">
        <v>860</v>
      </c>
    </row>
    <row r="225" spans="1:10" hidden="1" outlineLevel="1">
      <c r="A225" s="853" t="s">
        <v>861</v>
      </c>
      <c r="B225" s="1698">
        <f>+VLOOKUP(A225,'Anlage 2a_Letztverbrauch'!$A$2025:$I$2257,9,FALSE)</f>
        <v>154400.26</v>
      </c>
      <c r="C225" s="711">
        <f>+IF(ISNA(VLOOKUP(A225,'Anlage 2a_Letztverbrauch'!$A$2788:$D$2795,4,0)),0,VLOOKUP(A225,'Anlage 2a_Letztverbrauch'!$A$2788:$D$2795,4,0))</f>
        <v>0</v>
      </c>
      <c r="D225" s="711">
        <v>0</v>
      </c>
      <c r="E225" s="667">
        <f t="shared" si="8"/>
        <v>154400.26</v>
      </c>
      <c r="F225" s="668">
        <f>+SUMIF('Anlage 2b_Korrekturen'!$B$234:$B$693,'Anlage 3b_Zusammenfassung ONU'!A225,'Anlage 2b_Korrekturen'!$F$234:$F$693)</f>
        <v>0</v>
      </c>
      <c r="G225" s="928">
        <f t="shared" si="9"/>
        <v>154400.26</v>
      </c>
      <c r="J225" t="s">
        <v>862</v>
      </c>
    </row>
    <row r="226" spans="1:10" hidden="1" outlineLevel="1">
      <c r="A226" s="853" t="s">
        <v>863</v>
      </c>
      <c r="B226" s="1698">
        <f>+VLOOKUP(A226,'Anlage 2a_Letztverbrauch'!$A$2025:$I$2257,9,FALSE)</f>
        <v>1724585.63</v>
      </c>
      <c r="C226" s="711">
        <f>+IF(ISNA(VLOOKUP(A226,'Anlage 2a_Letztverbrauch'!$A$2788:$D$2795,4,0)),0,VLOOKUP(A226,'Anlage 2a_Letztverbrauch'!$A$2788:$D$2795,4,0))</f>
        <v>0</v>
      </c>
      <c r="D226" s="711">
        <v>0</v>
      </c>
      <c r="E226" s="667">
        <f t="shared" si="8"/>
        <v>1724585.63</v>
      </c>
      <c r="F226" s="668">
        <f>+SUMIF('Anlage 2b_Korrekturen'!$B$234:$B$693,'Anlage 3b_Zusammenfassung ONU'!A226,'Anlage 2b_Korrekturen'!$F$234:$F$693)</f>
        <v>0</v>
      </c>
      <c r="G226" s="928">
        <f t="shared" si="9"/>
        <v>1724585.63</v>
      </c>
      <c r="J226" t="s">
        <v>864</v>
      </c>
    </row>
    <row r="227" spans="1:10" hidden="1" outlineLevel="1">
      <c r="A227" s="853" t="s">
        <v>865</v>
      </c>
      <c r="B227" s="1698">
        <f>+VLOOKUP(A227,'Anlage 2a_Letztverbrauch'!$A$2025:$I$2257,9,FALSE)</f>
        <v>6128132.1799999997</v>
      </c>
      <c r="C227" s="711">
        <f>+IF(ISNA(VLOOKUP(A227,'Anlage 2a_Letztverbrauch'!$A$2788:$D$2795,4,0)),0,VLOOKUP(A227,'Anlage 2a_Letztverbrauch'!$A$2788:$D$2795,4,0))</f>
        <v>-131572.12</v>
      </c>
      <c r="D227" s="711">
        <v>0</v>
      </c>
      <c r="E227" s="667">
        <f t="shared" si="8"/>
        <v>5996560.0599999996</v>
      </c>
      <c r="F227" s="668">
        <f>+SUMIF('Anlage 2b_Korrekturen'!$B$234:$B$693,'Anlage 3b_Zusammenfassung ONU'!A227,'Anlage 2b_Korrekturen'!$F$234:$F$693)</f>
        <v>0</v>
      </c>
      <c r="G227" s="928">
        <f t="shared" si="9"/>
        <v>5996560.0599999996</v>
      </c>
      <c r="J227" t="s">
        <v>866</v>
      </c>
    </row>
    <row r="228" spans="1:10" hidden="1" outlineLevel="1">
      <c r="A228" s="853" t="s">
        <v>867</v>
      </c>
      <c r="B228" s="1698">
        <f>+VLOOKUP(A228,'Anlage 2a_Letztverbrauch'!$A$2025:$I$2257,9,FALSE)</f>
        <v>1374869.46</v>
      </c>
      <c r="C228" s="711">
        <f>+IF(ISNA(VLOOKUP(A228,'Anlage 2a_Letztverbrauch'!$A$2788:$D$2795,4,0)),0,VLOOKUP(A228,'Anlage 2a_Letztverbrauch'!$A$2788:$D$2795,4,0))</f>
        <v>0</v>
      </c>
      <c r="D228" s="711">
        <v>0</v>
      </c>
      <c r="E228" s="667">
        <f t="shared" si="8"/>
        <v>1374869.46</v>
      </c>
      <c r="F228" s="668">
        <f>+SUMIF('Anlage 2b_Korrekturen'!$B$234:$B$693,'Anlage 3b_Zusammenfassung ONU'!A228,'Anlage 2b_Korrekturen'!$F$234:$F$693)</f>
        <v>457.51</v>
      </c>
      <c r="G228" s="928">
        <f t="shared" si="9"/>
        <v>1375326.97</v>
      </c>
      <c r="J228" t="s">
        <v>868</v>
      </c>
    </row>
    <row r="229" spans="1:10" hidden="1" outlineLevel="1">
      <c r="A229" s="853" t="s">
        <v>869</v>
      </c>
      <c r="B229" s="1698">
        <f>+VLOOKUP(A229,'Anlage 2a_Letztverbrauch'!$A$2025:$I$2257,9,FALSE)</f>
        <v>119439.95</v>
      </c>
      <c r="C229" s="711">
        <f>+IF(ISNA(VLOOKUP(A229,'Anlage 2a_Letztverbrauch'!$A$2788:$D$2795,4,0)),0,VLOOKUP(A229,'Anlage 2a_Letztverbrauch'!$A$2788:$D$2795,4,0))</f>
        <v>0</v>
      </c>
      <c r="D229" s="711">
        <v>0</v>
      </c>
      <c r="E229" s="667">
        <f t="shared" si="8"/>
        <v>119439.95</v>
      </c>
      <c r="F229" s="668">
        <f>+SUMIF('Anlage 2b_Korrekturen'!$B$234:$B$693,'Anlage 3b_Zusammenfassung ONU'!A229,'Anlage 2b_Korrekturen'!$F$234:$F$693)</f>
        <v>2.3599999999999852</v>
      </c>
      <c r="G229" s="928">
        <f t="shared" si="9"/>
        <v>119442.31</v>
      </c>
      <c r="J229" t="s">
        <v>870</v>
      </c>
    </row>
    <row r="230" spans="1:10" hidden="1" outlineLevel="1">
      <c r="A230" s="853" t="s">
        <v>871</v>
      </c>
      <c r="B230" s="1698">
        <f>+VLOOKUP(A230,'Anlage 2a_Letztverbrauch'!$A$2025:$I$2257,9,FALSE)</f>
        <v>1153479.51</v>
      </c>
      <c r="C230" s="711">
        <f>+IF(ISNA(VLOOKUP(A230,'Anlage 2a_Letztverbrauch'!$A$2788:$D$2795,4,0)),0,VLOOKUP(A230,'Anlage 2a_Letztverbrauch'!$A$2788:$D$2795,4,0))</f>
        <v>0</v>
      </c>
      <c r="D230" s="711">
        <v>0</v>
      </c>
      <c r="E230" s="667">
        <f t="shared" si="8"/>
        <v>1153479.51</v>
      </c>
      <c r="F230" s="668">
        <f>+SUMIF('Anlage 2b_Korrekturen'!$B$234:$B$693,'Anlage 3b_Zusammenfassung ONU'!A230,'Anlage 2b_Korrekturen'!$F$234:$F$693)</f>
        <v>-7266.1200000000008</v>
      </c>
      <c r="G230" s="928">
        <f t="shared" si="9"/>
        <v>1146213.3899999999</v>
      </c>
      <c r="J230" t="s">
        <v>872</v>
      </c>
    </row>
    <row r="231" spans="1:10" hidden="1" outlineLevel="1">
      <c r="A231" s="853" t="s">
        <v>873</v>
      </c>
      <c r="B231" s="1698">
        <f>+VLOOKUP(A231,'Anlage 2a_Letztverbrauch'!$A$2025:$I$2257,9,FALSE)</f>
        <v>9960445.0099999998</v>
      </c>
      <c r="C231" s="711">
        <f>+IF(ISNA(VLOOKUP(A231,'Anlage 2a_Letztverbrauch'!$A$2788:$D$2795,4,0)),0,VLOOKUP(A231,'Anlage 2a_Letztverbrauch'!$A$2788:$D$2795,4,0))</f>
        <v>0</v>
      </c>
      <c r="D231" s="711">
        <v>0</v>
      </c>
      <c r="E231" s="667">
        <f t="shared" si="8"/>
        <v>9960445.0099999998</v>
      </c>
      <c r="F231" s="668">
        <f>+SUMIF('Anlage 2b_Korrekturen'!$B$234:$B$693,'Anlage 3b_Zusammenfassung ONU'!A231,'Anlage 2b_Korrekturen'!$F$234:$F$693)</f>
        <v>-175862.15</v>
      </c>
      <c r="G231" s="928">
        <f t="shared" si="9"/>
        <v>9784582.8599999994</v>
      </c>
      <c r="J231" t="s">
        <v>874</v>
      </c>
    </row>
    <row r="232" spans="1:10" hidden="1" outlineLevel="1">
      <c r="A232" s="853" t="s">
        <v>875</v>
      </c>
      <c r="B232" s="1698">
        <f>+VLOOKUP(A232,'Anlage 2a_Letztverbrauch'!$A$2025:$I$2257,9,FALSE)</f>
        <v>874248.67</v>
      </c>
      <c r="C232" s="711">
        <f>+IF(ISNA(VLOOKUP(A232,'Anlage 2a_Letztverbrauch'!$A$2788:$D$2795,4,0)),0,VLOOKUP(A232,'Anlage 2a_Letztverbrauch'!$A$2788:$D$2795,4,0))</f>
        <v>0</v>
      </c>
      <c r="D232" s="711">
        <v>0</v>
      </c>
      <c r="E232" s="667">
        <f t="shared" si="8"/>
        <v>874248.67</v>
      </c>
      <c r="F232" s="668">
        <f>+SUMIF('Anlage 2b_Korrekturen'!$B$234:$B$693,'Anlage 3b_Zusammenfassung ONU'!A232,'Anlage 2b_Korrekturen'!$F$234:$F$693)</f>
        <v>8612.85</v>
      </c>
      <c r="G232" s="928">
        <f t="shared" si="9"/>
        <v>882861.52</v>
      </c>
      <c r="J232" t="s">
        <v>876</v>
      </c>
    </row>
    <row r="233" spans="1:10" hidden="1" outlineLevel="1">
      <c r="A233" s="853" t="s">
        <v>877</v>
      </c>
      <c r="B233" s="1698">
        <f>+VLOOKUP(A233,'Anlage 2a_Letztverbrauch'!$A$2025:$I$2257,9,FALSE)</f>
        <v>1002778.38</v>
      </c>
      <c r="C233" s="711">
        <f>+IF(ISNA(VLOOKUP(A233,'Anlage 2a_Letztverbrauch'!$A$2788:$D$2795,4,0)),0,VLOOKUP(A233,'Anlage 2a_Letztverbrauch'!$A$2788:$D$2795,4,0))</f>
        <v>0</v>
      </c>
      <c r="D233" s="711">
        <v>0</v>
      </c>
      <c r="E233" s="667">
        <f t="shared" si="8"/>
        <v>1002778.38</v>
      </c>
      <c r="F233" s="668">
        <f>+SUMIF('Anlage 2b_Korrekturen'!$B$234:$B$693,'Anlage 3b_Zusammenfassung ONU'!A233,'Anlage 2b_Korrekturen'!$F$234:$F$693)</f>
        <v>-850.12999999999988</v>
      </c>
      <c r="G233" s="928">
        <f t="shared" si="9"/>
        <v>1001928.25</v>
      </c>
      <c r="J233" t="s">
        <v>878</v>
      </c>
    </row>
    <row r="234" spans="1:10" hidden="1" outlineLevel="1">
      <c r="A234" s="853" t="s">
        <v>879</v>
      </c>
      <c r="B234" s="1698">
        <f>+VLOOKUP(A234,'Anlage 2a_Letztverbrauch'!$A$2025:$I$2257,9,FALSE)</f>
        <v>973437.16</v>
      </c>
      <c r="C234" s="711">
        <f>+IF(ISNA(VLOOKUP(A234,'Anlage 2a_Letztverbrauch'!$A$2788:$D$2795,4,0)),0,VLOOKUP(A234,'Anlage 2a_Letztverbrauch'!$A$2788:$D$2795,4,0))</f>
        <v>0</v>
      </c>
      <c r="D234" s="711">
        <v>0</v>
      </c>
      <c r="E234" s="667">
        <f t="shared" si="8"/>
        <v>973437.16</v>
      </c>
      <c r="F234" s="668">
        <f>+SUMIF('Anlage 2b_Korrekturen'!$B$234:$B$693,'Anlage 3b_Zusammenfassung ONU'!A234,'Anlage 2b_Korrekturen'!$F$234:$F$693)</f>
        <v>8199.84</v>
      </c>
      <c r="G234" s="928">
        <f t="shared" si="9"/>
        <v>981637</v>
      </c>
      <c r="J234" t="s">
        <v>880</v>
      </c>
    </row>
    <row r="235" spans="1:10" hidden="1" outlineLevel="1">
      <c r="A235" s="853" t="s">
        <v>881</v>
      </c>
      <c r="B235" s="1698">
        <f>+VLOOKUP(A235,'Anlage 2a_Letztverbrauch'!$A$2025:$I$2257,9,FALSE)</f>
        <v>563.71</v>
      </c>
      <c r="C235" s="711">
        <f>+IF(ISNA(VLOOKUP(A235,'Anlage 2a_Letztverbrauch'!$A$2788:$D$2795,4,0)),0,VLOOKUP(A235,'Anlage 2a_Letztverbrauch'!$A$2788:$D$2795,4,0))</f>
        <v>0</v>
      </c>
      <c r="D235" s="711">
        <v>0</v>
      </c>
      <c r="E235" s="667">
        <f t="shared" si="8"/>
        <v>563.71</v>
      </c>
      <c r="F235" s="668">
        <f>+SUMIF('Anlage 2b_Korrekturen'!$B$234:$B$693,'Anlage 3b_Zusammenfassung ONU'!A235,'Anlage 2b_Korrekturen'!$F$234:$F$693)</f>
        <v>0</v>
      </c>
      <c r="G235" s="928">
        <f t="shared" si="9"/>
        <v>563.71</v>
      </c>
      <c r="J235" t="s">
        <v>882</v>
      </c>
    </row>
    <row r="236" spans="1:10" hidden="1" outlineLevel="1">
      <c r="A236" s="853" t="s">
        <v>542</v>
      </c>
      <c r="B236" s="1698">
        <f>+VLOOKUP(A236,'Anlage 2a_Letztverbrauch'!$A$2025:$I$2257,9,FALSE)</f>
        <v>88278.06</v>
      </c>
      <c r="C236" s="711">
        <f>+IF(ISNA(VLOOKUP(A236,'Anlage 2a_Letztverbrauch'!$A$2788:$D$2795,4,0)),0,VLOOKUP(A236,'Anlage 2a_Letztverbrauch'!$A$2788:$D$2795,4,0))</f>
        <v>0</v>
      </c>
      <c r="D236" s="711">
        <v>0</v>
      </c>
      <c r="E236" s="667">
        <f t="shared" si="8"/>
        <v>88278.06</v>
      </c>
      <c r="F236" s="668">
        <f>+SUMIF('Anlage 2b_Korrekturen'!$B$234:$B$693,'Anlage 3b_Zusammenfassung ONU'!A236,'Anlage 2b_Korrekturen'!$F$234:$F$693)</f>
        <v>-2542.46</v>
      </c>
      <c r="G236" s="928">
        <f t="shared" si="9"/>
        <v>85735.599999999991</v>
      </c>
      <c r="J236" t="s">
        <v>543</v>
      </c>
    </row>
    <row r="237" spans="1:10" hidden="1" outlineLevel="1">
      <c r="A237" s="853" t="s">
        <v>883</v>
      </c>
      <c r="B237" s="1698">
        <f>+VLOOKUP(A237,'Anlage 2a_Letztverbrauch'!$A$2025:$I$2257,9,FALSE)</f>
        <v>661989.67000000004</v>
      </c>
      <c r="C237" s="711">
        <f>+IF(ISNA(VLOOKUP(A237,'Anlage 2a_Letztverbrauch'!$A$2788:$D$2795,4,0)),0,VLOOKUP(A237,'Anlage 2a_Letztverbrauch'!$A$2788:$D$2795,4,0))</f>
        <v>0</v>
      </c>
      <c r="D237" s="711">
        <v>0</v>
      </c>
      <c r="E237" s="667">
        <f t="shared" si="8"/>
        <v>661989.67000000004</v>
      </c>
      <c r="F237" s="668">
        <f>+SUMIF('Anlage 2b_Korrekturen'!$B$234:$B$693,'Anlage 3b_Zusammenfassung ONU'!A237,'Anlage 2b_Korrekturen'!$F$234:$F$693)</f>
        <v>5391.2199999999993</v>
      </c>
      <c r="G237" s="928">
        <f t="shared" si="9"/>
        <v>667380.89</v>
      </c>
      <c r="J237" t="s">
        <v>884</v>
      </c>
    </row>
    <row r="238" spans="1:10" hidden="1" outlineLevel="1">
      <c r="A238" s="853" t="s">
        <v>885</v>
      </c>
      <c r="B238" s="1698">
        <f>+VLOOKUP(A238,'Anlage 2a_Letztverbrauch'!$A$2025:$I$2257,9,FALSE)</f>
        <v>28930.41</v>
      </c>
      <c r="C238" s="711">
        <f>+IF(ISNA(VLOOKUP(A238,'Anlage 2a_Letztverbrauch'!$A$2788:$D$2795,4,0)),0,VLOOKUP(A238,'Anlage 2a_Letztverbrauch'!$A$2788:$D$2795,4,0))</f>
        <v>0</v>
      </c>
      <c r="D238" s="711">
        <v>0</v>
      </c>
      <c r="E238" s="667">
        <f t="shared" si="8"/>
        <v>28930.41</v>
      </c>
      <c r="F238" s="668">
        <f>+SUMIF('Anlage 2b_Korrekturen'!$B$234:$B$693,'Anlage 3b_Zusammenfassung ONU'!A238,'Anlage 2b_Korrekturen'!$F$234:$F$693)</f>
        <v>0</v>
      </c>
      <c r="G238" s="928">
        <f t="shared" si="9"/>
        <v>28930.41</v>
      </c>
      <c r="J238" t="s">
        <v>886</v>
      </c>
    </row>
    <row r="239" spans="1:10" hidden="1" outlineLevel="1">
      <c r="A239" s="853" t="s">
        <v>887</v>
      </c>
      <c r="B239" s="1698">
        <f>+VLOOKUP(A239,'Anlage 2a_Letztverbrauch'!$A$2025:$I$2257,9,FALSE)</f>
        <v>1129280.67</v>
      </c>
      <c r="C239" s="711">
        <f>+IF(ISNA(VLOOKUP(A239,'Anlage 2a_Letztverbrauch'!$A$2788:$D$2795,4,0)),0,VLOOKUP(A239,'Anlage 2a_Letztverbrauch'!$A$2788:$D$2795,4,0))</f>
        <v>0</v>
      </c>
      <c r="D239" s="711">
        <v>0</v>
      </c>
      <c r="E239" s="667">
        <f t="shared" si="8"/>
        <v>1129280.67</v>
      </c>
      <c r="F239" s="668">
        <f>+SUMIF('Anlage 2b_Korrekturen'!$B$234:$B$693,'Anlage 3b_Zusammenfassung ONU'!A239,'Anlage 2b_Korrekturen'!$F$234:$F$693)</f>
        <v>0</v>
      </c>
      <c r="G239" s="928">
        <f t="shared" si="9"/>
        <v>1129280.67</v>
      </c>
      <c r="J239" t="s">
        <v>888</v>
      </c>
    </row>
    <row r="240" spans="1:10" hidden="1" outlineLevel="1">
      <c r="A240" s="853" t="s">
        <v>889</v>
      </c>
      <c r="B240" s="1698">
        <f>+VLOOKUP(A240,'Anlage 2a_Letztverbrauch'!$A$2025:$I$2257,9,FALSE)</f>
        <v>758615.35</v>
      </c>
      <c r="C240" s="711">
        <f>+IF(ISNA(VLOOKUP(A240,'Anlage 2a_Letztverbrauch'!$A$2788:$D$2795,4,0)),0,VLOOKUP(A240,'Anlage 2a_Letztverbrauch'!$A$2788:$D$2795,4,0))</f>
        <v>0</v>
      </c>
      <c r="D240" s="711">
        <v>0</v>
      </c>
      <c r="E240" s="667">
        <f t="shared" si="8"/>
        <v>758615.35</v>
      </c>
      <c r="F240" s="668">
        <f>+SUMIF('Anlage 2b_Korrekturen'!$B$234:$B$693,'Anlage 3b_Zusammenfassung ONU'!A240,'Anlage 2b_Korrekturen'!$F$234:$F$693)</f>
        <v>4527.2</v>
      </c>
      <c r="G240" s="928">
        <f t="shared" si="9"/>
        <v>763142.54999999993</v>
      </c>
      <c r="J240" t="s">
        <v>890</v>
      </c>
    </row>
    <row r="241" spans="1:10" hidden="1" outlineLevel="1">
      <c r="A241" s="853" t="s">
        <v>891</v>
      </c>
      <c r="B241" s="1698">
        <f>+VLOOKUP(A241,'Anlage 2a_Letztverbrauch'!$A$2025:$I$2257,9,FALSE)</f>
        <v>2482236.71</v>
      </c>
      <c r="C241" s="711">
        <f>+IF(ISNA(VLOOKUP(A241,'Anlage 2a_Letztverbrauch'!$A$2788:$D$2795,4,0)),0,VLOOKUP(A241,'Anlage 2a_Letztverbrauch'!$A$2788:$D$2795,4,0))</f>
        <v>0</v>
      </c>
      <c r="D241" s="711">
        <v>0</v>
      </c>
      <c r="E241" s="667">
        <f t="shared" si="8"/>
        <v>2482236.71</v>
      </c>
      <c r="F241" s="668">
        <f>+SUMIF('Anlage 2b_Korrekturen'!$B$234:$B$693,'Anlage 3b_Zusammenfassung ONU'!A241,'Anlage 2b_Korrekturen'!$F$234:$F$693)</f>
        <v>0</v>
      </c>
      <c r="G241" s="928">
        <f t="shared" si="9"/>
        <v>2482236.71</v>
      </c>
      <c r="J241" t="s">
        <v>892</v>
      </c>
    </row>
    <row r="242" spans="1:10" hidden="1" outlineLevel="1">
      <c r="A242" s="853" t="s">
        <v>893</v>
      </c>
      <c r="B242" s="1698">
        <f>+VLOOKUP(A242,'Anlage 2a_Letztverbrauch'!$A$2025:$I$2257,9,FALSE)</f>
        <v>157108.54</v>
      </c>
      <c r="C242" s="711">
        <f>+IF(ISNA(VLOOKUP(A242,'Anlage 2a_Letztverbrauch'!$A$2788:$D$2795,4,0)),0,VLOOKUP(A242,'Anlage 2a_Letztverbrauch'!$A$2788:$D$2795,4,0))</f>
        <v>0</v>
      </c>
      <c r="D242" s="711">
        <v>0</v>
      </c>
      <c r="E242" s="667">
        <f t="shared" si="8"/>
        <v>157108.54</v>
      </c>
      <c r="F242" s="668">
        <f>+SUMIF('Anlage 2b_Korrekturen'!$B$234:$B$693,'Anlage 3b_Zusammenfassung ONU'!A242,'Anlage 2b_Korrekturen'!$F$234:$F$693)</f>
        <v>0</v>
      </c>
      <c r="G242" s="928">
        <f t="shared" si="9"/>
        <v>157108.54</v>
      </c>
      <c r="J242" t="s">
        <v>894</v>
      </c>
    </row>
    <row r="243" spans="1:10" hidden="1" outlineLevel="1">
      <c r="A243" s="853" t="s">
        <v>895</v>
      </c>
      <c r="B243" s="1698">
        <f>+VLOOKUP(A243,'Anlage 2a_Letztverbrauch'!$A$2025:$I$2257,9,FALSE)</f>
        <v>1459040.17</v>
      </c>
      <c r="C243" s="711">
        <f>+IF(ISNA(VLOOKUP(A243,'Anlage 2a_Letztverbrauch'!$A$2788:$D$2795,4,0)),0,VLOOKUP(A243,'Anlage 2a_Letztverbrauch'!$A$2788:$D$2795,4,0))</f>
        <v>0</v>
      </c>
      <c r="D243" s="711">
        <v>0</v>
      </c>
      <c r="E243" s="667">
        <f t="shared" si="8"/>
        <v>1459040.17</v>
      </c>
      <c r="F243" s="668">
        <f>+SUMIF('Anlage 2b_Korrekturen'!$B$234:$B$693,'Anlage 3b_Zusammenfassung ONU'!A243,'Anlage 2b_Korrekturen'!$F$234:$F$693)</f>
        <v>-4771.9399999999996</v>
      </c>
      <c r="G243" s="928">
        <f t="shared" si="9"/>
        <v>1454268.23</v>
      </c>
      <c r="J243" t="s">
        <v>896</v>
      </c>
    </row>
    <row r="244" spans="1:10" hidden="1" outlineLevel="1">
      <c r="A244" s="853" t="s">
        <v>897</v>
      </c>
      <c r="B244" s="1698">
        <f>+VLOOKUP(A244,'Anlage 2a_Letztverbrauch'!$A$2025:$I$2257,9,FALSE)</f>
        <v>90432</v>
      </c>
      <c r="C244" s="711">
        <f>+IF(ISNA(VLOOKUP(A244,'Anlage 2a_Letztverbrauch'!$A$2788:$D$2795,4,0)),0,VLOOKUP(A244,'Anlage 2a_Letztverbrauch'!$A$2788:$D$2795,4,0))</f>
        <v>0</v>
      </c>
      <c r="D244" s="711">
        <v>0</v>
      </c>
      <c r="E244" s="667">
        <f t="shared" si="8"/>
        <v>90432</v>
      </c>
      <c r="F244" s="668">
        <f>+SUMIF('Anlage 2b_Korrekturen'!$B$234:$B$693,'Anlage 3b_Zusammenfassung ONU'!A244,'Anlage 2b_Korrekturen'!$F$234:$F$693)</f>
        <v>1028.24</v>
      </c>
      <c r="G244" s="928">
        <f t="shared" si="9"/>
        <v>91460.24</v>
      </c>
      <c r="J244" t="s">
        <v>898</v>
      </c>
    </row>
    <row r="245" spans="1:10" hidden="1" outlineLevel="1">
      <c r="A245" s="853" t="s">
        <v>899</v>
      </c>
      <c r="B245" s="1698">
        <f>+VLOOKUP(A245,'Anlage 2a_Letztverbrauch'!$A$2025:$I$2257,9,FALSE)</f>
        <v>2738277.29</v>
      </c>
      <c r="C245" s="711">
        <f>+IF(ISNA(VLOOKUP(A245,'Anlage 2a_Letztverbrauch'!$A$2788:$D$2795,4,0)),0,VLOOKUP(A245,'Anlage 2a_Letztverbrauch'!$A$2788:$D$2795,4,0))</f>
        <v>0</v>
      </c>
      <c r="D245" s="711">
        <v>0</v>
      </c>
      <c r="E245" s="667">
        <f t="shared" ref="E245:E308" si="10">B245+C245+D245</f>
        <v>2738277.29</v>
      </c>
      <c r="F245" s="668">
        <f>+SUMIF('Anlage 2b_Korrekturen'!$B$234:$B$693,'Anlage 3b_Zusammenfassung ONU'!A245,'Anlage 2b_Korrekturen'!$F$234:$F$693)</f>
        <v>0</v>
      </c>
      <c r="G245" s="928">
        <f t="shared" si="9"/>
        <v>2738277.29</v>
      </c>
      <c r="J245" t="s">
        <v>900</v>
      </c>
    </row>
    <row r="246" spans="1:10" hidden="1" outlineLevel="1">
      <c r="A246" s="853" t="s">
        <v>901</v>
      </c>
      <c r="B246" s="1698">
        <f>+VLOOKUP(A246,'Anlage 2a_Letztverbrauch'!$A$2025:$I$2257,9,FALSE)</f>
        <v>2009764.65</v>
      </c>
      <c r="C246" s="711">
        <f>+IF(ISNA(VLOOKUP(A246,'Anlage 2a_Letztverbrauch'!$A$2788:$D$2795,4,0)),0,VLOOKUP(A246,'Anlage 2a_Letztverbrauch'!$A$2788:$D$2795,4,0))</f>
        <v>0</v>
      </c>
      <c r="D246" s="711">
        <v>0</v>
      </c>
      <c r="E246" s="667">
        <f t="shared" si="10"/>
        <v>2009764.65</v>
      </c>
      <c r="F246" s="668">
        <f>+SUMIF('Anlage 2b_Korrekturen'!$B$234:$B$693,'Anlage 3b_Zusammenfassung ONU'!A246,'Anlage 2b_Korrekturen'!$F$234:$F$693)</f>
        <v>0</v>
      </c>
      <c r="G246" s="928">
        <f t="shared" si="9"/>
        <v>2009764.65</v>
      </c>
      <c r="J246" t="s">
        <v>902</v>
      </c>
    </row>
    <row r="247" spans="1:10" hidden="1" outlineLevel="1">
      <c r="A247" s="853" t="s">
        <v>903</v>
      </c>
      <c r="B247" s="1698">
        <f>+VLOOKUP(A247,'Anlage 2a_Letztverbrauch'!$A$2025:$I$2257,9,FALSE)</f>
        <v>1104875.0900000001</v>
      </c>
      <c r="C247" s="711">
        <f>+IF(ISNA(VLOOKUP(A247,'Anlage 2a_Letztverbrauch'!$A$2788:$D$2795,4,0)),0,VLOOKUP(A247,'Anlage 2a_Letztverbrauch'!$A$2788:$D$2795,4,0))</f>
        <v>0</v>
      </c>
      <c r="D247" s="711">
        <v>0</v>
      </c>
      <c r="E247" s="667">
        <f t="shared" si="10"/>
        <v>1104875.0900000001</v>
      </c>
      <c r="F247" s="668">
        <f>+SUMIF('Anlage 2b_Korrekturen'!$B$234:$B$693,'Anlage 3b_Zusammenfassung ONU'!A247,'Anlage 2b_Korrekturen'!$F$234:$F$693)</f>
        <v>9206.41</v>
      </c>
      <c r="G247" s="928">
        <f t="shared" si="9"/>
        <v>1114081.5</v>
      </c>
      <c r="J247" t="s">
        <v>904</v>
      </c>
    </row>
    <row r="248" spans="1:10" hidden="1" outlineLevel="1">
      <c r="A248" s="853" t="s">
        <v>905</v>
      </c>
      <c r="B248" s="1698">
        <f>+VLOOKUP(A248,'Anlage 2a_Letztverbrauch'!$A$2025:$I$2257,9,FALSE)</f>
        <v>249098.61</v>
      </c>
      <c r="C248" s="711">
        <f>+IF(ISNA(VLOOKUP(A248,'Anlage 2a_Letztverbrauch'!$A$2788:$D$2795,4,0)),0,VLOOKUP(A248,'Anlage 2a_Letztverbrauch'!$A$2788:$D$2795,4,0))</f>
        <v>0</v>
      </c>
      <c r="D248" s="711">
        <v>0</v>
      </c>
      <c r="E248" s="667">
        <f t="shared" si="10"/>
        <v>249098.61</v>
      </c>
      <c r="F248" s="668">
        <f>+SUMIF('Anlage 2b_Korrekturen'!$B$234:$B$693,'Anlage 3b_Zusammenfassung ONU'!A248,'Anlage 2b_Korrekturen'!$F$234:$F$693)</f>
        <v>0</v>
      </c>
      <c r="G248" s="928">
        <f t="shared" si="9"/>
        <v>249098.61</v>
      </c>
      <c r="J248" t="s">
        <v>906</v>
      </c>
    </row>
    <row r="249" spans="1:10" hidden="1" outlineLevel="1">
      <c r="A249" s="853" t="s">
        <v>907</v>
      </c>
      <c r="B249" s="1698">
        <f>+VLOOKUP(A249,'Anlage 2a_Letztverbrauch'!$A$2025:$I$2257,9,FALSE)</f>
        <v>1066857.58</v>
      </c>
      <c r="C249" s="711">
        <f>+IF(ISNA(VLOOKUP(A249,'Anlage 2a_Letztverbrauch'!$A$2788:$D$2795,4,0)),0,VLOOKUP(A249,'Anlage 2a_Letztverbrauch'!$A$2788:$D$2795,4,0))</f>
        <v>0</v>
      </c>
      <c r="D249" s="711">
        <v>0</v>
      </c>
      <c r="E249" s="667">
        <f t="shared" si="10"/>
        <v>1066857.58</v>
      </c>
      <c r="F249" s="668">
        <f>+SUMIF('Anlage 2b_Korrekturen'!$B$234:$B$693,'Anlage 3b_Zusammenfassung ONU'!A249,'Anlage 2b_Korrekturen'!$F$234:$F$693)</f>
        <v>-23970.2</v>
      </c>
      <c r="G249" s="928">
        <f t="shared" si="9"/>
        <v>1042887.3800000001</v>
      </c>
      <c r="J249" t="s">
        <v>908</v>
      </c>
    </row>
    <row r="250" spans="1:10" hidden="1" outlineLevel="1">
      <c r="A250" s="853" t="s">
        <v>909</v>
      </c>
      <c r="B250" s="1698">
        <f>+VLOOKUP(A250,'Anlage 2a_Letztverbrauch'!$A$2025:$I$2257,9,FALSE)</f>
        <v>20788504.039999999</v>
      </c>
      <c r="C250" s="711">
        <f>+IF(ISNA(VLOOKUP(A250,'Anlage 2a_Letztverbrauch'!$A$2788:$D$2795,4,0)),0,VLOOKUP(A250,'Anlage 2a_Letztverbrauch'!$A$2788:$D$2795,4,0))</f>
        <v>0</v>
      </c>
      <c r="D250" s="711">
        <v>0</v>
      </c>
      <c r="E250" s="667">
        <f t="shared" si="10"/>
        <v>20788504.039999999</v>
      </c>
      <c r="F250" s="668">
        <f>+SUMIF('Anlage 2b_Korrekturen'!$B$234:$B$693,'Anlage 3b_Zusammenfassung ONU'!A250,'Anlage 2b_Korrekturen'!$F$234:$F$693)</f>
        <v>30688.390000000003</v>
      </c>
      <c r="G250" s="928">
        <f t="shared" si="9"/>
        <v>20819192.43</v>
      </c>
      <c r="J250" t="s">
        <v>910</v>
      </c>
    </row>
    <row r="251" spans="1:10" hidden="1" outlineLevel="1">
      <c r="A251" s="853" t="s">
        <v>911</v>
      </c>
      <c r="B251" s="1698">
        <f>+VLOOKUP(A251,'Anlage 2a_Letztverbrauch'!$A$2025:$I$2257,9,FALSE)</f>
        <v>2313175.1800000002</v>
      </c>
      <c r="C251" s="711">
        <f>+IF(ISNA(VLOOKUP(A251,'Anlage 2a_Letztverbrauch'!$A$2788:$D$2795,4,0)),0,VLOOKUP(A251,'Anlage 2a_Letztverbrauch'!$A$2788:$D$2795,4,0))</f>
        <v>0</v>
      </c>
      <c r="D251" s="711">
        <v>0</v>
      </c>
      <c r="E251" s="667">
        <f t="shared" si="10"/>
        <v>2313175.1800000002</v>
      </c>
      <c r="F251" s="668">
        <f>+SUMIF('Anlage 2b_Korrekturen'!$B$234:$B$693,'Anlage 3b_Zusammenfassung ONU'!A251,'Anlage 2b_Korrekturen'!$F$234:$F$693)</f>
        <v>0</v>
      </c>
      <c r="G251" s="928">
        <f t="shared" si="9"/>
        <v>2313175.1800000002</v>
      </c>
      <c r="J251" t="s">
        <v>912</v>
      </c>
    </row>
    <row r="252" spans="1:10" hidden="1" outlineLevel="1">
      <c r="A252" s="853" t="s">
        <v>913</v>
      </c>
      <c r="B252" s="1698">
        <f>+VLOOKUP(A252,'Anlage 2a_Letztverbrauch'!$A$2025:$I$2257,9,FALSE)</f>
        <v>683619.76</v>
      </c>
      <c r="C252" s="711">
        <f>+IF(ISNA(VLOOKUP(A252,'Anlage 2a_Letztverbrauch'!$A$2788:$D$2795,4,0)),0,VLOOKUP(A252,'Anlage 2a_Letztverbrauch'!$A$2788:$D$2795,4,0))</f>
        <v>0</v>
      </c>
      <c r="D252" s="711">
        <v>0</v>
      </c>
      <c r="E252" s="667">
        <f t="shared" si="10"/>
        <v>683619.76</v>
      </c>
      <c r="F252" s="668">
        <f>+SUMIF('Anlage 2b_Korrekturen'!$B$234:$B$693,'Anlage 3b_Zusammenfassung ONU'!A252,'Anlage 2b_Korrekturen'!$F$234:$F$693)</f>
        <v>-935.97</v>
      </c>
      <c r="G252" s="928">
        <f t="shared" si="9"/>
        <v>682683.79</v>
      </c>
      <c r="J252" t="s">
        <v>914</v>
      </c>
    </row>
    <row r="253" spans="1:10" hidden="1" outlineLevel="1">
      <c r="A253" s="853" t="s">
        <v>915</v>
      </c>
      <c r="B253" s="1698">
        <f>+VLOOKUP(A253,'Anlage 2a_Letztverbrauch'!$A$2025:$I$2257,9,FALSE)</f>
        <v>1277063.04</v>
      </c>
      <c r="C253" s="711">
        <f>+IF(ISNA(VLOOKUP(A253,'Anlage 2a_Letztverbrauch'!$A$2788:$D$2795,4,0)),0,VLOOKUP(A253,'Anlage 2a_Letztverbrauch'!$A$2788:$D$2795,4,0))</f>
        <v>0</v>
      </c>
      <c r="D253" s="711">
        <v>0</v>
      </c>
      <c r="E253" s="667">
        <f t="shared" si="10"/>
        <v>1277063.04</v>
      </c>
      <c r="F253" s="668">
        <f>+SUMIF('Anlage 2b_Korrekturen'!$B$234:$B$693,'Anlage 3b_Zusammenfassung ONU'!A253,'Anlage 2b_Korrekturen'!$F$234:$F$693)</f>
        <v>41599.760000000002</v>
      </c>
      <c r="G253" s="928">
        <f t="shared" si="9"/>
        <v>1318662.8</v>
      </c>
      <c r="J253" t="s">
        <v>916</v>
      </c>
    </row>
    <row r="254" spans="1:10" hidden="1" outlineLevel="1">
      <c r="A254" s="853" t="s">
        <v>917</v>
      </c>
      <c r="B254" s="1698">
        <f>+VLOOKUP(A254,'Anlage 2a_Letztverbrauch'!$A$2025:$I$2257,9,FALSE)</f>
        <v>612776.95999999996</v>
      </c>
      <c r="C254" s="711">
        <f>+IF(ISNA(VLOOKUP(A254,'Anlage 2a_Letztverbrauch'!$A$2788:$D$2795,4,0)),0,VLOOKUP(A254,'Anlage 2a_Letztverbrauch'!$A$2788:$D$2795,4,0))</f>
        <v>0</v>
      </c>
      <c r="D254" s="711">
        <v>0</v>
      </c>
      <c r="E254" s="667">
        <f t="shared" si="10"/>
        <v>612776.95999999996</v>
      </c>
      <c r="F254" s="668">
        <f>+SUMIF('Anlage 2b_Korrekturen'!$B$234:$B$693,'Anlage 3b_Zusammenfassung ONU'!A254,'Anlage 2b_Korrekturen'!$F$234:$F$693)</f>
        <v>-313.02</v>
      </c>
      <c r="G254" s="928">
        <f t="shared" si="9"/>
        <v>612463.93999999994</v>
      </c>
      <c r="J254" t="s">
        <v>918</v>
      </c>
    </row>
    <row r="255" spans="1:10" hidden="1" outlineLevel="1">
      <c r="A255" s="853" t="s">
        <v>919</v>
      </c>
      <c r="B255" s="1698">
        <f>+VLOOKUP(A255,'Anlage 2a_Letztverbrauch'!$A$2025:$I$2257,9,FALSE)</f>
        <v>3693998.79</v>
      </c>
      <c r="C255" s="711">
        <f>+IF(ISNA(VLOOKUP(A255,'Anlage 2a_Letztverbrauch'!$A$2788:$D$2795,4,0)),0,VLOOKUP(A255,'Anlage 2a_Letztverbrauch'!$A$2788:$D$2795,4,0))</f>
        <v>0</v>
      </c>
      <c r="D255" s="711">
        <v>0</v>
      </c>
      <c r="E255" s="667">
        <f t="shared" si="10"/>
        <v>3693998.79</v>
      </c>
      <c r="F255" s="668">
        <f>+SUMIF('Anlage 2b_Korrekturen'!$B$234:$B$693,'Anlage 3b_Zusammenfassung ONU'!A255,'Anlage 2b_Korrekturen'!$F$234:$F$693)</f>
        <v>-12921.779999999999</v>
      </c>
      <c r="G255" s="928">
        <f t="shared" si="9"/>
        <v>3681077.0100000002</v>
      </c>
      <c r="J255" t="s">
        <v>920</v>
      </c>
    </row>
    <row r="256" spans="1:10" hidden="1" outlineLevel="1">
      <c r="A256" s="853" t="s">
        <v>921</v>
      </c>
      <c r="B256" s="1698">
        <f>+VLOOKUP(A256,'Anlage 2a_Letztverbrauch'!$A$2025:$I$2257,9,FALSE)</f>
        <v>2761544.41</v>
      </c>
      <c r="C256" s="711">
        <f>+IF(ISNA(VLOOKUP(A256,'Anlage 2a_Letztverbrauch'!$A$2788:$D$2795,4,0)),0,VLOOKUP(A256,'Anlage 2a_Letztverbrauch'!$A$2788:$D$2795,4,0))</f>
        <v>0</v>
      </c>
      <c r="D256" s="711">
        <v>0</v>
      </c>
      <c r="E256" s="667">
        <f t="shared" si="10"/>
        <v>2761544.41</v>
      </c>
      <c r="F256" s="668">
        <f>+SUMIF('Anlage 2b_Korrekturen'!$B$234:$B$693,'Anlage 3b_Zusammenfassung ONU'!A256,'Anlage 2b_Korrekturen'!$F$234:$F$693)</f>
        <v>32047.25</v>
      </c>
      <c r="G256" s="928">
        <f t="shared" si="9"/>
        <v>2793591.66</v>
      </c>
      <c r="J256" t="s">
        <v>922</v>
      </c>
    </row>
    <row r="257" spans="1:10" hidden="1" outlineLevel="1">
      <c r="A257" s="853" t="s">
        <v>923</v>
      </c>
      <c r="B257" s="1698">
        <f>+VLOOKUP(A257,'Anlage 2a_Letztverbrauch'!$A$2025:$I$2257,9,FALSE)</f>
        <v>1368627.2</v>
      </c>
      <c r="C257" s="711">
        <f>+IF(ISNA(VLOOKUP(A257,'Anlage 2a_Letztverbrauch'!$A$2788:$D$2795,4,0)),0,VLOOKUP(A257,'Anlage 2a_Letztverbrauch'!$A$2788:$D$2795,4,0))</f>
        <v>0</v>
      </c>
      <c r="D257" s="711">
        <v>0</v>
      </c>
      <c r="E257" s="667">
        <f t="shared" si="10"/>
        <v>1368627.2</v>
      </c>
      <c r="F257" s="668">
        <f>+SUMIF('Anlage 2b_Korrekturen'!$B$234:$B$693,'Anlage 3b_Zusammenfassung ONU'!A257,'Anlage 2b_Korrekturen'!$F$234:$F$693)</f>
        <v>4467.2</v>
      </c>
      <c r="G257" s="928">
        <f t="shared" si="9"/>
        <v>1373094.4</v>
      </c>
      <c r="J257" t="s">
        <v>924</v>
      </c>
    </row>
    <row r="258" spans="1:10" hidden="1" outlineLevel="1">
      <c r="A258" s="853" t="s">
        <v>925</v>
      </c>
      <c r="B258" s="1698">
        <f>+VLOOKUP(A258,'Anlage 2a_Letztverbrauch'!$A$2025:$I$2257,9,FALSE)</f>
        <v>116653.33</v>
      </c>
      <c r="C258" s="711">
        <f>+IF(ISNA(VLOOKUP(A258,'Anlage 2a_Letztverbrauch'!$A$2788:$D$2795,4,0)),0,VLOOKUP(A258,'Anlage 2a_Letztverbrauch'!$A$2788:$D$2795,4,0))</f>
        <v>0</v>
      </c>
      <c r="D258" s="711">
        <v>0</v>
      </c>
      <c r="E258" s="667">
        <f t="shared" si="10"/>
        <v>116653.33</v>
      </c>
      <c r="F258" s="668">
        <f>+SUMIF('Anlage 2b_Korrekturen'!$B$234:$B$693,'Anlage 3b_Zusammenfassung ONU'!A258,'Anlage 2b_Korrekturen'!$F$234:$F$693)</f>
        <v>0</v>
      </c>
      <c r="G258" s="928">
        <f t="shared" si="9"/>
        <v>116653.33</v>
      </c>
      <c r="J258" t="s">
        <v>926</v>
      </c>
    </row>
    <row r="259" spans="1:10" hidden="1" outlineLevel="1">
      <c r="A259" s="853" t="s">
        <v>927</v>
      </c>
      <c r="B259" s="1698">
        <f>+VLOOKUP(A259,'Anlage 2a_Letztverbrauch'!$A$2025:$I$2257,9,FALSE)</f>
        <v>86147.76</v>
      </c>
      <c r="C259" s="711">
        <f>+IF(ISNA(VLOOKUP(A259,'Anlage 2a_Letztverbrauch'!$A$2788:$D$2795,4,0)),0,VLOOKUP(A259,'Anlage 2a_Letztverbrauch'!$A$2788:$D$2795,4,0))</f>
        <v>0</v>
      </c>
      <c r="D259" s="711">
        <v>0</v>
      </c>
      <c r="E259" s="667">
        <f t="shared" si="10"/>
        <v>86147.76</v>
      </c>
      <c r="F259" s="668">
        <f>+SUMIF('Anlage 2b_Korrekturen'!$B$234:$B$693,'Anlage 3b_Zusammenfassung ONU'!A259,'Anlage 2b_Korrekturen'!$F$234:$F$693)</f>
        <v>-661.44999999999993</v>
      </c>
      <c r="G259" s="928">
        <f t="shared" si="9"/>
        <v>85486.31</v>
      </c>
      <c r="J259" t="s">
        <v>928</v>
      </c>
    </row>
    <row r="260" spans="1:10" hidden="1" outlineLevel="1">
      <c r="A260" s="853" t="s">
        <v>929</v>
      </c>
      <c r="B260" s="1698">
        <f>+VLOOKUP(A260,'Anlage 2a_Letztverbrauch'!$A$2025:$I$2257,9,FALSE)</f>
        <v>609743.66</v>
      </c>
      <c r="C260" s="711">
        <f>+IF(ISNA(VLOOKUP(A260,'Anlage 2a_Letztverbrauch'!$A$2788:$D$2795,4,0)),0,VLOOKUP(A260,'Anlage 2a_Letztverbrauch'!$A$2788:$D$2795,4,0))</f>
        <v>0</v>
      </c>
      <c r="D260" s="711">
        <v>0</v>
      </c>
      <c r="E260" s="667">
        <f t="shared" si="10"/>
        <v>609743.66</v>
      </c>
      <c r="F260" s="668">
        <f>+SUMIF('Anlage 2b_Korrekturen'!$B$234:$B$693,'Anlage 3b_Zusammenfassung ONU'!A260,'Anlage 2b_Korrekturen'!$F$234:$F$693)</f>
        <v>-112.82</v>
      </c>
      <c r="G260" s="928">
        <f t="shared" si="9"/>
        <v>609630.84000000008</v>
      </c>
      <c r="J260" t="s">
        <v>930</v>
      </c>
    </row>
    <row r="261" spans="1:10" hidden="1" outlineLevel="1">
      <c r="A261" s="853" t="s">
        <v>931</v>
      </c>
      <c r="B261" s="1698">
        <f>+VLOOKUP(A261,'Anlage 2a_Letztverbrauch'!$A$2025:$I$2257,9,FALSE)</f>
        <v>826512.41</v>
      </c>
      <c r="C261" s="711">
        <f>+IF(ISNA(VLOOKUP(A261,'Anlage 2a_Letztverbrauch'!$A$2788:$D$2795,4,0)),0,VLOOKUP(A261,'Anlage 2a_Letztverbrauch'!$A$2788:$D$2795,4,0))</f>
        <v>-155627.07</v>
      </c>
      <c r="D261" s="711">
        <v>0</v>
      </c>
      <c r="E261" s="667">
        <f t="shared" si="10"/>
        <v>670885.34000000008</v>
      </c>
      <c r="F261" s="668">
        <f>+SUMIF('Anlage 2b_Korrekturen'!$B$234:$B$693,'Anlage 3b_Zusammenfassung ONU'!A261,'Anlage 2b_Korrekturen'!$F$234:$F$693)</f>
        <v>0</v>
      </c>
      <c r="G261" s="928">
        <f t="shared" si="9"/>
        <v>670885.34000000008</v>
      </c>
      <c r="J261" t="s">
        <v>932</v>
      </c>
    </row>
    <row r="262" spans="1:10" hidden="1" outlineLevel="1">
      <c r="A262" s="853" t="s">
        <v>933</v>
      </c>
      <c r="B262" s="1698">
        <f>+VLOOKUP(A262,'Anlage 2a_Letztverbrauch'!$A$2025:$I$2257,9,FALSE)</f>
        <v>18964509.170000002</v>
      </c>
      <c r="C262" s="711">
        <f>+IF(ISNA(VLOOKUP(A262,'Anlage 2a_Letztverbrauch'!$A$2788:$D$2795,4,0)),0,VLOOKUP(A262,'Anlage 2a_Letztverbrauch'!$A$2788:$D$2795,4,0))</f>
        <v>0</v>
      </c>
      <c r="D262" s="711">
        <v>0</v>
      </c>
      <c r="E262" s="667">
        <f t="shared" si="10"/>
        <v>18964509.170000002</v>
      </c>
      <c r="F262" s="668">
        <f>+SUMIF('Anlage 2b_Korrekturen'!$B$234:$B$693,'Anlage 3b_Zusammenfassung ONU'!A262,'Anlage 2b_Korrekturen'!$F$234:$F$693)</f>
        <v>-176150.75</v>
      </c>
      <c r="G262" s="928">
        <f t="shared" si="9"/>
        <v>18788358.420000002</v>
      </c>
      <c r="J262" t="s">
        <v>934</v>
      </c>
    </row>
    <row r="263" spans="1:10" hidden="1" outlineLevel="1">
      <c r="A263" s="853" t="s">
        <v>935</v>
      </c>
      <c r="B263" s="1698">
        <f>+VLOOKUP(A263,'Anlage 2a_Letztverbrauch'!$A$2025:$I$2257,9,FALSE)</f>
        <v>379108.69</v>
      </c>
      <c r="C263" s="711">
        <f>+IF(ISNA(VLOOKUP(A263,'Anlage 2a_Letztverbrauch'!$A$2788:$D$2795,4,0)),0,VLOOKUP(A263,'Anlage 2a_Letztverbrauch'!$A$2788:$D$2795,4,0))</f>
        <v>0</v>
      </c>
      <c r="D263" s="711">
        <v>0</v>
      </c>
      <c r="E263" s="667">
        <f t="shared" si="10"/>
        <v>379108.69</v>
      </c>
      <c r="F263" s="668">
        <f>+SUMIF('Anlage 2b_Korrekturen'!$B$234:$B$693,'Anlage 3b_Zusammenfassung ONU'!A263,'Anlage 2b_Korrekturen'!$F$234:$F$693)</f>
        <v>0</v>
      </c>
      <c r="G263" s="928">
        <f t="shared" si="9"/>
        <v>379108.69</v>
      </c>
      <c r="J263" t="s">
        <v>936</v>
      </c>
    </row>
    <row r="264" spans="1:10" hidden="1" outlineLevel="1">
      <c r="A264" s="853" t="s">
        <v>937</v>
      </c>
      <c r="B264" s="1698">
        <f>+VLOOKUP(A264,'Anlage 2a_Letztverbrauch'!$A$2025:$I$2257,9,FALSE)</f>
        <v>327227.69</v>
      </c>
      <c r="C264" s="711">
        <f>+IF(ISNA(VLOOKUP(A264,'Anlage 2a_Letztverbrauch'!$A$2788:$D$2795,4,0)),0,VLOOKUP(A264,'Anlage 2a_Letztverbrauch'!$A$2788:$D$2795,4,0))</f>
        <v>0</v>
      </c>
      <c r="D264" s="711">
        <v>0</v>
      </c>
      <c r="E264" s="667">
        <f t="shared" si="10"/>
        <v>327227.69</v>
      </c>
      <c r="F264" s="668">
        <f>+SUMIF('Anlage 2b_Korrekturen'!$B$234:$B$693,'Anlage 3b_Zusammenfassung ONU'!A264,'Anlage 2b_Korrekturen'!$F$234:$F$693)</f>
        <v>-109086.53</v>
      </c>
      <c r="G264" s="928">
        <f t="shared" si="9"/>
        <v>218141.16</v>
      </c>
      <c r="J264" t="s">
        <v>938</v>
      </c>
    </row>
    <row r="265" spans="1:10" hidden="1" outlineLevel="1">
      <c r="A265" s="853" t="s">
        <v>939</v>
      </c>
      <c r="B265" s="1698">
        <f>+VLOOKUP(A265,'Anlage 2a_Letztverbrauch'!$A$2025:$I$2257,9,FALSE)</f>
        <v>2071633.2</v>
      </c>
      <c r="C265" s="711">
        <f>+IF(ISNA(VLOOKUP(A265,'Anlage 2a_Letztverbrauch'!$A$2788:$D$2795,4,0)),0,VLOOKUP(A265,'Anlage 2a_Letztverbrauch'!$A$2788:$D$2795,4,0))</f>
        <v>-30169.13</v>
      </c>
      <c r="D265" s="711">
        <v>0</v>
      </c>
      <c r="E265" s="667">
        <f t="shared" si="10"/>
        <v>2041464.07</v>
      </c>
      <c r="F265" s="668">
        <f>+SUMIF('Anlage 2b_Korrekturen'!$B$234:$B$693,'Anlage 3b_Zusammenfassung ONU'!A265,'Anlage 2b_Korrekturen'!$F$234:$F$693)</f>
        <v>24282.6</v>
      </c>
      <c r="G265" s="928">
        <f t="shared" si="9"/>
        <v>2065746.6700000002</v>
      </c>
      <c r="J265" t="s">
        <v>940</v>
      </c>
    </row>
    <row r="266" spans="1:10" hidden="1" outlineLevel="1">
      <c r="A266" s="853" t="s">
        <v>941</v>
      </c>
      <c r="B266" s="1698">
        <f>+VLOOKUP(A266,'Anlage 2a_Letztverbrauch'!$A$2025:$I$2257,9,FALSE)</f>
        <v>843207.08</v>
      </c>
      <c r="C266" s="711">
        <f>+IF(ISNA(VLOOKUP(A266,'Anlage 2a_Letztverbrauch'!$A$2788:$D$2795,4,0)),0,VLOOKUP(A266,'Anlage 2a_Letztverbrauch'!$A$2788:$D$2795,4,0))</f>
        <v>0</v>
      </c>
      <c r="D266" s="711">
        <v>0</v>
      </c>
      <c r="E266" s="667">
        <f t="shared" si="10"/>
        <v>843207.08</v>
      </c>
      <c r="F266" s="668">
        <f>+SUMIF('Anlage 2b_Korrekturen'!$B$234:$B$693,'Anlage 3b_Zusammenfassung ONU'!A266,'Anlage 2b_Korrekturen'!$F$234:$F$693)</f>
        <v>6352.8700000000008</v>
      </c>
      <c r="G266" s="928">
        <f t="shared" si="9"/>
        <v>849559.95</v>
      </c>
      <c r="J266" t="s">
        <v>942</v>
      </c>
    </row>
    <row r="267" spans="1:10" hidden="1" outlineLevel="1">
      <c r="A267" s="853" t="s">
        <v>943</v>
      </c>
      <c r="B267" s="1698">
        <f>+VLOOKUP(A267,'Anlage 2a_Letztverbrauch'!$A$2025:$I$2257,9,FALSE)</f>
        <v>4344021.5599999996</v>
      </c>
      <c r="C267" s="711">
        <f>+IF(ISNA(VLOOKUP(A267,'Anlage 2a_Letztverbrauch'!$A$2788:$D$2795,4,0)),0,VLOOKUP(A267,'Anlage 2a_Letztverbrauch'!$A$2788:$D$2795,4,0))</f>
        <v>0</v>
      </c>
      <c r="D267" s="711">
        <v>0</v>
      </c>
      <c r="E267" s="667">
        <f t="shared" si="10"/>
        <v>4344021.5599999996</v>
      </c>
      <c r="F267" s="668">
        <f>+SUMIF('Anlage 2b_Korrekturen'!$B$234:$B$693,'Anlage 3b_Zusammenfassung ONU'!A267,'Anlage 2b_Korrekturen'!$F$234:$F$693)</f>
        <v>-4622.4599999999991</v>
      </c>
      <c r="G267" s="928">
        <f t="shared" si="9"/>
        <v>4339399.0999999996</v>
      </c>
      <c r="J267" t="s">
        <v>944</v>
      </c>
    </row>
    <row r="268" spans="1:10" hidden="1" outlineLevel="1">
      <c r="A268" s="853" t="s">
        <v>945</v>
      </c>
      <c r="B268" s="1698">
        <f>+VLOOKUP(A268,'Anlage 2a_Letztverbrauch'!$A$2025:$I$2257,9,FALSE)</f>
        <v>1129298.26</v>
      </c>
      <c r="C268" s="711">
        <f>+IF(ISNA(VLOOKUP(A268,'Anlage 2a_Letztverbrauch'!$A$2788:$D$2795,4,0)),0,VLOOKUP(A268,'Anlage 2a_Letztverbrauch'!$A$2788:$D$2795,4,0))</f>
        <v>0</v>
      </c>
      <c r="D268" s="711">
        <v>0</v>
      </c>
      <c r="E268" s="667">
        <f t="shared" si="10"/>
        <v>1129298.26</v>
      </c>
      <c r="F268" s="668">
        <f>+SUMIF('Anlage 2b_Korrekturen'!$B$234:$B$693,'Anlage 3b_Zusammenfassung ONU'!A268,'Anlage 2b_Korrekturen'!$F$234:$F$693)</f>
        <v>10249.450000000001</v>
      </c>
      <c r="G268" s="928">
        <f t="shared" ref="G268:G331" si="11">E268+F268</f>
        <v>1139547.71</v>
      </c>
      <c r="J268" t="s">
        <v>946</v>
      </c>
    </row>
    <row r="269" spans="1:10" hidden="1" outlineLevel="1">
      <c r="A269" s="853" t="s">
        <v>947</v>
      </c>
      <c r="B269" s="1698">
        <f>+VLOOKUP(A269,'Anlage 2a_Letztverbrauch'!$A$2025:$I$2257,9,FALSE)</f>
        <v>249242.89</v>
      </c>
      <c r="C269" s="711">
        <f>+IF(ISNA(VLOOKUP(A269,'Anlage 2a_Letztverbrauch'!$A$2788:$D$2795,4,0)),0,VLOOKUP(A269,'Anlage 2a_Letztverbrauch'!$A$2788:$D$2795,4,0))</f>
        <v>0</v>
      </c>
      <c r="D269" s="711">
        <v>0</v>
      </c>
      <c r="E269" s="667">
        <f t="shared" si="10"/>
        <v>249242.89</v>
      </c>
      <c r="F269" s="668">
        <f>+SUMIF('Anlage 2b_Korrekturen'!$B$234:$B$693,'Anlage 3b_Zusammenfassung ONU'!A269,'Anlage 2b_Korrekturen'!$F$234:$F$693)</f>
        <v>-4261.87</v>
      </c>
      <c r="G269" s="928">
        <f t="shared" si="11"/>
        <v>244981.02000000002</v>
      </c>
      <c r="J269" t="s">
        <v>948</v>
      </c>
    </row>
    <row r="270" spans="1:10" hidden="1" outlineLevel="1">
      <c r="A270" s="853" t="s">
        <v>949</v>
      </c>
      <c r="B270" s="1698">
        <f>+VLOOKUP(A270,'Anlage 2a_Letztverbrauch'!$A$2025:$I$2257,9,FALSE)</f>
        <v>942301.72</v>
      </c>
      <c r="C270" s="711">
        <f>+IF(ISNA(VLOOKUP(A270,'Anlage 2a_Letztverbrauch'!$A$2788:$D$2795,4,0)),0,VLOOKUP(A270,'Anlage 2a_Letztverbrauch'!$A$2788:$D$2795,4,0))</f>
        <v>0</v>
      </c>
      <c r="D270" s="711">
        <v>0</v>
      </c>
      <c r="E270" s="667">
        <f t="shared" si="10"/>
        <v>942301.72</v>
      </c>
      <c r="F270" s="668">
        <f>+SUMIF('Anlage 2b_Korrekturen'!$B$234:$B$693,'Anlage 3b_Zusammenfassung ONU'!A270,'Anlage 2b_Korrekturen'!$F$234:$F$693)</f>
        <v>26052.399999999998</v>
      </c>
      <c r="G270" s="928">
        <f t="shared" si="11"/>
        <v>968354.12</v>
      </c>
      <c r="J270" t="s">
        <v>950</v>
      </c>
    </row>
    <row r="271" spans="1:10" hidden="1" outlineLevel="1">
      <c r="A271" s="853" t="s">
        <v>951</v>
      </c>
      <c r="B271" s="1698">
        <f>+VLOOKUP(A271,'Anlage 2a_Letztverbrauch'!$A$2025:$I$2257,9,FALSE)</f>
        <v>16933.95</v>
      </c>
      <c r="C271" s="711">
        <f>+IF(ISNA(VLOOKUP(A271,'Anlage 2a_Letztverbrauch'!$A$2788:$D$2795,4,0)),0,VLOOKUP(A271,'Anlage 2a_Letztverbrauch'!$A$2788:$D$2795,4,0))</f>
        <v>0</v>
      </c>
      <c r="D271" s="711">
        <v>0</v>
      </c>
      <c r="E271" s="667">
        <f t="shared" si="10"/>
        <v>16933.95</v>
      </c>
      <c r="F271" s="668">
        <f>+SUMIF('Anlage 2b_Korrekturen'!$B$234:$B$693,'Anlage 3b_Zusammenfassung ONU'!A271,'Anlage 2b_Korrekturen'!$F$234:$F$693)</f>
        <v>0</v>
      </c>
      <c r="G271" s="928">
        <f t="shared" si="11"/>
        <v>16933.95</v>
      </c>
      <c r="J271" t="s">
        <v>952</v>
      </c>
    </row>
    <row r="272" spans="1:10" hidden="1" outlineLevel="1">
      <c r="A272" s="853" t="s">
        <v>951</v>
      </c>
      <c r="B272" s="1698">
        <v>309763.71000000002</v>
      </c>
      <c r="C272" s="711">
        <f>+IF(ISNA(VLOOKUP(A272,'Anlage 2a_Letztverbrauch'!$A$2788:$D$2795,4,0)),0,VLOOKUP(A272,'Anlage 2a_Letztverbrauch'!$A$2788:$D$2795,4,0))</f>
        <v>0</v>
      </c>
      <c r="D272" s="711">
        <v>0</v>
      </c>
      <c r="E272" s="667">
        <f t="shared" si="10"/>
        <v>309763.71000000002</v>
      </c>
      <c r="F272" s="668">
        <f>+SUMIF('Anlage 2b_Korrekturen'!$B$234:$B$693,'Anlage 3b_Zusammenfassung ONU'!A272,'Anlage 2b_Korrekturen'!$F$234:$F$693)</f>
        <v>0</v>
      </c>
      <c r="G272" s="928">
        <f t="shared" si="11"/>
        <v>309763.71000000002</v>
      </c>
      <c r="J272" t="s">
        <v>952</v>
      </c>
    </row>
    <row r="273" spans="1:10" hidden="1" outlineLevel="1">
      <c r="A273" s="853" t="s">
        <v>953</v>
      </c>
      <c r="B273" s="1698">
        <f>+VLOOKUP(A273,'Anlage 2a_Letztverbrauch'!$A$2025:$I$2257,9,FALSE)</f>
        <v>560218.85</v>
      </c>
      <c r="C273" s="711">
        <f>+IF(ISNA(VLOOKUP(A273,'Anlage 2a_Letztverbrauch'!$A$2788:$D$2795,4,0)),0,VLOOKUP(A273,'Anlage 2a_Letztverbrauch'!$A$2788:$D$2795,4,0))</f>
        <v>0</v>
      </c>
      <c r="D273" s="711">
        <v>0</v>
      </c>
      <c r="E273" s="667">
        <f t="shared" si="10"/>
        <v>560218.85</v>
      </c>
      <c r="F273" s="668">
        <f>+SUMIF('Anlage 2b_Korrekturen'!$B$234:$B$693,'Anlage 3b_Zusammenfassung ONU'!A273,'Anlage 2b_Korrekturen'!$F$234:$F$693)</f>
        <v>-668.18000000000006</v>
      </c>
      <c r="G273" s="928">
        <f t="shared" si="11"/>
        <v>559550.66999999993</v>
      </c>
      <c r="J273" t="s">
        <v>954</v>
      </c>
    </row>
    <row r="274" spans="1:10" hidden="1" outlineLevel="1">
      <c r="A274" s="853" t="s">
        <v>955</v>
      </c>
      <c r="B274" s="1698">
        <f>+VLOOKUP(A274,'Anlage 2a_Letztverbrauch'!$A$2025:$I$2257,9,FALSE)</f>
        <v>1165557.1100000001</v>
      </c>
      <c r="C274" s="711">
        <f>+IF(ISNA(VLOOKUP(A274,'Anlage 2a_Letztverbrauch'!$A$2788:$D$2795,4,0)),0,VLOOKUP(A274,'Anlage 2a_Letztverbrauch'!$A$2788:$D$2795,4,0))</f>
        <v>0</v>
      </c>
      <c r="D274" s="711">
        <v>0</v>
      </c>
      <c r="E274" s="667">
        <f t="shared" si="10"/>
        <v>1165557.1100000001</v>
      </c>
      <c r="F274" s="668">
        <f>+SUMIF('Anlage 2b_Korrekturen'!$B$234:$B$693,'Anlage 3b_Zusammenfassung ONU'!A274,'Anlage 2b_Korrekturen'!$F$234:$F$693)</f>
        <v>63.480000000000018</v>
      </c>
      <c r="G274" s="928">
        <f t="shared" si="11"/>
        <v>1165620.5900000001</v>
      </c>
      <c r="J274" t="s">
        <v>956</v>
      </c>
    </row>
    <row r="275" spans="1:10" hidden="1" outlineLevel="1">
      <c r="A275" s="853" t="s">
        <v>957</v>
      </c>
      <c r="B275" s="1698">
        <f>+VLOOKUP(A275,'Anlage 2a_Letztverbrauch'!$A$2025:$I$2257,9,FALSE)</f>
        <v>4951086.41</v>
      </c>
      <c r="C275" s="711">
        <f>+IF(ISNA(VLOOKUP(A275,'Anlage 2a_Letztverbrauch'!$A$2788:$D$2795,4,0)),0,VLOOKUP(A275,'Anlage 2a_Letztverbrauch'!$A$2788:$D$2795,4,0))</f>
        <v>0</v>
      </c>
      <c r="D275" s="711">
        <v>0</v>
      </c>
      <c r="E275" s="667">
        <f t="shared" si="10"/>
        <v>4951086.41</v>
      </c>
      <c r="F275" s="668">
        <f>+SUMIF('Anlage 2b_Korrekturen'!$B$234:$B$693,'Anlage 3b_Zusammenfassung ONU'!A275,'Anlage 2b_Korrekturen'!$F$234:$F$693)</f>
        <v>-9402.77</v>
      </c>
      <c r="G275" s="928">
        <f t="shared" si="11"/>
        <v>4941683.6400000006</v>
      </c>
      <c r="J275" t="s">
        <v>958</v>
      </c>
    </row>
    <row r="276" spans="1:10" hidden="1" outlineLevel="1">
      <c r="A276" s="853" t="s">
        <v>959</v>
      </c>
      <c r="B276" s="1698">
        <f>+VLOOKUP(A276,'Anlage 2a_Letztverbrauch'!$A$2025:$I$2257,9,FALSE)</f>
        <v>2170947.67</v>
      </c>
      <c r="C276" s="711">
        <f>+IF(ISNA(VLOOKUP(A276,'Anlage 2a_Letztverbrauch'!$A$2788:$D$2795,4,0)),0,VLOOKUP(A276,'Anlage 2a_Letztverbrauch'!$A$2788:$D$2795,4,0))</f>
        <v>0</v>
      </c>
      <c r="D276" s="711">
        <v>0</v>
      </c>
      <c r="E276" s="667">
        <f t="shared" si="10"/>
        <v>2170947.67</v>
      </c>
      <c r="F276" s="668">
        <f>+SUMIF('Anlage 2b_Korrekturen'!$B$234:$B$693,'Anlage 3b_Zusammenfassung ONU'!A276,'Anlage 2b_Korrekturen'!$F$234:$F$693)</f>
        <v>75.569999999999993</v>
      </c>
      <c r="G276" s="928">
        <f t="shared" si="11"/>
        <v>2171023.2399999998</v>
      </c>
      <c r="J276" t="s">
        <v>960</v>
      </c>
    </row>
    <row r="277" spans="1:10" hidden="1" outlineLevel="1">
      <c r="A277" s="853" t="s">
        <v>961</v>
      </c>
      <c r="B277" s="1698">
        <f>+VLOOKUP(A277,'Anlage 2a_Letztverbrauch'!$A$2025:$I$2257,9,FALSE)</f>
        <v>2246188.6</v>
      </c>
      <c r="C277" s="711">
        <f>+IF(ISNA(VLOOKUP(A277,'Anlage 2a_Letztverbrauch'!$A$2788:$D$2795,4,0)),0,VLOOKUP(A277,'Anlage 2a_Letztverbrauch'!$A$2788:$D$2795,4,0))</f>
        <v>0</v>
      </c>
      <c r="D277" s="711">
        <v>0</v>
      </c>
      <c r="E277" s="667">
        <f t="shared" si="10"/>
        <v>2246188.6</v>
      </c>
      <c r="F277" s="668">
        <f>+SUMIF('Anlage 2b_Korrekturen'!$B$234:$B$693,'Anlage 3b_Zusammenfassung ONU'!A277,'Anlage 2b_Korrekturen'!$F$234:$F$693)</f>
        <v>0</v>
      </c>
      <c r="G277" s="928">
        <f t="shared" si="11"/>
        <v>2246188.6</v>
      </c>
      <c r="J277" t="s">
        <v>962</v>
      </c>
    </row>
    <row r="278" spans="1:10" hidden="1" outlineLevel="1">
      <c r="A278" s="853" t="s">
        <v>963</v>
      </c>
      <c r="B278" s="1698">
        <f>+VLOOKUP(A278,'Anlage 2a_Letztverbrauch'!$A$2025:$I$2257,9,FALSE)</f>
        <v>1338174.77</v>
      </c>
      <c r="C278" s="711">
        <f>+IF(ISNA(VLOOKUP(A278,'Anlage 2a_Letztverbrauch'!$A$2788:$D$2795,4,0)),0,VLOOKUP(A278,'Anlage 2a_Letztverbrauch'!$A$2788:$D$2795,4,0))</f>
        <v>0</v>
      </c>
      <c r="D278" s="711">
        <v>0</v>
      </c>
      <c r="E278" s="667">
        <f t="shared" si="10"/>
        <v>1338174.77</v>
      </c>
      <c r="F278" s="668">
        <f>+SUMIF('Anlage 2b_Korrekturen'!$B$234:$B$693,'Anlage 3b_Zusammenfassung ONU'!A278,'Anlage 2b_Korrekturen'!$F$234:$F$693)</f>
        <v>6033.6</v>
      </c>
      <c r="G278" s="928">
        <f t="shared" si="11"/>
        <v>1344208.37</v>
      </c>
      <c r="J278" t="s">
        <v>964</v>
      </c>
    </row>
    <row r="279" spans="1:10" hidden="1" outlineLevel="1">
      <c r="A279" s="853" t="s">
        <v>965</v>
      </c>
      <c r="B279" s="1698">
        <f>+VLOOKUP(A279,'Anlage 2a_Letztverbrauch'!$A$2025:$I$2257,9,FALSE)</f>
        <v>789957.6</v>
      </c>
      <c r="C279" s="711">
        <f>+IF(ISNA(VLOOKUP(A279,'Anlage 2a_Letztverbrauch'!$A$2788:$D$2795,4,0)),0,VLOOKUP(A279,'Anlage 2a_Letztverbrauch'!$A$2788:$D$2795,4,0))</f>
        <v>0</v>
      </c>
      <c r="D279" s="711">
        <v>0</v>
      </c>
      <c r="E279" s="667">
        <f t="shared" si="10"/>
        <v>789957.6</v>
      </c>
      <c r="F279" s="668">
        <f>+SUMIF('Anlage 2b_Korrekturen'!$B$234:$B$693,'Anlage 3b_Zusammenfassung ONU'!A279,'Anlage 2b_Korrekturen'!$F$234:$F$693)</f>
        <v>9357.2199999999993</v>
      </c>
      <c r="G279" s="928">
        <f t="shared" si="11"/>
        <v>799314.82</v>
      </c>
      <c r="J279" t="s">
        <v>966</v>
      </c>
    </row>
    <row r="280" spans="1:10" hidden="1" outlineLevel="1">
      <c r="A280" s="853" t="s">
        <v>967</v>
      </c>
      <c r="B280" s="1698">
        <f>+VLOOKUP(A280,'Anlage 2a_Letztverbrauch'!$A$2025:$I$2257,9,FALSE)</f>
        <v>124465.95</v>
      </c>
      <c r="C280" s="711">
        <f>+IF(ISNA(VLOOKUP(A280,'Anlage 2a_Letztverbrauch'!$A$2788:$D$2795,4,0)),0,VLOOKUP(A280,'Anlage 2a_Letztverbrauch'!$A$2788:$D$2795,4,0))</f>
        <v>0</v>
      </c>
      <c r="D280" s="711">
        <v>0</v>
      </c>
      <c r="E280" s="667">
        <f t="shared" si="10"/>
        <v>124465.95</v>
      </c>
      <c r="F280" s="668">
        <f>+SUMIF('Anlage 2b_Korrekturen'!$B$234:$B$693,'Anlage 3b_Zusammenfassung ONU'!A280,'Anlage 2b_Korrekturen'!$F$234:$F$693)</f>
        <v>0</v>
      </c>
      <c r="G280" s="928">
        <f t="shared" si="11"/>
        <v>124465.95</v>
      </c>
      <c r="J280" t="s">
        <v>968</v>
      </c>
    </row>
    <row r="281" spans="1:10" hidden="1" outlineLevel="1">
      <c r="A281" s="853" t="s">
        <v>969</v>
      </c>
      <c r="B281" s="1698">
        <f>+VLOOKUP(A281,'Anlage 2a_Letztverbrauch'!$A$2025:$I$2257,9,FALSE)</f>
        <v>970568.15</v>
      </c>
      <c r="C281" s="711">
        <f>+IF(ISNA(VLOOKUP(A281,'Anlage 2a_Letztverbrauch'!$A$2788:$D$2795,4,0)),0,VLOOKUP(A281,'Anlage 2a_Letztverbrauch'!$A$2788:$D$2795,4,0))</f>
        <v>0</v>
      </c>
      <c r="D281" s="711">
        <v>0</v>
      </c>
      <c r="E281" s="667">
        <f t="shared" si="10"/>
        <v>970568.15</v>
      </c>
      <c r="F281" s="668">
        <f>+SUMIF('Anlage 2b_Korrekturen'!$B$234:$B$693,'Anlage 3b_Zusammenfassung ONU'!A281,'Anlage 2b_Korrekturen'!$F$234:$F$693)</f>
        <v>-67.740000000000066</v>
      </c>
      <c r="G281" s="928">
        <f t="shared" si="11"/>
        <v>970500.41</v>
      </c>
      <c r="J281" t="s">
        <v>970</v>
      </c>
    </row>
    <row r="282" spans="1:10" hidden="1" outlineLevel="1">
      <c r="A282" s="853" t="s">
        <v>971</v>
      </c>
      <c r="B282" s="1698">
        <f>+VLOOKUP(A282,'Anlage 2a_Letztverbrauch'!$A$2025:$I$2257,9,FALSE)</f>
        <v>2201799.2799999998</v>
      </c>
      <c r="C282" s="711">
        <f>+IF(ISNA(VLOOKUP(A282,'Anlage 2a_Letztverbrauch'!$A$2788:$D$2795,4,0)),0,VLOOKUP(A282,'Anlage 2a_Letztverbrauch'!$A$2788:$D$2795,4,0))</f>
        <v>0</v>
      </c>
      <c r="D282" s="711">
        <v>0</v>
      </c>
      <c r="E282" s="667">
        <f t="shared" si="10"/>
        <v>2201799.2799999998</v>
      </c>
      <c r="F282" s="668">
        <f>+SUMIF('Anlage 2b_Korrekturen'!$B$234:$B$693,'Anlage 3b_Zusammenfassung ONU'!A282,'Anlage 2b_Korrekturen'!$F$234:$F$693)</f>
        <v>0</v>
      </c>
      <c r="G282" s="928">
        <f t="shared" si="11"/>
        <v>2201799.2799999998</v>
      </c>
      <c r="J282" t="s">
        <v>972</v>
      </c>
    </row>
    <row r="283" spans="1:10" hidden="1" outlineLevel="1">
      <c r="A283" s="853" t="s">
        <v>973</v>
      </c>
      <c r="B283" s="1698">
        <f>+VLOOKUP(A283,'Anlage 2a_Letztverbrauch'!$A$2025:$I$2257,9,FALSE)</f>
        <v>139004.06</v>
      </c>
      <c r="C283" s="711">
        <f>+IF(ISNA(VLOOKUP(A283,'Anlage 2a_Letztverbrauch'!$A$2788:$D$2795,4,0)),0,VLOOKUP(A283,'Anlage 2a_Letztverbrauch'!$A$2788:$D$2795,4,0))</f>
        <v>0</v>
      </c>
      <c r="D283" s="711">
        <v>0</v>
      </c>
      <c r="E283" s="667">
        <f t="shared" si="10"/>
        <v>139004.06</v>
      </c>
      <c r="F283" s="668">
        <f>+SUMIF('Anlage 2b_Korrekturen'!$B$234:$B$693,'Anlage 3b_Zusammenfassung ONU'!A283,'Anlage 2b_Korrekturen'!$F$234:$F$693)</f>
        <v>-613.70999999999992</v>
      </c>
      <c r="G283" s="928">
        <f t="shared" si="11"/>
        <v>138390.35</v>
      </c>
      <c r="J283" t="s">
        <v>974</v>
      </c>
    </row>
    <row r="284" spans="1:10" hidden="1" outlineLevel="1">
      <c r="A284" s="853" t="s">
        <v>975</v>
      </c>
      <c r="B284" s="1698">
        <f>+VLOOKUP(A284,'Anlage 2a_Letztverbrauch'!$A$2025:$I$2257,9,FALSE)</f>
        <v>1381064.49</v>
      </c>
      <c r="C284" s="711">
        <f>+IF(ISNA(VLOOKUP(A284,'Anlage 2a_Letztverbrauch'!$A$2788:$D$2795,4,0)),0,VLOOKUP(A284,'Anlage 2a_Letztverbrauch'!$A$2788:$D$2795,4,0))</f>
        <v>0</v>
      </c>
      <c r="D284" s="711">
        <v>0</v>
      </c>
      <c r="E284" s="667">
        <f t="shared" si="10"/>
        <v>1381064.49</v>
      </c>
      <c r="F284" s="668">
        <f>+SUMIF('Anlage 2b_Korrekturen'!$B$234:$B$693,'Anlage 3b_Zusammenfassung ONU'!A284,'Anlage 2b_Korrekturen'!$F$234:$F$693)</f>
        <v>9535.99</v>
      </c>
      <c r="G284" s="928">
        <f t="shared" si="11"/>
        <v>1390600.48</v>
      </c>
      <c r="J284" t="s">
        <v>976</v>
      </c>
    </row>
    <row r="285" spans="1:10" hidden="1" outlineLevel="1">
      <c r="A285" s="853" t="s">
        <v>977</v>
      </c>
      <c r="B285" s="1698">
        <f>+VLOOKUP(A285,'Anlage 2a_Letztverbrauch'!$A$2025:$I$2257,9,FALSE)</f>
        <v>48228.08</v>
      </c>
      <c r="C285" s="711">
        <f>+IF(ISNA(VLOOKUP(A285,'Anlage 2a_Letztverbrauch'!$A$2788:$D$2795,4,0)),0,VLOOKUP(A285,'Anlage 2a_Letztverbrauch'!$A$2788:$D$2795,4,0))</f>
        <v>0</v>
      </c>
      <c r="D285" s="711">
        <v>0</v>
      </c>
      <c r="E285" s="667">
        <f t="shared" si="10"/>
        <v>48228.08</v>
      </c>
      <c r="F285" s="668">
        <f>+SUMIF('Anlage 2b_Korrekturen'!$B$234:$B$693,'Anlage 3b_Zusammenfassung ONU'!A285,'Anlage 2b_Korrekturen'!$F$234:$F$693)</f>
        <v>-7.16</v>
      </c>
      <c r="G285" s="928">
        <f t="shared" si="11"/>
        <v>48220.92</v>
      </c>
      <c r="J285" t="s">
        <v>978</v>
      </c>
    </row>
    <row r="286" spans="1:10" hidden="1" outlineLevel="1">
      <c r="A286" s="853" t="s">
        <v>979</v>
      </c>
      <c r="B286" s="1698">
        <f>+VLOOKUP(A286,'Anlage 2a_Letztverbrauch'!$A$2025:$I$2257,9,FALSE)</f>
        <v>751044.25</v>
      </c>
      <c r="C286" s="711">
        <f>+IF(ISNA(VLOOKUP(A286,'Anlage 2a_Letztverbrauch'!$A$2788:$D$2795,4,0)),0,VLOOKUP(A286,'Anlage 2a_Letztverbrauch'!$A$2788:$D$2795,4,0))</f>
        <v>0</v>
      </c>
      <c r="D286" s="711">
        <v>0</v>
      </c>
      <c r="E286" s="667">
        <f t="shared" si="10"/>
        <v>751044.25</v>
      </c>
      <c r="F286" s="668">
        <f>+SUMIF('Anlage 2b_Korrekturen'!$B$234:$B$693,'Anlage 3b_Zusammenfassung ONU'!A286,'Anlage 2b_Korrekturen'!$F$234:$F$693)</f>
        <v>59.81</v>
      </c>
      <c r="G286" s="928">
        <f t="shared" si="11"/>
        <v>751104.06</v>
      </c>
      <c r="J286" t="s">
        <v>980</v>
      </c>
    </row>
    <row r="287" spans="1:10" hidden="1" outlineLevel="1">
      <c r="A287" s="853" t="s">
        <v>981</v>
      </c>
      <c r="B287" s="1698">
        <f>+VLOOKUP(A287,'Anlage 2a_Letztverbrauch'!$A$2025:$I$2257,9,FALSE)</f>
        <v>486006.56</v>
      </c>
      <c r="C287" s="711">
        <f>+IF(ISNA(VLOOKUP(A287,'Anlage 2a_Letztverbrauch'!$A$2788:$D$2795,4,0)),0,VLOOKUP(A287,'Anlage 2a_Letztverbrauch'!$A$2788:$D$2795,4,0))</f>
        <v>0</v>
      </c>
      <c r="D287" s="711">
        <v>0</v>
      </c>
      <c r="E287" s="667">
        <f t="shared" si="10"/>
        <v>486006.56</v>
      </c>
      <c r="F287" s="668">
        <f>+SUMIF('Anlage 2b_Korrekturen'!$B$234:$B$693,'Anlage 3b_Zusammenfassung ONU'!A287,'Anlage 2b_Korrekturen'!$F$234:$F$693)</f>
        <v>0</v>
      </c>
      <c r="G287" s="928">
        <f t="shared" si="11"/>
        <v>486006.56</v>
      </c>
      <c r="J287" t="s">
        <v>982</v>
      </c>
    </row>
    <row r="288" spans="1:10" hidden="1" outlineLevel="1">
      <c r="A288" s="853" t="s">
        <v>983</v>
      </c>
      <c r="B288" s="1698">
        <f>+VLOOKUP(A288,'Anlage 2a_Letztverbrauch'!$A$2025:$I$2257,9,FALSE)</f>
        <v>3240111.98</v>
      </c>
      <c r="C288" s="711">
        <f>+IF(ISNA(VLOOKUP(A288,'Anlage 2a_Letztverbrauch'!$A$2788:$D$2795,4,0)),0,VLOOKUP(A288,'Anlage 2a_Letztverbrauch'!$A$2788:$D$2795,4,0))</f>
        <v>0</v>
      </c>
      <c r="D288" s="711">
        <v>0</v>
      </c>
      <c r="E288" s="667">
        <f t="shared" si="10"/>
        <v>3240111.98</v>
      </c>
      <c r="F288" s="668">
        <f>+SUMIF('Anlage 2b_Korrekturen'!$B$234:$B$693,'Anlage 3b_Zusammenfassung ONU'!A288,'Anlage 2b_Korrekturen'!$F$234:$F$693)</f>
        <v>0</v>
      </c>
      <c r="G288" s="928">
        <f t="shared" si="11"/>
        <v>3240111.98</v>
      </c>
      <c r="J288" t="s">
        <v>984</v>
      </c>
    </row>
    <row r="289" spans="1:10" hidden="1" outlineLevel="1">
      <c r="A289" s="853" t="s">
        <v>985</v>
      </c>
      <c r="B289" s="1698">
        <f>+VLOOKUP(A289,'Anlage 2a_Letztverbrauch'!$A$2025:$I$2257,9,FALSE)</f>
        <v>7965197.3200000003</v>
      </c>
      <c r="C289" s="711">
        <f>+IF(ISNA(VLOOKUP(A289,'Anlage 2a_Letztverbrauch'!$A$2788:$D$2795,4,0)),0,VLOOKUP(A289,'Anlage 2a_Letztverbrauch'!$A$2788:$D$2795,4,0))</f>
        <v>0</v>
      </c>
      <c r="D289" s="711">
        <v>0</v>
      </c>
      <c r="E289" s="667">
        <f t="shared" si="10"/>
        <v>7965197.3200000003</v>
      </c>
      <c r="F289" s="668">
        <f>+SUMIF('Anlage 2b_Korrekturen'!$B$234:$B$693,'Anlage 3b_Zusammenfassung ONU'!A289,'Anlage 2b_Korrekturen'!$F$234:$F$693)</f>
        <v>89290.61</v>
      </c>
      <c r="G289" s="928">
        <f t="shared" si="11"/>
        <v>8054487.9300000006</v>
      </c>
      <c r="J289" t="s">
        <v>986</v>
      </c>
    </row>
    <row r="290" spans="1:10" hidden="1" outlineLevel="1">
      <c r="A290" s="853" t="s">
        <v>987</v>
      </c>
      <c r="B290" s="1698">
        <f>+VLOOKUP(A290,'Anlage 2a_Letztverbrauch'!$A$2025:$I$2257,9,FALSE)</f>
        <v>83697.36</v>
      </c>
      <c r="C290" s="711">
        <f>+IF(ISNA(VLOOKUP(A290,'Anlage 2a_Letztverbrauch'!$A$2788:$D$2795,4,0)),0,VLOOKUP(A290,'Anlage 2a_Letztverbrauch'!$A$2788:$D$2795,4,0))</f>
        <v>0</v>
      </c>
      <c r="D290" s="711">
        <v>0</v>
      </c>
      <c r="E290" s="667">
        <f t="shared" si="10"/>
        <v>83697.36</v>
      </c>
      <c r="F290" s="668">
        <f>+SUMIF('Anlage 2b_Korrekturen'!$B$234:$B$693,'Anlage 3b_Zusammenfassung ONU'!A290,'Anlage 2b_Korrekturen'!$F$234:$F$693)</f>
        <v>780.91</v>
      </c>
      <c r="G290" s="928">
        <f t="shared" si="11"/>
        <v>84478.27</v>
      </c>
      <c r="J290" t="s">
        <v>988</v>
      </c>
    </row>
    <row r="291" spans="1:10" hidden="1" outlineLevel="1">
      <c r="A291" s="853" t="s">
        <v>989</v>
      </c>
      <c r="B291" s="1698">
        <f>+VLOOKUP(A291,'Anlage 2a_Letztverbrauch'!$A$2025:$I$2257,9,FALSE)</f>
        <v>59034.83</v>
      </c>
      <c r="C291" s="711">
        <f>+IF(ISNA(VLOOKUP(A291,'Anlage 2a_Letztverbrauch'!$A$2788:$D$2795,4,0)),0,VLOOKUP(A291,'Anlage 2a_Letztverbrauch'!$A$2788:$D$2795,4,0))</f>
        <v>0</v>
      </c>
      <c r="D291" s="711">
        <v>0</v>
      </c>
      <c r="E291" s="667">
        <f t="shared" si="10"/>
        <v>59034.83</v>
      </c>
      <c r="F291" s="668">
        <f>+SUMIF('Anlage 2b_Korrekturen'!$B$234:$B$693,'Anlage 3b_Zusammenfassung ONU'!A291,'Anlage 2b_Korrekturen'!$F$234:$F$693)</f>
        <v>40962.980000000003</v>
      </c>
      <c r="G291" s="928">
        <f t="shared" si="11"/>
        <v>99997.81</v>
      </c>
      <c r="J291" t="s">
        <v>990</v>
      </c>
    </row>
    <row r="292" spans="1:10" hidden="1" outlineLevel="1">
      <c r="A292" s="853" t="s">
        <v>991</v>
      </c>
      <c r="B292" s="1698">
        <f>+VLOOKUP(A292,'Anlage 2a_Letztverbrauch'!$A$2025:$I$2257,9,FALSE)</f>
        <v>381574.85</v>
      </c>
      <c r="C292" s="711">
        <f>+IF(ISNA(VLOOKUP(A292,'Anlage 2a_Letztverbrauch'!$A$2788:$D$2795,4,0)),0,VLOOKUP(A292,'Anlage 2a_Letztverbrauch'!$A$2788:$D$2795,4,0))</f>
        <v>0</v>
      </c>
      <c r="D292" s="711">
        <v>0</v>
      </c>
      <c r="E292" s="667">
        <f t="shared" si="10"/>
        <v>381574.85</v>
      </c>
      <c r="F292" s="668">
        <f>+SUMIF('Anlage 2b_Korrekturen'!$B$234:$B$693,'Anlage 3b_Zusammenfassung ONU'!A292,'Anlage 2b_Korrekturen'!$F$234:$F$693)</f>
        <v>408.57</v>
      </c>
      <c r="G292" s="928">
        <f t="shared" si="11"/>
        <v>381983.42</v>
      </c>
      <c r="J292" t="s">
        <v>992</v>
      </c>
    </row>
    <row r="293" spans="1:10" hidden="1" outlineLevel="1">
      <c r="A293" s="853" t="s">
        <v>993</v>
      </c>
      <c r="B293" s="1698">
        <f>+VLOOKUP(A293,'Anlage 2a_Letztverbrauch'!$A$2025:$I$2257,9,FALSE)</f>
        <v>2893782.18</v>
      </c>
      <c r="C293" s="711">
        <f>+IF(ISNA(VLOOKUP(A293,'Anlage 2a_Letztverbrauch'!$A$2788:$D$2795,4,0)),0,VLOOKUP(A293,'Anlage 2a_Letztverbrauch'!$A$2788:$D$2795,4,0))</f>
        <v>0</v>
      </c>
      <c r="D293" s="711">
        <v>0</v>
      </c>
      <c r="E293" s="667">
        <f t="shared" si="10"/>
        <v>2893782.18</v>
      </c>
      <c r="F293" s="668">
        <f>+SUMIF('Anlage 2b_Korrekturen'!$B$234:$B$693,'Anlage 3b_Zusammenfassung ONU'!A293,'Anlage 2b_Korrekturen'!$F$234:$F$693)</f>
        <v>0</v>
      </c>
      <c r="G293" s="928">
        <f t="shared" si="11"/>
        <v>2893782.18</v>
      </c>
      <c r="J293" t="s">
        <v>994</v>
      </c>
    </row>
    <row r="294" spans="1:10" hidden="1" outlineLevel="1">
      <c r="A294" s="853" t="s">
        <v>995</v>
      </c>
      <c r="B294" s="1698">
        <f>+VLOOKUP(A294,'Anlage 2a_Letztverbrauch'!$A$2025:$I$2257,9,FALSE)</f>
        <v>881740.1</v>
      </c>
      <c r="C294" s="711">
        <f>+IF(ISNA(VLOOKUP(A294,'Anlage 2a_Letztverbrauch'!$A$2788:$D$2795,4,0)),0,VLOOKUP(A294,'Anlage 2a_Letztverbrauch'!$A$2788:$D$2795,4,0))</f>
        <v>0</v>
      </c>
      <c r="D294" s="711">
        <v>0</v>
      </c>
      <c r="E294" s="667">
        <f t="shared" si="10"/>
        <v>881740.1</v>
      </c>
      <c r="F294" s="668">
        <f>+SUMIF('Anlage 2b_Korrekturen'!$B$234:$B$693,'Anlage 3b_Zusammenfassung ONU'!A294,'Anlage 2b_Korrekturen'!$F$234:$F$693)</f>
        <v>0</v>
      </c>
      <c r="G294" s="928">
        <f t="shared" si="11"/>
        <v>881740.1</v>
      </c>
      <c r="J294" t="s">
        <v>996</v>
      </c>
    </row>
    <row r="295" spans="1:10" hidden="1" outlineLevel="1">
      <c r="A295" s="853" t="s">
        <v>997</v>
      </c>
      <c r="B295" s="1698">
        <f>+VLOOKUP(A295,'Anlage 2a_Letztverbrauch'!$A$2025:$I$2257,9,FALSE)</f>
        <v>1166317.1599999999</v>
      </c>
      <c r="C295" s="711">
        <f>+IF(ISNA(VLOOKUP(A295,'Anlage 2a_Letztverbrauch'!$A$2788:$D$2795,4,0)),0,VLOOKUP(A295,'Anlage 2a_Letztverbrauch'!$A$2788:$D$2795,4,0))</f>
        <v>0</v>
      </c>
      <c r="D295" s="711">
        <v>0</v>
      </c>
      <c r="E295" s="667">
        <f t="shared" si="10"/>
        <v>1166317.1599999999</v>
      </c>
      <c r="F295" s="668">
        <f>+SUMIF('Anlage 2b_Korrekturen'!$B$234:$B$693,'Anlage 3b_Zusammenfassung ONU'!A295,'Anlage 2b_Korrekturen'!$F$234:$F$693)</f>
        <v>-1866.9699999999998</v>
      </c>
      <c r="G295" s="928">
        <f t="shared" si="11"/>
        <v>1164450.19</v>
      </c>
      <c r="J295" t="s">
        <v>998</v>
      </c>
    </row>
    <row r="296" spans="1:10" hidden="1" outlineLevel="1">
      <c r="A296" s="853" t="s">
        <v>999</v>
      </c>
      <c r="B296" s="1698">
        <f>+VLOOKUP(A296,'Anlage 2a_Letztverbrauch'!$A$2025:$I$2257,9,FALSE)</f>
        <v>239663.28</v>
      </c>
      <c r="C296" s="711">
        <f>+IF(ISNA(VLOOKUP(A296,'Anlage 2a_Letztverbrauch'!$A$2788:$D$2795,4,0)),0,VLOOKUP(A296,'Anlage 2a_Letztverbrauch'!$A$2788:$D$2795,4,0))</f>
        <v>0</v>
      </c>
      <c r="D296" s="711">
        <v>0</v>
      </c>
      <c r="E296" s="667">
        <f t="shared" si="10"/>
        <v>239663.28</v>
      </c>
      <c r="F296" s="668">
        <f>+SUMIF('Anlage 2b_Korrekturen'!$B$234:$B$693,'Anlage 3b_Zusammenfassung ONU'!A296,'Anlage 2b_Korrekturen'!$F$234:$F$693)</f>
        <v>0</v>
      </c>
      <c r="G296" s="928">
        <f t="shared" si="11"/>
        <v>239663.28</v>
      </c>
      <c r="J296" t="s">
        <v>1000</v>
      </c>
    </row>
    <row r="297" spans="1:10" hidden="1" outlineLevel="1">
      <c r="A297" s="853" t="s">
        <v>1001</v>
      </c>
      <c r="B297" s="1698">
        <f>+VLOOKUP(A297,'Anlage 2a_Letztverbrauch'!$A$2025:$I$2257,9,FALSE)</f>
        <v>423993.01</v>
      </c>
      <c r="C297" s="711">
        <f>+IF(ISNA(VLOOKUP(A297,'Anlage 2a_Letztverbrauch'!$A$2788:$D$2795,4,0)),0,VLOOKUP(A297,'Anlage 2a_Letztverbrauch'!$A$2788:$D$2795,4,0))</f>
        <v>0</v>
      </c>
      <c r="D297" s="711">
        <v>0</v>
      </c>
      <c r="E297" s="667">
        <f t="shared" si="10"/>
        <v>423993.01</v>
      </c>
      <c r="F297" s="668">
        <f>+SUMIF('Anlage 2b_Korrekturen'!$B$234:$B$693,'Anlage 3b_Zusammenfassung ONU'!A297,'Anlage 2b_Korrekturen'!$F$234:$F$693)</f>
        <v>0</v>
      </c>
      <c r="G297" s="928">
        <f t="shared" si="11"/>
        <v>423993.01</v>
      </c>
      <c r="J297" t="s">
        <v>1002</v>
      </c>
    </row>
    <row r="298" spans="1:10" hidden="1" outlineLevel="1">
      <c r="A298" s="853" t="s">
        <v>1003</v>
      </c>
      <c r="B298" s="1698">
        <f>+VLOOKUP(A298,'Anlage 2a_Letztverbrauch'!$A$2025:$I$2257,9,FALSE)</f>
        <v>450646.38</v>
      </c>
      <c r="C298" s="711">
        <f>+IF(ISNA(VLOOKUP(A298,'Anlage 2a_Letztverbrauch'!$A$2788:$D$2795,4,0)),0,VLOOKUP(A298,'Anlage 2a_Letztverbrauch'!$A$2788:$D$2795,4,0))</f>
        <v>0</v>
      </c>
      <c r="D298" s="711">
        <v>0</v>
      </c>
      <c r="E298" s="667">
        <f t="shared" si="10"/>
        <v>450646.38</v>
      </c>
      <c r="F298" s="668">
        <f>+SUMIF('Anlage 2b_Korrekturen'!$B$234:$B$693,'Anlage 3b_Zusammenfassung ONU'!A298,'Anlage 2b_Korrekturen'!$F$234:$F$693)</f>
        <v>0</v>
      </c>
      <c r="G298" s="928">
        <f t="shared" si="11"/>
        <v>450646.38</v>
      </c>
      <c r="J298" t="s">
        <v>1004</v>
      </c>
    </row>
    <row r="299" spans="1:10" hidden="1" outlineLevel="1">
      <c r="A299" s="853" t="s">
        <v>1005</v>
      </c>
      <c r="B299" s="1698">
        <f>+VLOOKUP(A299,'Anlage 2a_Letztverbrauch'!$A$2025:$I$2257,9,FALSE)</f>
        <v>19283612.16</v>
      </c>
      <c r="C299" s="711">
        <f>+IF(ISNA(VLOOKUP(A299,'Anlage 2a_Letztverbrauch'!$A$2788:$D$2795,4,0)),0,VLOOKUP(A299,'Anlage 2a_Letztverbrauch'!$A$2788:$D$2795,4,0))</f>
        <v>0</v>
      </c>
      <c r="D299" s="711">
        <v>33</v>
      </c>
      <c r="E299" s="667">
        <f t="shared" si="10"/>
        <v>19283645.16</v>
      </c>
      <c r="F299" s="668">
        <f>+SUMIF('Anlage 2b_Korrekturen'!$B$234:$B$693,'Anlage 3b_Zusammenfassung ONU'!A299,'Anlage 2b_Korrekturen'!$F$234:$F$693)</f>
        <v>688399.03</v>
      </c>
      <c r="G299" s="928">
        <f t="shared" si="11"/>
        <v>19972044.190000001</v>
      </c>
      <c r="J299" t="s">
        <v>1006</v>
      </c>
    </row>
    <row r="300" spans="1:10" hidden="1" outlineLevel="1">
      <c r="A300" s="853" t="s">
        <v>1007</v>
      </c>
      <c r="B300" s="1698">
        <f>+VLOOKUP(A300,'Anlage 2a_Letztverbrauch'!$A$2025:$I$2257,9,FALSE)</f>
        <v>212758.82</v>
      </c>
      <c r="C300" s="711">
        <f>+IF(ISNA(VLOOKUP(A300,'Anlage 2a_Letztverbrauch'!$A$2788:$D$2795,4,0)),0,VLOOKUP(A300,'Anlage 2a_Letztverbrauch'!$A$2788:$D$2795,4,0))</f>
        <v>0</v>
      </c>
      <c r="D300" s="711">
        <v>0</v>
      </c>
      <c r="E300" s="667">
        <f t="shared" si="10"/>
        <v>212758.82</v>
      </c>
      <c r="F300" s="668">
        <f>+SUMIF('Anlage 2b_Korrekturen'!$B$234:$B$693,'Anlage 3b_Zusammenfassung ONU'!A300,'Anlage 2b_Korrekturen'!$F$234:$F$693)</f>
        <v>1405.93</v>
      </c>
      <c r="G300" s="928">
        <f t="shared" si="11"/>
        <v>214164.75</v>
      </c>
      <c r="J300" t="s">
        <v>1008</v>
      </c>
    </row>
    <row r="301" spans="1:10" hidden="1" outlineLevel="1">
      <c r="A301" s="853" t="s">
        <v>1009</v>
      </c>
      <c r="B301" s="1698">
        <f>+VLOOKUP(A301,'Anlage 2a_Letztverbrauch'!$A$2025:$I$2257,9,FALSE)</f>
        <v>741041.45</v>
      </c>
      <c r="C301" s="711">
        <f>+IF(ISNA(VLOOKUP(A301,'Anlage 2a_Letztverbrauch'!$A$2788:$D$2795,4,0)),0,VLOOKUP(A301,'Anlage 2a_Letztverbrauch'!$A$2788:$D$2795,4,0))</f>
        <v>0</v>
      </c>
      <c r="D301" s="711">
        <v>0</v>
      </c>
      <c r="E301" s="667">
        <f t="shared" si="10"/>
        <v>741041.45</v>
      </c>
      <c r="F301" s="668">
        <f>+SUMIF('Anlage 2b_Korrekturen'!$B$234:$B$693,'Anlage 3b_Zusammenfassung ONU'!A301,'Anlage 2b_Korrekturen'!$F$234:$F$693)</f>
        <v>-614.2399999999999</v>
      </c>
      <c r="G301" s="928">
        <f t="shared" si="11"/>
        <v>740427.21</v>
      </c>
      <c r="J301" t="s">
        <v>1010</v>
      </c>
    </row>
    <row r="302" spans="1:10" hidden="1" outlineLevel="1">
      <c r="A302" s="853" t="s">
        <v>1011</v>
      </c>
      <c r="B302" s="1698">
        <f>+VLOOKUP(A302,'Anlage 2a_Letztverbrauch'!$A$2025:$I$2257,9,FALSE)</f>
        <v>8233570.5499999998</v>
      </c>
      <c r="C302" s="711">
        <f>+IF(ISNA(VLOOKUP(A302,'Anlage 2a_Letztverbrauch'!$A$2788:$D$2795,4,0)),0,VLOOKUP(A302,'Anlage 2a_Letztverbrauch'!$A$2788:$D$2795,4,0))</f>
        <v>0</v>
      </c>
      <c r="D302" s="711">
        <v>0</v>
      </c>
      <c r="E302" s="667">
        <f t="shared" si="10"/>
        <v>8233570.5499999998</v>
      </c>
      <c r="F302" s="668">
        <f>+SUMIF('Anlage 2b_Korrekturen'!$B$234:$B$693,'Anlage 3b_Zusammenfassung ONU'!A302,'Anlage 2b_Korrekturen'!$F$234:$F$693)</f>
        <v>-13983.87</v>
      </c>
      <c r="G302" s="928">
        <f t="shared" si="11"/>
        <v>8219586.6799999997</v>
      </c>
      <c r="J302" t="s">
        <v>1012</v>
      </c>
    </row>
    <row r="303" spans="1:10" hidden="1" outlineLevel="1">
      <c r="A303" s="853" t="s">
        <v>1013</v>
      </c>
      <c r="B303" s="1698">
        <f>+VLOOKUP(A303,'Anlage 2a_Letztverbrauch'!$A$2025:$I$2257,9,FALSE)</f>
        <v>726671.55</v>
      </c>
      <c r="C303" s="711">
        <f>+IF(ISNA(VLOOKUP(A303,'Anlage 2a_Letztverbrauch'!$A$2788:$D$2795,4,0)),0,VLOOKUP(A303,'Anlage 2a_Letztverbrauch'!$A$2788:$D$2795,4,0))</f>
        <v>0</v>
      </c>
      <c r="D303" s="711">
        <v>0</v>
      </c>
      <c r="E303" s="667">
        <f t="shared" si="10"/>
        <v>726671.55</v>
      </c>
      <c r="F303" s="668">
        <f>+SUMIF('Anlage 2b_Korrekturen'!$B$234:$B$693,'Anlage 3b_Zusammenfassung ONU'!A303,'Anlage 2b_Korrekturen'!$F$234:$F$693)</f>
        <v>0</v>
      </c>
      <c r="G303" s="928">
        <f t="shared" si="11"/>
        <v>726671.55</v>
      </c>
      <c r="J303" t="s">
        <v>1014</v>
      </c>
    </row>
    <row r="304" spans="1:10" hidden="1" outlineLevel="1">
      <c r="A304" s="853" t="s">
        <v>1015</v>
      </c>
      <c r="B304" s="1698">
        <f>+VLOOKUP(A304,'Anlage 2a_Letztverbrauch'!$A$2025:$I$2257,9,FALSE)</f>
        <v>946741.94</v>
      </c>
      <c r="C304" s="711">
        <f>+IF(ISNA(VLOOKUP(A304,'Anlage 2a_Letztverbrauch'!$A$2788:$D$2795,4,0)),0,VLOOKUP(A304,'Anlage 2a_Letztverbrauch'!$A$2788:$D$2795,4,0))</f>
        <v>0</v>
      </c>
      <c r="D304" s="711">
        <v>0</v>
      </c>
      <c r="E304" s="667">
        <f t="shared" si="10"/>
        <v>946741.94</v>
      </c>
      <c r="F304" s="668">
        <f>+SUMIF('Anlage 2b_Korrekturen'!$B$234:$B$693,'Anlage 3b_Zusammenfassung ONU'!A304,'Anlage 2b_Korrekturen'!$F$234:$F$693)</f>
        <v>973.01</v>
      </c>
      <c r="G304" s="928">
        <f t="shared" si="11"/>
        <v>947714.95</v>
      </c>
      <c r="J304" t="s">
        <v>1016</v>
      </c>
    </row>
    <row r="305" spans="1:10" hidden="1" outlineLevel="1">
      <c r="A305" s="853" t="s">
        <v>1017</v>
      </c>
      <c r="B305" s="1698">
        <f>+VLOOKUP(A305,'Anlage 2a_Letztverbrauch'!$A$2025:$I$2257,9,FALSE)</f>
        <v>10628632.84</v>
      </c>
      <c r="C305" s="711">
        <f>+IF(ISNA(VLOOKUP(A305,'Anlage 2a_Letztverbrauch'!$A$2788:$D$2795,4,0)),0,VLOOKUP(A305,'Anlage 2a_Letztverbrauch'!$A$2788:$D$2795,4,0))</f>
        <v>0</v>
      </c>
      <c r="D305" s="711">
        <v>0</v>
      </c>
      <c r="E305" s="667">
        <f t="shared" si="10"/>
        <v>10628632.84</v>
      </c>
      <c r="F305" s="668">
        <f>+SUMIF('Anlage 2b_Korrekturen'!$B$234:$B$693,'Anlage 3b_Zusammenfassung ONU'!A305,'Anlage 2b_Korrekturen'!$F$234:$F$693)</f>
        <v>-219553.78</v>
      </c>
      <c r="G305" s="928">
        <f t="shared" si="11"/>
        <v>10409079.060000001</v>
      </c>
      <c r="J305" t="s">
        <v>1018</v>
      </c>
    </row>
    <row r="306" spans="1:10" hidden="1" outlineLevel="1">
      <c r="A306" s="853" t="s">
        <v>1019</v>
      </c>
      <c r="B306" s="1698">
        <f>+VLOOKUP(A306,'Anlage 2a_Letztverbrauch'!$A$2025:$I$2257,9,FALSE)</f>
        <v>94708.77</v>
      </c>
      <c r="C306" s="711">
        <f>+IF(ISNA(VLOOKUP(A306,'Anlage 2a_Letztverbrauch'!$A$2788:$D$2795,4,0)),0,VLOOKUP(A306,'Anlage 2a_Letztverbrauch'!$A$2788:$D$2795,4,0))</f>
        <v>0</v>
      </c>
      <c r="D306" s="711">
        <v>0</v>
      </c>
      <c r="E306" s="667">
        <f t="shared" si="10"/>
        <v>94708.77</v>
      </c>
      <c r="F306" s="668">
        <f>+SUMIF('Anlage 2b_Korrekturen'!$B$234:$B$693,'Anlage 3b_Zusammenfassung ONU'!A306,'Anlage 2b_Korrekturen'!$F$234:$F$693)</f>
        <v>-163.5</v>
      </c>
      <c r="G306" s="928">
        <f t="shared" si="11"/>
        <v>94545.27</v>
      </c>
      <c r="J306" t="s">
        <v>1020</v>
      </c>
    </row>
    <row r="307" spans="1:10" hidden="1" outlineLevel="1">
      <c r="A307" s="853" t="s">
        <v>1021</v>
      </c>
      <c r="B307" s="1698">
        <f>+VLOOKUP(A307,'Anlage 2a_Letztverbrauch'!$A$2025:$I$2257,9,FALSE)</f>
        <v>612111.77</v>
      </c>
      <c r="C307" s="711">
        <f>+IF(ISNA(VLOOKUP(A307,'Anlage 2a_Letztverbrauch'!$A$2788:$D$2795,4,0)),0,VLOOKUP(A307,'Anlage 2a_Letztverbrauch'!$A$2788:$D$2795,4,0))</f>
        <v>0</v>
      </c>
      <c r="D307" s="711">
        <v>0</v>
      </c>
      <c r="E307" s="667">
        <f t="shared" si="10"/>
        <v>612111.77</v>
      </c>
      <c r="F307" s="668">
        <f>+SUMIF('Anlage 2b_Korrekturen'!$B$234:$B$693,'Anlage 3b_Zusammenfassung ONU'!A307,'Anlage 2b_Korrekturen'!$F$234:$F$693)</f>
        <v>-5328.73</v>
      </c>
      <c r="G307" s="928">
        <f t="shared" si="11"/>
        <v>606783.04</v>
      </c>
      <c r="J307" t="s">
        <v>944</v>
      </c>
    </row>
    <row r="308" spans="1:10" hidden="1" outlineLevel="1">
      <c r="A308" s="853" t="s">
        <v>1022</v>
      </c>
      <c r="B308" s="1698">
        <f>+VLOOKUP(A308,'Anlage 2a_Letztverbrauch'!$A$2025:$I$2257,9,FALSE)</f>
        <v>1059367.74</v>
      </c>
      <c r="C308" s="711">
        <f>+IF(ISNA(VLOOKUP(A308,'Anlage 2a_Letztverbrauch'!$A$2788:$D$2795,4,0)),0,VLOOKUP(A308,'Anlage 2a_Letztverbrauch'!$A$2788:$D$2795,4,0))</f>
        <v>0</v>
      </c>
      <c r="D308" s="711">
        <v>0</v>
      </c>
      <c r="E308" s="667">
        <f t="shared" si="10"/>
        <v>1059367.74</v>
      </c>
      <c r="F308" s="668">
        <f>+SUMIF('Anlage 2b_Korrekturen'!$B$234:$B$693,'Anlage 3b_Zusammenfassung ONU'!A308,'Anlage 2b_Korrekturen'!$F$234:$F$693)</f>
        <v>0</v>
      </c>
      <c r="G308" s="928">
        <f t="shared" si="11"/>
        <v>1059367.74</v>
      </c>
      <c r="J308" t="s">
        <v>1023</v>
      </c>
    </row>
    <row r="309" spans="1:10" hidden="1" outlineLevel="1">
      <c r="A309" s="853" t="s">
        <v>1024</v>
      </c>
      <c r="B309" s="1698">
        <f>+VLOOKUP(A309,'Anlage 2a_Letztverbrauch'!$A$2025:$I$2257,9,FALSE)</f>
        <v>706173.43</v>
      </c>
      <c r="C309" s="711">
        <f>+IF(ISNA(VLOOKUP(A309,'Anlage 2a_Letztverbrauch'!$A$2788:$D$2795,4,0)),0,VLOOKUP(A309,'Anlage 2a_Letztverbrauch'!$A$2788:$D$2795,4,0))</f>
        <v>0</v>
      </c>
      <c r="D309" s="711">
        <v>0</v>
      </c>
      <c r="E309" s="667">
        <f t="shared" ref="E309:E372" si="12">B309+C309+D309</f>
        <v>706173.43</v>
      </c>
      <c r="F309" s="668">
        <f>+SUMIF('Anlage 2b_Korrekturen'!$B$234:$B$693,'Anlage 3b_Zusammenfassung ONU'!A309,'Anlage 2b_Korrekturen'!$F$234:$F$693)</f>
        <v>0</v>
      </c>
      <c r="G309" s="928">
        <f t="shared" si="11"/>
        <v>706173.43</v>
      </c>
      <c r="J309" t="s">
        <v>1025</v>
      </c>
    </row>
    <row r="310" spans="1:10" hidden="1" outlineLevel="1">
      <c r="A310" s="853" t="s">
        <v>1026</v>
      </c>
      <c r="B310" s="1698">
        <f>+VLOOKUP(A310,'Anlage 2a_Letztverbrauch'!$A$2025:$I$2257,9,FALSE)</f>
        <v>237545.26</v>
      </c>
      <c r="C310" s="711">
        <f>+IF(ISNA(VLOOKUP(A310,'Anlage 2a_Letztverbrauch'!$A$2788:$D$2795,4,0)),0,VLOOKUP(A310,'Anlage 2a_Letztverbrauch'!$A$2788:$D$2795,4,0))</f>
        <v>0</v>
      </c>
      <c r="D310" s="711">
        <v>0</v>
      </c>
      <c r="E310" s="667">
        <f t="shared" si="12"/>
        <v>237545.26</v>
      </c>
      <c r="F310" s="668">
        <f>+SUMIF('Anlage 2b_Korrekturen'!$B$234:$B$693,'Anlage 3b_Zusammenfassung ONU'!A310,'Anlage 2b_Korrekturen'!$F$234:$F$693)</f>
        <v>-757.01</v>
      </c>
      <c r="G310" s="928">
        <f t="shared" si="11"/>
        <v>236788.25</v>
      </c>
      <c r="J310" t="s">
        <v>1027</v>
      </c>
    </row>
    <row r="311" spans="1:10" hidden="1" outlineLevel="1">
      <c r="A311" s="853" t="s">
        <v>1028</v>
      </c>
      <c r="B311" s="1698">
        <f>+VLOOKUP(A311,'Anlage 2a_Letztverbrauch'!$A$2025:$I$2257,9,FALSE)</f>
        <v>14781672.869999999</v>
      </c>
      <c r="C311" s="711">
        <f>+IF(ISNA(VLOOKUP(A311,'Anlage 2a_Letztverbrauch'!$A$2788:$D$2795,4,0)),0,VLOOKUP(A311,'Anlage 2a_Letztverbrauch'!$A$2788:$D$2795,4,0))</f>
        <v>0</v>
      </c>
      <c r="D311" s="711">
        <v>0</v>
      </c>
      <c r="E311" s="667">
        <f t="shared" si="12"/>
        <v>14781672.869999999</v>
      </c>
      <c r="F311" s="668">
        <f>+SUMIF('Anlage 2b_Korrekturen'!$B$234:$B$693,'Anlage 3b_Zusammenfassung ONU'!A311,'Anlage 2b_Korrekturen'!$F$234:$F$693)</f>
        <v>0</v>
      </c>
      <c r="G311" s="928">
        <f t="shared" si="11"/>
        <v>14781672.869999999</v>
      </c>
      <c r="J311" t="s">
        <v>1029</v>
      </c>
    </row>
    <row r="312" spans="1:10" hidden="1" outlineLevel="1">
      <c r="A312" s="853" t="s">
        <v>1030</v>
      </c>
      <c r="B312" s="1698">
        <f>+VLOOKUP(A312,'Anlage 2a_Letztverbrauch'!$A$2025:$I$2257,9,FALSE)</f>
        <v>3222954.52</v>
      </c>
      <c r="C312" s="711">
        <f>+IF(ISNA(VLOOKUP(A312,'Anlage 2a_Letztverbrauch'!$A$2788:$D$2795,4,0)),0,VLOOKUP(A312,'Anlage 2a_Letztverbrauch'!$A$2788:$D$2795,4,0))</f>
        <v>0</v>
      </c>
      <c r="D312" s="711">
        <v>0</v>
      </c>
      <c r="E312" s="667">
        <f t="shared" si="12"/>
        <v>3222954.52</v>
      </c>
      <c r="F312" s="668">
        <f>+SUMIF('Anlage 2b_Korrekturen'!$B$234:$B$693,'Anlage 3b_Zusammenfassung ONU'!A312,'Anlage 2b_Korrekturen'!$F$234:$F$693)</f>
        <v>-58506.930000000008</v>
      </c>
      <c r="G312" s="928">
        <f t="shared" si="11"/>
        <v>3164447.59</v>
      </c>
      <c r="J312" t="s">
        <v>1031</v>
      </c>
    </row>
    <row r="313" spans="1:10" hidden="1" outlineLevel="1">
      <c r="A313" s="853" t="s">
        <v>1032</v>
      </c>
      <c r="B313" s="1698">
        <f>+VLOOKUP(A313,'Anlage 2a_Letztverbrauch'!$A$2025:$I$2257,9,FALSE)</f>
        <v>1768982.95</v>
      </c>
      <c r="C313" s="711">
        <f>+IF(ISNA(VLOOKUP(A313,'Anlage 2a_Letztverbrauch'!$A$2788:$D$2795,4,0)),0,VLOOKUP(A313,'Anlage 2a_Letztverbrauch'!$A$2788:$D$2795,4,0))</f>
        <v>0</v>
      </c>
      <c r="D313" s="711">
        <v>0</v>
      </c>
      <c r="E313" s="667">
        <f t="shared" si="12"/>
        <v>1768982.95</v>
      </c>
      <c r="F313" s="668">
        <f>+SUMIF('Anlage 2b_Korrekturen'!$B$234:$B$693,'Anlage 3b_Zusammenfassung ONU'!A313,'Anlage 2b_Korrekturen'!$F$234:$F$693)</f>
        <v>2764.74</v>
      </c>
      <c r="G313" s="928">
        <f t="shared" si="11"/>
        <v>1771747.69</v>
      </c>
      <c r="J313" t="s">
        <v>1033</v>
      </c>
    </row>
    <row r="314" spans="1:10" hidden="1" outlineLevel="1">
      <c r="A314" s="853" t="s">
        <v>1034</v>
      </c>
      <c r="B314" s="1698">
        <f>+VLOOKUP(A314,'Anlage 2a_Letztverbrauch'!$A$2025:$I$2257,9,FALSE)</f>
        <v>124073.51</v>
      </c>
      <c r="C314" s="711">
        <f>+IF(ISNA(VLOOKUP(A314,'Anlage 2a_Letztverbrauch'!$A$2788:$D$2795,4,0)),0,VLOOKUP(A314,'Anlage 2a_Letztverbrauch'!$A$2788:$D$2795,4,0))</f>
        <v>0</v>
      </c>
      <c r="D314" s="711">
        <v>0</v>
      </c>
      <c r="E314" s="667">
        <f t="shared" si="12"/>
        <v>124073.51</v>
      </c>
      <c r="F314" s="668">
        <f>+SUMIF('Anlage 2b_Korrekturen'!$B$234:$B$693,'Anlage 3b_Zusammenfassung ONU'!A314,'Anlage 2b_Korrekturen'!$F$234:$F$693)</f>
        <v>-960.77</v>
      </c>
      <c r="G314" s="928">
        <f t="shared" si="11"/>
        <v>123112.73999999999</v>
      </c>
      <c r="J314" t="s">
        <v>1035</v>
      </c>
    </row>
    <row r="315" spans="1:10" hidden="1" outlineLevel="1">
      <c r="A315" s="853" t="s">
        <v>1036</v>
      </c>
      <c r="B315" s="1698">
        <f>+VLOOKUP(A315,'Anlage 2a_Letztverbrauch'!$A$2025:$I$2257,9,FALSE)</f>
        <v>3456129.8400000003</v>
      </c>
      <c r="C315" s="711">
        <f>+IF(ISNA(VLOOKUP(A315,'Anlage 2a_Letztverbrauch'!$A$2788:$D$2795,4,0)),0,VLOOKUP(A315,'Anlage 2a_Letztverbrauch'!$A$2788:$D$2795,4,0))</f>
        <v>0</v>
      </c>
      <c r="D315" s="711">
        <v>0</v>
      </c>
      <c r="E315" s="667">
        <f t="shared" si="12"/>
        <v>3456129.8400000003</v>
      </c>
      <c r="F315" s="668">
        <f>+SUMIF('Anlage 2b_Korrekturen'!$B$234:$B$693,'Anlage 3b_Zusammenfassung ONU'!A315,'Anlage 2b_Korrekturen'!$F$234:$F$693)</f>
        <v>-36961.520000000004</v>
      </c>
      <c r="G315" s="928">
        <f t="shared" si="11"/>
        <v>3419168.3200000003</v>
      </c>
      <c r="J315" t="s">
        <v>1037</v>
      </c>
    </row>
    <row r="316" spans="1:10" hidden="1" outlineLevel="1">
      <c r="A316" s="853" t="s">
        <v>1038</v>
      </c>
      <c r="B316" s="1698">
        <f>+VLOOKUP(A316,'Anlage 2a_Letztverbrauch'!$A$2025:$I$2257,9,FALSE)</f>
        <v>729057.62</v>
      </c>
      <c r="C316" s="711">
        <f>+IF(ISNA(VLOOKUP(A316,'Anlage 2a_Letztverbrauch'!$A$2788:$D$2795,4,0)),0,VLOOKUP(A316,'Anlage 2a_Letztverbrauch'!$A$2788:$D$2795,4,0))</f>
        <v>0</v>
      </c>
      <c r="D316" s="711">
        <v>0</v>
      </c>
      <c r="E316" s="667">
        <f t="shared" si="12"/>
        <v>729057.62</v>
      </c>
      <c r="F316" s="668">
        <f>+SUMIF('Anlage 2b_Korrekturen'!$B$234:$B$693,'Anlage 3b_Zusammenfassung ONU'!A316,'Anlage 2b_Korrekturen'!$F$234:$F$693)</f>
        <v>0</v>
      </c>
      <c r="G316" s="928">
        <f t="shared" si="11"/>
        <v>729057.62</v>
      </c>
      <c r="J316" t="s">
        <v>1039</v>
      </c>
    </row>
    <row r="317" spans="1:10" hidden="1" outlineLevel="1">
      <c r="A317" s="853" t="s">
        <v>1040</v>
      </c>
      <c r="B317" s="1698">
        <f>+VLOOKUP(A317,'Anlage 2a_Letztverbrauch'!$A$2025:$I$2257,9,FALSE)</f>
        <v>1414582.52</v>
      </c>
      <c r="C317" s="711">
        <f>+IF(ISNA(VLOOKUP(A317,'Anlage 2a_Letztverbrauch'!$A$2788:$D$2795,4,0)),0,VLOOKUP(A317,'Anlage 2a_Letztverbrauch'!$A$2788:$D$2795,4,0))</f>
        <v>0</v>
      </c>
      <c r="D317" s="711">
        <v>0</v>
      </c>
      <c r="E317" s="667">
        <f t="shared" si="12"/>
        <v>1414582.52</v>
      </c>
      <c r="F317" s="668">
        <f>+SUMIF('Anlage 2b_Korrekturen'!$B$234:$B$693,'Anlage 3b_Zusammenfassung ONU'!A317,'Anlage 2b_Korrekturen'!$F$234:$F$693)</f>
        <v>349.26</v>
      </c>
      <c r="G317" s="928">
        <f t="shared" si="11"/>
        <v>1414931.78</v>
      </c>
      <c r="J317" t="s">
        <v>1041</v>
      </c>
    </row>
    <row r="318" spans="1:10" hidden="1" outlineLevel="1">
      <c r="A318" s="853" t="s">
        <v>1042</v>
      </c>
      <c r="B318" s="1698">
        <f>+VLOOKUP(A318,'Anlage 2a_Letztverbrauch'!$A$2025:$I$2257,9,FALSE)</f>
        <v>974672.69</v>
      </c>
      <c r="C318" s="711">
        <f>+IF(ISNA(VLOOKUP(A318,'Anlage 2a_Letztverbrauch'!$A$2788:$D$2795,4,0)),0,VLOOKUP(A318,'Anlage 2a_Letztverbrauch'!$A$2788:$D$2795,4,0))</f>
        <v>0</v>
      </c>
      <c r="D318" s="711">
        <v>0</v>
      </c>
      <c r="E318" s="667">
        <f t="shared" si="12"/>
        <v>974672.69</v>
      </c>
      <c r="F318" s="668">
        <f>+SUMIF('Anlage 2b_Korrekturen'!$B$234:$B$693,'Anlage 3b_Zusammenfassung ONU'!A318,'Anlage 2b_Korrekturen'!$F$234:$F$693)</f>
        <v>546.97</v>
      </c>
      <c r="G318" s="928">
        <f t="shared" si="11"/>
        <v>975219.65999999992</v>
      </c>
      <c r="J318" t="s">
        <v>1043</v>
      </c>
    </row>
    <row r="319" spans="1:10" hidden="1" outlineLevel="1">
      <c r="A319" s="853" t="s">
        <v>1044</v>
      </c>
      <c r="B319" s="1698">
        <f>+VLOOKUP(A319,'Anlage 2a_Letztverbrauch'!$A$2025:$I$2257,9,FALSE)</f>
        <v>1322950.49</v>
      </c>
      <c r="C319" s="711">
        <f>+IF(ISNA(VLOOKUP(A319,'Anlage 2a_Letztverbrauch'!$A$2788:$D$2795,4,0)),0,VLOOKUP(A319,'Anlage 2a_Letztverbrauch'!$A$2788:$D$2795,4,0))</f>
        <v>0</v>
      </c>
      <c r="D319" s="711">
        <v>0</v>
      </c>
      <c r="E319" s="667">
        <f t="shared" si="12"/>
        <v>1322950.49</v>
      </c>
      <c r="F319" s="668">
        <f>+SUMIF('Anlage 2b_Korrekturen'!$B$234:$B$693,'Anlage 3b_Zusammenfassung ONU'!A319,'Anlage 2b_Korrekturen'!$F$234:$F$693)</f>
        <v>2575.5500000000002</v>
      </c>
      <c r="G319" s="928">
        <f t="shared" si="11"/>
        <v>1325526.04</v>
      </c>
      <c r="J319" t="s">
        <v>1045</v>
      </c>
    </row>
    <row r="320" spans="1:10" hidden="1" outlineLevel="1">
      <c r="A320" s="853" t="s">
        <v>1046</v>
      </c>
      <c r="B320" s="1698">
        <f>+VLOOKUP(A320,'Anlage 2a_Letztverbrauch'!$A$2025:$I$2257,9,FALSE)</f>
        <v>2154369.5099999998</v>
      </c>
      <c r="C320" s="711">
        <f>+IF(ISNA(VLOOKUP(A320,'Anlage 2a_Letztverbrauch'!$A$2788:$D$2795,4,0)),0,VLOOKUP(A320,'Anlage 2a_Letztverbrauch'!$A$2788:$D$2795,4,0))</f>
        <v>0</v>
      </c>
      <c r="D320" s="711">
        <v>0</v>
      </c>
      <c r="E320" s="667">
        <f t="shared" si="12"/>
        <v>2154369.5099999998</v>
      </c>
      <c r="F320" s="668">
        <f>+SUMIF('Anlage 2b_Korrekturen'!$B$234:$B$693,'Anlage 3b_Zusammenfassung ONU'!A320,'Anlage 2b_Korrekturen'!$F$234:$F$693)</f>
        <v>0</v>
      </c>
      <c r="G320" s="928">
        <f t="shared" si="11"/>
        <v>2154369.5099999998</v>
      </c>
      <c r="J320" t="s">
        <v>1047</v>
      </c>
    </row>
    <row r="321" spans="1:10" hidden="1" outlineLevel="1">
      <c r="A321" s="853" t="s">
        <v>1048</v>
      </c>
      <c r="B321" s="1698">
        <f>+VLOOKUP(A321,'Anlage 2a_Letztverbrauch'!$A$2025:$I$2257,9,FALSE)</f>
        <v>1899440.36</v>
      </c>
      <c r="C321" s="711">
        <f>+IF(ISNA(VLOOKUP(A321,'Anlage 2a_Letztverbrauch'!$A$2788:$D$2795,4,0)),0,VLOOKUP(A321,'Anlage 2a_Letztverbrauch'!$A$2788:$D$2795,4,0))</f>
        <v>0</v>
      </c>
      <c r="D321" s="711">
        <v>0</v>
      </c>
      <c r="E321" s="667">
        <f t="shared" si="12"/>
        <v>1899440.36</v>
      </c>
      <c r="F321" s="668">
        <f>+SUMIF('Anlage 2b_Korrekturen'!$B$234:$B$693,'Anlage 3b_Zusammenfassung ONU'!A321,'Anlage 2b_Korrekturen'!$F$234:$F$693)</f>
        <v>-82079.540000000008</v>
      </c>
      <c r="G321" s="928">
        <f t="shared" si="11"/>
        <v>1817360.82</v>
      </c>
      <c r="J321" t="s">
        <v>1049</v>
      </c>
    </row>
    <row r="322" spans="1:10" hidden="1" outlineLevel="1">
      <c r="A322" s="853" t="s">
        <v>1050</v>
      </c>
      <c r="B322" s="1698">
        <f>+VLOOKUP(A322,'Anlage 2a_Letztverbrauch'!$A$2025:$I$2257,9,FALSE)</f>
        <v>1127635.3</v>
      </c>
      <c r="C322" s="711">
        <f>+IF(ISNA(VLOOKUP(A322,'Anlage 2a_Letztverbrauch'!$A$2788:$D$2795,4,0)),0,VLOOKUP(A322,'Anlage 2a_Letztverbrauch'!$A$2788:$D$2795,4,0))</f>
        <v>0</v>
      </c>
      <c r="D322" s="711">
        <v>0</v>
      </c>
      <c r="E322" s="667">
        <f t="shared" si="12"/>
        <v>1127635.3</v>
      </c>
      <c r="F322" s="668">
        <f>+SUMIF('Anlage 2b_Korrekturen'!$B$234:$B$693,'Anlage 3b_Zusammenfassung ONU'!A322,'Anlage 2b_Korrekturen'!$F$234:$F$693)</f>
        <v>0</v>
      </c>
      <c r="G322" s="928">
        <f t="shared" si="11"/>
        <v>1127635.3</v>
      </c>
      <c r="J322" t="s">
        <v>1051</v>
      </c>
    </row>
    <row r="323" spans="1:10" hidden="1" outlineLevel="1">
      <c r="A323" s="853" t="s">
        <v>1054</v>
      </c>
      <c r="B323" s="1698">
        <f>+VLOOKUP(A323,'Anlage 2a_Letztverbrauch'!$A$2025:$I$2257,9,FALSE)</f>
        <v>2837560.9</v>
      </c>
      <c r="C323" s="711">
        <f>+IF(ISNA(VLOOKUP(A323,'Anlage 2a_Letztverbrauch'!$A$2788:$D$2795,4,0)),0,VLOOKUP(A323,'Anlage 2a_Letztverbrauch'!$A$2788:$D$2795,4,0))</f>
        <v>-15575.97</v>
      </c>
      <c r="D323" s="711">
        <v>0</v>
      </c>
      <c r="E323" s="667">
        <f t="shared" si="12"/>
        <v>2821984.9299999997</v>
      </c>
      <c r="F323" s="668">
        <f>+SUMIF('Anlage 2b_Korrekturen'!$B$234:$B$693,'Anlage 3b_Zusammenfassung ONU'!A323,'Anlage 2b_Korrekturen'!$F$234:$F$693)</f>
        <v>0</v>
      </c>
      <c r="G323" s="928">
        <f t="shared" si="11"/>
        <v>2821984.9299999997</v>
      </c>
      <c r="J323" t="s">
        <v>1055</v>
      </c>
    </row>
    <row r="324" spans="1:10" hidden="1" outlineLevel="1">
      <c r="A324" s="853" t="s">
        <v>1056</v>
      </c>
      <c r="B324" s="1698">
        <f>+VLOOKUP(A324,'Anlage 2a_Letztverbrauch'!$A$2025:$I$2257,9,FALSE)</f>
        <v>859578.99</v>
      </c>
      <c r="C324" s="711">
        <f>+IF(ISNA(VLOOKUP(A324,'Anlage 2a_Letztverbrauch'!$A$2788:$D$2795,4,0)),0,VLOOKUP(A324,'Anlage 2a_Letztverbrauch'!$A$2788:$D$2795,4,0))</f>
        <v>0</v>
      </c>
      <c r="D324" s="711">
        <v>0</v>
      </c>
      <c r="E324" s="667">
        <f t="shared" si="12"/>
        <v>859578.99</v>
      </c>
      <c r="F324" s="668">
        <f>+SUMIF('Anlage 2b_Korrekturen'!$B$234:$B$693,'Anlage 3b_Zusammenfassung ONU'!A324,'Anlage 2b_Korrekturen'!$F$234:$F$693)</f>
        <v>0</v>
      </c>
      <c r="G324" s="928">
        <f t="shared" si="11"/>
        <v>859578.99</v>
      </c>
      <c r="J324" t="s">
        <v>1057</v>
      </c>
    </row>
    <row r="325" spans="1:10" hidden="1" outlineLevel="1">
      <c r="A325" s="853" t="s">
        <v>1058</v>
      </c>
      <c r="B325" s="1698">
        <f>+VLOOKUP(A325,'Anlage 2a_Letztverbrauch'!$A$2025:$I$2257,9,FALSE)</f>
        <v>3594112.54</v>
      </c>
      <c r="C325" s="711">
        <f>+IF(ISNA(VLOOKUP(A325,'Anlage 2a_Letztverbrauch'!$A$2788:$D$2795,4,0)),0,VLOOKUP(A325,'Anlage 2a_Letztverbrauch'!$A$2788:$D$2795,4,0))</f>
        <v>0</v>
      </c>
      <c r="D325" s="711">
        <v>0</v>
      </c>
      <c r="E325" s="667">
        <f t="shared" si="12"/>
        <v>3594112.54</v>
      </c>
      <c r="F325" s="668">
        <f>+SUMIF('Anlage 2b_Korrekturen'!$B$234:$B$693,'Anlage 3b_Zusammenfassung ONU'!A325,'Anlage 2b_Korrekturen'!$F$234:$F$693)</f>
        <v>-27077.45</v>
      </c>
      <c r="G325" s="928">
        <f t="shared" si="11"/>
        <v>3567035.09</v>
      </c>
      <c r="J325" t="s">
        <v>1059</v>
      </c>
    </row>
    <row r="326" spans="1:10" hidden="1" outlineLevel="1">
      <c r="A326" s="853" t="s">
        <v>1060</v>
      </c>
      <c r="B326" s="1698">
        <f>+VLOOKUP(A326,'Anlage 2a_Letztverbrauch'!$A$2025:$I$2257,9,FALSE)</f>
        <v>24688.92</v>
      </c>
      <c r="C326" s="711">
        <f>+IF(ISNA(VLOOKUP(A326,'Anlage 2a_Letztverbrauch'!$A$2788:$D$2795,4,0)),0,VLOOKUP(A326,'Anlage 2a_Letztverbrauch'!$A$2788:$D$2795,4,0))</f>
        <v>0</v>
      </c>
      <c r="D326" s="711">
        <v>0</v>
      </c>
      <c r="E326" s="667">
        <f t="shared" si="12"/>
        <v>24688.92</v>
      </c>
      <c r="F326" s="668">
        <f>+SUMIF('Anlage 2b_Korrekturen'!$B$234:$B$693,'Anlage 3b_Zusammenfassung ONU'!A326,'Anlage 2b_Korrekturen'!$F$234:$F$693)</f>
        <v>260.42</v>
      </c>
      <c r="G326" s="928">
        <f t="shared" si="11"/>
        <v>24949.339999999997</v>
      </c>
      <c r="J326" t="s">
        <v>1061</v>
      </c>
    </row>
    <row r="327" spans="1:10" hidden="1" outlineLevel="1">
      <c r="A327" s="853" t="s">
        <v>1062</v>
      </c>
      <c r="B327" s="1698">
        <f>+VLOOKUP(A327,'Anlage 2a_Letztverbrauch'!$A$2025:$I$2257,9,FALSE)</f>
        <v>955559.53</v>
      </c>
      <c r="C327" s="711">
        <f>+IF(ISNA(VLOOKUP(A327,'Anlage 2a_Letztverbrauch'!$A$2788:$D$2795,4,0)),0,VLOOKUP(A327,'Anlage 2a_Letztverbrauch'!$A$2788:$D$2795,4,0))</f>
        <v>0</v>
      </c>
      <c r="D327" s="711">
        <v>0</v>
      </c>
      <c r="E327" s="667">
        <f t="shared" si="12"/>
        <v>955559.53</v>
      </c>
      <c r="F327" s="668">
        <f>+SUMIF('Anlage 2b_Korrekturen'!$B$234:$B$693,'Anlage 3b_Zusammenfassung ONU'!A327,'Anlage 2b_Korrekturen'!$F$234:$F$693)</f>
        <v>30611.77</v>
      </c>
      <c r="G327" s="928">
        <f t="shared" si="11"/>
        <v>986171.3</v>
      </c>
      <c r="J327" t="s">
        <v>1063</v>
      </c>
    </row>
    <row r="328" spans="1:10" hidden="1" outlineLevel="1">
      <c r="A328" s="853" t="s">
        <v>1064</v>
      </c>
      <c r="B328" s="1698">
        <f>+VLOOKUP(A328,'Anlage 2a_Letztverbrauch'!$A$2025:$I$2257,9,FALSE)</f>
        <v>5589013.1299999999</v>
      </c>
      <c r="C328" s="711">
        <f>+IF(ISNA(VLOOKUP(A328,'Anlage 2a_Letztverbrauch'!$A$2788:$D$2795,4,0)),0,VLOOKUP(A328,'Anlage 2a_Letztverbrauch'!$A$2788:$D$2795,4,0))</f>
        <v>0</v>
      </c>
      <c r="D328" s="711">
        <v>0</v>
      </c>
      <c r="E328" s="667">
        <f t="shared" si="12"/>
        <v>5589013.1299999999</v>
      </c>
      <c r="F328" s="668">
        <f>+SUMIF('Anlage 2b_Korrekturen'!$B$234:$B$693,'Anlage 3b_Zusammenfassung ONU'!A328,'Anlage 2b_Korrekturen'!$F$234:$F$693)</f>
        <v>35218.130000000005</v>
      </c>
      <c r="G328" s="928">
        <f t="shared" si="11"/>
        <v>5624231.2599999998</v>
      </c>
      <c r="J328" t="s">
        <v>1065</v>
      </c>
    </row>
    <row r="329" spans="1:10" hidden="1" outlineLevel="1">
      <c r="A329" s="853" t="s">
        <v>1066</v>
      </c>
      <c r="B329" s="1698">
        <f>+VLOOKUP(A329,'Anlage 2a_Letztverbrauch'!$A$2025:$I$2257,9,FALSE)</f>
        <v>87658.16</v>
      </c>
      <c r="C329" s="711">
        <f>+IF(ISNA(VLOOKUP(A329,'Anlage 2a_Letztverbrauch'!$A$2788:$D$2795,4,0)),0,VLOOKUP(A329,'Anlage 2a_Letztverbrauch'!$A$2788:$D$2795,4,0))</f>
        <v>0</v>
      </c>
      <c r="D329" s="711">
        <v>0</v>
      </c>
      <c r="E329" s="667">
        <f t="shared" si="12"/>
        <v>87658.16</v>
      </c>
      <c r="F329" s="668">
        <f>+SUMIF('Anlage 2b_Korrekturen'!$B$234:$B$693,'Anlage 3b_Zusammenfassung ONU'!A329,'Anlage 2b_Korrekturen'!$F$234:$F$693)</f>
        <v>-105.34</v>
      </c>
      <c r="G329" s="928">
        <f t="shared" si="11"/>
        <v>87552.82</v>
      </c>
      <c r="J329" t="s">
        <v>1067</v>
      </c>
    </row>
    <row r="330" spans="1:10" hidden="1" outlineLevel="1">
      <c r="A330" s="853" t="s">
        <v>1068</v>
      </c>
      <c r="B330" s="1698">
        <f>+VLOOKUP(A330,'Anlage 2a_Letztverbrauch'!$A$2025:$I$2257,9,FALSE)</f>
        <v>3998236.65</v>
      </c>
      <c r="C330" s="711">
        <f>+IF(ISNA(VLOOKUP(A330,'Anlage 2a_Letztverbrauch'!$A$2788:$D$2795,4,0)),0,VLOOKUP(A330,'Anlage 2a_Letztverbrauch'!$A$2788:$D$2795,4,0))</f>
        <v>0</v>
      </c>
      <c r="D330" s="711">
        <v>0</v>
      </c>
      <c r="E330" s="667">
        <f t="shared" si="12"/>
        <v>3998236.65</v>
      </c>
      <c r="F330" s="668">
        <f>+SUMIF('Anlage 2b_Korrekturen'!$B$234:$B$693,'Anlage 3b_Zusammenfassung ONU'!A330,'Anlage 2b_Korrekturen'!$F$234:$F$693)</f>
        <v>28351.059999999998</v>
      </c>
      <c r="G330" s="928">
        <f t="shared" si="11"/>
        <v>4026587.71</v>
      </c>
      <c r="J330" t="s">
        <v>1069</v>
      </c>
    </row>
    <row r="331" spans="1:10" hidden="1" outlineLevel="1">
      <c r="A331" s="853" t="s">
        <v>1070</v>
      </c>
      <c r="B331" s="1698">
        <f>+VLOOKUP(A331,'Anlage 2a_Letztverbrauch'!$A$2025:$I$2257,9,FALSE)</f>
        <v>743379.92</v>
      </c>
      <c r="C331" s="711">
        <f>+IF(ISNA(VLOOKUP(A331,'Anlage 2a_Letztverbrauch'!$A$2788:$D$2795,4,0)),0,VLOOKUP(A331,'Anlage 2a_Letztverbrauch'!$A$2788:$D$2795,4,0))</f>
        <v>0</v>
      </c>
      <c r="D331" s="711">
        <v>0</v>
      </c>
      <c r="E331" s="667">
        <f t="shared" si="12"/>
        <v>743379.92</v>
      </c>
      <c r="F331" s="668">
        <f>+SUMIF('Anlage 2b_Korrekturen'!$B$234:$B$693,'Anlage 3b_Zusammenfassung ONU'!A331,'Anlage 2b_Korrekturen'!$F$234:$F$693)</f>
        <v>0</v>
      </c>
      <c r="G331" s="928">
        <f t="shared" si="11"/>
        <v>743379.92</v>
      </c>
      <c r="J331" t="s">
        <v>1071</v>
      </c>
    </row>
    <row r="332" spans="1:10" hidden="1" outlineLevel="1">
      <c r="A332" s="853" t="s">
        <v>1072</v>
      </c>
      <c r="B332" s="1698">
        <f>+VLOOKUP(A332,'Anlage 2a_Letztverbrauch'!$A$2025:$I$2257,9,FALSE)</f>
        <v>2027415.26</v>
      </c>
      <c r="C332" s="711">
        <f>+IF(ISNA(VLOOKUP(A332,'Anlage 2a_Letztverbrauch'!$A$2788:$D$2795,4,0)),0,VLOOKUP(A332,'Anlage 2a_Letztverbrauch'!$A$2788:$D$2795,4,0))</f>
        <v>0</v>
      </c>
      <c r="D332" s="711">
        <v>0</v>
      </c>
      <c r="E332" s="667">
        <f t="shared" si="12"/>
        <v>2027415.26</v>
      </c>
      <c r="F332" s="668">
        <f>+SUMIF('Anlage 2b_Korrekturen'!$B$234:$B$693,'Anlage 3b_Zusammenfassung ONU'!A332,'Anlage 2b_Korrekturen'!$F$234:$F$693)</f>
        <v>-80064.209999999992</v>
      </c>
      <c r="G332" s="928">
        <f t="shared" ref="G332:G395" si="13">E332+F332</f>
        <v>1947351.05</v>
      </c>
      <c r="J332" t="s">
        <v>1073</v>
      </c>
    </row>
    <row r="333" spans="1:10" hidden="1" outlineLevel="1">
      <c r="A333" s="853" t="s">
        <v>1074</v>
      </c>
      <c r="B333" s="1698">
        <f>+VLOOKUP(A333,'Anlage 2a_Letztverbrauch'!$A$2025:$I$2257,9,FALSE)</f>
        <v>10119041.560000001</v>
      </c>
      <c r="C333" s="711">
        <f>+IF(ISNA(VLOOKUP(A333,'Anlage 2a_Letztverbrauch'!$A$2788:$D$2795,4,0)),0,VLOOKUP(A333,'Anlage 2a_Letztverbrauch'!$A$2788:$D$2795,4,0))</f>
        <v>0</v>
      </c>
      <c r="D333" s="711">
        <v>0</v>
      </c>
      <c r="E333" s="667">
        <f t="shared" si="12"/>
        <v>10119041.560000001</v>
      </c>
      <c r="F333" s="668">
        <f>+SUMIF('Anlage 2b_Korrekturen'!$B$234:$B$693,'Anlage 3b_Zusammenfassung ONU'!A333,'Anlage 2b_Korrekturen'!$F$234:$F$693)</f>
        <v>-56489.020000000004</v>
      </c>
      <c r="G333" s="928">
        <f t="shared" si="13"/>
        <v>10062552.540000001</v>
      </c>
      <c r="J333" t="s">
        <v>1075</v>
      </c>
    </row>
    <row r="334" spans="1:10" hidden="1" outlineLevel="1">
      <c r="A334" s="853" t="s">
        <v>1076</v>
      </c>
      <c r="B334" s="1698">
        <f>+VLOOKUP(A334,'Anlage 2a_Letztverbrauch'!$A$2025:$I$2257,9,FALSE)</f>
        <v>961967.51</v>
      </c>
      <c r="C334" s="711">
        <f>+IF(ISNA(VLOOKUP(A334,'Anlage 2a_Letztverbrauch'!$A$2788:$D$2795,4,0)),0,VLOOKUP(A334,'Anlage 2a_Letztverbrauch'!$A$2788:$D$2795,4,0))</f>
        <v>0</v>
      </c>
      <c r="D334" s="711">
        <v>0</v>
      </c>
      <c r="E334" s="667">
        <f t="shared" si="12"/>
        <v>961967.51</v>
      </c>
      <c r="F334" s="668">
        <f>+SUMIF('Anlage 2b_Korrekturen'!$B$234:$B$693,'Anlage 3b_Zusammenfassung ONU'!A334,'Anlage 2b_Korrekturen'!$F$234:$F$693)</f>
        <v>-460.36</v>
      </c>
      <c r="G334" s="928">
        <f t="shared" si="13"/>
        <v>961507.15</v>
      </c>
      <c r="J334" t="s">
        <v>1077</v>
      </c>
    </row>
    <row r="335" spans="1:10" hidden="1" outlineLevel="1">
      <c r="A335" s="853" t="s">
        <v>1078</v>
      </c>
      <c r="B335" s="1698">
        <f>+VLOOKUP(A335,'Anlage 2a_Letztverbrauch'!$A$2025:$I$2257,9,FALSE)</f>
        <v>4098684.81</v>
      </c>
      <c r="C335" s="711">
        <f>+IF(ISNA(VLOOKUP(A335,'Anlage 2a_Letztverbrauch'!$A$2788:$D$2795,4,0)),0,VLOOKUP(A335,'Anlage 2a_Letztverbrauch'!$A$2788:$D$2795,4,0))</f>
        <v>0</v>
      </c>
      <c r="D335" s="711">
        <v>0</v>
      </c>
      <c r="E335" s="667">
        <f t="shared" si="12"/>
        <v>4098684.81</v>
      </c>
      <c r="F335" s="668">
        <f>+SUMIF('Anlage 2b_Korrekturen'!$B$234:$B$693,'Anlage 3b_Zusammenfassung ONU'!A335,'Anlage 2b_Korrekturen'!$F$234:$F$693)</f>
        <v>0</v>
      </c>
      <c r="G335" s="928">
        <f t="shared" si="13"/>
        <v>4098684.81</v>
      </c>
      <c r="J335" t="s">
        <v>1079</v>
      </c>
    </row>
    <row r="336" spans="1:10" hidden="1" outlineLevel="1">
      <c r="A336" s="853" t="s">
        <v>1080</v>
      </c>
      <c r="B336" s="1698">
        <f>+VLOOKUP(A336,'Anlage 2a_Letztverbrauch'!$A$2025:$I$2257,9,FALSE)</f>
        <v>249753.24</v>
      </c>
      <c r="C336" s="711">
        <f>+IF(ISNA(VLOOKUP(A336,'Anlage 2a_Letztverbrauch'!$A$2788:$D$2795,4,0)),0,VLOOKUP(A336,'Anlage 2a_Letztverbrauch'!$A$2788:$D$2795,4,0))</f>
        <v>0</v>
      </c>
      <c r="D336" s="711">
        <v>0</v>
      </c>
      <c r="E336" s="667">
        <f t="shared" si="12"/>
        <v>249753.24</v>
      </c>
      <c r="F336" s="668">
        <f>+SUMIF('Anlage 2b_Korrekturen'!$B$234:$B$693,'Anlage 3b_Zusammenfassung ONU'!A336,'Anlage 2b_Korrekturen'!$F$234:$F$693)</f>
        <v>852.37</v>
      </c>
      <c r="G336" s="928">
        <f t="shared" si="13"/>
        <v>250605.61</v>
      </c>
      <c r="J336" t="s">
        <v>1081</v>
      </c>
    </row>
    <row r="337" spans="1:10" hidden="1" outlineLevel="1">
      <c r="A337" s="853" t="s">
        <v>1082</v>
      </c>
      <c r="B337" s="1698">
        <f>+VLOOKUP(A337,'Anlage 2a_Letztverbrauch'!$A$2025:$I$2257,9,FALSE)</f>
        <v>1739748.81</v>
      </c>
      <c r="C337" s="711">
        <f>+IF(ISNA(VLOOKUP(A337,'Anlage 2a_Letztverbrauch'!$A$2788:$D$2795,4,0)),0,VLOOKUP(A337,'Anlage 2a_Letztverbrauch'!$A$2788:$D$2795,4,0))</f>
        <v>0</v>
      </c>
      <c r="D337" s="711">
        <v>0</v>
      </c>
      <c r="E337" s="667">
        <f t="shared" si="12"/>
        <v>1739748.81</v>
      </c>
      <c r="F337" s="668">
        <f>+SUMIF('Anlage 2b_Korrekturen'!$B$234:$B$693,'Anlage 3b_Zusammenfassung ONU'!A337,'Anlage 2b_Korrekturen'!$F$234:$F$693)</f>
        <v>22105.74</v>
      </c>
      <c r="G337" s="928">
        <f t="shared" si="13"/>
        <v>1761854.55</v>
      </c>
      <c r="J337" t="s">
        <v>1083</v>
      </c>
    </row>
    <row r="338" spans="1:10" hidden="1" outlineLevel="1">
      <c r="A338" s="853" t="s">
        <v>1084</v>
      </c>
      <c r="B338" s="1698">
        <f>+VLOOKUP(A338,'Anlage 2a_Letztverbrauch'!$A$2025:$I$2257,9,FALSE)</f>
        <v>1392833.84</v>
      </c>
      <c r="C338" s="711">
        <f>+IF(ISNA(VLOOKUP(A338,'Anlage 2a_Letztverbrauch'!$A$2788:$D$2795,4,0)),0,VLOOKUP(A338,'Anlage 2a_Letztverbrauch'!$A$2788:$D$2795,4,0))</f>
        <v>0</v>
      </c>
      <c r="D338" s="711">
        <v>0</v>
      </c>
      <c r="E338" s="667">
        <f t="shared" si="12"/>
        <v>1392833.84</v>
      </c>
      <c r="F338" s="668">
        <f>+SUMIF('Anlage 2b_Korrekturen'!$B$234:$B$693,'Anlage 3b_Zusammenfassung ONU'!A338,'Anlage 2b_Korrekturen'!$F$234:$F$693)</f>
        <v>0</v>
      </c>
      <c r="G338" s="928">
        <f t="shared" si="13"/>
        <v>1392833.84</v>
      </c>
      <c r="J338" t="s">
        <v>1085</v>
      </c>
    </row>
    <row r="339" spans="1:10" hidden="1" outlineLevel="1">
      <c r="A339" s="853" t="s">
        <v>1086</v>
      </c>
      <c r="B339" s="1698">
        <f>+VLOOKUP(A339,'Anlage 2a_Letztverbrauch'!$A$2025:$I$2257,9,FALSE)</f>
        <v>669452.19999999995</v>
      </c>
      <c r="C339" s="711">
        <f>+IF(ISNA(VLOOKUP(A339,'Anlage 2a_Letztverbrauch'!$A$2788:$D$2795,4,0)),0,VLOOKUP(A339,'Anlage 2a_Letztverbrauch'!$A$2788:$D$2795,4,0))</f>
        <v>0</v>
      </c>
      <c r="D339" s="711">
        <v>0</v>
      </c>
      <c r="E339" s="667">
        <f t="shared" si="12"/>
        <v>669452.19999999995</v>
      </c>
      <c r="F339" s="668">
        <f>+SUMIF('Anlage 2b_Korrekturen'!$B$234:$B$693,'Anlage 3b_Zusammenfassung ONU'!A339,'Anlage 2b_Korrekturen'!$F$234:$F$693)</f>
        <v>0</v>
      </c>
      <c r="G339" s="928">
        <f t="shared" si="13"/>
        <v>669452.19999999995</v>
      </c>
      <c r="J339" t="s">
        <v>1087</v>
      </c>
    </row>
    <row r="340" spans="1:10" hidden="1" outlineLevel="1">
      <c r="A340" s="853" t="s">
        <v>1088</v>
      </c>
      <c r="B340" s="1698">
        <f>+VLOOKUP(A340,'Anlage 2a_Letztverbrauch'!$A$2025:$I$2257,9,FALSE)</f>
        <v>360789.28</v>
      </c>
      <c r="C340" s="711">
        <f>+IF(ISNA(VLOOKUP(A340,'Anlage 2a_Letztverbrauch'!$A$2788:$D$2795,4,0)),0,VLOOKUP(A340,'Anlage 2a_Letztverbrauch'!$A$2788:$D$2795,4,0))</f>
        <v>0</v>
      </c>
      <c r="D340" s="711">
        <v>0</v>
      </c>
      <c r="E340" s="667">
        <f t="shared" si="12"/>
        <v>360789.28</v>
      </c>
      <c r="F340" s="668">
        <f>+SUMIF('Anlage 2b_Korrekturen'!$B$234:$B$693,'Anlage 3b_Zusammenfassung ONU'!A340,'Anlage 2b_Korrekturen'!$F$234:$F$693)</f>
        <v>0</v>
      </c>
      <c r="G340" s="928">
        <f t="shared" si="13"/>
        <v>360789.28</v>
      </c>
      <c r="J340" t="s">
        <v>1089</v>
      </c>
    </row>
    <row r="341" spans="1:10" hidden="1" outlineLevel="1">
      <c r="A341" s="853" t="s">
        <v>1090</v>
      </c>
      <c r="B341" s="1698">
        <f>+VLOOKUP(A341,'Anlage 2a_Letztverbrauch'!$A$2025:$I$2257,9,FALSE)</f>
        <v>2362897.7200000002</v>
      </c>
      <c r="C341" s="711">
        <f>+IF(ISNA(VLOOKUP(A341,'Anlage 2a_Letztverbrauch'!$A$2788:$D$2795,4,0)),0,VLOOKUP(A341,'Anlage 2a_Letztverbrauch'!$A$2788:$D$2795,4,0))</f>
        <v>0</v>
      </c>
      <c r="D341" s="711">
        <v>0</v>
      </c>
      <c r="E341" s="667">
        <f t="shared" si="12"/>
        <v>2362897.7200000002</v>
      </c>
      <c r="F341" s="668">
        <f>+SUMIF('Anlage 2b_Korrekturen'!$B$234:$B$693,'Anlage 3b_Zusammenfassung ONU'!A341,'Anlage 2b_Korrekturen'!$F$234:$F$693)</f>
        <v>-5361.87</v>
      </c>
      <c r="G341" s="928">
        <f t="shared" si="13"/>
        <v>2357535.85</v>
      </c>
      <c r="J341" t="s">
        <v>1091</v>
      </c>
    </row>
    <row r="342" spans="1:10" hidden="1" outlineLevel="1">
      <c r="A342" s="853" t="s">
        <v>1092</v>
      </c>
      <c r="B342" s="1698">
        <f>+VLOOKUP(A342,'Anlage 2a_Letztverbrauch'!$A$2025:$I$2257,9,FALSE)</f>
        <v>3061230.0300000003</v>
      </c>
      <c r="C342" s="711">
        <f>+IF(ISNA(VLOOKUP(A342,'Anlage 2a_Letztverbrauch'!$A$2788:$D$2795,4,0)),0,VLOOKUP(A342,'Anlage 2a_Letztverbrauch'!$A$2788:$D$2795,4,0))</f>
        <v>0</v>
      </c>
      <c r="D342" s="711">
        <v>0</v>
      </c>
      <c r="E342" s="667">
        <f t="shared" si="12"/>
        <v>3061230.0300000003</v>
      </c>
      <c r="F342" s="668">
        <f>+SUMIF('Anlage 2b_Korrekturen'!$B$234:$B$693,'Anlage 3b_Zusammenfassung ONU'!A342,'Anlage 2b_Korrekturen'!$F$234:$F$693)</f>
        <v>-31028.039999999997</v>
      </c>
      <c r="G342" s="928">
        <f t="shared" si="13"/>
        <v>3030201.99</v>
      </c>
      <c r="J342" t="s">
        <v>1093</v>
      </c>
    </row>
    <row r="343" spans="1:10" hidden="1" outlineLevel="1">
      <c r="A343" s="853" t="s">
        <v>1094</v>
      </c>
      <c r="B343" s="1698">
        <f>+VLOOKUP(A343,'Anlage 2a_Letztverbrauch'!$A$2025:$I$2257,9,FALSE)</f>
        <v>233691.14</v>
      </c>
      <c r="C343" s="711">
        <f>+IF(ISNA(VLOOKUP(A343,'Anlage 2a_Letztverbrauch'!$A$2788:$D$2795,4,0)),0,VLOOKUP(A343,'Anlage 2a_Letztverbrauch'!$A$2788:$D$2795,4,0))</f>
        <v>0</v>
      </c>
      <c r="D343" s="711">
        <v>0</v>
      </c>
      <c r="E343" s="667">
        <f t="shared" si="12"/>
        <v>233691.14</v>
      </c>
      <c r="F343" s="668">
        <f>+SUMIF('Anlage 2b_Korrekturen'!$B$234:$B$693,'Anlage 3b_Zusammenfassung ONU'!A343,'Anlage 2b_Korrekturen'!$F$234:$F$693)</f>
        <v>-3651.75</v>
      </c>
      <c r="G343" s="928">
        <f t="shared" si="13"/>
        <v>230039.39</v>
      </c>
      <c r="J343" t="s">
        <v>1095</v>
      </c>
    </row>
    <row r="344" spans="1:10" hidden="1" outlineLevel="1">
      <c r="A344" s="853" t="s">
        <v>1096</v>
      </c>
      <c r="B344" s="1698">
        <f>+VLOOKUP(A344,'Anlage 2a_Letztverbrauch'!$A$2025:$I$2257,9,FALSE)</f>
        <v>930269.07</v>
      </c>
      <c r="C344" s="711">
        <f>+IF(ISNA(VLOOKUP(A344,'Anlage 2a_Letztverbrauch'!$A$2788:$D$2795,4,0)),0,VLOOKUP(A344,'Anlage 2a_Letztverbrauch'!$A$2788:$D$2795,4,0))</f>
        <v>0</v>
      </c>
      <c r="D344" s="711">
        <v>0</v>
      </c>
      <c r="E344" s="667">
        <f t="shared" si="12"/>
        <v>930269.07</v>
      </c>
      <c r="F344" s="668">
        <f>+SUMIF('Anlage 2b_Korrekturen'!$B$234:$B$693,'Anlage 3b_Zusammenfassung ONU'!A344,'Anlage 2b_Korrekturen'!$F$234:$F$693)</f>
        <v>23701.16</v>
      </c>
      <c r="G344" s="928">
        <f t="shared" si="13"/>
        <v>953970.23</v>
      </c>
      <c r="J344" t="s">
        <v>1097</v>
      </c>
    </row>
    <row r="345" spans="1:10" hidden="1" outlineLevel="1">
      <c r="A345" s="853" t="s">
        <v>1098</v>
      </c>
      <c r="B345" s="1698">
        <f>+VLOOKUP(A345,'Anlage 2a_Letztverbrauch'!$A$2025:$I$2257,9,FALSE)</f>
        <v>76079.05</v>
      </c>
      <c r="C345" s="711">
        <f>+IF(ISNA(VLOOKUP(A345,'Anlage 2a_Letztverbrauch'!$A$2788:$D$2795,4,0)),0,VLOOKUP(A345,'Anlage 2a_Letztverbrauch'!$A$2788:$D$2795,4,0))</f>
        <v>0</v>
      </c>
      <c r="D345" s="711">
        <v>0</v>
      </c>
      <c r="E345" s="667">
        <f t="shared" si="12"/>
        <v>76079.05</v>
      </c>
      <c r="F345" s="668">
        <f>+SUMIF('Anlage 2b_Korrekturen'!$B$234:$B$693,'Anlage 3b_Zusammenfassung ONU'!A345,'Anlage 2b_Korrekturen'!$F$234:$F$693)</f>
        <v>691.17</v>
      </c>
      <c r="G345" s="928">
        <f t="shared" si="13"/>
        <v>76770.22</v>
      </c>
      <c r="J345" t="s">
        <v>1099</v>
      </c>
    </row>
    <row r="346" spans="1:10" hidden="1" outlineLevel="1">
      <c r="A346" s="853" t="s">
        <v>1100</v>
      </c>
      <c r="B346" s="1698">
        <f>+VLOOKUP(A346,'Anlage 2a_Letztverbrauch'!$A$2025:$I$2257,9,FALSE)</f>
        <v>9756028.2799999993</v>
      </c>
      <c r="C346" s="711">
        <f>+IF(ISNA(VLOOKUP(A346,'Anlage 2a_Letztverbrauch'!$A$2788:$D$2795,4,0)),0,VLOOKUP(A346,'Anlage 2a_Letztverbrauch'!$A$2788:$D$2795,4,0))</f>
        <v>0</v>
      </c>
      <c r="D346" s="711">
        <v>0</v>
      </c>
      <c r="E346" s="667">
        <f t="shared" si="12"/>
        <v>9756028.2799999993</v>
      </c>
      <c r="F346" s="668">
        <f>+SUMIF('Anlage 2b_Korrekturen'!$B$234:$B$693,'Anlage 3b_Zusammenfassung ONU'!A346,'Anlage 2b_Korrekturen'!$F$234:$F$693)</f>
        <v>173697.93</v>
      </c>
      <c r="G346" s="928">
        <f t="shared" si="13"/>
        <v>9929726.209999999</v>
      </c>
      <c r="J346" t="s">
        <v>1101</v>
      </c>
    </row>
    <row r="347" spans="1:10" hidden="1" outlineLevel="1">
      <c r="A347" s="853" t="s">
        <v>1102</v>
      </c>
      <c r="B347" s="1698">
        <f>+VLOOKUP(A347,'Anlage 2a_Letztverbrauch'!$A$2025:$I$2257,9,FALSE)</f>
        <v>562698.72</v>
      </c>
      <c r="C347" s="711">
        <f>+IF(ISNA(VLOOKUP(A347,'Anlage 2a_Letztverbrauch'!$A$2788:$D$2795,4,0)),0,VLOOKUP(A347,'Anlage 2a_Letztverbrauch'!$A$2788:$D$2795,4,0))</f>
        <v>0</v>
      </c>
      <c r="D347" s="711">
        <v>0</v>
      </c>
      <c r="E347" s="667">
        <f t="shared" si="12"/>
        <v>562698.72</v>
      </c>
      <c r="F347" s="668">
        <f>+SUMIF('Anlage 2b_Korrekturen'!$B$234:$B$693,'Anlage 3b_Zusammenfassung ONU'!A347,'Anlage 2b_Korrekturen'!$F$234:$F$693)</f>
        <v>4931.63</v>
      </c>
      <c r="G347" s="928">
        <f t="shared" si="13"/>
        <v>567630.35</v>
      </c>
      <c r="J347" t="s">
        <v>1103</v>
      </c>
    </row>
    <row r="348" spans="1:10" hidden="1" outlineLevel="1">
      <c r="A348" s="853" t="s">
        <v>1104</v>
      </c>
      <c r="B348" s="1698">
        <f>+VLOOKUP(A348,'Anlage 2a_Letztverbrauch'!$A$2025:$I$2257,9,FALSE)</f>
        <v>651537.43999999994</v>
      </c>
      <c r="C348" s="711">
        <f>+IF(ISNA(VLOOKUP(A348,'Anlage 2a_Letztverbrauch'!$A$2788:$D$2795,4,0)),0,VLOOKUP(A348,'Anlage 2a_Letztverbrauch'!$A$2788:$D$2795,4,0))</f>
        <v>0</v>
      </c>
      <c r="D348" s="711">
        <v>0</v>
      </c>
      <c r="E348" s="667">
        <f t="shared" si="12"/>
        <v>651537.43999999994</v>
      </c>
      <c r="F348" s="668">
        <f>+SUMIF('Anlage 2b_Korrekturen'!$B$234:$B$693,'Anlage 3b_Zusammenfassung ONU'!A348,'Anlage 2b_Korrekturen'!$F$234:$F$693)</f>
        <v>6970.54</v>
      </c>
      <c r="G348" s="928">
        <f t="shared" si="13"/>
        <v>658507.98</v>
      </c>
      <c r="J348" t="s">
        <v>1105</v>
      </c>
    </row>
    <row r="349" spans="1:10" hidden="1" outlineLevel="1">
      <c r="A349" s="853" t="s">
        <v>1106</v>
      </c>
      <c r="B349" s="1698">
        <f>+VLOOKUP(A349,'Anlage 2a_Letztverbrauch'!$A$2025:$I$2257,9,FALSE)</f>
        <v>195979.3</v>
      </c>
      <c r="C349" s="711">
        <f>+IF(ISNA(VLOOKUP(A349,'Anlage 2a_Letztverbrauch'!$A$2788:$D$2795,4,0)),0,VLOOKUP(A349,'Anlage 2a_Letztverbrauch'!$A$2788:$D$2795,4,0))</f>
        <v>0</v>
      </c>
      <c r="D349" s="711">
        <v>0</v>
      </c>
      <c r="E349" s="667">
        <f t="shared" si="12"/>
        <v>195979.3</v>
      </c>
      <c r="F349" s="668">
        <f>+SUMIF('Anlage 2b_Korrekturen'!$B$234:$B$693,'Anlage 3b_Zusammenfassung ONU'!A349,'Anlage 2b_Korrekturen'!$F$234:$F$693)</f>
        <v>0</v>
      </c>
      <c r="G349" s="928">
        <f t="shared" si="13"/>
        <v>195979.3</v>
      </c>
      <c r="J349" t="s">
        <v>1107</v>
      </c>
    </row>
    <row r="350" spans="1:10" hidden="1" outlineLevel="1">
      <c r="A350" s="853" t="s">
        <v>1108</v>
      </c>
      <c r="B350" s="1698">
        <f>+VLOOKUP(A350,'Anlage 2a_Letztverbrauch'!$A$2025:$I$2257,9,FALSE)</f>
        <v>2774780.51</v>
      </c>
      <c r="C350" s="711">
        <f>+IF(ISNA(VLOOKUP(A350,'Anlage 2a_Letztverbrauch'!$A$2788:$D$2795,4,0)),0,VLOOKUP(A350,'Anlage 2a_Letztverbrauch'!$A$2788:$D$2795,4,0))</f>
        <v>0</v>
      </c>
      <c r="D350" s="711">
        <v>0</v>
      </c>
      <c r="E350" s="667">
        <f t="shared" si="12"/>
        <v>2774780.51</v>
      </c>
      <c r="F350" s="668">
        <f>+SUMIF('Anlage 2b_Korrekturen'!$B$234:$B$693,'Anlage 3b_Zusammenfassung ONU'!A350,'Anlage 2b_Korrekturen'!$F$234:$F$693)</f>
        <v>0</v>
      </c>
      <c r="G350" s="928">
        <f t="shared" si="13"/>
        <v>2774780.51</v>
      </c>
      <c r="J350" t="s">
        <v>1109</v>
      </c>
    </row>
    <row r="351" spans="1:10" hidden="1" outlineLevel="1">
      <c r="A351" s="853" t="s">
        <v>1110</v>
      </c>
      <c r="B351" s="1698">
        <f>+VLOOKUP(A351,'Anlage 2a_Letztverbrauch'!$A$2025:$I$2257,9,FALSE)</f>
        <v>750495.74</v>
      </c>
      <c r="C351" s="711">
        <f>+IF(ISNA(VLOOKUP(A351,'Anlage 2a_Letztverbrauch'!$A$2788:$D$2795,4,0)),0,VLOOKUP(A351,'Anlage 2a_Letztverbrauch'!$A$2788:$D$2795,4,0))</f>
        <v>0</v>
      </c>
      <c r="D351" s="711">
        <v>0</v>
      </c>
      <c r="E351" s="667">
        <f t="shared" si="12"/>
        <v>750495.74</v>
      </c>
      <c r="F351" s="668">
        <f>+SUMIF('Anlage 2b_Korrekturen'!$B$234:$B$693,'Anlage 3b_Zusammenfassung ONU'!A351,'Anlage 2b_Korrekturen'!$F$234:$F$693)</f>
        <v>-435.18</v>
      </c>
      <c r="G351" s="928">
        <f t="shared" si="13"/>
        <v>750060.55999999994</v>
      </c>
      <c r="J351" t="s">
        <v>1111</v>
      </c>
    </row>
    <row r="352" spans="1:10" hidden="1" outlineLevel="1">
      <c r="A352" s="853" t="s">
        <v>1112</v>
      </c>
      <c r="B352" s="1698">
        <f>+VLOOKUP(A352,'Anlage 2a_Letztverbrauch'!$A$2025:$I$2257,9,FALSE)</f>
        <v>7764937.79</v>
      </c>
      <c r="C352" s="711">
        <f>+IF(ISNA(VLOOKUP(A352,'Anlage 2a_Letztverbrauch'!$A$2788:$D$2795,4,0)),0,VLOOKUP(A352,'Anlage 2a_Letztverbrauch'!$A$2788:$D$2795,4,0))</f>
        <v>0</v>
      </c>
      <c r="D352" s="711">
        <v>0</v>
      </c>
      <c r="E352" s="667">
        <f t="shared" si="12"/>
        <v>7764937.79</v>
      </c>
      <c r="F352" s="668">
        <f>+SUMIF('Anlage 2b_Korrekturen'!$B$234:$B$693,'Anlage 3b_Zusammenfassung ONU'!A352,'Anlage 2b_Korrekturen'!$F$234:$F$693)</f>
        <v>0</v>
      </c>
      <c r="G352" s="928">
        <f t="shared" si="13"/>
        <v>7764937.79</v>
      </c>
      <c r="J352" t="s">
        <v>1113</v>
      </c>
    </row>
    <row r="353" spans="1:10" hidden="1" outlineLevel="1">
      <c r="A353" s="853" t="s">
        <v>1114</v>
      </c>
      <c r="B353" s="1698">
        <f>+VLOOKUP(A353,'Anlage 2a_Letztverbrauch'!$A$2025:$I$2257,9,FALSE)</f>
        <v>366400.49</v>
      </c>
      <c r="C353" s="711">
        <f>+IF(ISNA(VLOOKUP(A353,'Anlage 2a_Letztverbrauch'!$A$2788:$D$2795,4,0)),0,VLOOKUP(A353,'Anlage 2a_Letztverbrauch'!$A$2788:$D$2795,4,0))</f>
        <v>0</v>
      </c>
      <c r="D353" s="711">
        <v>0</v>
      </c>
      <c r="E353" s="667">
        <f t="shared" si="12"/>
        <v>366400.49</v>
      </c>
      <c r="F353" s="668">
        <f>+SUMIF('Anlage 2b_Korrekturen'!$B$234:$B$693,'Anlage 3b_Zusammenfassung ONU'!A353,'Anlage 2b_Korrekturen'!$F$234:$F$693)</f>
        <v>-890.44</v>
      </c>
      <c r="G353" s="928">
        <f t="shared" si="13"/>
        <v>365510.05</v>
      </c>
      <c r="J353" t="s">
        <v>1115</v>
      </c>
    </row>
    <row r="354" spans="1:10" hidden="1" outlineLevel="1">
      <c r="A354" s="853" t="s">
        <v>1116</v>
      </c>
      <c r="B354" s="1698">
        <f>+VLOOKUP(A354,'Anlage 2a_Letztverbrauch'!$A$2025:$I$2257,9,FALSE)</f>
        <v>1015320.02</v>
      </c>
      <c r="C354" s="711">
        <f>+IF(ISNA(VLOOKUP(A354,'Anlage 2a_Letztverbrauch'!$A$2788:$D$2795,4,0)),0,VLOOKUP(A354,'Anlage 2a_Letztverbrauch'!$A$2788:$D$2795,4,0))</f>
        <v>0</v>
      </c>
      <c r="D354" s="711">
        <v>0</v>
      </c>
      <c r="E354" s="667">
        <f t="shared" si="12"/>
        <v>1015320.02</v>
      </c>
      <c r="F354" s="668">
        <f>+SUMIF('Anlage 2b_Korrekturen'!$B$234:$B$693,'Anlage 3b_Zusammenfassung ONU'!A354,'Anlage 2b_Korrekturen'!$F$234:$F$693)</f>
        <v>-9464.2100000000009</v>
      </c>
      <c r="G354" s="928">
        <f t="shared" si="13"/>
        <v>1005855.81</v>
      </c>
      <c r="J354" t="s">
        <v>1117</v>
      </c>
    </row>
    <row r="355" spans="1:10" hidden="1" outlineLevel="1">
      <c r="A355" s="853" t="s">
        <v>1118</v>
      </c>
      <c r="B355" s="1698">
        <f>+VLOOKUP(A355,'Anlage 2a_Letztverbrauch'!$A$2025:$I$2257,9,FALSE)</f>
        <v>9566595.1199999992</v>
      </c>
      <c r="C355" s="711">
        <f>+IF(ISNA(VLOOKUP(A355,'Anlage 2a_Letztverbrauch'!$A$2788:$D$2795,4,0)),0,VLOOKUP(A355,'Anlage 2a_Letztverbrauch'!$A$2788:$D$2795,4,0))</f>
        <v>0</v>
      </c>
      <c r="D355" s="711">
        <v>0</v>
      </c>
      <c r="E355" s="667">
        <f t="shared" si="12"/>
        <v>9566595.1199999992</v>
      </c>
      <c r="F355" s="668">
        <f>+SUMIF('Anlage 2b_Korrekturen'!$B$234:$B$693,'Anlage 3b_Zusammenfassung ONU'!A355,'Anlage 2b_Korrekturen'!$F$234:$F$693)</f>
        <v>-7193.52</v>
      </c>
      <c r="G355" s="928">
        <f t="shared" si="13"/>
        <v>9559401.5999999996</v>
      </c>
      <c r="J355" t="s">
        <v>1119</v>
      </c>
    </row>
    <row r="356" spans="1:10" hidden="1" outlineLevel="1">
      <c r="A356" s="853" t="s">
        <v>1120</v>
      </c>
      <c r="B356" s="1698">
        <f>+VLOOKUP(A356,'Anlage 2a_Letztverbrauch'!$A$2025:$I$2257,9,FALSE)</f>
        <v>23823454.09</v>
      </c>
      <c r="C356" s="711">
        <f>+IF(ISNA(VLOOKUP(A356,'Anlage 2a_Letztverbrauch'!$A$2788:$D$2795,4,0)),0,VLOOKUP(A356,'Anlage 2a_Letztverbrauch'!$A$2788:$D$2795,4,0))</f>
        <v>-17802953.829999998</v>
      </c>
      <c r="D356" s="711">
        <v>0</v>
      </c>
      <c r="E356" s="667">
        <f t="shared" si="12"/>
        <v>6020500.2600000016</v>
      </c>
      <c r="F356" s="668">
        <f>+SUMIF('Anlage 2b_Korrekturen'!$B$234:$B$693,'Anlage 3b_Zusammenfassung ONU'!A356,'Anlage 2b_Korrekturen'!$F$234:$F$693)</f>
        <v>0</v>
      </c>
      <c r="G356" s="928">
        <f t="shared" si="13"/>
        <v>6020500.2600000016</v>
      </c>
      <c r="J356" t="s">
        <v>1121</v>
      </c>
    </row>
    <row r="357" spans="1:10" hidden="1" outlineLevel="1">
      <c r="A357" s="853" t="s">
        <v>1122</v>
      </c>
      <c r="B357" s="1698">
        <f>+VLOOKUP(A357,'Anlage 2a_Letztverbrauch'!$A$2025:$I$2257,9,FALSE)</f>
        <v>1619688</v>
      </c>
      <c r="C357" s="711">
        <f>+IF(ISNA(VLOOKUP(A357,'Anlage 2a_Letztverbrauch'!$A$2788:$D$2795,4,0)),0,VLOOKUP(A357,'Anlage 2a_Letztverbrauch'!$A$2788:$D$2795,4,0))</f>
        <v>0</v>
      </c>
      <c r="D357" s="711">
        <v>0</v>
      </c>
      <c r="E357" s="667">
        <f t="shared" si="12"/>
        <v>1619688</v>
      </c>
      <c r="F357" s="668">
        <v>78386</v>
      </c>
      <c r="G357" s="928">
        <f t="shared" si="13"/>
        <v>1698074</v>
      </c>
      <c r="J357" t="s">
        <v>1123</v>
      </c>
    </row>
    <row r="358" spans="1:10" hidden="1" outlineLevel="1">
      <c r="A358" s="853" t="s">
        <v>1122</v>
      </c>
      <c r="B358" s="1698">
        <v>1299960.52</v>
      </c>
      <c r="C358" s="711">
        <f>+IF(ISNA(VLOOKUP(A358,'Anlage 2a_Letztverbrauch'!$A$2788:$D$2795,4,0)),0,VLOOKUP(A358,'Anlage 2a_Letztverbrauch'!$A$2788:$D$2795,4,0))</f>
        <v>0</v>
      </c>
      <c r="D358" s="711">
        <v>0</v>
      </c>
      <c r="E358" s="667">
        <f t="shared" si="12"/>
        <v>1299960.52</v>
      </c>
      <c r="F358" s="668">
        <v>13651</v>
      </c>
      <c r="G358" s="928">
        <f t="shared" si="13"/>
        <v>1313611.52</v>
      </c>
      <c r="J358" t="s">
        <v>1123</v>
      </c>
    </row>
    <row r="359" spans="1:10" hidden="1" outlineLevel="1">
      <c r="A359" s="853" t="s">
        <v>1124</v>
      </c>
      <c r="B359" s="1698">
        <f>+VLOOKUP(A359,'Anlage 2a_Letztverbrauch'!$A$2025:$I$2257,9,FALSE)</f>
        <v>40472.36</v>
      </c>
      <c r="C359" s="711">
        <f>+IF(ISNA(VLOOKUP(A359,'Anlage 2a_Letztverbrauch'!$A$2788:$D$2795,4,0)),0,VLOOKUP(A359,'Anlage 2a_Letztverbrauch'!$A$2788:$D$2795,4,0))</f>
        <v>0</v>
      </c>
      <c r="D359" s="711">
        <v>0</v>
      </c>
      <c r="E359" s="667">
        <f t="shared" si="12"/>
        <v>40472.36</v>
      </c>
      <c r="F359" s="668">
        <f>+SUMIF('Anlage 2b_Korrekturen'!$B$234:$B$693,'Anlage 3b_Zusammenfassung ONU'!A359,'Anlage 2b_Korrekturen'!$F$234:$F$693)</f>
        <v>1538.38</v>
      </c>
      <c r="G359" s="928">
        <f t="shared" si="13"/>
        <v>42010.74</v>
      </c>
      <c r="J359" t="s">
        <v>1125</v>
      </c>
    </row>
    <row r="360" spans="1:10" hidden="1" outlineLevel="1">
      <c r="A360" s="853" t="s">
        <v>1126</v>
      </c>
      <c r="B360" s="1698">
        <f>+VLOOKUP(A360,'Anlage 2a_Letztverbrauch'!$A$2025:$I$2257,9,FALSE)</f>
        <v>793068.23</v>
      </c>
      <c r="C360" s="711">
        <f>+IF(ISNA(VLOOKUP(A360,'Anlage 2a_Letztverbrauch'!$A$2788:$D$2795,4,0)),0,VLOOKUP(A360,'Anlage 2a_Letztverbrauch'!$A$2788:$D$2795,4,0))</f>
        <v>0</v>
      </c>
      <c r="D360" s="711">
        <v>0</v>
      </c>
      <c r="E360" s="667">
        <f t="shared" si="12"/>
        <v>793068.23</v>
      </c>
      <c r="F360" s="668">
        <f>+SUMIF('Anlage 2b_Korrekturen'!$B$234:$B$693,'Anlage 3b_Zusammenfassung ONU'!A360,'Anlage 2b_Korrekturen'!$F$234:$F$693)</f>
        <v>1603.14</v>
      </c>
      <c r="G360" s="928">
        <f t="shared" si="13"/>
        <v>794671.37</v>
      </c>
      <c r="J360" t="s">
        <v>1127</v>
      </c>
    </row>
    <row r="361" spans="1:10" hidden="1" outlineLevel="1">
      <c r="A361" s="853" t="s">
        <v>1128</v>
      </c>
      <c r="B361" s="1698">
        <f>+VLOOKUP(A361,'Anlage 2a_Letztverbrauch'!$A$2025:$I$2257,9,FALSE)</f>
        <v>7477464.5700000003</v>
      </c>
      <c r="C361" s="711">
        <f>+IF(ISNA(VLOOKUP(A361,'Anlage 2a_Letztverbrauch'!$A$2788:$D$2795,4,0)),0,VLOOKUP(A361,'Anlage 2a_Letztverbrauch'!$A$2788:$D$2795,4,0))</f>
        <v>0</v>
      </c>
      <c r="D361" s="711">
        <v>0</v>
      </c>
      <c r="E361" s="667">
        <f t="shared" si="12"/>
        <v>7477464.5700000003</v>
      </c>
      <c r="F361" s="668">
        <f>+SUMIF('Anlage 2b_Korrekturen'!$B$234:$B$693,'Anlage 3b_Zusammenfassung ONU'!A361,'Anlage 2b_Korrekturen'!$F$234:$F$693)</f>
        <v>0</v>
      </c>
      <c r="G361" s="928">
        <f t="shared" si="13"/>
        <v>7477464.5700000003</v>
      </c>
      <c r="J361" t="s">
        <v>1129</v>
      </c>
    </row>
    <row r="362" spans="1:10" hidden="1" outlineLevel="1">
      <c r="A362" s="853" t="s">
        <v>1130</v>
      </c>
      <c r="B362" s="1698">
        <f>+VLOOKUP(A362,'Anlage 2a_Letztverbrauch'!$A$2025:$I$2257,9,FALSE)</f>
        <v>763854.21</v>
      </c>
      <c r="C362" s="711">
        <f>+IF(ISNA(VLOOKUP(A362,'Anlage 2a_Letztverbrauch'!$A$2788:$D$2795,4,0)),0,VLOOKUP(A362,'Anlage 2a_Letztverbrauch'!$A$2788:$D$2795,4,0))</f>
        <v>0</v>
      </c>
      <c r="D362" s="711">
        <v>0</v>
      </c>
      <c r="E362" s="667">
        <f t="shared" si="12"/>
        <v>763854.21</v>
      </c>
      <c r="F362" s="668">
        <f>+SUMIF('Anlage 2b_Korrekturen'!$B$234:$B$693,'Anlage 3b_Zusammenfassung ONU'!A362,'Anlage 2b_Korrekturen'!$F$234:$F$693)</f>
        <v>0</v>
      </c>
      <c r="G362" s="928">
        <f t="shared" si="13"/>
        <v>763854.21</v>
      </c>
      <c r="J362" t="s">
        <v>1131</v>
      </c>
    </row>
    <row r="363" spans="1:10" hidden="1" outlineLevel="1">
      <c r="A363" s="853" t="s">
        <v>1132</v>
      </c>
      <c r="B363" s="1698">
        <f>+VLOOKUP(A363,'Anlage 2a_Letztverbrauch'!$A$2025:$I$2257,9,FALSE)</f>
        <v>399115.23</v>
      </c>
      <c r="C363" s="711">
        <f>+IF(ISNA(VLOOKUP(A363,'Anlage 2a_Letztverbrauch'!$A$2788:$D$2795,4,0)),0,VLOOKUP(A363,'Anlage 2a_Letztverbrauch'!$A$2788:$D$2795,4,0))</f>
        <v>0</v>
      </c>
      <c r="D363" s="711">
        <v>0</v>
      </c>
      <c r="E363" s="667">
        <f t="shared" si="12"/>
        <v>399115.23</v>
      </c>
      <c r="F363" s="668">
        <f>+SUMIF('Anlage 2b_Korrekturen'!$B$234:$B$693,'Anlage 3b_Zusammenfassung ONU'!A363,'Anlage 2b_Korrekturen'!$F$234:$F$693)</f>
        <v>0</v>
      </c>
      <c r="G363" s="928">
        <f t="shared" si="13"/>
        <v>399115.23</v>
      </c>
      <c r="J363" t="s">
        <v>1133</v>
      </c>
    </row>
    <row r="364" spans="1:10" hidden="1" outlineLevel="1">
      <c r="A364" s="853" t="s">
        <v>1134</v>
      </c>
      <c r="B364" s="1698">
        <f>+VLOOKUP(A364,'Anlage 2a_Letztverbrauch'!$A$2025:$I$2257,9,FALSE)</f>
        <v>465716.44</v>
      </c>
      <c r="C364" s="711">
        <f>+IF(ISNA(VLOOKUP(A364,'Anlage 2a_Letztverbrauch'!$A$2788:$D$2795,4,0)),0,VLOOKUP(A364,'Anlage 2a_Letztverbrauch'!$A$2788:$D$2795,4,0))</f>
        <v>0</v>
      </c>
      <c r="D364" s="711">
        <v>0</v>
      </c>
      <c r="E364" s="667">
        <f t="shared" si="12"/>
        <v>465716.44</v>
      </c>
      <c r="F364" s="668">
        <f>+SUMIF('Anlage 2b_Korrekturen'!$B$234:$B$693,'Anlage 3b_Zusammenfassung ONU'!A364,'Anlage 2b_Korrekturen'!$F$234:$F$693)</f>
        <v>13576.69</v>
      </c>
      <c r="G364" s="928">
        <f t="shared" si="13"/>
        <v>479293.13</v>
      </c>
      <c r="J364" t="s">
        <v>1135</v>
      </c>
    </row>
    <row r="365" spans="1:10" hidden="1" outlineLevel="1">
      <c r="A365" s="853" t="s">
        <v>1136</v>
      </c>
      <c r="B365" s="1698">
        <f>+VLOOKUP(A365,'Anlage 2a_Letztverbrauch'!$A$2025:$I$2257,9,FALSE)</f>
        <v>875780.52</v>
      </c>
      <c r="C365" s="711">
        <f>+IF(ISNA(VLOOKUP(A365,'Anlage 2a_Letztverbrauch'!$A$2788:$D$2795,4,0)),0,VLOOKUP(A365,'Anlage 2a_Letztverbrauch'!$A$2788:$D$2795,4,0))</f>
        <v>0</v>
      </c>
      <c r="D365" s="711">
        <v>0</v>
      </c>
      <c r="E365" s="667">
        <f t="shared" si="12"/>
        <v>875780.52</v>
      </c>
      <c r="F365" s="668">
        <f>+SUMIF('Anlage 2b_Korrekturen'!$B$234:$B$693,'Anlage 3b_Zusammenfassung ONU'!A365,'Anlage 2b_Korrekturen'!$F$234:$F$693)</f>
        <v>0</v>
      </c>
      <c r="G365" s="928">
        <f t="shared" si="13"/>
        <v>875780.52</v>
      </c>
      <c r="J365" t="s">
        <v>1137</v>
      </c>
    </row>
    <row r="366" spans="1:10" hidden="1" outlineLevel="1">
      <c r="A366" s="853" t="s">
        <v>1138</v>
      </c>
      <c r="B366" s="1698">
        <f>+VLOOKUP(A366,'Anlage 2a_Letztverbrauch'!$A$2025:$I$2257,9,FALSE)</f>
        <v>11910756.26</v>
      </c>
      <c r="C366" s="711">
        <f>+IF(ISNA(VLOOKUP(A366,'Anlage 2a_Letztverbrauch'!$A$2788:$D$2795,4,0)),0,VLOOKUP(A366,'Anlage 2a_Letztverbrauch'!$A$2788:$D$2795,4,0))</f>
        <v>0</v>
      </c>
      <c r="D366" s="711">
        <v>0</v>
      </c>
      <c r="E366" s="667">
        <f t="shared" si="12"/>
        <v>11910756.26</v>
      </c>
      <c r="F366" s="668">
        <f>+SUMIF('Anlage 2b_Korrekturen'!$B$234:$B$693,'Anlage 3b_Zusammenfassung ONU'!A366,'Anlage 2b_Korrekturen'!$F$234:$F$693)</f>
        <v>68862.559999999998</v>
      </c>
      <c r="G366" s="928">
        <f t="shared" si="13"/>
        <v>11979618.82</v>
      </c>
      <c r="J366" t="s">
        <v>1139</v>
      </c>
    </row>
    <row r="367" spans="1:10" hidden="1" outlineLevel="1">
      <c r="A367" s="853" t="s">
        <v>726</v>
      </c>
      <c r="B367" s="1698">
        <f>+VLOOKUP(A367,'Anlage 2a_Letztverbrauch'!$A$2025:$I$2257,9,FALSE)</f>
        <v>6401.51</v>
      </c>
      <c r="C367" s="711">
        <f>+IF(ISNA(VLOOKUP(A367,'Anlage 2a_Letztverbrauch'!$A$2788:$D$2795,4,0)),0,VLOOKUP(A367,'Anlage 2a_Letztverbrauch'!$A$2788:$D$2795,4,0))</f>
        <v>0</v>
      </c>
      <c r="D367" s="711">
        <v>0</v>
      </c>
      <c r="E367" s="667">
        <f t="shared" si="12"/>
        <v>6401.51</v>
      </c>
      <c r="F367" s="668">
        <f>+SUMIF('Anlage 2b_Korrekturen'!$B$234:$B$693,'Anlage 3b_Zusammenfassung ONU'!A367,'Anlage 2b_Korrekturen'!$F$234:$F$693)</f>
        <v>1872.62</v>
      </c>
      <c r="G367" s="928">
        <f t="shared" si="13"/>
        <v>8274.130000000001</v>
      </c>
      <c r="J367" t="s">
        <v>727</v>
      </c>
    </row>
    <row r="368" spans="1:10" hidden="1" outlineLevel="1">
      <c r="A368" s="853" t="s">
        <v>1140</v>
      </c>
      <c r="B368" s="1698">
        <f>+VLOOKUP(A368,'Anlage 2a_Letztverbrauch'!$A$2025:$I$2257,9,FALSE)</f>
        <v>9096428.8300000001</v>
      </c>
      <c r="C368" s="711">
        <f>+IF(ISNA(VLOOKUP(A368,'Anlage 2a_Letztverbrauch'!$A$2788:$D$2795,4,0)),0,VLOOKUP(A368,'Anlage 2a_Letztverbrauch'!$A$2788:$D$2795,4,0))</f>
        <v>0</v>
      </c>
      <c r="D368" s="711">
        <v>0</v>
      </c>
      <c r="E368" s="667">
        <f t="shared" si="12"/>
        <v>9096428.8300000001</v>
      </c>
      <c r="F368" s="668">
        <f>+SUMIF('Anlage 2b_Korrekturen'!$B$234:$B$693,'Anlage 3b_Zusammenfassung ONU'!A368,'Anlage 2b_Korrekturen'!$F$234:$F$693)</f>
        <v>-76393.66</v>
      </c>
      <c r="G368" s="928">
        <f t="shared" si="13"/>
        <v>9020035.1699999999</v>
      </c>
      <c r="J368" t="s">
        <v>1141</v>
      </c>
    </row>
    <row r="369" spans="1:10" hidden="1" outlineLevel="1">
      <c r="A369" s="853" t="s">
        <v>1142</v>
      </c>
      <c r="B369" s="1698">
        <f>+VLOOKUP(A369,'Anlage 2a_Letztverbrauch'!$A$2025:$I$2257,9,FALSE)</f>
        <v>14869195.209999999</v>
      </c>
      <c r="C369" s="711">
        <f>+IF(ISNA(VLOOKUP(A369,'Anlage 2a_Letztverbrauch'!$A$2788:$D$2795,4,0)),0,VLOOKUP(A369,'Anlage 2a_Letztverbrauch'!$A$2788:$D$2795,4,0))</f>
        <v>0</v>
      </c>
      <c r="D369" s="711">
        <v>0</v>
      </c>
      <c r="E369" s="667">
        <f t="shared" si="12"/>
        <v>14869195.209999999</v>
      </c>
      <c r="F369" s="668">
        <f>+SUMIF('Anlage 2b_Korrekturen'!$B$234:$B$693,'Anlage 3b_Zusammenfassung ONU'!A369,'Anlage 2b_Korrekturen'!$F$234:$F$693)</f>
        <v>36157.15</v>
      </c>
      <c r="G369" s="928">
        <f t="shared" si="13"/>
        <v>14905352.359999999</v>
      </c>
      <c r="J369" t="s">
        <v>1143</v>
      </c>
    </row>
    <row r="370" spans="1:10" hidden="1" outlineLevel="1">
      <c r="A370" s="853" t="s">
        <v>730</v>
      </c>
      <c r="B370" s="1698">
        <f>+VLOOKUP(A370,'Anlage 2a_Letztverbrauch'!$A$2025:$I$2257,9,FALSE)</f>
        <v>73193.45</v>
      </c>
      <c r="C370" s="711">
        <f>+IF(ISNA(VLOOKUP(A370,'Anlage 2a_Letztverbrauch'!$A$2788:$D$2795,4,0)),0,VLOOKUP(A370,'Anlage 2a_Letztverbrauch'!$A$2788:$D$2795,4,0))</f>
        <v>0</v>
      </c>
      <c r="D370" s="711">
        <v>0</v>
      </c>
      <c r="E370" s="667">
        <f t="shared" si="12"/>
        <v>73193.45</v>
      </c>
      <c r="F370" s="668">
        <f>+SUMIF('Anlage 2b_Korrekturen'!$B$234:$B$693,'Anlage 3b_Zusammenfassung ONU'!A370,'Anlage 2b_Korrekturen'!$F$234:$F$693)</f>
        <v>5362.33</v>
      </c>
      <c r="G370" s="928">
        <f t="shared" si="13"/>
        <v>78555.78</v>
      </c>
      <c r="J370" t="s">
        <v>731</v>
      </c>
    </row>
    <row r="371" spans="1:10" hidden="1" outlineLevel="1">
      <c r="A371" s="853" t="s">
        <v>1144</v>
      </c>
      <c r="B371" s="1698">
        <f>+VLOOKUP(A371,'Anlage 2a_Letztverbrauch'!$A$2025:$I$2257,9,FALSE)</f>
        <v>969405.45</v>
      </c>
      <c r="C371" s="711">
        <f>+IF(ISNA(VLOOKUP(A371,'Anlage 2a_Letztverbrauch'!$A$2788:$D$2795,4,0)),0,VLOOKUP(A371,'Anlage 2a_Letztverbrauch'!$A$2788:$D$2795,4,0))</f>
        <v>0</v>
      </c>
      <c r="D371" s="711">
        <v>0</v>
      </c>
      <c r="E371" s="667">
        <f t="shared" si="12"/>
        <v>969405.45</v>
      </c>
      <c r="F371" s="668">
        <f>+SUMIF('Anlage 2b_Korrekturen'!$B$234:$B$693,'Anlage 3b_Zusammenfassung ONU'!A371,'Anlage 2b_Korrekturen'!$F$234:$F$693)</f>
        <v>8317.1999999999989</v>
      </c>
      <c r="G371" s="928">
        <f t="shared" si="13"/>
        <v>977722.64999999991</v>
      </c>
      <c r="J371" t="s">
        <v>1145</v>
      </c>
    </row>
    <row r="372" spans="1:10" hidden="1" outlineLevel="1">
      <c r="A372" s="853" t="s">
        <v>1146</v>
      </c>
      <c r="B372" s="1698">
        <f>+VLOOKUP(A372,'Anlage 2a_Letztverbrauch'!$A$2025:$I$2257,9,FALSE)</f>
        <v>1718275.72</v>
      </c>
      <c r="C372" s="711">
        <f>+IF(ISNA(VLOOKUP(A372,'Anlage 2a_Letztverbrauch'!$A$2788:$D$2795,4,0)),0,VLOOKUP(A372,'Anlage 2a_Letztverbrauch'!$A$2788:$D$2795,4,0))</f>
        <v>0</v>
      </c>
      <c r="D372" s="711">
        <v>0</v>
      </c>
      <c r="E372" s="667">
        <f t="shared" si="12"/>
        <v>1718275.72</v>
      </c>
      <c r="F372" s="668">
        <f>+SUMIF('Anlage 2b_Korrekturen'!$B$234:$B$693,'Anlage 3b_Zusammenfassung ONU'!A372,'Anlage 2b_Korrekturen'!$F$234:$F$693)</f>
        <v>-3944.6</v>
      </c>
      <c r="G372" s="928">
        <f t="shared" si="13"/>
        <v>1714331.1199999999</v>
      </c>
      <c r="J372" t="s">
        <v>1147</v>
      </c>
    </row>
    <row r="373" spans="1:10" hidden="1" outlineLevel="1">
      <c r="A373" s="853" t="s">
        <v>1148</v>
      </c>
      <c r="B373" s="1698">
        <f>+VLOOKUP(A373,'Anlage 2a_Letztverbrauch'!$A$2025:$I$2257,9,FALSE)</f>
        <v>519290.15</v>
      </c>
      <c r="C373" s="711">
        <f>+IF(ISNA(VLOOKUP(A373,'Anlage 2a_Letztverbrauch'!$A$2788:$D$2795,4,0)),0,VLOOKUP(A373,'Anlage 2a_Letztverbrauch'!$A$2788:$D$2795,4,0))</f>
        <v>0</v>
      </c>
      <c r="D373" s="711">
        <v>0</v>
      </c>
      <c r="E373" s="667">
        <f t="shared" ref="E373:E414" si="14">B373+C373+D373</f>
        <v>519290.15</v>
      </c>
      <c r="F373" s="668">
        <f>+SUMIF('Anlage 2b_Korrekturen'!$B$234:$B$693,'Anlage 3b_Zusammenfassung ONU'!A373,'Anlage 2b_Korrekturen'!$F$234:$F$693)</f>
        <v>61736.75</v>
      </c>
      <c r="G373" s="928">
        <f t="shared" si="13"/>
        <v>581026.9</v>
      </c>
      <c r="J373" t="s">
        <v>1149</v>
      </c>
    </row>
    <row r="374" spans="1:10" hidden="1" outlineLevel="1">
      <c r="A374" s="853" t="s">
        <v>1150</v>
      </c>
      <c r="B374" s="1698">
        <f>+VLOOKUP(A374,'Anlage 2a_Letztverbrauch'!$A$2025:$I$2257,9,FALSE)</f>
        <v>3521494.83</v>
      </c>
      <c r="C374" s="711">
        <f>+IF(ISNA(VLOOKUP(A374,'Anlage 2a_Letztverbrauch'!$A$2788:$D$2795,4,0)),0,VLOOKUP(A374,'Anlage 2a_Letztverbrauch'!$A$2788:$D$2795,4,0))</f>
        <v>0</v>
      </c>
      <c r="D374" s="711">
        <v>0</v>
      </c>
      <c r="E374" s="667">
        <f t="shared" si="14"/>
        <v>3521494.83</v>
      </c>
      <c r="F374" s="668">
        <f>+SUMIF('Anlage 2b_Korrekturen'!$B$234:$B$693,'Anlage 3b_Zusammenfassung ONU'!A374,'Anlage 2b_Korrekturen'!$F$234:$F$693)</f>
        <v>-32484</v>
      </c>
      <c r="G374" s="928">
        <f t="shared" si="13"/>
        <v>3489010.83</v>
      </c>
      <c r="J374" t="s">
        <v>1151</v>
      </c>
    </row>
    <row r="375" spans="1:10" hidden="1" outlineLevel="1">
      <c r="A375" s="853" t="s">
        <v>1152</v>
      </c>
      <c r="B375" s="1698">
        <f>+VLOOKUP(A375,'Anlage 2a_Letztverbrauch'!$A$2025:$I$2257,9,FALSE)</f>
        <v>1106437.3899999999</v>
      </c>
      <c r="C375" s="711">
        <f>+IF(ISNA(VLOOKUP(A375,'Anlage 2a_Letztverbrauch'!$A$2788:$D$2795,4,0)),0,VLOOKUP(A375,'Anlage 2a_Letztverbrauch'!$A$2788:$D$2795,4,0))</f>
        <v>0</v>
      </c>
      <c r="D375" s="711">
        <v>0</v>
      </c>
      <c r="E375" s="667">
        <f t="shared" si="14"/>
        <v>1106437.3899999999</v>
      </c>
      <c r="F375" s="668">
        <f>+SUMIF('Anlage 2b_Korrekturen'!$B$234:$B$693,'Anlage 3b_Zusammenfassung ONU'!A375,'Anlage 2b_Korrekturen'!$F$234:$F$693)</f>
        <v>-30925.360000000001</v>
      </c>
      <c r="G375" s="928">
        <f t="shared" si="13"/>
        <v>1075512.0299999998</v>
      </c>
      <c r="J375" t="s">
        <v>1153</v>
      </c>
    </row>
    <row r="376" spans="1:10" hidden="1" outlineLevel="1">
      <c r="A376" s="853" t="s">
        <v>1154</v>
      </c>
      <c r="B376" s="1698">
        <f>+VLOOKUP(A376,'Anlage 2a_Letztverbrauch'!$A$2025:$I$2257,9,FALSE)</f>
        <v>14730.17</v>
      </c>
      <c r="C376" s="711">
        <f>+IF(ISNA(VLOOKUP(A376,'Anlage 2a_Letztverbrauch'!$A$2788:$D$2795,4,0)),0,VLOOKUP(A376,'Anlage 2a_Letztverbrauch'!$A$2788:$D$2795,4,0))</f>
        <v>0</v>
      </c>
      <c r="D376" s="711">
        <v>0</v>
      </c>
      <c r="E376" s="667">
        <f t="shared" si="14"/>
        <v>14730.17</v>
      </c>
      <c r="F376" s="668">
        <f>+SUMIF('Anlage 2b_Korrekturen'!$B$234:$B$693,'Anlage 3b_Zusammenfassung ONU'!A376,'Anlage 2b_Korrekturen'!$F$234:$F$693)</f>
        <v>-4.7999999999999972</v>
      </c>
      <c r="G376" s="928">
        <f t="shared" si="13"/>
        <v>14725.37</v>
      </c>
      <c r="J376" t="s">
        <v>1155</v>
      </c>
    </row>
    <row r="377" spans="1:10" hidden="1" outlineLevel="1">
      <c r="A377" s="853" t="s">
        <v>1156</v>
      </c>
      <c r="B377" s="1698">
        <f>+VLOOKUP(A377,'Anlage 2a_Letztverbrauch'!$A$2025:$I$2257,9,FALSE)</f>
        <v>788100.7</v>
      </c>
      <c r="C377" s="711">
        <f>+IF(ISNA(VLOOKUP(A377,'Anlage 2a_Letztverbrauch'!$A$2788:$D$2795,4,0)),0,VLOOKUP(A377,'Anlage 2a_Letztverbrauch'!$A$2788:$D$2795,4,0))</f>
        <v>0</v>
      </c>
      <c r="D377" s="711">
        <v>0</v>
      </c>
      <c r="E377" s="667">
        <f t="shared" si="14"/>
        <v>788100.7</v>
      </c>
      <c r="F377" s="668">
        <f>+SUMIF('Anlage 2b_Korrekturen'!$B$234:$B$693,'Anlage 3b_Zusammenfassung ONU'!A377,'Anlage 2b_Korrekturen'!$F$234:$F$693)</f>
        <v>-2217.4800000000005</v>
      </c>
      <c r="G377" s="928">
        <f t="shared" si="13"/>
        <v>785883.22</v>
      </c>
      <c r="J377" t="s">
        <v>1157</v>
      </c>
    </row>
    <row r="378" spans="1:10" hidden="1" outlineLevel="1">
      <c r="A378" s="853" t="s">
        <v>1158</v>
      </c>
      <c r="B378" s="1698">
        <f>+VLOOKUP(A378,'Anlage 2a_Letztverbrauch'!$A$2025:$I$2257,9,FALSE)</f>
        <v>1152138.6000000001</v>
      </c>
      <c r="C378" s="711">
        <f>+IF(ISNA(VLOOKUP(A378,'Anlage 2a_Letztverbrauch'!$A$2788:$D$2795,4,0)),0,VLOOKUP(A378,'Anlage 2a_Letztverbrauch'!$A$2788:$D$2795,4,0))</f>
        <v>0</v>
      </c>
      <c r="D378" s="711">
        <v>0</v>
      </c>
      <c r="E378" s="667">
        <f t="shared" si="14"/>
        <v>1152138.6000000001</v>
      </c>
      <c r="F378" s="668">
        <f>+SUMIF('Anlage 2b_Korrekturen'!$B$234:$B$693,'Anlage 3b_Zusammenfassung ONU'!A378,'Anlage 2b_Korrekturen'!$F$234:$F$693)</f>
        <v>35508.410000000003</v>
      </c>
      <c r="G378" s="928">
        <f t="shared" si="13"/>
        <v>1187647.01</v>
      </c>
      <c r="J378" t="s">
        <v>1159</v>
      </c>
    </row>
    <row r="379" spans="1:10" hidden="1" outlineLevel="1">
      <c r="A379" s="853" t="s">
        <v>1160</v>
      </c>
      <c r="B379" s="1698">
        <f>+VLOOKUP(A379,'Anlage 2a_Letztverbrauch'!$A$2025:$I$2257,9,FALSE)</f>
        <v>1217846.94</v>
      </c>
      <c r="C379" s="711">
        <f>+IF(ISNA(VLOOKUP(A379,'Anlage 2a_Letztverbrauch'!$A$2788:$D$2795,4,0)),0,VLOOKUP(A379,'Anlage 2a_Letztverbrauch'!$A$2788:$D$2795,4,0))</f>
        <v>0</v>
      </c>
      <c r="D379" s="711">
        <v>0</v>
      </c>
      <c r="E379" s="667">
        <f t="shared" si="14"/>
        <v>1217846.94</v>
      </c>
      <c r="F379" s="668">
        <f>+SUMIF('Anlage 2b_Korrekturen'!$B$234:$B$693,'Anlage 3b_Zusammenfassung ONU'!A379,'Anlage 2b_Korrekturen'!$F$234:$F$693)</f>
        <v>-2527.06</v>
      </c>
      <c r="G379" s="928">
        <f t="shared" si="13"/>
        <v>1215319.8799999999</v>
      </c>
      <c r="J379" t="s">
        <v>1161</v>
      </c>
    </row>
    <row r="380" spans="1:10" hidden="1" outlineLevel="1">
      <c r="A380" s="853" t="s">
        <v>1162</v>
      </c>
      <c r="B380" s="1698">
        <f>+VLOOKUP(A380,'Anlage 2a_Letztverbrauch'!$A$2025:$I$2257,9,FALSE)</f>
        <v>294969.06</v>
      </c>
      <c r="C380" s="711">
        <f>+IF(ISNA(VLOOKUP(A380,'Anlage 2a_Letztverbrauch'!$A$2788:$D$2795,4,0)),0,VLOOKUP(A380,'Anlage 2a_Letztverbrauch'!$A$2788:$D$2795,4,0))</f>
        <v>0</v>
      </c>
      <c r="D380" s="711">
        <v>0</v>
      </c>
      <c r="E380" s="667">
        <f t="shared" si="14"/>
        <v>294969.06</v>
      </c>
      <c r="F380" s="668">
        <f>+SUMIF('Anlage 2b_Korrekturen'!$B$234:$B$693,'Anlage 3b_Zusammenfassung ONU'!A380,'Anlage 2b_Korrekturen'!$F$234:$F$693)</f>
        <v>-152.53</v>
      </c>
      <c r="G380" s="928">
        <f t="shared" si="13"/>
        <v>294816.52999999997</v>
      </c>
      <c r="J380" t="s">
        <v>1163</v>
      </c>
    </row>
    <row r="381" spans="1:10" hidden="1" outlineLevel="1">
      <c r="A381" s="853" t="s">
        <v>1164</v>
      </c>
      <c r="B381" s="1698">
        <f>+VLOOKUP(A381,'Anlage 2a_Letztverbrauch'!$A$2025:$I$2257,9,FALSE)</f>
        <v>139101.60999999999</v>
      </c>
      <c r="C381" s="711">
        <f>+IF(ISNA(VLOOKUP(A381,'Anlage 2a_Letztverbrauch'!$A$2788:$D$2795,4,0)),0,VLOOKUP(A381,'Anlage 2a_Letztverbrauch'!$A$2788:$D$2795,4,0))</f>
        <v>0</v>
      </c>
      <c r="D381" s="711">
        <v>0</v>
      </c>
      <c r="E381" s="667">
        <f t="shared" si="14"/>
        <v>139101.60999999999</v>
      </c>
      <c r="F381" s="668">
        <f>+SUMIF('Anlage 2b_Korrekturen'!$B$234:$B$693,'Anlage 3b_Zusammenfassung ONU'!A381,'Anlage 2b_Korrekturen'!$F$234:$F$693)</f>
        <v>0</v>
      </c>
      <c r="G381" s="928">
        <f t="shared" si="13"/>
        <v>139101.60999999999</v>
      </c>
      <c r="J381" t="s">
        <v>1165</v>
      </c>
    </row>
    <row r="382" spans="1:10" hidden="1" outlineLevel="1">
      <c r="A382" s="853" t="s">
        <v>1166</v>
      </c>
      <c r="B382" s="1698">
        <f>+VLOOKUP(A382,'Anlage 2a_Letztverbrauch'!$A$2025:$I$2257,9,FALSE)</f>
        <v>185250.75</v>
      </c>
      <c r="C382" s="711">
        <f>+IF(ISNA(VLOOKUP(A382,'Anlage 2a_Letztverbrauch'!$A$2788:$D$2795,4,0)),0,VLOOKUP(A382,'Anlage 2a_Letztverbrauch'!$A$2788:$D$2795,4,0))</f>
        <v>0</v>
      </c>
      <c r="D382" s="711">
        <v>0</v>
      </c>
      <c r="E382" s="667">
        <f t="shared" si="14"/>
        <v>185250.75</v>
      </c>
      <c r="F382" s="668">
        <f>+SUMIF('Anlage 2b_Korrekturen'!$B$234:$B$693,'Anlage 3b_Zusammenfassung ONU'!A382,'Anlage 2b_Korrekturen'!$F$234:$F$693)</f>
        <v>105.57</v>
      </c>
      <c r="G382" s="928">
        <f t="shared" si="13"/>
        <v>185356.32</v>
      </c>
      <c r="J382" t="s">
        <v>1167</v>
      </c>
    </row>
    <row r="383" spans="1:10" hidden="1" outlineLevel="1">
      <c r="A383" s="853" t="s">
        <v>1168</v>
      </c>
      <c r="B383" s="1698">
        <f>+VLOOKUP(A383,'Anlage 2a_Letztverbrauch'!$A$2025:$I$2257,9,FALSE)</f>
        <v>444187.65</v>
      </c>
      <c r="C383" s="711">
        <f>+IF(ISNA(VLOOKUP(A383,'Anlage 2a_Letztverbrauch'!$A$2788:$D$2795,4,0)),0,VLOOKUP(A383,'Anlage 2a_Letztverbrauch'!$A$2788:$D$2795,4,0))</f>
        <v>0</v>
      </c>
      <c r="D383" s="711">
        <v>0</v>
      </c>
      <c r="E383" s="667">
        <f t="shared" si="14"/>
        <v>444187.65</v>
      </c>
      <c r="F383" s="668">
        <f>+SUMIF('Anlage 2b_Korrekturen'!$B$234:$B$693,'Anlage 3b_Zusammenfassung ONU'!A383,'Anlage 2b_Korrekturen'!$F$234:$F$693)</f>
        <v>0</v>
      </c>
      <c r="G383" s="928">
        <f t="shared" si="13"/>
        <v>444187.65</v>
      </c>
      <c r="J383" t="s">
        <v>1169</v>
      </c>
    </row>
    <row r="384" spans="1:10" hidden="1" outlineLevel="1">
      <c r="A384" s="853" t="s">
        <v>1170</v>
      </c>
      <c r="B384" s="1698">
        <f>+VLOOKUP(A384,'Anlage 2a_Letztverbrauch'!$A$2025:$I$2257,9,FALSE)</f>
        <v>2005454.24</v>
      </c>
      <c r="C384" s="711">
        <f>+IF(ISNA(VLOOKUP(A384,'Anlage 2a_Letztverbrauch'!$A$2788:$D$2795,4,0)),0,VLOOKUP(A384,'Anlage 2a_Letztverbrauch'!$A$2788:$D$2795,4,0))</f>
        <v>0</v>
      </c>
      <c r="D384" s="711">
        <v>0</v>
      </c>
      <c r="E384" s="667">
        <f t="shared" si="14"/>
        <v>2005454.24</v>
      </c>
      <c r="F384" s="668">
        <f>+SUMIF('Anlage 2b_Korrekturen'!$B$234:$B$693,'Anlage 3b_Zusammenfassung ONU'!A384,'Anlage 2b_Korrekturen'!$F$234:$F$693)</f>
        <v>-20160.759999999998</v>
      </c>
      <c r="G384" s="928">
        <f t="shared" si="13"/>
        <v>1985293.48</v>
      </c>
      <c r="J384" t="s">
        <v>1171</v>
      </c>
    </row>
    <row r="385" spans="1:10" hidden="1" outlineLevel="1">
      <c r="A385" s="853" t="s">
        <v>1172</v>
      </c>
      <c r="B385" s="1698">
        <f>+VLOOKUP(A385,'Anlage 2a_Letztverbrauch'!$A$2025:$I$2257,9,FALSE)</f>
        <v>1147577.73</v>
      </c>
      <c r="C385" s="711">
        <f>+IF(ISNA(VLOOKUP(A385,'Anlage 2a_Letztverbrauch'!$A$2788:$D$2795,4,0)),0,VLOOKUP(A385,'Anlage 2a_Letztverbrauch'!$A$2788:$D$2795,4,0))</f>
        <v>0</v>
      </c>
      <c r="D385" s="711">
        <v>0</v>
      </c>
      <c r="E385" s="667">
        <f t="shared" si="14"/>
        <v>1147577.73</v>
      </c>
      <c r="F385" s="668">
        <f>+SUMIF('Anlage 2b_Korrekturen'!$B$234:$B$693,'Anlage 3b_Zusammenfassung ONU'!A385,'Anlage 2b_Korrekturen'!$F$234:$F$693)</f>
        <v>1863.9</v>
      </c>
      <c r="G385" s="928">
        <f t="shared" si="13"/>
        <v>1149441.6299999999</v>
      </c>
      <c r="J385" t="s">
        <v>1173</v>
      </c>
    </row>
    <row r="386" spans="1:10" hidden="1" outlineLevel="1">
      <c r="A386" s="853" t="s">
        <v>1174</v>
      </c>
      <c r="B386" s="1698">
        <f>+VLOOKUP(A386,'Anlage 2a_Letztverbrauch'!$A$2025:$I$2257,9,FALSE)</f>
        <v>6697518.2199999997</v>
      </c>
      <c r="C386" s="711">
        <f>+IF(ISNA(VLOOKUP(A386,'Anlage 2a_Letztverbrauch'!$A$2788:$D$2795,4,0)),0,VLOOKUP(A386,'Anlage 2a_Letztverbrauch'!$A$2788:$D$2795,4,0))</f>
        <v>0</v>
      </c>
      <c r="D386" s="711">
        <v>0</v>
      </c>
      <c r="E386" s="667">
        <f t="shared" si="14"/>
        <v>6697518.2199999997</v>
      </c>
      <c r="F386" s="668">
        <f>+SUMIF('Anlage 2b_Korrekturen'!$B$234:$B$693,'Anlage 3b_Zusammenfassung ONU'!A386,'Anlage 2b_Korrekturen'!$F$234:$F$693)</f>
        <v>-36886.559999999998</v>
      </c>
      <c r="G386" s="928">
        <f t="shared" si="13"/>
        <v>6660631.6600000001</v>
      </c>
      <c r="J386" t="s">
        <v>1175</v>
      </c>
    </row>
    <row r="387" spans="1:10" hidden="1" outlineLevel="1">
      <c r="A387" s="853" t="s">
        <v>1176</v>
      </c>
      <c r="B387" s="1698">
        <f>+VLOOKUP(A387,'Anlage 2a_Letztverbrauch'!$A$2025:$I$2257,9,FALSE)</f>
        <v>1591825.61</v>
      </c>
      <c r="C387" s="711">
        <f>+IF(ISNA(VLOOKUP(A387,'Anlage 2a_Letztverbrauch'!$A$2788:$D$2795,4,0)),0,VLOOKUP(A387,'Anlage 2a_Letztverbrauch'!$A$2788:$D$2795,4,0))</f>
        <v>0</v>
      </c>
      <c r="D387" s="711">
        <v>0</v>
      </c>
      <c r="E387" s="667">
        <f t="shared" si="14"/>
        <v>1591825.61</v>
      </c>
      <c r="F387" s="668">
        <f>+SUMIF('Anlage 2b_Korrekturen'!$B$234:$B$693,'Anlage 3b_Zusammenfassung ONU'!A387,'Anlage 2b_Korrekturen'!$F$234:$F$693)</f>
        <v>19325.04</v>
      </c>
      <c r="G387" s="928">
        <f t="shared" si="13"/>
        <v>1611150.6500000001</v>
      </c>
      <c r="J387" t="s">
        <v>1177</v>
      </c>
    </row>
    <row r="388" spans="1:10" hidden="1" outlineLevel="1">
      <c r="A388" s="853" t="s">
        <v>1178</v>
      </c>
      <c r="B388" s="1698">
        <f>+VLOOKUP(A388,'Anlage 2a_Letztverbrauch'!$A$2025:$I$2257,9,FALSE)</f>
        <v>262291.28000000003</v>
      </c>
      <c r="C388" s="711">
        <f>+IF(ISNA(VLOOKUP(A388,'Anlage 2a_Letztverbrauch'!$A$2788:$D$2795,4,0)),0,VLOOKUP(A388,'Anlage 2a_Letztverbrauch'!$A$2788:$D$2795,4,0))</f>
        <v>0</v>
      </c>
      <c r="D388" s="711">
        <v>0</v>
      </c>
      <c r="E388" s="667">
        <f t="shared" si="14"/>
        <v>262291.28000000003</v>
      </c>
      <c r="F388" s="668">
        <f>+SUMIF('Anlage 2b_Korrekturen'!$B$234:$B$693,'Anlage 3b_Zusammenfassung ONU'!A388,'Anlage 2b_Korrekturen'!$F$234:$F$693)</f>
        <v>0</v>
      </c>
      <c r="G388" s="928">
        <f t="shared" si="13"/>
        <v>262291.28000000003</v>
      </c>
      <c r="J388" t="s">
        <v>1179</v>
      </c>
    </row>
    <row r="389" spans="1:10" hidden="1" outlineLevel="1">
      <c r="A389" s="853" t="s">
        <v>1180</v>
      </c>
      <c r="B389" s="1698">
        <f>+VLOOKUP(A389,'Anlage 2a_Letztverbrauch'!$A$2025:$I$2257,9,FALSE)</f>
        <v>668351.96</v>
      </c>
      <c r="C389" s="711">
        <f>+IF(ISNA(VLOOKUP(A389,'Anlage 2a_Letztverbrauch'!$A$2788:$D$2795,4,0)),0,VLOOKUP(A389,'Anlage 2a_Letztverbrauch'!$A$2788:$D$2795,4,0))</f>
        <v>0</v>
      </c>
      <c r="D389" s="711">
        <v>0</v>
      </c>
      <c r="E389" s="667">
        <f t="shared" si="14"/>
        <v>668351.96</v>
      </c>
      <c r="F389" s="668">
        <f>+SUMIF('Anlage 2b_Korrekturen'!$B$234:$B$693,'Anlage 3b_Zusammenfassung ONU'!A389,'Anlage 2b_Korrekturen'!$F$234:$F$693)</f>
        <v>0</v>
      </c>
      <c r="G389" s="928">
        <f t="shared" si="13"/>
        <v>668351.96</v>
      </c>
      <c r="J389" t="s">
        <v>1181</v>
      </c>
    </row>
    <row r="390" spans="1:10" hidden="1" outlineLevel="1">
      <c r="A390" s="853" t="s">
        <v>1182</v>
      </c>
      <c r="B390" s="1698">
        <f>+VLOOKUP(A390,'Anlage 2a_Letztverbrauch'!$A$2025:$I$2257,9,FALSE)</f>
        <v>1281626.5</v>
      </c>
      <c r="C390" s="711">
        <f>+IF(ISNA(VLOOKUP(A390,'Anlage 2a_Letztverbrauch'!$A$2788:$D$2795,4,0)),0,VLOOKUP(A390,'Anlage 2a_Letztverbrauch'!$A$2788:$D$2795,4,0))</f>
        <v>0</v>
      </c>
      <c r="D390" s="711">
        <v>0</v>
      </c>
      <c r="E390" s="667">
        <f t="shared" si="14"/>
        <v>1281626.5</v>
      </c>
      <c r="F390" s="668">
        <f>+SUMIF('Anlage 2b_Korrekturen'!$B$234:$B$693,'Anlage 3b_Zusammenfassung ONU'!A390,'Anlage 2b_Korrekturen'!$F$234:$F$693)</f>
        <v>1202.6500000000001</v>
      </c>
      <c r="G390" s="928">
        <f t="shared" si="13"/>
        <v>1282829.1499999999</v>
      </c>
      <c r="J390" t="s">
        <v>1183</v>
      </c>
    </row>
    <row r="391" spans="1:10" hidden="1" outlineLevel="1">
      <c r="A391" s="853" t="s">
        <v>1184</v>
      </c>
      <c r="B391" s="1698">
        <f>+VLOOKUP(A391,'Anlage 2a_Letztverbrauch'!$A$2025:$I$2257,9,FALSE)</f>
        <v>80291.11</v>
      </c>
      <c r="C391" s="711">
        <f>+IF(ISNA(VLOOKUP(A391,'Anlage 2a_Letztverbrauch'!$A$2788:$D$2795,4,0)),0,VLOOKUP(A391,'Anlage 2a_Letztverbrauch'!$A$2788:$D$2795,4,0))</f>
        <v>0</v>
      </c>
      <c r="D391" s="711">
        <v>0</v>
      </c>
      <c r="E391" s="667">
        <f t="shared" si="14"/>
        <v>80291.11</v>
      </c>
      <c r="F391" s="668">
        <f>+SUMIF('Anlage 2b_Korrekturen'!$B$234:$B$693,'Anlage 3b_Zusammenfassung ONU'!A391,'Anlage 2b_Korrekturen'!$F$234:$F$693)</f>
        <v>0</v>
      </c>
      <c r="G391" s="928">
        <f t="shared" si="13"/>
        <v>80291.11</v>
      </c>
      <c r="J391" t="s">
        <v>1185</v>
      </c>
    </row>
    <row r="392" spans="1:10" hidden="1" outlineLevel="1">
      <c r="A392" s="853" t="s">
        <v>1186</v>
      </c>
      <c r="B392" s="1698">
        <f>+VLOOKUP(A392,'Anlage 2a_Letztverbrauch'!$A$2025:$I$2257,9,FALSE)</f>
        <v>532922.1</v>
      </c>
      <c r="C392" s="711">
        <f>+IF(ISNA(VLOOKUP(A392,'Anlage 2a_Letztverbrauch'!$A$2788:$D$2795,4,0)),0,VLOOKUP(A392,'Anlage 2a_Letztverbrauch'!$A$2788:$D$2795,4,0))</f>
        <v>0</v>
      </c>
      <c r="D392" s="711">
        <v>0</v>
      </c>
      <c r="E392" s="667">
        <f t="shared" si="14"/>
        <v>532922.1</v>
      </c>
      <c r="F392" s="668">
        <f>+SUMIF('Anlage 2b_Korrekturen'!$B$234:$B$693,'Anlage 3b_Zusammenfassung ONU'!A392,'Anlage 2b_Korrekturen'!$F$234:$F$693)</f>
        <v>18514.420000000002</v>
      </c>
      <c r="G392" s="928">
        <f t="shared" si="13"/>
        <v>551436.52</v>
      </c>
      <c r="J392" t="s">
        <v>1187</v>
      </c>
    </row>
    <row r="393" spans="1:10" hidden="1" outlineLevel="1">
      <c r="A393" s="853" t="s">
        <v>1186</v>
      </c>
      <c r="B393" s="1698">
        <v>90773.23</v>
      </c>
      <c r="C393" s="711">
        <f>+IF(ISNA(VLOOKUP(A393,'Anlage 2a_Letztverbrauch'!$A$2788:$D$2795,4,0)),0,VLOOKUP(A393,'Anlage 2a_Letztverbrauch'!$A$2788:$D$2795,4,0))</f>
        <v>0</v>
      </c>
      <c r="D393" s="711">
        <v>0</v>
      </c>
      <c r="E393" s="667">
        <f t="shared" si="14"/>
        <v>90773.23</v>
      </c>
      <c r="F393" s="668">
        <v>0</v>
      </c>
      <c r="G393" s="928">
        <f t="shared" si="13"/>
        <v>90773.23</v>
      </c>
      <c r="J393" t="s">
        <v>1187</v>
      </c>
    </row>
    <row r="394" spans="1:10" hidden="1" outlineLevel="1">
      <c r="A394" s="853" t="s">
        <v>1186</v>
      </c>
      <c r="B394" s="1698">
        <v>425471.97</v>
      </c>
      <c r="C394" s="711">
        <f>+IF(ISNA(VLOOKUP(A394,'Anlage 2a_Letztverbrauch'!$A$2788:$D$2795,4,0)),0,VLOOKUP(A394,'Anlage 2a_Letztverbrauch'!$A$2788:$D$2795,4,0))</f>
        <v>0</v>
      </c>
      <c r="D394" s="711">
        <v>0</v>
      </c>
      <c r="E394" s="667">
        <f t="shared" si="14"/>
        <v>425471.97</v>
      </c>
      <c r="F394" s="668">
        <v>0</v>
      </c>
      <c r="G394" s="928">
        <f t="shared" si="13"/>
        <v>425471.97</v>
      </c>
      <c r="J394" t="s">
        <v>1187</v>
      </c>
    </row>
    <row r="395" spans="1:10" hidden="1" outlineLevel="1">
      <c r="A395" s="853" t="s">
        <v>1188</v>
      </c>
      <c r="B395" s="1698">
        <f>+VLOOKUP(A395,'Anlage 2a_Letztverbrauch'!$A$2025:$I$2257,9,FALSE)</f>
        <v>159047.09</v>
      </c>
      <c r="C395" s="711">
        <f>+IF(ISNA(VLOOKUP(A395,'Anlage 2a_Letztverbrauch'!$A$2788:$D$2795,4,0)),0,VLOOKUP(A395,'Anlage 2a_Letztverbrauch'!$A$2788:$D$2795,4,0))</f>
        <v>0</v>
      </c>
      <c r="D395" s="711">
        <v>0</v>
      </c>
      <c r="E395" s="667">
        <f t="shared" si="14"/>
        <v>159047.09</v>
      </c>
      <c r="F395" s="668">
        <f>+SUMIF('Anlage 2b_Korrekturen'!$B$234:$B$693,'Anlage 3b_Zusammenfassung ONU'!A395,'Anlage 2b_Korrekturen'!$F$234:$F$693)</f>
        <v>-551.53</v>
      </c>
      <c r="G395" s="928">
        <f t="shared" si="13"/>
        <v>158495.56</v>
      </c>
      <c r="J395" t="s">
        <v>1189</v>
      </c>
    </row>
    <row r="396" spans="1:10" hidden="1" outlineLevel="1">
      <c r="A396" s="853" t="s">
        <v>1190</v>
      </c>
      <c r="B396" s="1698">
        <f>+VLOOKUP(A396,'Anlage 2a_Letztverbrauch'!$A$2025:$I$2257,9,FALSE)</f>
        <v>554257.53</v>
      </c>
      <c r="C396" s="711">
        <f>+IF(ISNA(VLOOKUP(A396,'Anlage 2a_Letztverbrauch'!$A$2788:$D$2795,4,0)),0,VLOOKUP(A396,'Anlage 2a_Letztverbrauch'!$A$2788:$D$2795,4,0))</f>
        <v>0</v>
      </c>
      <c r="D396" s="711">
        <v>0</v>
      </c>
      <c r="E396" s="667">
        <f t="shared" si="14"/>
        <v>554257.53</v>
      </c>
      <c r="F396" s="668">
        <f>+SUMIF('Anlage 2b_Korrekturen'!$B$234:$B$693,'Anlage 3b_Zusammenfassung ONU'!A396,'Anlage 2b_Korrekturen'!$F$234:$F$693)</f>
        <v>7248.25</v>
      </c>
      <c r="G396" s="928">
        <f t="shared" ref="G396:G460" si="15">E396+F396</f>
        <v>561505.78</v>
      </c>
      <c r="J396" t="s">
        <v>1191</v>
      </c>
    </row>
    <row r="397" spans="1:10" hidden="1" outlineLevel="1">
      <c r="A397" s="853" t="s">
        <v>1192</v>
      </c>
      <c r="B397" s="1698">
        <f>+VLOOKUP(A397,'Anlage 2a_Letztverbrauch'!$A$2025:$I$2257,9,FALSE)</f>
        <v>267941.28999999998</v>
      </c>
      <c r="C397" s="711">
        <f>+IF(ISNA(VLOOKUP(A397,'Anlage 2a_Letztverbrauch'!$A$2788:$D$2795,4,0)),0,VLOOKUP(A397,'Anlage 2a_Letztverbrauch'!$A$2788:$D$2795,4,0))</f>
        <v>0</v>
      </c>
      <c r="D397" s="711">
        <v>0</v>
      </c>
      <c r="E397" s="667">
        <f t="shared" si="14"/>
        <v>267941.28999999998</v>
      </c>
      <c r="F397" s="668">
        <f>+SUMIF('Anlage 2b_Korrekturen'!$B$234:$B$693,'Anlage 3b_Zusammenfassung ONU'!A397,'Anlage 2b_Korrekturen'!$F$234:$F$693)</f>
        <v>-2152.65</v>
      </c>
      <c r="G397" s="928">
        <f t="shared" si="15"/>
        <v>265788.63999999996</v>
      </c>
      <c r="J397" t="s">
        <v>1193</v>
      </c>
    </row>
    <row r="398" spans="1:10" hidden="1" outlineLevel="1">
      <c r="A398" s="853" t="s">
        <v>1194</v>
      </c>
      <c r="B398" s="1698">
        <f>+VLOOKUP(A398,'Anlage 2a_Letztverbrauch'!$A$2025:$I$2257,9,FALSE)</f>
        <v>306156.5</v>
      </c>
      <c r="C398" s="711">
        <f>+IF(ISNA(VLOOKUP(A398,'Anlage 2a_Letztverbrauch'!$A$2788:$D$2795,4,0)),0,VLOOKUP(A398,'Anlage 2a_Letztverbrauch'!$A$2788:$D$2795,4,0))</f>
        <v>0</v>
      </c>
      <c r="D398" s="711">
        <v>0</v>
      </c>
      <c r="E398" s="667">
        <f t="shared" si="14"/>
        <v>306156.5</v>
      </c>
      <c r="F398" s="668">
        <f>+SUMIF('Anlage 2b_Korrekturen'!$B$234:$B$693,'Anlage 3b_Zusammenfassung ONU'!A398,'Anlage 2b_Korrekturen'!$F$234:$F$693)</f>
        <v>2300.62</v>
      </c>
      <c r="G398" s="928">
        <f t="shared" si="15"/>
        <v>308457.12</v>
      </c>
      <c r="J398" t="s">
        <v>1195</v>
      </c>
    </row>
    <row r="399" spans="1:10" hidden="1" outlineLevel="1">
      <c r="A399" s="853" t="s">
        <v>1196</v>
      </c>
      <c r="B399" s="1698">
        <f>+VLOOKUP(A399,'Anlage 2a_Letztverbrauch'!$A$2025:$I$2257,9,FALSE)</f>
        <v>9903924.2699999996</v>
      </c>
      <c r="C399" s="711">
        <f>+IF(ISNA(VLOOKUP(A399,'Anlage 2a_Letztverbrauch'!$A$2788:$D$2795,4,0)),0,VLOOKUP(A399,'Anlage 2a_Letztverbrauch'!$A$2788:$D$2795,4,0))</f>
        <v>0</v>
      </c>
      <c r="D399" s="711">
        <v>0</v>
      </c>
      <c r="E399" s="667">
        <f t="shared" si="14"/>
        <v>9903924.2699999996</v>
      </c>
      <c r="F399" s="668">
        <f>+SUMIF('Anlage 2b_Korrekturen'!$B$234:$B$693,'Anlage 3b_Zusammenfassung ONU'!A399,'Anlage 2b_Korrekturen'!$F$234:$F$693)</f>
        <v>0</v>
      </c>
      <c r="G399" s="928">
        <f t="shared" si="15"/>
        <v>9903924.2699999996</v>
      </c>
      <c r="J399" t="s">
        <v>1197</v>
      </c>
    </row>
    <row r="400" spans="1:10" hidden="1" outlineLevel="1">
      <c r="A400" s="853" t="s">
        <v>1198</v>
      </c>
      <c r="B400" s="1698">
        <f>+VLOOKUP(A400,'Anlage 2a_Letztverbrauch'!$A$2025:$I$2257,9,FALSE)</f>
        <v>757909.5</v>
      </c>
      <c r="C400" s="711">
        <f>+IF(ISNA(VLOOKUP(A400,'Anlage 2a_Letztverbrauch'!$A$2788:$D$2795,4,0)),0,VLOOKUP(A400,'Anlage 2a_Letztverbrauch'!$A$2788:$D$2795,4,0))</f>
        <v>0</v>
      </c>
      <c r="D400" s="711">
        <v>0</v>
      </c>
      <c r="E400" s="667">
        <f t="shared" si="14"/>
        <v>757909.5</v>
      </c>
      <c r="F400" s="668">
        <f>+SUMIF('Anlage 2b_Korrekturen'!$B$234:$B$693,'Anlage 3b_Zusammenfassung ONU'!A400,'Anlage 2b_Korrekturen'!$F$234:$F$693)</f>
        <v>12891.050000000001</v>
      </c>
      <c r="G400" s="928">
        <f t="shared" si="15"/>
        <v>770800.55</v>
      </c>
      <c r="J400" t="s">
        <v>1199</v>
      </c>
    </row>
    <row r="401" spans="1:10" hidden="1" outlineLevel="1">
      <c r="A401" s="853" t="s">
        <v>1200</v>
      </c>
      <c r="B401" s="1698">
        <f>+VLOOKUP(A401,'Anlage 2a_Letztverbrauch'!$A$2025:$I$2257,9,FALSE)</f>
        <v>3427397.51</v>
      </c>
      <c r="C401" s="711">
        <f>+IF(ISNA(VLOOKUP(A401,'Anlage 2a_Letztverbrauch'!$A$2788:$D$2795,4,0)),0,VLOOKUP(A401,'Anlage 2a_Letztverbrauch'!$A$2788:$D$2795,4,0))</f>
        <v>0</v>
      </c>
      <c r="D401" s="711">
        <v>0</v>
      </c>
      <c r="E401" s="667">
        <f t="shared" si="14"/>
        <v>3427397.51</v>
      </c>
      <c r="F401" s="668">
        <f>+SUMIF('Anlage 2b_Korrekturen'!$B$234:$B$693,'Anlage 3b_Zusammenfassung ONU'!A401,'Anlage 2b_Korrekturen'!$F$234:$F$693)</f>
        <v>-38102.740000000005</v>
      </c>
      <c r="G401" s="928">
        <f t="shared" si="15"/>
        <v>3389294.7699999996</v>
      </c>
      <c r="J401" t="s">
        <v>1201</v>
      </c>
    </row>
    <row r="402" spans="1:10" hidden="1" outlineLevel="1">
      <c r="A402" s="853" t="s">
        <v>1202</v>
      </c>
      <c r="B402" s="1698">
        <f>+VLOOKUP(A402,'Anlage 2a_Letztverbrauch'!$A$2025:$I$2257,9,FALSE)</f>
        <v>327056.86</v>
      </c>
      <c r="C402" s="711">
        <f>+IF(ISNA(VLOOKUP(A402,'Anlage 2a_Letztverbrauch'!$A$2788:$D$2795,4,0)),0,VLOOKUP(A402,'Anlage 2a_Letztverbrauch'!$A$2788:$D$2795,4,0))</f>
        <v>0</v>
      </c>
      <c r="D402" s="711">
        <v>0</v>
      </c>
      <c r="E402" s="667">
        <f t="shared" si="14"/>
        <v>327056.86</v>
      </c>
      <c r="F402" s="668">
        <f>+SUMIF('Anlage 2b_Korrekturen'!$B$234:$B$693,'Anlage 3b_Zusammenfassung ONU'!A402,'Anlage 2b_Korrekturen'!$F$234:$F$693)</f>
        <v>0</v>
      </c>
      <c r="G402" s="928">
        <f t="shared" si="15"/>
        <v>327056.86</v>
      </c>
      <c r="J402" t="s">
        <v>1203</v>
      </c>
    </row>
    <row r="403" spans="1:10" hidden="1" outlineLevel="1">
      <c r="A403" s="853" t="s">
        <v>1202</v>
      </c>
      <c r="B403" s="1698">
        <v>40822.58</v>
      </c>
      <c r="C403" s="711">
        <f>+IF(ISNA(VLOOKUP(A403,'Anlage 2a_Letztverbrauch'!$A$2788:$D$2795,4,0)),0,VLOOKUP(A403,'Anlage 2a_Letztverbrauch'!$A$2788:$D$2795,4,0))</f>
        <v>0</v>
      </c>
      <c r="D403" s="711">
        <v>0</v>
      </c>
      <c r="E403" s="667">
        <f t="shared" si="14"/>
        <v>40822.58</v>
      </c>
      <c r="F403" s="668">
        <f>+SUMIF('Anlage 2b_Korrekturen'!$B$234:$B$693,'Anlage 3b_Zusammenfassung ONU'!A403,'Anlage 2b_Korrekturen'!$F$234:$F$693)</f>
        <v>0</v>
      </c>
      <c r="G403" s="928">
        <f t="shared" si="15"/>
        <v>40822.58</v>
      </c>
      <c r="J403" t="s">
        <v>1203</v>
      </c>
    </row>
    <row r="404" spans="1:10" hidden="1" outlineLevel="1">
      <c r="A404" s="853" t="s">
        <v>1202</v>
      </c>
      <c r="B404" s="1698">
        <v>203185.97</v>
      </c>
      <c r="C404" s="711">
        <f>+IF(ISNA(VLOOKUP(A404,'Anlage 2a_Letztverbrauch'!$A$2788:$D$2795,4,0)),0,VLOOKUP(A404,'Anlage 2a_Letztverbrauch'!$A$2788:$D$2795,4,0))</f>
        <v>0</v>
      </c>
      <c r="D404" s="711">
        <v>0</v>
      </c>
      <c r="E404" s="667">
        <f t="shared" si="14"/>
        <v>203185.97</v>
      </c>
      <c r="F404" s="668">
        <f>+SUMIF('Anlage 2b_Korrekturen'!$B$234:$B$693,'Anlage 3b_Zusammenfassung ONU'!A404,'Anlage 2b_Korrekturen'!$F$234:$F$693)</f>
        <v>0</v>
      </c>
      <c r="G404" s="928">
        <f t="shared" si="15"/>
        <v>203185.97</v>
      </c>
      <c r="J404" t="s">
        <v>1203</v>
      </c>
    </row>
    <row r="405" spans="1:10" hidden="1" outlineLevel="1">
      <c r="A405" s="853" t="s">
        <v>1204</v>
      </c>
      <c r="B405" s="1698">
        <f>+VLOOKUP(A405,'Anlage 2a_Letztverbrauch'!$A$2025:$I$2257,9,FALSE)</f>
        <v>32413.439999999999</v>
      </c>
      <c r="C405" s="711">
        <f>+IF(ISNA(VLOOKUP(A405,'Anlage 2a_Letztverbrauch'!$A$2788:$D$2795,4,0)),0,VLOOKUP(A405,'Anlage 2a_Letztverbrauch'!$A$2788:$D$2795,4,0))</f>
        <v>0</v>
      </c>
      <c r="D405" s="711">
        <v>0</v>
      </c>
      <c r="E405" s="667">
        <f t="shared" si="14"/>
        <v>32413.439999999999</v>
      </c>
      <c r="F405" s="668">
        <f>+SUMIF('Anlage 2b_Korrekturen'!$B$234:$B$693,'Anlage 3b_Zusammenfassung ONU'!A405,'Anlage 2b_Korrekturen'!$F$234:$F$693)</f>
        <v>0</v>
      </c>
      <c r="G405" s="928">
        <f t="shared" si="15"/>
        <v>32413.439999999999</v>
      </c>
      <c r="J405" t="s">
        <v>1205</v>
      </c>
    </row>
    <row r="406" spans="1:10" hidden="1" outlineLevel="1">
      <c r="A406" s="853" t="s">
        <v>1206</v>
      </c>
      <c r="B406" s="1698">
        <f>+VLOOKUP(A406,'Anlage 2a_Letztverbrauch'!$A$2025:$I$2257,9,FALSE)</f>
        <v>419504.5</v>
      </c>
      <c r="C406" s="711">
        <f>+IF(ISNA(VLOOKUP(A406,'Anlage 2a_Letztverbrauch'!$A$2788:$D$2795,4,0)),0,VLOOKUP(A406,'Anlage 2a_Letztverbrauch'!$A$2788:$D$2795,4,0))</f>
        <v>0</v>
      </c>
      <c r="D406" s="711">
        <v>0</v>
      </c>
      <c r="E406" s="667">
        <f t="shared" si="14"/>
        <v>419504.5</v>
      </c>
      <c r="F406" s="668">
        <f>+SUMIF('Anlage 2b_Korrekturen'!$B$234:$B$693,'Anlage 3b_Zusammenfassung ONU'!A406,'Anlage 2b_Korrekturen'!$F$234:$F$693)</f>
        <v>-625.04</v>
      </c>
      <c r="G406" s="928">
        <f t="shared" si="15"/>
        <v>418879.46</v>
      </c>
      <c r="J406" t="s">
        <v>1207</v>
      </c>
    </row>
    <row r="407" spans="1:10" hidden="1" outlineLevel="1">
      <c r="A407" s="853" t="s">
        <v>1208</v>
      </c>
      <c r="B407" s="1698">
        <f>+VLOOKUP(A407,'Anlage 2a_Letztverbrauch'!$A$2025:$I$2257,9,FALSE)</f>
        <v>496587.28</v>
      </c>
      <c r="C407" s="711">
        <f>+IF(ISNA(VLOOKUP(A407,'Anlage 2a_Letztverbrauch'!$A$2788:$D$2795,4,0)),0,VLOOKUP(A407,'Anlage 2a_Letztverbrauch'!$A$2788:$D$2795,4,0))</f>
        <v>0</v>
      </c>
      <c r="D407" s="711">
        <v>0</v>
      </c>
      <c r="E407" s="667">
        <f t="shared" si="14"/>
        <v>496587.28</v>
      </c>
      <c r="F407" s="668">
        <f>+SUMIF('Anlage 2b_Korrekturen'!$B$234:$B$693,'Anlage 3b_Zusammenfassung ONU'!A407,'Anlage 2b_Korrekturen'!$F$234:$F$693)</f>
        <v>0</v>
      </c>
      <c r="G407" s="928">
        <f t="shared" si="15"/>
        <v>496587.28</v>
      </c>
      <c r="J407" t="s">
        <v>1209</v>
      </c>
    </row>
    <row r="408" spans="1:10" hidden="1" outlineLevel="1">
      <c r="A408" s="853" t="s">
        <v>1210</v>
      </c>
      <c r="B408" s="1698">
        <f>+VLOOKUP(A408,'Anlage 2a_Letztverbrauch'!$A$2025:$I$2257,9,FALSE)</f>
        <v>5210377.7300000004</v>
      </c>
      <c r="C408" s="711">
        <f>+IF(ISNA(VLOOKUP(A408,'Anlage 2a_Letztverbrauch'!$A$2788:$D$2795,4,0)),0,VLOOKUP(A408,'Anlage 2a_Letztverbrauch'!$A$2788:$D$2795,4,0))</f>
        <v>0</v>
      </c>
      <c r="D408" s="711">
        <v>0</v>
      </c>
      <c r="E408" s="667">
        <f t="shared" si="14"/>
        <v>5210377.7300000004</v>
      </c>
      <c r="F408" s="668">
        <f>+SUMIF('Anlage 2b_Korrekturen'!$B$234:$B$693,'Anlage 3b_Zusammenfassung ONU'!A408,'Anlage 2b_Korrekturen'!$F$234:$F$693)</f>
        <v>0</v>
      </c>
      <c r="G408" s="928">
        <f t="shared" si="15"/>
        <v>5210377.7300000004</v>
      </c>
      <c r="J408" t="s">
        <v>1211</v>
      </c>
    </row>
    <row r="409" spans="1:10" hidden="1" outlineLevel="1">
      <c r="A409" s="853" t="s">
        <v>1212</v>
      </c>
      <c r="B409" s="1698">
        <f>+VLOOKUP(A409,'Anlage 2a_Letztverbrauch'!$A$2025:$I$2257,9,FALSE)</f>
        <v>379414.16</v>
      </c>
      <c r="C409" s="711">
        <f>+IF(ISNA(VLOOKUP(A409,'Anlage 2a_Letztverbrauch'!$A$2788:$D$2795,4,0)),0,VLOOKUP(A409,'Anlage 2a_Letztverbrauch'!$A$2788:$D$2795,4,0))</f>
        <v>0</v>
      </c>
      <c r="D409" s="711">
        <v>0</v>
      </c>
      <c r="E409" s="667">
        <f t="shared" si="14"/>
        <v>379414.16</v>
      </c>
      <c r="F409" s="668">
        <f>+SUMIF('Anlage 2b_Korrekturen'!$B$234:$B$693,'Anlage 3b_Zusammenfassung ONU'!A409,'Anlage 2b_Korrekturen'!$F$234:$F$693)</f>
        <v>0</v>
      </c>
      <c r="G409" s="928">
        <f t="shared" si="15"/>
        <v>379414.16</v>
      </c>
      <c r="J409" t="s">
        <v>1213</v>
      </c>
    </row>
    <row r="410" spans="1:10" hidden="1" outlineLevel="1">
      <c r="A410" s="853" t="s">
        <v>1214</v>
      </c>
      <c r="B410" s="1698">
        <f>+VLOOKUP(A410,'Anlage 2a_Letztverbrauch'!$A$2025:$I$2257,9,FALSE)</f>
        <v>949497.99</v>
      </c>
      <c r="C410" s="711">
        <f>+IF(ISNA(VLOOKUP(A410,'Anlage 2a_Letztverbrauch'!$A$2788:$D$2795,4,0)),0,VLOOKUP(A410,'Anlage 2a_Letztverbrauch'!$A$2788:$D$2795,4,0))</f>
        <v>0</v>
      </c>
      <c r="D410" s="711">
        <v>0</v>
      </c>
      <c r="E410" s="667">
        <f t="shared" si="14"/>
        <v>949497.99</v>
      </c>
      <c r="F410" s="668">
        <f>+SUMIF('Anlage 2b_Korrekturen'!$B$234:$B$693,'Anlage 3b_Zusammenfassung ONU'!A410,'Anlage 2b_Korrekturen'!$F$234:$F$693)</f>
        <v>0</v>
      </c>
      <c r="G410" s="928">
        <f t="shared" si="15"/>
        <v>949497.99</v>
      </c>
      <c r="J410" t="s">
        <v>1215</v>
      </c>
    </row>
    <row r="411" spans="1:10" hidden="1" outlineLevel="1">
      <c r="A411" s="853" t="s">
        <v>768</v>
      </c>
      <c r="B411" s="1698">
        <f>+VLOOKUP(A411,'Anlage 2a_Letztverbrauch'!$A$2025:$I$2257,9,FALSE)</f>
        <v>224926.2</v>
      </c>
      <c r="C411" s="711">
        <f>+IF(ISNA(VLOOKUP(A411,'Anlage 2a_Letztverbrauch'!$A$2788:$D$2795,4,0)),0,VLOOKUP(A411,'Anlage 2a_Letztverbrauch'!$A$2788:$D$2795,4,0))</f>
        <v>0</v>
      </c>
      <c r="D411" s="711">
        <v>0</v>
      </c>
      <c r="E411" s="667">
        <f t="shared" si="14"/>
        <v>224926.2</v>
      </c>
      <c r="F411" s="668">
        <f>+SUMIF('Anlage 2b_Korrekturen'!$B$234:$B$693,'Anlage 3b_Zusammenfassung ONU'!A411,'Anlage 2b_Korrekturen'!$F$234:$F$693)</f>
        <v>-442.74</v>
      </c>
      <c r="G411" s="928">
        <f t="shared" si="15"/>
        <v>224483.46000000002</v>
      </c>
      <c r="J411" t="s">
        <v>769</v>
      </c>
    </row>
    <row r="412" spans="1:10" hidden="1" outlineLevel="1">
      <c r="A412" s="853" t="s">
        <v>1216</v>
      </c>
      <c r="B412" s="1698">
        <f>+VLOOKUP(A412,'Anlage 2a_Letztverbrauch'!$A$2025:$I$2257,9,FALSE)</f>
        <v>102115.45</v>
      </c>
      <c r="C412" s="711">
        <f>+IF(ISNA(VLOOKUP(A412,'Anlage 2a_Letztverbrauch'!$A$2788:$D$2795,4,0)),0,VLOOKUP(A412,'Anlage 2a_Letztverbrauch'!$A$2788:$D$2795,4,0))</f>
        <v>0</v>
      </c>
      <c r="D412" s="711">
        <v>0</v>
      </c>
      <c r="E412" s="667">
        <f t="shared" si="14"/>
        <v>102115.45</v>
      </c>
      <c r="F412" s="668">
        <f>+SUMIF('Anlage 2b_Korrekturen'!$B$234:$B$693,'Anlage 3b_Zusammenfassung ONU'!A412,'Anlage 2b_Korrekturen'!$F$234:$F$693)</f>
        <v>600.38</v>
      </c>
      <c r="G412" s="928">
        <f t="shared" si="15"/>
        <v>102715.83</v>
      </c>
      <c r="J412" t="s">
        <v>1217</v>
      </c>
    </row>
    <row r="413" spans="1:10" hidden="1" outlineLevel="1">
      <c r="A413" s="853" t="s">
        <v>1218</v>
      </c>
      <c r="B413" s="1698">
        <f>+VLOOKUP(A413,'Anlage 2a_Letztverbrauch'!$A$2025:$I$2257,9,FALSE)</f>
        <v>1188195.45</v>
      </c>
      <c r="C413" s="711">
        <f>+IF(ISNA(VLOOKUP(A413,'Anlage 2a_Letztverbrauch'!$A$2788:$D$2795,4,0)),0,VLOOKUP(A413,'Anlage 2a_Letztverbrauch'!$A$2788:$D$2795,4,0))</f>
        <v>0</v>
      </c>
      <c r="D413" s="711">
        <v>0</v>
      </c>
      <c r="E413" s="667">
        <f t="shared" si="14"/>
        <v>1188195.45</v>
      </c>
      <c r="F413" s="668">
        <f>+SUMIF('Anlage 2b_Korrekturen'!$B$234:$B$693,'Anlage 3b_Zusammenfassung ONU'!A413,'Anlage 2b_Korrekturen'!$F$234:$F$693)</f>
        <v>0</v>
      </c>
      <c r="G413" s="928">
        <f t="shared" si="15"/>
        <v>1188195.45</v>
      </c>
      <c r="J413" t="s">
        <v>1219</v>
      </c>
    </row>
    <row r="414" spans="1:10" hidden="1" outlineLevel="1">
      <c r="A414" s="853" t="s">
        <v>2074</v>
      </c>
      <c r="B414" s="1698">
        <v>0</v>
      </c>
      <c r="C414" s="711">
        <f>+IF(ISNA(VLOOKUP(A414,'Anlage 2a_Letztverbrauch'!$A$2788:$D$2795,4,0)),0,VLOOKUP(A414,'Anlage 2a_Letztverbrauch'!$A$2788:$D$2795,4,0))</f>
        <v>0</v>
      </c>
      <c r="D414" s="711">
        <v>0</v>
      </c>
      <c r="E414" s="667">
        <f t="shared" si="14"/>
        <v>0</v>
      </c>
      <c r="F414" s="668">
        <f>+SUMIF('Anlage 2b_Korrekturen'!$B$234:$B$693,'Anlage 3b_Zusammenfassung ONU'!A414,'Anlage 2b_Korrekturen'!$F$234:$F$693)</f>
        <v>66383.48000000001</v>
      </c>
      <c r="G414" s="928">
        <f t="shared" si="15"/>
        <v>66383.48000000001</v>
      </c>
      <c r="J414" t="s">
        <v>2075</v>
      </c>
    </row>
    <row r="415" spans="1:10" collapsed="1">
      <c r="A415" s="853" t="s">
        <v>1220</v>
      </c>
      <c r="B415" s="1698">
        <f>SUM(B416:B782)</f>
        <v>828222492.07304013</v>
      </c>
      <c r="C415" s="711">
        <f>+SUM(C416:C782)</f>
        <v>-13344461.179999998</v>
      </c>
      <c r="D415" s="711">
        <f>+SUM(D416:D782)</f>
        <v>84.2</v>
      </c>
      <c r="E415" s="711">
        <f t="shared" ref="E415:E460" si="16">B415+C415+D415</f>
        <v>814878115.09304023</v>
      </c>
      <c r="F415" s="668">
        <f>+SUM(F416:F784)</f>
        <v>-194580.60816552068</v>
      </c>
      <c r="G415" s="928">
        <f t="shared" si="15"/>
        <v>814683534.48487473</v>
      </c>
    </row>
    <row r="416" spans="1:10" hidden="1" outlineLevel="1">
      <c r="A416" s="853" t="s">
        <v>2193</v>
      </c>
      <c r="B416" s="702">
        <f>+VLOOKUP(A416,'Anlage 2a_Letztverbrauch'!$A$2259:$I$2625,9,FALSE)</f>
        <v>48143.55</v>
      </c>
      <c r="C416" s="88">
        <f>IFERROR(+VLOOKUP(A416,'Anlage 2a_Letztverbrauch'!$A$2797:$I$2816,4,FALSE),0)</f>
        <v>0</v>
      </c>
      <c r="D416" s="1576">
        <v>0</v>
      </c>
      <c r="E416" s="88">
        <f t="shared" si="16"/>
        <v>48143.55</v>
      </c>
      <c r="F416" s="668">
        <f>+SUMIF('Anlage 2b_Korrekturen'!$B$700:$B$1160,A416,'Anlage 2b_Korrekturen'!$F$700:$F$1160)</f>
        <v>0</v>
      </c>
      <c r="G416" s="928">
        <f t="shared" si="15"/>
        <v>48143.55</v>
      </c>
      <c r="H416" t="str">
        <f>+VLOOKUP(A416,'Anlage 2a_Letztverbrauch'!$A$415:$J$781,10,FALSE)</f>
        <v>Elektrizitätswerk Rohmund GmbH</v>
      </c>
    </row>
    <row r="417" spans="1:8" hidden="1" outlineLevel="1">
      <c r="A417" s="853" t="s">
        <v>1738</v>
      </c>
      <c r="B417" s="702">
        <f>+VLOOKUP(A417,'Anlage 2a_Letztverbrauch'!$A$2259:$I$2625,9,FALSE)</f>
        <v>158850.64000000001</v>
      </c>
      <c r="C417" s="88">
        <f>IFERROR(+VLOOKUP(A417,'Anlage 2a_Letztverbrauch'!$A$2797:$I$2816,4,FALSE),0)</f>
        <v>0</v>
      </c>
      <c r="D417" s="88">
        <v>0</v>
      </c>
      <c r="E417" s="88">
        <f t="shared" si="16"/>
        <v>158850.64000000001</v>
      </c>
      <c r="F417" s="668">
        <f>+SUMIF('Anlage 2b_Korrekturen'!$B$700:$B$1160,A417,'Anlage 2b_Korrekturen'!$F$700:$F$1160)</f>
        <v>0</v>
      </c>
      <c r="G417" s="928">
        <f t="shared" si="15"/>
        <v>158850.64000000001</v>
      </c>
      <c r="H417" t="str">
        <f>+VLOOKUP(A417,'Anlage 2a_Letztverbrauch'!$A$415:$J$781,10,FALSE)</f>
        <v>Gemeindewerke Kiefersfelden</v>
      </c>
    </row>
    <row r="418" spans="1:8" hidden="1" outlineLevel="1">
      <c r="A418" s="853" t="s">
        <v>1812</v>
      </c>
      <c r="B418" s="702">
        <f>+VLOOKUP(A418,'Anlage 2a_Letztverbrauch'!$A$2259:$I$2625,9,FALSE)</f>
        <v>257711.77</v>
      </c>
      <c r="C418" s="88">
        <f>IFERROR(+VLOOKUP(A418,'Anlage 2a_Letztverbrauch'!$A$2797:$I$2816,4,FALSE),0)</f>
        <v>0</v>
      </c>
      <c r="D418" s="88">
        <v>0</v>
      </c>
      <c r="E418" s="88">
        <f t="shared" si="16"/>
        <v>257711.77</v>
      </c>
      <c r="F418" s="668">
        <f>+SUMIF('Anlage 2b_Korrekturen'!$B$700:$B$1160,A418,'Anlage 2b_Korrekturen'!$F$700:$F$1160)</f>
        <v>576.11</v>
      </c>
      <c r="G418" s="928">
        <f t="shared" si="15"/>
        <v>258287.87999999998</v>
      </c>
      <c r="H418" t="str">
        <f>+VLOOKUP(A418,'Anlage 2a_Letztverbrauch'!$A$415:$J$781,10,FALSE)</f>
        <v>Gemeindewerke Ebersdorf</v>
      </c>
    </row>
    <row r="419" spans="1:8" hidden="1" outlineLevel="1">
      <c r="A419" s="853" t="s">
        <v>1246</v>
      </c>
      <c r="B419" s="702">
        <f>+VLOOKUP(A419,'Anlage 2a_Letztverbrauch'!$A$2259:$I$2625,9,FALSE)</f>
        <v>194580.65</v>
      </c>
      <c r="C419" s="88">
        <f>IFERROR(+VLOOKUP(A419,'Anlage 2a_Letztverbrauch'!$A$2797:$I$2816,4,FALSE),0)</f>
        <v>0</v>
      </c>
      <c r="D419" s="88">
        <v>0</v>
      </c>
      <c r="E419" s="88">
        <f t="shared" si="16"/>
        <v>194580.65</v>
      </c>
      <c r="F419" s="668">
        <f>+SUMIF('Anlage 2b_Korrekturen'!$B$700:$B$1160,A419,'Anlage 2b_Korrekturen'!$F$700:$F$1160)</f>
        <v>-635.76</v>
      </c>
      <c r="G419" s="928">
        <f t="shared" si="15"/>
        <v>193944.88999999998</v>
      </c>
      <c r="H419" t="str">
        <f>+VLOOKUP(A419,'Anlage 2a_Letztverbrauch'!$A$415:$J$781,10,FALSE)</f>
        <v>Stadtwerke Barmstedt</v>
      </c>
    </row>
    <row r="420" spans="1:8" hidden="1" outlineLevel="1">
      <c r="A420" s="853" t="s">
        <v>1582</v>
      </c>
      <c r="B420" s="702">
        <f>+VLOOKUP(A420,'Anlage 2a_Letztverbrauch'!$A$2259:$I$2625,9,FALSE)</f>
        <v>330524.96999999997</v>
      </c>
      <c r="C420" s="88">
        <f>IFERROR(+VLOOKUP(A420,'Anlage 2a_Letztverbrauch'!$A$2797:$I$2816,4,FALSE),0)</f>
        <v>0</v>
      </c>
      <c r="D420" s="88">
        <v>0</v>
      </c>
      <c r="E420" s="88">
        <f t="shared" si="16"/>
        <v>330524.96999999997</v>
      </c>
      <c r="F420" s="668">
        <f>+SUMIF('Anlage 2b_Korrekturen'!$B$700:$B$1160,A420,'Anlage 2b_Korrekturen'!$F$700:$F$1160)</f>
        <v>5004.3</v>
      </c>
      <c r="G420" s="928">
        <f t="shared" si="15"/>
        <v>335529.26999999996</v>
      </c>
      <c r="H420" t="str">
        <f>+VLOOKUP(A420,'Anlage 2a_Letztverbrauch'!$A$415:$J$781,10,FALSE)</f>
        <v>Stadtwerke Bad Bramstedt Netz GmbH</v>
      </c>
    </row>
    <row r="421" spans="1:8" hidden="1" outlineLevel="1">
      <c r="A421" s="853" t="s">
        <v>1518</v>
      </c>
      <c r="B421" s="702">
        <f>+VLOOKUP(A421,'Anlage 2a_Letztverbrauch'!$A$2259:$I$2625,9,FALSE)</f>
        <v>655717.29</v>
      </c>
      <c r="C421" s="88">
        <f>IFERROR(+VLOOKUP(A421,'Anlage 2a_Letztverbrauch'!$A$2797:$I$2816,4,FALSE),0)</f>
        <v>0</v>
      </c>
      <c r="D421" s="88">
        <v>0</v>
      </c>
      <c r="E421" s="88">
        <f t="shared" si="16"/>
        <v>655717.29</v>
      </c>
      <c r="F421" s="668">
        <f>+SUMIF('Anlage 2b_Korrekturen'!$B$700:$B$1160,A421,'Anlage 2b_Korrekturen'!$F$700:$F$1160)</f>
        <v>0</v>
      </c>
      <c r="G421" s="928">
        <f t="shared" si="15"/>
        <v>655717.29</v>
      </c>
      <c r="H421" t="str">
        <f>+VLOOKUP(A421,'Anlage 2a_Letztverbrauch'!$A$415:$J$781,10,FALSE)</f>
        <v>Stadtwerke Nordfriesland-Netz GmbH</v>
      </c>
    </row>
    <row r="422" spans="1:8" hidden="1" outlineLevel="1">
      <c r="A422" s="853" t="s">
        <v>1570</v>
      </c>
      <c r="B422" s="702">
        <f>+VLOOKUP(A422,'Anlage 2a_Letztverbrauch'!$A$2259:$I$2625,9,FALSE)</f>
        <v>1353513.06</v>
      </c>
      <c r="C422" s="88">
        <f>IFERROR(+VLOOKUP(A422,'Anlage 2a_Letztverbrauch'!$A$2797:$I$2816,4,FALSE),0)</f>
        <v>0</v>
      </c>
      <c r="D422" s="88">
        <v>0</v>
      </c>
      <c r="E422" s="88">
        <f t="shared" si="16"/>
        <v>1353513.06</v>
      </c>
      <c r="F422" s="668">
        <f>+SUMIF('Anlage 2b_Korrekturen'!$B$700:$B$1160,A422,'Anlage 2b_Korrekturen'!$F$700:$F$1160)</f>
        <v>0</v>
      </c>
      <c r="G422" s="928">
        <f t="shared" si="15"/>
        <v>1353513.06</v>
      </c>
      <c r="H422" t="str">
        <f>+VLOOKUP(A422,'Anlage 2a_Letztverbrauch'!$A$415:$J$781,10,FALSE)</f>
        <v>Osterholzer Stadtwerke GmbH &amp; Co. KG</v>
      </c>
    </row>
    <row r="423" spans="1:8" hidden="1" outlineLevel="1">
      <c r="A423" s="853" t="s">
        <v>1386</v>
      </c>
      <c r="B423" s="702">
        <f>+VLOOKUP(A423,'Anlage 2a_Letztverbrauch'!$A$2259:$I$2625,9,FALSE)</f>
        <v>203046.06</v>
      </c>
      <c r="C423" s="88">
        <f>IFERROR(+VLOOKUP(A423,'Anlage 2a_Letztverbrauch'!$A$2797:$I$2816,4,FALSE),0)</f>
        <v>0</v>
      </c>
      <c r="D423" s="88">
        <v>0</v>
      </c>
      <c r="E423" s="88">
        <f t="shared" si="16"/>
        <v>203046.06</v>
      </c>
      <c r="F423" s="668">
        <f>+SUMIF('Anlage 2b_Korrekturen'!$B$700:$B$1160,A423,'Anlage 2b_Korrekturen'!$F$700:$F$1160)</f>
        <v>0</v>
      </c>
      <c r="G423" s="928">
        <f t="shared" si="15"/>
        <v>203046.06</v>
      </c>
      <c r="H423" t="str">
        <f>+VLOOKUP(A423,'Anlage 2a_Letztverbrauch'!$A$415:$J$781,10,FALSE)</f>
        <v>Stadt Burgbernheim</v>
      </c>
    </row>
    <row r="424" spans="1:8" hidden="1" outlineLevel="1">
      <c r="A424" s="853" t="s">
        <v>1320</v>
      </c>
      <c r="B424" s="702">
        <f>+VLOOKUP(A424,'Anlage 2a_Letztverbrauch'!$A$2259:$I$2625,9,FALSE)</f>
        <v>3151134.86</v>
      </c>
      <c r="C424" s="88">
        <f>IFERROR(+VLOOKUP(A424,'Anlage 2a_Letztverbrauch'!$A$2797:$I$2816,4,FALSE),0)</f>
        <v>0</v>
      </c>
      <c r="D424" s="88">
        <v>0</v>
      </c>
      <c r="E424" s="88">
        <f t="shared" si="16"/>
        <v>3151134.86</v>
      </c>
      <c r="F424" s="668">
        <f>+SUMIF('Anlage 2b_Korrekturen'!$B$700:$B$1160,A424,'Anlage 2b_Korrekturen'!$F$700:$F$1160)</f>
        <v>0</v>
      </c>
      <c r="G424" s="928">
        <f t="shared" si="15"/>
        <v>3151134.86</v>
      </c>
      <c r="H424" t="str">
        <f>+VLOOKUP(A424,'Anlage 2a_Letztverbrauch'!$A$415:$J$781,10,FALSE)</f>
        <v>Stadtwerke Schweinfurt GmbH</v>
      </c>
    </row>
    <row r="425" spans="1:8" hidden="1" outlineLevel="1">
      <c r="A425" s="853" t="s">
        <v>1458</v>
      </c>
      <c r="B425" s="702">
        <f>+VLOOKUP(A425,'Anlage 2a_Letztverbrauch'!$A$2259:$I$2625,9,FALSE)</f>
        <v>228326.21</v>
      </c>
      <c r="C425" s="88">
        <f>IFERROR(+VLOOKUP(A425,'Anlage 2a_Letztverbrauch'!$A$2797:$I$2816,4,FALSE),0)</f>
        <v>0</v>
      </c>
      <c r="D425" s="88">
        <v>0</v>
      </c>
      <c r="E425" s="88">
        <f t="shared" si="16"/>
        <v>228326.21</v>
      </c>
      <c r="F425" s="668">
        <f>+SUMIF('Anlage 2b_Korrekturen'!$B$700:$B$1160,A425,'Anlage 2b_Korrekturen'!$F$700:$F$1160)</f>
        <v>-31.339999999999996</v>
      </c>
      <c r="G425" s="928">
        <f t="shared" si="15"/>
        <v>228294.87</v>
      </c>
      <c r="H425" t="str">
        <f>+VLOOKUP(A425,'Anlage 2a_Letztverbrauch'!$A$415:$J$781,10,FALSE)</f>
        <v>Stadtwerke Stein GmbH &amp; Co. KG</v>
      </c>
    </row>
    <row r="426" spans="1:8" hidden="1" outlineLevel="1">
      <c r="A426" s="853" t="s">
        <v>1225</v>
      </c>
      <c r="B426" s="702">
        <f>+VLOOKUP(A426,'Anlage 2a_Letztverbrauch'!$A$2259:$I$2625,9,FALSE)</f>
        <v>230164.5</v>
      </c>
      <c r="C426" s="88">
        <f>IFERROR(+VLOOKUP(A426,'Anlage 2a_Letztverbrauch'!$A$2797:$I$2816,4,FALSE),0)</f>
        <v>0</v>
      </c>
      <c r="D426" s="88">
        <v>0</v>
      </c>
      <c r="E426" s="88">
        <f t="shared" si="16"/>
        <v>230164.5</v>
      </c>
      <c r="F426" s="668">
        <f>+SUMIF('Anlage 2b_Korrekturen'!$B$700:$B$1160,A426,'Anlage 2b_Korrekturen'!$F$700:$F$1160)</f>
        <v>0</v>
      </c>
      <c r="G426" s="928">
        <f t="shared" si="15"/>
        <v>230164.5</v>
      </c>
      <c r="H426" t="str">
        <f>+VLOOKUP(A426,'Anlage 2a_Letztverbrauch'!$A$415:$J$781,10,FALSE)</f>
        <v>Elektrizitätswerk Stern KG Bad Endorf</v>
      </c>
    </row>
    <row r="427" spans="1:8" hidden="1" outlineLevel="1">
      <c r="A427" s="853" t="s">
        <v>692</v>
      </c>
      <c r="B427" s="702">
        <f>+VLOOKUP(A427,'Anlage 2a_Letztverbrauch'!$A$2259:$I$2625,9,FALSE)</f>
        <v>336957.38</v>
      </c>
      <c r="C427" s="88">
        <f>IFERROR(+VLOOKUP(A427,'Anlage 2a_Letztverbrauch'!$A$2797:$I$2816,4,FALSE),0)</f>
        <v>0</v>
      </c>
      <c r="D427" s="88">
        <v>0</v>
      </c>
      <c r="E427" s="88">
        <f t="shared" si="16"/>
        <v>336957.38</v>
      </c>
      <c r="F427" s="668">
        <f>+SUMIF('Anlage 2b_Korrekturen'!$B$700:$B$1160,A427,'Anlage 2b_Korrekturen'!$F$700:$F$1160)</f>
        <v>0</v>
      </c>
      <c r="G427" s="928">
        <f t="shared" si="15"/>
        <v>336957.38</v>
      </c>
      <c r="H427" t="str">
        <f>+VLOOKUP(A427,'Anlage 2a_Letztverbrauch'!$A$415:$J$781,10,FALSE)</f>
        <v>Versorgungsbetriebe Elbe GmbH</v>
      </c>
    </row>
    <row r="428" spans="1:8" hidden="1" outlineLevel="1">
      <c r="A428" s="853" t="s">
        <v>1484</v>
      </c>
      <c r="B428" s="702">
        <f>+VLOOKUP(A428,'Anlage 2a_Letztverbrauch'!$A$2259:$I$2625,9,FALSE)</f>
        <v>432859.97</v>
      </c>
      <c r="C428" s="88">
        <f>IFERROR(+VLOOKUP(A428,'Anlage 2a_Letztverbrauch'!$A$2797:$I$2816,4,FALSE),0)</f>
        <v>0</v>
      </c>
      <c r="D428" s="88">
        <v>0</v>
      </c>
      <c r="E428" s="88">
        <f t="shared" si="16"/>
        <v>432859.97</v>
      </c>
      <c r="F428" s="668">
        <f>+SUMIF('Anlage 2b_Korrekturen'!$B$700:$B$1160,A428,'Anlage 2b_Korrekturen'!$F$700:$F$1160)</f>
        <v>924.67000000000007</v>
      </c>
      <c r="G428" s="928">
        <f t="shared" si="15"/>
        <v>433784.63999999996</v>
      </c>
      <c r="H428" t="str">
        <f>+VLOOKUP(A428,'Anlage 2a_Letztverbrauch'!$A$415:$J$781,10,FALSE)</f>
        <v>Stadtwerke Altdorf GmbH</v>
      </c>
    </row>
    <row r="429" spans="1:8" hidden="1" outlineLevel="1">
      <c r="A429" s="853" t="s">
        <v>1283</v>
      </c>
      <c r="B429" s="702">
        <f>+VLOOKUP(A429,'Anlage 2a_Letztverbrauch'!$A$2259:$I$2625,9,FALSE)</f>
        <v>1455336.73</v>
      </c>
      <c r="C429" s="88">
        <f>IFERROR(+VLOOKUP(A429,'Anlage 2a_Letztverbrauch'!$A$2797:$I$2816,4,FALSE),0)</f>
        <v>0</v>
      </c>
      <c r="D429" s="88">
        <v>0</v>
      </c>
      <c r="E429" s="88">
        <f t="shared" si="16"/>
        <v>1455336.73</v>
      </c>
      <c r="F429" s="668">
        <f>+SUMIF('Anlage 2b_Korrekturen'!$B$700:$B$1160,A429,'Anlage 2b_Korrekturen'!$F$700:$F$1160)</f>
        <v>2433.52</v>
      </c>
      <c r="G429" s="928">
        <f t="shared" si="15"/>
        <v>1457770.25</v>
      </c>
      <c r="H429" t="str">
        <f>+VLOOKUP(A429,'Anlage 2a_Letztverbrauch'!$A$415:$J$781,10,FALSE)</f>
        <v>Stadtwerke Elmshorn</v>
      </c>
    </row>
    <row r="430" spans="1:8" hidden="1" outlineLevel="1">
      <c r="A430" s="853" t="s">
        <v>1227</v>
      </c>
      <c r="B430" s="702">
        <f>+VLOOKUP(A430,'Anlage 2a_Letztverbrauch'!$A$2259:$I$2625,9,FALSE)</f>
        <v>1603881.22</v>
      </c>
      <c r="C430" s="88">
        <f>IFERROR(+VLOOKUP(A430,'Anlage 2a_Letztverbrauch'!$A$2797:$I$2816,4,FALSE),0)</f>
        <v>0</v>
      </c>
      <c r="D430" s="88">
        <v>0</v>
      </c>
      <c r="E430" s="88">
        <f t="shared" si="16"/>
        <v>1603881.22</v>
      </c>
      <c r="F430" s="668">
        <f>+SUMIF('Anlage 2b_Korrekturen'!$B$700:$B$1160,A430,'Anlage 2b_Korrekturen'!$F$700:$F$1160)</f>
        <v>-209.1</v>
      </c>
      <c r="G430" s="928">
        <f t="shared" si="15"/>
        <v>1603672.1199999999</v>
      </c>
      <c r="H430" t="str">
        <f>+VLOOKUP(A430,'Anlage 2a_Letztverbrauch'!$A$415:$J$781,10,FALSE)</f>
        <v>Überlandwerk Leinetal GmbH</v>
      </c>
    </row>
    <row r="431" spans="1:8" hidden="1" outlineLevel="1">
      <c r="A431" s="853" t="s">
        <v>1644</v>
      </c>
      <c r="B431" s="702">
        <f>+VLOOKUP(A431,'Anlage 2a_Letztverbrauch'!$A$2259:$I$2625,9,FALSE)</f>
        <v>493183.49</v>
      </c>
      <c r="C431" s="88">
        <f>IFERROR(+VLOOKUP(A431,'Anlage 2a_Letztverbrauch'!$A$2797:$I$2816,4,FALSE),0)</f>
        <v>0</v>
      </c>
      <c r="D431" s="88">
        <v>0</v>
      </c>
      <c r="E431" s="88">
        <f t="shared" si="16"/>
        <v>493183.49</v>
      </c>
      <c r="F431" s="668">
        <f>+SUMIF('Anlage 2b_Korrekturen'!$B$700:$B$1160,A431,'Anlage 2b_Korrekturen'!$F$700:$F$1160)</f>
        <v>0</v>
      </c>
      <c r="G431" s="928">
        <f t="shared" si="15"/>
        <v>493183.49</v>
      </c>
      <c r="H431" t="str">
        <f>+VLOOKUP(A431,'Anlage 2a_Letztverbrauch'!$A$415:$J$781,10,FALSE)</f>
        <v>Stadtwerke Eckernförde GmbH</v>
      </c>
    </row>
    <row r="432" spans="1:8" hidden="1" outlineLevel="1">
      <c r="A432" s="853" t="s">
        <v>1598</v>
      </c>
      <c r="B432" s="702">
        <f>+VLOOKUP(A432,'Anlage 2a_Letztverbrauch'!$A$2259:$I$2625,9,FALSE)</f>
        <v>316826.08</v>
      </c>
      <c r="C432" s="88">
        <f>IFERROR(+VLOOKUP(A432,'Anlage 2a_Letztverbrauch'!$A$2797:$I$2816,4,FALSE),0)</f>
        <v>0</v>
      </c>
      <c r="D432" s="88">
        <v>0</v>
      </c>
      <c r="E432" s="88">
        <f t="shared" si="16"/>
        <v>316826.08</v>
      </c>
      <c r="F432" s="668">
        <f>+SUMIF('Anlage 2b_Korrekturen'!$B$700:$B$1160,A432,'Anlage 2b_Korrekturen'!$F$700:$F$1160)</f>
        <v>0</v>
      </c>
      <c r="G432" s="928">
        <f t="shared" si="15"/>
        <v>316826.08</v>
      </c>
      <c r="H432" t="str">
        <f>+VLOOKUP(A432,'Anlage 2a_Letztverbrauch'!$A$415:$J$781,10,FALSE)</f>
        <v>Stadtwerke Bad Windsheim</v>
      </c>
    </row>
    <row r="433" spans="1:8" hidden="1" outlineLevel="1">
      <c r="A433" s="853" t="s">
        <v>1556</v>
      </c>
      <c r="B433" s="702">
        <f>+VLOOKUP(A433,'Anlage 2a_Letztverbrauch'!$A$2259:$I$2625,9,FALSE)</f>
        <v>1527063.93</v>
      </c>
      <c r="C433" s="88">
        <f>IFERROR(+VLOOKUP(A433,'Anlage 2a_Letztverbrauch'!$A$2797:$I$2816,4,FALSE),0)</f>
        <v>0</v>
      </c>
      <c r="D433" s="88">
        <v>0</v>
      </c>
      <c r="E433" s="88">
        <f t="shared" si="16"/>
        <v>1527063.93</v>
      </c>
      <c r="F433" s="668">
        <f>+SUMIF('Anlage 2b_Korrekturen'!$B$700:$B$1160,A433,'Anlage 2b_Korrekturen'!$F$700:$F$1160)</f>
        <v>1471.94</v>
      </c>
      <c r="G433" s="928">
        <f t="shared" si="15"/>
        <v>1528535.8699999999</v>
      </c>
      <c r="H433" t="str">
        <f>+VLOOKUP(A433,'Anlage 2a_Letztverbrauch'!$A$415:$J$781,10,FALSE)</f>
        <v>Überlandwerk Erding GmbH &amp; Co. KG</v>
      </c>
    </row>
    <row r="434" spans="1:8" hidden="1" outlineLevel="1">
      <c r="A434" s="853" t="s">
        <v>1626</v>
      </c>
      <c r="B434" s="702">
        <f>+VLOOKUP(A434,'Anlage 2a_Letztverbrauch'!$A$2259:$I$2625,9,FALSE)</f>
        <v>57455.94</v>
      </c>
      <c r="C434" s="88">
        <f>IFERROR(+VLOOKUP(A434,'Anlage 2a_Letztverbrauch'!$A$2797:$I$2816,4,FALSE),0)</f>
        <v>0</v>
      </c>
      <c r="D434" s="88">
        <v>0</v>
      </c>
      <c r="E434" s="88">
        <f t="shared" si="16"/>
        <v>57455.94</v>
      </c>
      <c r="F434" s="668">
        <f>+SUMIF('Anlage 2b_Korrekturen'!$B$700:$B$1160,A434,'Anlage 2b_Korrekturen'!$F$700:$F$1160)</f>
        <v>41.650000000000006</v>
      </c>
      <c r="G434" s="928">
        <f t="shared" si="15"/>
        <v>57497.590000000004</v>
      </c>
      <c r="H434" t="str">
        <f>+VLOOKUP(A434,'Anlage 2a_Letztverbrauch'!$A$415:$J$781,10,FALSE)</f>
        <v>gKU oberes Egertal (ehem. Stadtwerke Weißenstadt)</v>
      </c>
    </row>
    <row r="435" spans="1:8" hidden="1" outlineLevel="1">
      <c r="A435" s="853" t="s">
        <v>1669</v>
      </c>
      <c r="B435" s="702">
        <f>+VLOOKUP(A435,'Anlage 2a_Letztverbrauch'!$A$2259:$I$2625,9,FALSE)</f>
        <v>827356.2</v>
      </c>
      <c r="C435" s="88">
        <f>IFERROR(+VLOOKUP(A435,'Anlage 2a_Letztverbrauch'!$A$2797:$I$2816,4,FALSE),0)</f>
        <v>0</v>
      </c>
      <c r="D435" s="88">
        <v>0</v>
      </c>
      <c r="E435" s="88">
        <f t="shared" si="16"/>
        <v>827356.2</v>
      </c>
      <c r="F435" s="668">
        <f>+SUMIF('Anlage 2b_Korrekturen'!$B$700:$B$1160,A435,'Anlage 2b_Korrekturen'!$F$700:$F$1160)</f>
        <v>0</v>
      </c>
      <c r="G435" s="928">
        <f t="shared" si="15"/>
        <v>827356.2</v>
      </c>
      <c r="H435" t="str">
        <f>+VLOOKUP(A435,'Anlage 2a_Letztverbrauch'!$A$415:$J$781,10,FALSE)</f>
        <v>Kommunale Energienetze Inn-Salzach GmbH &amp; Co. KG</v>
      </c>
    </row>
    <row r="436" spans="1:8" hidden="1" outlineLevel="1">
      <c r="A436" s="853" t="s">
        <v>1758</v>
      </c>
      <c r="B436" s="702">
        <f>+VLOOKUP(A436,'Anlage 2a_Letztverbrauch'!$A$2259:$I$2625,9,FALSE)</f>
        <v>1046712.22</v>
      </c>
      <c r="C436" s="88">
        <f>IFERROR(+VLOOKUP(A436,'Anlage 2a_Letztverbrauch'!$A$2797:$I$2816,4,FALSE),0)</f>
        <v>0</v>
      </c>
      <c r="D436" s="88">
        <v>0</v>
      </c>
      <c r="E436" s="88">
        <f t="shared" si="16"/>
        <v>1046712.22</v>
      </c>
      <c r="F436" s="668">
        <f>+SUMIF('Anlage 2b_Korrekturen'!$B$700:$B$1160,A436,'Anlage 2b_Korrekturen'!$F$700:$F$1160)</f>
        <v>52495.07</v>
      </c>
      <c r="G436" s="928">
        <f t="shared" si="15"/>
        <v>1099207.29</v>
      </c>
      <c r="H436" t="str">
        <f>+VLOOKUP(A436,'Anlage 2a_Letztverbrauch'!$A$415:$J$781,10,FALSE)</f>
        <v>Stadtwerke Wolfenbüttel GmbH</v>
      </c>
    </row>
    <row r="437" spans="1:8" hidden="1" outlineLevel="1">
      <c r="A437" s="853" t="s">
        <v>2195</v>
      </c>
      <c r="B437" s="702">
        <f>+VLOOKUP(A437,'Anlage 2a_Letztverbrauch'!$A$2259:$I$2625,9,FALSE)</f>
        <v>230023.49</v>
      </c>
      <c r="C437" s="88">
        <f>IFERROR(+VLOOKUP(A437,'Anlage 2a_Letztverbrauch'!$A$2797:$I$2816,4,FALSE),0)</f>
        <v>0</v>
      </c>
      <c r="D437" s="88">
        <v>0</v>
      </c>
      <c r="E437" s="88">
        <f t="shared" si="16"/>
        <v>230023.49</v>
      </c>
      <c r="F437" s="668">
        <f>+SUMIF('Anlage 2b_Korrekturen'!$B$700:$B$1160,A437,'Anlage 2b_Korrekturen'!$F$700:$F$1160)</f>
        <v>-585.11</v>
      </c>
      <c r="G437" s="928">
        <f t="shared" si="15"/>
        <v>229438.38</v>
      </c>
      <c r="H437" t="str">
        <f>+VLOOKUP(A437,'Anlage 2a_Letztverbrauch'!$A$415:$J$781,10,FALSE)</f>
        <v>Gemeindewerke Cadolzburg</v>
      </c>
    </row>
    <row r="438" spans="1:8" hidden="1" outlineLevel="1">
      <c r="A438" s="853" t="s">
        <v>1722</v>
      </c>
      <c r="B438" s="702">
        <f>+VLOOKUP(A438,'Anlage 2a_Letztverbrauch'!$A$2259:$I$2625,9,FALSE)</f>
        <v>380143.56</v>
      </c>
      <c r="C438" s="88">
        <f>IFERROR(+VLOOKUP(A438,'Anlage 2a_Letztverbrauch'!$A$2797:$I$2816,4,FALSE),0)</f>
        <v>0</v>
      </c>
      <c r="D438" s="88">
        <v>0</v>
      </c>
      <c r="E438" s="88">
        <f t="shared" si="16"/>
        <v>380143.56</v>
      </c>
      <c r="F438" s="668">
        <f>+SUMIF('Anlage 2b_Korrekturen'!$B$700:$B$1160,A438,'Anlage 2b_Korrekturen'!$F$700:$F$1160)</f>
        <v>0</v>
      </c>
      <c r="G438" s="928">
        <f t="shared" si="15"/>
        <v>380143.56</v>
      </c>
      <c r="H438" t="str">
        <f>+VLOOKUP(A438,'Anlage 2a_Letztverbrauch'!$A$415:$J$781,10,FALSE)</f>
        <v>Stadtwerke Rothenburg o. d. T. GmbH</v>
      </c>
    </row>
    <row r="439" spans="1:8" hidden="1" outlineLevel="1">
      <c r="A439" s="853" t="s">
        <v>1496</v>
      </c>
      <c r="B439" s="702">
        <f>+VLOOKUP(A439,'Anlage 2a_Letztverbrauch'!$A$2259:$I$2625,9,FALSE)</f>
        <v>1444168.37</v>
      </c>
      <c r="C439" s="88">
        <f>IFERROR(+VLOOKUP(A439,'Anlage 2a_Letztverbrauch'!$A$2797:$I$2816,4,FALSE),0)</f>
        <v>0</v>
      </c>
      <c r="D439" s="88">
        <v>0</v>
      </c>
      <c r="E439" s="88">
        <f t="shared" si="16"/>
        <v>1444168.37</v>
      </c>
      <c r="F439" s="668">
        <f>+SUMIF('Anlage 2b_Korrekturen'!$B$700:$B$1160,A439,'Anlage 2b_Korrekturen'!$F$700:$F$1160)</f>
        <v>0</v>
      </c>
      <c r="G439" s="928">
        <f t="shared" si="15"/>
        <v>1444168.37</v>
      </c>
      <c r="H439" t="str">
        <f>+VLOOKUP(A439,'Anlage 2a_Letztverbrauch'!$A$415:$J$781,10,FALSE)</f>
        <v>Stadtwerke Bad Salzuflen GmbH</v>
      </c>
    </row>
    <row r="440" spans="1:8" hidden="1" outlineLevel="1">
      <c r="A440" s="853" t="s">
        <v>1236</v>
      </c>
      <c r="B440" s="702">
        <f>+VLOOKUP(A440,'Anlage 2a_Letztverbrauch'!$A$2259:$I$2625,9,FALSE)</f>
        <v>1518885.23</v>
      </c>
      <c r="C440" s="88">
        <f>IFERROR(+VLOOKUP(A440,'Anlage 2a_Letztverbrauch'!$A$2797:$I$2816,4,FALSE),0)</f>
        <v>0</v>
      </c>
      <c r="D440" s="88">
        <v>0</v>
      </c>
      <c r="E440" s="88">
        <f t="shared" si="16"/>
        <v>1518885.23</v>
      </c>
      <c r="F440" s="668">
        <f>+SUMIF('Anlage 2b_Korrekturen'!$B$700:$B$1160,A440,'Anlage 2b_Korrekturen'!$F$700:$F$1160)</f>
        <v>4708.72</v>
      </c>
      <c r="G440" s="928">
        <f t="shared" si="15"/>
        <v>1523593.95</v>
      </c>
      <c r="H440" t="str">
        <f>+VLOOKUP(A440,'Anlage 2a_Letztverbrauch'!$A$415:$J$781,10,FALSE)</f>
        <v>Energieversorgung Selb-Marktredwitz GmbH</v>
      </c>
    </row>
    <row r="441" spans="1:8" hidden="1" outlineLevel="1">
      <c r="A441" s="853" t="s">
        <v>1348</v>
      </c>
      <c r="B441" s="702">
        <f>+VLOOKUP(A441,'Anlage 2a_Letztverbrauch'!$A$2259:$I$2625,9,FALSE)</f>
        <v>578095.91</v>
      </c>
      <c r="C441" s="88">
        <f>IFERROR(+VLOOKUP(A441,'Anlage 2a_Letztverbrauch'!$A$2797:$I$2816,4,FALSE),0)</f>
        <v>0</v>
      </c>
      <c r="D441" s="88">
        <v>0</v>
      </c>
      <c r="E441" s="88">
        <f t="shared" si="16"/>
        <v>578095.91</v>
      </c>
      <c r="F441" s="668">
        <f>+SUMIF('Anlage 2b_Korrekturen'!$B$700:$B$1160,A441,'Anlage 2b_Korrekturen'!$F$700:$F$1160)</f>
        <v>0</v>
      </c>
      <c r="G441" s="928">
        <f t="shared" si="15"/>
        <v>578095.91</v>
      </c>
      <c r="H441" t="str">
        <f>+VLOOKUP(A441,'Anlage 2a_Letztverbrauch'!$A$415:$J$781,10,FALSE)</f>
        <v>Stadtwerke Roth</v>
      </c>
    </row>
    <row r="442" spans="1:8" hidden="1" outlineLevel="1">
      <c r="A442" s="853" t="s">
        <v>1814</v>
      </c>
      <c r="B442" s="702">
        <f>+VLOOKUP(A442,'Anlage 2a_Letztverbrauch'!$A$2259:$I$2625,9,FALSE)</f>
        <v>1183358.52</v>
      </c>
      <c r="C442" s="88">
        <f>IFERROR(+VLOOKUP(A442,'Anlage 2a_Letztverbrauch'!$A$2797:$I$2816,4,FALSE),0)</f>
        <v>0</v>
      </c>
      <c r="D442" s="88">
        <v>0</v>
      </c>
      <c r="E442" s="88">
        <f t="shared" si="16"/>
        <v>1183358.52</v>
      </c>
      <c r="F442" s="668">
        <f>+SUMIF('Anlage 2b_Korrekturen'!$B$700:$B$1160,A442,'Anlage 2b_Korrekturen'!$F$700:$F$1160)</f>
        <v>0</v>
      </c>
      <c r="G442" s="928">
        <f t="shared" si="15"/>
        <v>1183358.52</v>
      </c>
      <c r="H442" t="str">
        <f>+VLOOKUP(A442,'Anlage 2a_Letztverbrauch'!$A$415:$J$781,10,FALSE)</f>
        <v>Energieversorgung Lohr-Karlstadt und Umgebung GmbH &amp; Co. KG</v>
      </c>
    </row>
    <row r="443" spans="1:8" hidden="1" outlineLevel="1">
      <c r="A443" s="853" t="s">
        <v>1240</v>
      </c>
      <c r="B443" s="702">
        <f>+VLOOKUP(A443,'Anlage 2a_Letztverbrauch'!$A$2259:$I$2625,9,FALSE)</f>
        <v>3649941.44</v>
      </c>
      <c r="C443" s="88">
        <f>IFERROR(+VLOOKUP(A443,'Anlage 2a_Letztverbrauch'!$A$2797:$I$2816,4,FALSE),0)</f>
        <v>0</v>
      </c>
      <c r="D443" s="88">
        <v>0</v>
      </c>
      <c r="E443" s="88">
        <f t="shared" si="16"/>
        <v>3649941.44</v>
      </c>
      <c r="F443" s="668">
        <f>+SUMIF('Anlage 2b_Korrekturen'!$B$700:$B$1160,A443,'Anlage 2b_Korrekturen'!$F$700:$F$1160)</f>
        <v>-44724.72</v>
      </c>
      <c r="G443" s="928">
        <f t="shared" si="15"/>
        <v>3605216.7199999997</v>
      </c>
      <c r="H443" t="str">
        <f>+VLOOKUP(A443,'Anlage 2a_Letztverbrauch'!$A$415:$J$781,10,FALSE)</f>
        <v>infra fürth gmbh</v>
      </c>
    </row>
    <row r="444" spans="1:8" hidden="1" outlineLevel="1">
      <c r="A444" s="853" t="s">
        <v>1404</v>
      </c>
      <c r="B444" s="702">
        <f>+VLOOKUP(A444,'Anlage 2a_Letztverbrauch'!$A$2259:$I$2625,9,FALSE)</f>
        <v>133009.53</v>
      </c>
      <c r="C444" s="88">
        <f>IFERROR(+VLOOKUP(A444,'Anlage 2a_Letztverbrauch'!$A$2797:$I$2816,4,FALSE),0)</f>
        <v>0</v>
      </c>
      <c r="D444" s="88">
        <v>0</v>
      </c>
      <c r="E444" s="88">
        <f t="shared" si="16"/>
        <v>133009.53</v>
      </c>
      <c r="F444" s="668">
        <f>+SUMIF('Anlage 2b_Korrekturen'!$B$700:$B$1160,A444,'Anlage 2b_Korrekturen'!$F$700:$F$1160)</f>
        <v>1837.21</v>
      </c>
      <c r="G444" s="928">
        <f t="shared" si="15"/>
        <v>134846.74</v>
      </c>
      <c r="H444" t="str">
        <f>+VLOOKUP(A444,'Anlage 2a_Letztverbrauch'!$A$415:$J$781,10,FALSE)</f>
        <v>Stadtwerke Zeil a. Main</v>
      </c>
    </row>
    <row r="445" spans="1:8" hidden="1" outlineLevel="1">
      <c r="A445" s="853" t="s">
        <v>1584</v>
      </c>
      <c r="B445" s="702">
        <f>+VLOOKUP(A445,'Anlage 2a_Letztverbrauch'!$A$2259:$I$2625,9,FALSE)</f>
        <v>935688.68</v>
      </c>
      <c r="C445" s="88">
        <f>IFERROR(+VLOOKUP(A445,'Anlage 2a_Letztverbrauch'!$A$2797:$I$2816,4,FALSE),0)</f>
        <v>0</v>
      </c>
      <c r="D445" s="88">
        <v>0</v>
      </c>
      <c r="E445" s="88">
        <f t="shared" si="16"/>
        <v>935688.68</v>
      </c>
      <c r="F445" s="668">
        <f>+SUMIF('Anlage 2b_Korrekturen'!$B$700:$B$1160,A445,'Anlage 2b_Korrekturen'!$F$700:$F$1160)</f>
        <v>0</v>
      </c>
      <c r="G445" s="928">
        <f t="shared" si="15"/>
        <v>935688.68</v>
      </c>
      <c r="H445" t="str">
        <f>+VLOOKUP(A445,'Anlage 2a_Letztverbrauch'!$A$415:$J$781,10,FALSE)</f>
        <v>Stadtwerke Geesthacht GmbH</v>
      </c>
    </row>
    <row r="446" spans="1:8" hidden="1" outlineLevel="1">
      <c r="A446" s="853" t="s">
        <v>1420</v>
      </c>
      <c r="B446" s="702">
        <f>+VLOOKUP(A446,'Anlage 2a_Letztverbrauch'!$A$2259:$I$2625,9,FALSE)</f>
        <v>113411.87</v>
      </c>
      <c r="C446" s="88">
        <f>IFERROR(+VLOOKUP(A446,'Anlage 2a_Letztverbrauch'!$A$2797:$I$2816,4,FALSE),0)</f>
        <v>0</v>
      </c>
      <c r="D446" s="88">
        <v>0</v>
      </c>
      <c r="E446" s="88">
        <f t="shared" si="16"/>
        <v>113411.87</v>
      </c>
      <c r="F446" s="668">
        <f>+SUMIF('Anlage 2b_Korrekturen'!$B$700:$B$1160,A446,'Anlage 2b_Korrekturen'!$F$700:$F$1160)</f>
        <v>0</v>
      </c>
      <c r="G446" s="928">
        <f t="shared" si="15"/>
        <v>113411.87</v>
      </c>
      <c r="H446" t="str">
        <f>+VLOOKUP(A446,'Anlage 2a_Letztverbrauch'!$A$415:$J$781,10,FALSE)</f>
        <v>Stadtwerke Hemau</v>
      </c>
    </row>
    <row r="447" spans="1:8" hidden="1" outlineLevel="1">
      <c r="A447" s="853" t="s">
        <v>1438</v>
      </c>
      <c r="B447" s="702">
        <f>+VLOOKUP(A447,'Anlage 2a_Letztverbrauch'!$A$2259:$I$2625,9,FALSE)</f>
        <v>1134098.25</v>
      </c>
      <c r="C447" s="88">
        <f>IFERROR(+VLOOKUP(A447,'Anlage 2a_Letztverbrauch'!$A$2797:$I$2816,4,FALSE),0)</f>
        <v>0</v>
      </c>
      <c r="D447" s="88">
        <v>0</v>
      </c>
      <c r="E447" s="88">
        <f t="shared" si="16"/>
        <v>1134098.25</v>
      </c>
      <c r="F447" s="668">
        <f>+SUMIF('Anlage 2b_Korrekturen'!$B$700:$B$1160,A447,'Anlage 2b_Korrekturen'!$F$700:$F$1160)</f>
        <v>0</v>
      </c>
      <c r="G447" s="928">
        <f t="shared" si="15"/>
        <v>1134098.25</v>
      </c>
      <c r="H447" t="str">
        <f>+VLOOKUP(A447,'Anlage 2a_Letztverbrauch'!$A$415:$J$781,10,FALSE)</f>
        <v>Stadtwerke Emden GmbH</v>
      </c>
    </row>
    <row r="448" spans="1:8" hidden="1" outlineLevel="1">
      <c r="A448" s="853" t="s">
        <v>1504</v>
      </c>
      <c r="B448" s="702">
        <f>+VLOOKUP(A448,'Anlage 2a_Letztverbrauch'!$A$2259:$I$2625,9,FALSE)</f>
        <v>3714174.46184</v>
      </c>
      <c r="C448" s="88">
        <f>IFERROR(+VLOOKUP(A448,'Anlage 2a_Letztverbrauch'!$A$2797:$I$2816,4,FALSE),0)</f>
        <v>-44706.69</v>
      </c>
      <c r="D448" s="88">
        <v>0</v>
      </c>
      <c r="E448" s="88">
        <f t="shared" si="16"/>
        <v>3669467.7718400001</v>
      </c>
      <c r="F448" s="668">
        <f>+SUMIF('Anlage 2b_Korrekturen'!$B$700:$B$1160,A448,'Anlage 2b_Korrekturen'!$F$700:$F$1160)</f>
        <v>0</v>
      </c>
      <c r="G448" s="928">
        <f t="shared" si="15"/>
        <v>3669467.7718400001</v>
      </c>
      <c r="H448" t="str">
        <f>+VLOOKUP(A448,'Anlage 2a_Letztverbrauch'!$A$415:$J$781,10,FALSE)</f>
        <v>Stadtwerke Bamberg Energie- und Wasserversorgungs GmbH</v>
      </c>
    </row>
    <row r="449" spans="1:8" hidden="1" outlineLevel="1">
      <c r="A449" s="853" t="s">
        <v>1275</v>
      </c>
      <c r="B449" s="702">
        <f>+VLOOKUP(A449,'Anlage 2a_Letztverbrauch'!$A$2259:$I$2625,9,FALSE)</f>
        <v>87986.71</v>
      </c>
      <c r="C449" s="88">
        <f>IFERROR(+VLOOKUP(A449,'Anlage 2a_Letztverbrauch'!$A$2797:$I$2816,4,FALSE),0)</f>
        <v>0</v>
      </c>
      <c r="D449" s="88">
        <v>0</v>
      </c>
      <c r="E449" s="88">
        <f t="shared" si="16"/>
        <v>87986.71</v>
      </c>
      <c r="F449" s="668">
        <f>+SUMIF('Anlage 2b_Korrekturen'!$B$700:$B$1160,A449,'Anlage 2b_Korrekturen'!$F$700:$F$1160)</f>
        <v>0</v>
      </c>
      <c r="G449" s="928">
        <f t="shared" si="15"/>
        <v>87986.71</v>
      </c>
      <c r="H449" t="str">
        <f>+VLOOKUP(A449,'Anlage 2a_Letztverbrauch'!$A$415:$J$781,10,FALSE)</f>
        <v>Elektrizitätswerk Diessen Stadler GmbH</v>
      </c>
    </row>
    <row r="450" spans="1:8" hidden="1" outlineLevel="1">
      <c r="A450" s="853" t="s">
        <v>1562</v>
      </c>
      <c r="B450" s="702">
        <f>+VLOOKUP(A450,'Anlage 2a_Letztverbrauch'!$A$2259:$I$2625,9,FALSE)</f>
        <v>19182.98</v>
      </c>
      <c r="C450" s="88">
        <f>IFERROR(+VLOOKUP(A450,'Anlage 2a_Letztverbrauch'!$A$2797:$I$2816,4,FALSE),0)</f>
        <v>0</v>
      </c>
      <c r="D450" s="88">
        <v>0</v>
      </c>
      <c r="E450" s="88">
        <f t="shared" si="16"/>
        <v>19182.98</v>
      </c>
      <c r="F450" s="668">
        <f>+SUMIF('Anlage 2b_Korrekturen'!$B$700:$B$1160,A450,'Anlage 2b_Korrekturen'!$F$700:$F$1160)</f>
        <v>0</v>
      </c>
      <c r="G450" s="928">
        <f t="shared" si="15"/>
        <v>19182.98</v>
      </c>
      <c r="H450" t="str">
        <f>+VLOOKUP(A450,'Anlage 2a_Letztverbrauch'!$A$415:$J$781,10,FALSE)</f>
        <v>Rupert Buchauer E-Werk &amp; Elektroinstallation</v>
      </c>
    </row>
    <row r="451" spans="1:8" hidden="1" outlineLevel="1">
      <c r="A451" s="853" t="s">
        <v>2197</v>
      </c>
      <c r="B451" s="702">
        <f>+VLOOKUP(A451,'Anlage 2a_Letztverbrauch'!$A$2259:$I$2625,9,FALSE)</f>
        <v>47095.77</v>
      </c>
      <c r="C451" s="88">
        <f>IFERROR(+VLOOKUP(A451,'Anlage 2a_Letztverbrauch'!$A$2797:$I$2816,4,FALSE),0)</f>
        <v>0</v>
      </c>
      <c r="D451" s="88">
        <v>0</v>
      </c>
      <c r="E451" s="88">
        <f t="shared" si="16"/>
        <v>47095.77</v>
      </c>
      <c r="F451" s="668">
        <f>+SUMIF('Anlage 2b_Korrekturen'!$B$700:$B$1160,A451,'Anlage 2b_Korrekturen'!$F$700:$F$1160)</f>
        <v>0</v>
      </c>
      <c r="G451" s="928">
        <f t="shared" si="15"/>
        <v>47095.77</v>
      </c>
      <c r="H451" t="str">
        <f>+VLOOKUP(A451,'Anlage 2a_Letztverbrauch'!$A$415:$J$781,10,FALSE)</f>
        <v>Gemeinde Partenstein</v>
      </c>
    </row>
    <row r="452" spans="1:8" hidden="1" outlineLevel="1">
      <c r="A452" s="853" t="s">
        <v>1706</v>
      </c>
      <c r="B452" s="702">
        <f>+VLOOKUP(A452,'Anlage 2a_Letztverbrauch'!$A$2259:$I$2625,9,FALSE)</f>
        <v>1833138.38</v>
      </c>
      <c r="C452" s="88">
        <f>IFERROR(+VLOOKUP(A452,'Anlage 2a_Letztverbrauch'!$A$2797:$I$2816,4,FALSE),0)</f>
        <v>0</v>
      </c>
      <c r="D452" s="88">
        <v>0</v>
      </c>
      <c r="E452" s="88">
        <f t="shared" si="16"/>
        <v>1833138.38</v>
      </c>
      <c r="F452" s="668">
        <f>+SUMIF('Anlage 2b_Korrekturen'!$B$700:$B$1160,A452,'Anlage 2b_Korrekturen'!$F$700:$F$1160)</f>
        <v>-10813.949999999999</v>
      </c>
      <c r="G452" s="928">
        <f t="shared" si="15"/>
        <v>1822324.43</v>
      </c>
      <c r="H452" t="str">
        <f>+VLOOKUP(A452,'Anlage 2a_Letztverbrauch'!$A$415:$J$781,10,FALSE)</f>
        <v>Stadtwerke Hof Energie+Wasser GmbH</v>
      </c>
    </row>
    <row r="453" spans="1:8" hidden="1" outlineLevel="1">
      <c r="A453" s="853" t="s">
        <v>1454</v>
      </c>
      <c r="B453" s="702">
        <f>+VLOOKUP(A453,'Anlage 2a_Letztverbrauch'!$A$2259:$I$2625,9,FALSE)</f>
        <v>816800.12</v>
      </c>
      <c r="C453" s="88">
        <f>IFERROR(+VLOOKUP(A453,'Anlage 2a_Letztverbrauch'!$A$2797:$I$2816,4,FALSE),0)</f>
        <v>0</v>
      </c>
      <c r="D453" s="88">
        <v>0</v>
      </c>
      <c r="E453" s="88">
        <f t="shared" si="16"/>
        <v>816800.12</v>
      </c>
      <c r="F453" s="668">
        <f>+SUMIF('Anlage 2b_Korrekturen'!$B$700:$B$1160,A453,'Anlage 2b_Korrekturen'!$F$700:$F$1160)</f>
        <v>447.08</v>
      </c>
      <c r="G453" s="928">
        <f t="shared" si="15"/>
        <v>817247.2</v>
      </c>
      <c r="H453" t="str">
        <f>+VLOOKUP(A453,'Anlage 2a_Letztverbrauch'!$A$415:$J$781,10,FALSE)</f>
        <v>Maintal-Werke GmbH</v>
      </c>
    </row>
    <row r="454" spans="1:8" hidden="1" outlineLevel="1">
      <c r="A454" s="853" t="s">
        <v>1412</v>
      </c>
      <c r="B454" s="702">
        <f>+VLOOKUP(A454,'Anlage 2a_Letztverbrauch'!$A$2259:$I$2625,9,FALSE)</f>
        <v>1674104.76</v>
      </c>
      <c r="C454" s="88">
        <f>IFERROR(+VLOOKUP(A454,'Anlage 2a_Letztverbrauch'!$A$2797:$I$2816,4,FALSE),0)</f>
        <v>0</v>
      </c>
      <c r="D454" s="88">
        <v>0</v>
      </c>
      <c r="E454" s="88">
        <f t="shared" si="16"/>
        <v>1674104.76</v>
      </c>
      <c r="F454" s="668">
        <f>+SUMIF('Anlage 2b_Korrekturen'!$B$700:$B$1160,A454,'Anlage 2b_Korrekturen'!$F$700:$F$1160)</f>
        <v>0</v>
      </c>
      <c r="G454" s="928">
        <f t="shared" si="15"/>
        <v>1674104.76</v>
      </c>
      <c r="H454" t="str">
        <f>+VLOOKUP(A454,'Anlage 2a_Letztverbrauch'!$A$415:$J$781,10,FALSE)</f>
        <v>Stadtwerke Ansbach GmbH</v>
      </c>
    </row>
    <row r="455" spans="1:8" hidden="1" outlineLevel="1">
      <c r="A455" s="853" t="s">
        <v>1548</v>
      </c>
      <c r="B455" s="702">
        <f>+VLOOKUP(A455,'Anlage 2a_Letztverbrauch'!$A$2259:$I$2625,9,FALSE)</f>
        <v>175342.81</v>
      </c>
      <c r="C455" s="88">
        <f>IFERROR(+VLOOKUP(A455,'Anlage 2a_Letztverbrauch'!$A$2797:$I$2816,4,FALSE),0)</f>
        <v>0</v>
      </c>
      <c r="D455" s="88">
        <v>0</v>
      </c>
      <c r="E455" s="88">
        <f t="shared" si="16"/>
        <v>175342.81</v>
      </c>
      <c r="F455" s="668">
        <f>+SUMIF('Anlage 2b_Korrekturen'!$B$700:$B$1160,A455,'Anlage 2b_Korrekturen'!$F$700:$F$1160)</f>
        <v>-834.5</v>
      </c>
      <c r="G455" s="928">
        <f t="shared" si="15"/>
        <v>174508.31</v>
      </c>
      <c r="H455" t="str">
        <f>+VLOOKUP(A455,'Anlage 2a_Letztverbrauch'!$A$415:$J$781,10,FALSE)</f>
        <v>Stadtwerke Baiersdorf KU</v>
      </c>
    </row>
    <row r="456" spans="1:8" hidden="1" outlineLevel="1">
      <c r="A456" s="853" t="s">
        <v>1656</v>
      </c>
      <c r="B456" s="702">
        <f>+VLOOKUP(A456,'Anlage 2a_Letztverbrauch'!$A$2259:$I$2625,9,FALSE)</f>
        <v>11662220.4</v>
      </c>
      <c r="C456" s="88">
        <f>IFERROR(+VLOOKUP(A456,'Anlage 2a_Letztverbrauch'!$A$2797:$I$2816,4,FALSE),0)</f>
        <v>-10459700.039999999</v>
      </c>
      <c r="D456" s="88">
        <v>0</v>
      </c>
      <c r="E456" s="88">
        <f t="shared" si="16"/>
        <v>1202520.3600000013</v>
      </c>
      <c r="F456" s="668">
        <f>+SUMIF('Anlage 2b_Korrekturen'!$B$700:$B$1160,A456,'Anlage 2b_Korrekturen'!$F$700:$F$1160)</f>
        <v>33025.71</v>
      </c>
      <c r="G456" s="928">
        <f t="shared" si="15"/>
        <v>1235546.0700000012</v>
      </c>
      <c r="H456" t="str">
        <f>+VLOOKUP(A456,'Anlage 2a_Letztverbrauch'!$A$415:$J$781,10,FALSE)</f>
        <v>TenneT TSO GmbH</v>
      </c>
    </row>
    <row r="457" spans="1:8" hidden="1" outlineLevel="1">
      <c r="A457" s="853" t="s">
        <v>1221</v>
      </c>
      <c r="B457" s="702">
        <f>+VLOOKUP(A457,'Anlage 2a_Letztverbrauch'!$A$2259:$I$2625,9,FALSE)</f>
        <v>4674308.8600000003</v>
      </c>
      <c r="C457" s="88">
        <f>IFERROR(+VLOOKUP(A457,'Anlage 2a_Letztverbrauch'!$A$2797:$I$2816,4,FALSE),0)</f>
        <v>0</v>
      </c>
      <c r="D457" s="88">
        <v>0</v>
      </c>
      <c r="E457" s="88">
        <f t="shared" si="16"/>
        <v>4674308.8600000003</v>
      </c>
      <c r="F457" s="668">
        <f>+SUMIF('Anlage 2b_Korrekturen'!$B$700:$B$1160,A457,'Anlage 2b_Korrekturen'!$F$700:$F$1160)</f>
        <v>-62833.19</v>
      </c>
      <c r="G457" s="928">
        <f t="shared" si="15"/>
        <v>4611475.67</v>
      </c>
      <c r="H457" t="str">
        <f>+VLOOKUP(A457,'Anlage 2a_Letztverbrauch'!$A$415:$J$781,10,FALSE)</f>
        <v>Mittelhessen Netz GmbH</v>
      </c>
    </row>
    <row r="458" spans="1:8" hidden="1" outlineLevel="1">
      <c r="A458" s="853" t="s">
        <v>1366</v>
      </c>
      <c r="B458" s="702">
        <f>+VLOOKUP(A458,'Anlage 2a_Letztverbrauch'!$A$2259:$I$2625,9,FALSE)</f>
        <v>272849.86</v>
      </c>
      <c r="C458" s="88">
        <f>IFERROR(+VLOOKUP(A458,'Anlage 2a_Letztverbrauch'!$A$2797:$I$2816,4,FALSE),0)</f>
        <v>0</v>
      </c>
      <c r="D458" s="88">
        <v>0</v>
      </c>
      <c r="E458" s="88">
        <f t="shared" si="16"/>
        <v>272849.86</v>
      </c>
      <c r="F458" s="668">
        <f>+SUMIF('Anlage 2b_Korrekturen'!$B$700:$B$1160,A458,'Anlage 2b_Korrekturen'!$F$700:$F$1160)</f>
        <v>54.76</v>
      </c>
      <c r="G458" s="928">
        <f t="shared" si="15"/>
        <v>272904.62</v>
      </c>
      <c r="H458" t="str">
        <f>+VLOOKUP(A458,'Anlage 2a_Letztverbrauch'!$A$415:$J$781,10,FALSE)</f>
        <v>Elektrizitätswerk Simbach GmbH</v>
      </c>
    </row>
    <row r="459" spans="1:8" hidden="1" outlineLevel="1">
      <c r="A459" s="853" t="s">
        <v>1610</v>
      </c>
      <c r="B459" s="702">
        <f>+VLOOKUP(A459,'Anlage 2a_Letztverbrauch'!$A$2259:$I$2625,9,FALSE)</f>
        <v>385750.22</v>
      </c>
      <c r="C459" s="88">
        <f>IFERROR(+VLOOKUP(A459,'Anlage 2a_Letztverbrauch'!$A$2797:$I$2816,4,FALSE),0)</f>
        <v>0</v>
      </c>
      <c r="D459" s="88">
        <v>0</v>
      </c>
      <c r="E459" s="88">
        <f t="shared" si="16"/>
        <v>385750.22</v>
      </c>
      <c r="F459" s="668">
        <f>+SUMIF('Anlage 2b_Korrekturen'!$B$700:$B$1160,A459,'Anlage 2b_Korrekturen'!$F$700:$F$1160)</f>
        <v>0</v>
      </c>
      <c r="G459" s="928">
        <f t="shared" si="15"/>
        <v>385750.22</v>
      </c>
      <c r="H459" t="str">
        <f>+VLOOKUP(A459,'Anlage 2a_Letztverbrauch'!$A$415:$J$781,10,FALSE)</f>
        <v>Stadtwerke Neustadt a.d. Aisch GmbH</v>
      </c>
    </row>
    <row r="460" spans="1:8" hidden="1" outlineLevel="1">
      <c r="A460" s="853" t="s">
        <v>1474</v>
      </c>
      <c r="B460" s="702">
        <f>+VLOOKUP(A460,'Anlage 2a_Letztverbrauch'!$A$2259:$I$2625,9,FALSE)</f>
        <v>122794.08</v>
      </c>
      <c r="C460" s="88">
        <f>IFERROR(+VLOOKUP(A460,'Anlage 2a_Letztverbrauch'!$A$2797:$I$2816,4,FALSE),0)</f>
        <v>0</v>
      </c>
      <c r="D460" s="88">
        <v>0</v>
      </c>
      <c r="E460" s="88">
        <f t="shared" si="16"/>
        <v>122794.08</v>
      </c>
      <c r="F460" s="668">
        <f>+SUMIF('Anlage 2b_Korrekturen'!$B$700:$B$1160,A460,'Anlage 2b_Korrekturen'!$F$700:$F$1160)</f>
        <v>0</v>
      </c>
      <c r="G460" s="928">
        <f t="shared" si="15"/>
        <v>122794.08</v>
      </c>
      <c r="H460" t="str">
        <f>+VLOOKUP(A460,'Anlage 2a_Letztverbrauch'!$A$415:$J$781,10,FALSE)</f>
        <v>Versorgungsbetriebe Zellingen</v>
      </c>
    </row>
    <row r="461" spans="1:8" hidden="1" outlineLevel="1">
      <c r="A461" s="853" t="s">
        <v>580</v>
      </c>
      <c r="B461" s="702">
        <f>+VLOOKUP(A461,'Anlage 2a_Letztverbrauch'!$A$2259:$I$2625,9,FALSE)</f>
        <v>2198813.09</v>
      </c>
      <c r="C461" s="88">
        <f>IFERROR(+VLOOKUP(A461,'Anlage 2a_Letztverbrauch'!$A$2797:$I$2816,4,FALSE),0)</f>
        <v>0</v>
      </c>
      <c r="D461" s="88">
        <v>0</v>
      </c>
      <c r="E461" s="88">
        <f t="shared" ref="E461:E524" si="17">B461+C461+D461</f>
        <v>2198813.09</v>
      </c>
      <c r="F461" s="668">
        <f>+SUMIF('Anlage 2b_Korrekturen'!$B$700:$B$1160,A461,'Anlage 2b_Korrekturen'!$F$700:$F$1160)</f>
        <v>-1302.44</v>
      </c>
      <c r="G461" s="928">
        <f t="shared" ref="G461:G524" si="18">E461+F461</f>
        <v>2197510.65</v>
      </c>
      <c r="H461" t="str">
        <f>+VLOOKUP(A461,'Anlage 2a_Letztverbrauch'!$A$415:$J$781,10,FALSE)</f>
        <v>Überlandwerk Rhön GmbH</v>
      </c>
    </row>
    <row r="462" spans="1:8" hidden="1" outlineLevel="1">
      <c r="A462" s="853" t="s">
        <v>1592</v>
      </c>
      <c r="B462" s="702">
        <f>+VLOOKUP(A462,'Anlage 2a_Letztverbrauch'!$A$2259:$I$2625,9,FALSE)</f>
        <v>968867.35</v>
      </c>
      <c r="C462" s="88">
        <f>IFERROR(+VLOOKUP(A462,'Anlage 2a_Letztverbrauch'!$A$2797:$I$2816,4,FALSE),0)</f>
        <v>0</v>
      </c>
      <c r="D462" s="88">
        <v>0</v>
      </c>
      <c r="E462" s="88">
        <f t="shared" si="17"/>
        <v>968867.35</v>
      </c>
      <c r="F462" s="668">
        <f>+SUMIF('Anlage 2b_Korrekturen'!$B$700:$B$1160,A462,'Anlage 2b_Korrekturen'!$F$700:$F$1160)</f>
        <v>2462.08</v>
      </c>
      <c r="G462" s="928">
        <f t="shared" si="18"/>
        <v>971329.42999999993</v>
      </c>
      <c r="H462" t="str">
        <f>+VLOOKUP(A462,'Anlage 2a_Letztverbrauch'!$A$415:$J$781,10,FALSE)</f>
        <v>Stadtwerke Verden GmbH</v>
      </c>
    </row>
    <row r="463" spans="1:8" hidden="1" outlineLevel="1">
      <c r="A463" s="853" t="s">
        <v>1792</v>
      </c>
      <c r="B463" s="702">
        <f>+VLOOKUP(A463,'Anlage 2a_Letztverbrauch'!$A$2259:$I$2625,9,FALSE)</f>
        <v>289322.45</v>
      </c>
      <c r="C463" s="88">
        <f>IFERROR(+VLOOKUP(A463,'Anlage 2a_Letztverbrauch'!$A$2797:$I$2816,4,FALSE),0)</f>
        <v>0</v>
      </c>
      <c r="D463" s="88">
        <v>0</v>
      </c>
      <c r="E463" s="88">
        <f t="shared" si="17"/>
        <v>289322.45</v>
      </c>
      <c r="F463" s="668">
        <f>+SUMIF('Anlage 2b_Korrekturen'!$B$700:$B$1160,A463,'Anlage 2b_Korrekturen'!$F$700:$F$1160)</f>
        <v>0</v>
      </c>
      <c r="G463" s="928">
        <f t="shared" si="18"/>
        <v>289322.45</v>
      </c>
      <c r="H463" t="str">
        <f>+VLOOKUP(A463,'Anlage 2a_Letztverbrauch'!$A$415:$J$781,10,FALSE)</f>
        <v>Stadtwerke Neustadt a.d. Donau</v>
      </c>
    </row>
    <row r="464" spans="1:8" hidden="1" outlineLevel="1">
      <c r="A464" s="853" t="s">
        <v>1322</v>
      </c>
      <c r="B464" s="702">
        <f>+VLOOKUP(A464,'Anlage 2a_Letztverbrauch'!$A$2259:$I$2625,9,FALSE)</f>
        <v>90630.91</v>
      </c>
      <c r="C464" s="88">
        <f>IFERROR(+VLOOKUP(A464,'Anlage 2a_Letztverbrauch'!$A$2797:$I$2816,4,FALSE),0)</f>
        <v>0</v>
      </c>
      <c r="D464" s="88">
        <v>0</v>
      </c>
      <c r="E464" s="88">
        <f t="shared" si="17"/>
        <v>90630.91</v>
      </c>
      <c r="F464" s="668">
        <f>+SUMIF('Anlage 2b_Korrekturen'!$B$700:$B$1160,A464,'Anlage 2b_Korrekturen'!$F$700:$F$1160)</f>
        <v>37.229999999999997</v>
      </c>
      <c r="G464" s="928">
        <f t="shared" si="18"/>
        <v>90668.14</v>
      </c>
      <c r="H464" t="str">
        <f>+VLOOKUP(A464,'Anlage 2a_Letztverbrauch'!$A$415:$J$781,10,FALSE)</f>
        <v>Stadtwerke Scheinfeld</v>
      </c>
    </row>
    <row r="465" spans="1:8" hidden="1" outlineLevel="1">
      <c r="A465" s="853" t="s">
        <v>1618</v>
      </c>
      <c r="B465" s="702">
        <f>+VLOOKUP(A465,'Anlage 2a_Letztverbrauch'!$A$2259:$I$2625,9,FALSE)</f>
        <v>194537.16</v>
      </c>
      <c r="C465" s="88">
        <f>IFERROR(+VLOOKUP(A465,'Anlage 2a_Letztverbrauch'!$A$2797:$I$2816,4,FALSE),0)</f>
        <v>0</v>
      </c>
      <c r="D465" s="88">
        <v>0</v>
      </c>
      <c r="E465" s="88">
        <f t="shared" si="17"/>
        <v>194537.16</v>
      </c>
      <c r="F465" s="668">
        <f>+SUMIF('Anlage 2b_Korrekturen'!$B$700:$B$1160,A465,'Anlage 2b_Korrekturen'!$F$700:$F$1160)</f>
        <v>-2370.75</v>
      </c>
      <c r="G465" s="928">
        <f t="shared" si="18"/>
        <v>192166.41</v>
      </c>
      <c r="H465" t="str">
        <f>+VLOOKUP(A465,'Anlage 2a_Letztverbrauch'!$A$415:$J$781,10,FALSE)</f>
        <v>Stadtwerke Nortorf AöR</v>
      </c>
    </row>
    <row r="466" spans="1:8" hidden="1" outlineLevel="1">
      <c r="A466" s="853" t="s">
        <v>1806</v>
      </c>
      <c r="B466" s="702">
        <f>+VLOOKUP(A466,'Anlage 2a_Letztverbrauch'!$A$2259:$I$2625,9,FALSE)</f>
        <v>503654.34</v>
      </c>
      <c r="C466" s="88">
        <f>IFERROR(+VLOOKUP(A466,'Anlage 2a_Letztverbrauch'!$A$2797:$I$2816,4,FALSE),0)</f>
        <v>0</v>
      </c>
      <c r="D466" s="88">
        <v>0</v>
      </c>
      <c r="E466" s="88">
        <f t="shared" si="17"/>
        <v>503654.34</v>
      </c>
      <c r="F466" s="668">
        <f>+SUMIF('Anlage 2b_Korrekturen'!$B$700:$B$1160,A466,'Anlage 2b_Korrekturen'!$F$700:$F$1160)</f>
        <v>0</v>
      </c>
      <c r="G466" s="928">
        <f t="shared" si="18"/>
        <v>503654.34</v>
      </c>
      <c r="H466" t="str">
        <f>+VLOOKUP(A466,'Anlage 2a_Letztverbrauch'!$A$415:$J$781,10,FALSE)</f>
        <v>SWD Stadtwerke Dinkelsbühl</v>
      </c>
    </row>
    <row r="467" spans="1:8" hidden="1" outlineLevel="1">
      <c r="A467" s="853" t="s">
        <v>1342</v>
      </c>
      <c r="B467" s="702">
        <f>+VLOOKUP(A467,'Anlage 2a_Letztverbrauch'!$A$2259:$I$2625,9,FALSE)</f>
        <v>1031882.01</v>
      </c>
      <c r="C467" s="88">
        <f>IFERROR(+VLOOKUP(A467,'Anlage 2a_Letztverbrauch'!$A$2797:$I$2816,4,FALSE),0)</f>
        <v>0</v>
      </c>
      <c r="D467" s="88">
        <v>0</v>
      </c>
      <c r="E467" s="88">
        <f t="shared" si="17"/>
        <v>1031882.01</v>
      </c>
      <c r="F467" s="668">
        <f>+SUMIF('Anlage 2b_Korrekturen'!$B$700:$B$1160,A467,'Anlage 2b_Korrekturen'!$F$700:$F$1160)</f>
        <v>0</v>
      </c>
      <c r="G467" s="928">
        <f t="shared" si="18"/>
        <v>1031882.01</v>
      </c>
      <c r="H467" t="str">
        <f>+VLOOKUP(A467,'Anlage 2a_Letztverbrauch'!$A$415:$J$781,10,FALSE)</f>
        <v>Stadtwerke Rendsburg GmbH</v>
      </c>
    </row>
    <row r="468" spans="1:8" hidden="1" outlineLevel="1">
      <c r="A468" s="853" t="s">
        <v>1340</v>
      </c>
      <c r="B468" s="702">
        <f>+VLOOKUP(A468,'Anlage 2a_Letztverbrauch'!$A$2259:$I$2625,9,FALSE)</f>
        <v>291972.27</v>
      </c>
      <c r="C468" s="88">
        <f>IFERROR(+VLOOKUP(A468,'Anlage 2a_Letztverbrauch'!$A$2797:$I$2816,4,FALSE),0)</f>
        <v>0</v>
      </c>
      <c r="D468" s="88">
        <v>0</v>
      </c>
      <c r="E468" s="88">
        <f t="shared" si="17"/>
        <v>291972.27</v>
      </c>
      <c r="F468" s="668">
        <f>+SUMIF('Anlage 2b_Korrekturen'!$B$700:$B$1160,A468,'Anlage 2b_Korrekturen'!$F$700:$F$1160)</f>
        <v>0</v>
      </c>
      <c r="G468" s="928">
        <f t="shared" si="18"/>
        <v>291972.27</v>
      </c>
      <c r="H468" t="str">
        <f>+VLOOKUP(A468,'Anlage 2a_Letztverbrauch'!$A$415:$J$781,10,FALSE)</f>
        <v>Gemeindliche Werke Hengersberg</v>
      </c>
    </row>
    <row r="469" spans="1:8" hidden="1" outlineLevel="1">
      <c r="A469" s="853" t="s">
        <v>1326</v>
      </c>
      <c r="B469" s="702">
        <f>+VLOOKUP(A469,'Anlage 2a_Letztverbrauch'!$A$2259:$I$2625,9,FALSE)</f>
        <v>793831.01</v>
      </c>
      <c r="C469" s="88">
        <f>IFERROR(+VLOOKUP(A469,'Anlage 2a_Letztverbrauch'!$A$2797:$I$2816,4,FALSE),0)</f>
        <v>0</v>
      </c>
      <c r="D469" s="88">
        <v>0</v>
      </c>
      <c r="E469" s="88">
        <f t="shared" si="17"/>
        <v>793831.01</v>
      </c>
      <c r="F469" s="668">
        <f>+SUMIF('Anlage 2b_Korrekturen'!$B$700:$B$1160,A469,'Anlage 2b_Korrekturen'!$F$700:$F$1160)</f>
        <v>-1897.8799999999999</v>
      </c>
      <c r="G469" s="928">
        <f t="shared" si="18"/>
        <v>791933.13</v>
      </c>
      <c r="H469" t="str">
        <f>+VLOOKUP(A469,'Anlage 2a_Letztverbrauch'!$A$415:$J$781,10,FALSE)</f>
        <v>Stadtwerke Rinteln GmbH</v>
      </c>
    </row>
    <row r="470" spans="1:8" hidden="1" outlineLevel="1">
      <c r="A470" s="853" t="s">
        <v>1376</v>
      </c>
      <c r="B470" s="702">
        <f>+VLOOKUP(A470,'Anlage 2a_Letztverbrauch'!$A$2259:$I$2625,9,FALSE)</f>
        <v>902329.54</v>
      </c>
      <c r="C470" s="88">
        <f>IFERROR(+VLOOKUP(A470,'Anlage 2a_Letztverbrauch'!$A$2797:$I$2816,4,FALSE),0)</f>
        <v>0</v>
      </c>
      <c r="D470" s="88">
        <v>0</v>
      </c>
      <c r="E470" s="88">
        <f t="shared" si="17"/>
        <v>902329.54</v>
      </c>
      <c r="F470" s="668">
        <f>+SUMIF('Anlage 2b_Korrekturen'!$B$700:$B$1160,A470,'Anlage 2b_Korrekturen'!$F$700:$F$1160)</f>
        <v>0</v>
      </c>
      <c r="G470" s="928">
        <f t="shared" si="18"/>
        <v>902329.54</v>
      </c>
      <c r="H470" t="str">
        <f>+VLOOKUP(A470,'Anlage 2a_Letztverbrauch'!$A$415:$J$781,10,FALSE)</f>
        <v>Stadtwerke Böhmetal GmbH</v>
      </c>
    </row>
    <row r="471" spans="1:8" hidden="1" outlineLevel="1">
      <c r="A471" s="853" t="s">
        <v>1628</v>
      </c>
      <c r="B471" s="702">
        <f>+VLOOKUP(A471,'Anlage 2a_Letztverbrauch'!$A$2259:$I$2625,9,FALSE)</f>
        <v>1074707.19</v>
      </c>
      <c r="C471" s="88">
        <f>IFERROR(+VLOOKUP(A471,'Anlage 2a_Letztverbrauch'!$A$2797:$I$2816,4,FALSE),0)</f>
        <v>0</v>
      </c>
      <c r="D471" s="88">
        <v>0</v>
      </c>
      <c r="E471" s="88">
        <f t="shared" si="17"/>
        <v>1074707.19</v>
      </c>
      <c r="F471" s="668">
        <f>+SUMIF('Anlage 2b_Korrekturen'!$B$700:$B$1160,A471,'Anlage 2b_Korrekturen'!$F$700:$F$1160)</f>
        <v>9881.4800000000014</v>
      </c>
      <c r="G471" s="928">
        <f t="shared" si="18"/>
        <v>1084588.67</v>
      </c>
      <c r="H471" t="str">
        <f>+VLOOKUP(A471,'Anlage 2a_Letztverbrauch'!$A$415:$J$781,10,FALSE)</f>
        <v>Stadtwerke Lemgo GmbH</v>
      </c>
    </row>
    <row r="472" spans="1:8" hidden="1" outlineLevel="1">
      <c r="A472" s="853" t="s">
        <v>2200</v>
      </c>
      <c r="B472" s="702">
        <f>+VLOOKUP(A472,'Anlage 2a_Letztverbrauch'!$A$2259:$I$2625,9,FALSE)</f>
        <v>41982.73</v>
      </c>
      <c r="C472" s="88">
        <f>IFERROR(+VLOOKUP(A472,'Anlage 2a_Letztverbrauch'!$A$2797:$I$2816,4,FALSE),0)</f>
        <v>0</v>
      </c>
      <c r="D472" s="88">
        <v>0</v>
      </c>
      <c r="E472" s="88">
        <f t="shared" si="17"/>
        <v>41982.73</v>
      </c>
      <c r="F472" s="668">
        <f>+SUMIF('Anlage 2b_Korrekturen'!$B$700:$B$1160,A472,'Anlage 2b_Korrekturen'!$F$700:$F$1160)</f>
        <v>0</v>
      </c>
      <c r="G472" s="928">
        <f t="shared" si="18"/>
        <v>41982.73</v>
      </c>
      <c r="H472" t="str">
        <f>+VLOOKUP(A472,'Anlage 2a_Letztverbrauch'!$A$415:$J$781,10,FALSE)</f>
        <v>Elektrizitätsgenossenschaft Karlstein e.G.</v>
      </c>
    </row>
    <row r="473" spans="1:8" hidden="1" outlineLevel="1">
      <c r="A473" s="853" t="s">
        <v>1293</v>
      </c>
      <c r="B473" s="702">
        <f>+VLOOKUP(A473,'Anlage 2a_Letztverbrauch'!$A$2259:$I$2625,9,FALSE)</f>
        <v>2132266.59</v>
      </c>
      <c r="C473" s="88">
        <f>IFERROR(+VLOOKUP(A473,'Anlage 2a_Letztverbrauch'!$A$2797:$I$2816,4,FALSE),0)</f>
        <v>-3240.38</v>
      </c>
      <c r="D473" s="88">
        <v>0</v>
      </c>
      <c r="E473" s="88">
        <f t="shared" si="17"/>
        <v>2129026.21</v>
      </c>
      <c r="F473" s="668">
        <f>+SUMIF('Anlage 2b_Korrekturen'!$B$700:$B$1160,A473,'Anlage 2b_Korrekturen'!$F$700:$F$1160)</f>
        <v>0</v>
      </c>
      <c r="G473" s="928">
        <f t="shared" si="18"/>
        <v>2129026.21</v>
      </c>
      <c r="H473" t="str">
        <f>+VLOOKUP(A473,'Anlage 2a_Letztverbrauch'!$A$415:$J$781,10,FALSE)</f>
        <v>Stadtwerke Passau GmbH</v>
      </c>
    </row>
    <row r="474" spans="1:8" hidden="1" outlineLevel="1">
      <c r="A474" s="853" t="s">
        <v>1590</v>
      </c>
      <c r="B474" s="702">
        <f>+VLOOKUP(A474,'Anlage 2a_Letztverbrauch'!$A$2259:$I$2625,9,FALSE)</f>
        <v>134953.78</v>
      </c>
      <c r="C474" s="88">
        <f>IFERROR(+VLOOKUP(A474,'Anlage 2a_Letztverbrauch'!$A$2797:$I$2816,4,FALSE),0)</f>
        <v>0</v>
      </c>
      <c r="D474" s="88">
        <v>0</v>
      </c>
      <c r="E474" s="88">
        <f t="shared" si="17"/>
        <v>134953.78</v>
      </c>
      <c r="F474" s="668">
        <f>+SUMIF('Anlage 2b_Korrekturen'!$B$700:$B$1160,A474,'Anlage 2b_Korrekturen'!$F$700:$F$1160)</f>
        <v>-162.4</v>
      </c>
      <c r="G474" s="928">
        <f t="shared" si="18"/>
        <v>134791.38</v>
      </c>
      <c r="H474" t="str">
        <f>+VLOOKUP(A474,'Anlage 2a_Letztverbrauch'!$A$415:$J$781,10,FALSE)</f>
        <v>Gemeindewerke Großkrotzenburg GmbH</v>
      </c>
    </row>
    <row r="475" spans="1:8" hidden="1" outlineLevel="1">
      <c r="A475" s="853" t="s">
        <v>1464</v>
      </c>
      <c r="B475" s="702">
        <f>+VLOOKUP(A475,'Anlage 2a_Letztverbrauch'!$A$2259:$I$2625,9,FALSE)</f>
        <v>372326.74</v>
      </c>
      <c r="C475" s="88">
        <f>IFERROR(+VLOOKUP(A475,'Anlage 2a_Letztverbrauch'!$A$2797:$I$2816,4,FALSE),0)</f>
        <v>0</v>
      </c>
      <c r="D475" s="88">
        <v>0</v>
      </c>
      <c r="E475" s="88">
        <f t="shared" si="17"/>
        <v>372326.74</v>
      </c>
      <c r="F475" s="668">
        <f>+SUMIF('Anlage 2b_Korrekturen'!$B$700:$B$1160,A475,'Anlage 2b_Korrekturen'!$F$700:$F$1160)</f>
        <v>0</v>
      </c>
      <c r="G475" s="928">
        <f t="shared" si="18"/>
        <v>372326.74</v>
      </c>
      <c r="H475" t="str">
        <f>+VLOOKUP(A475,'Anlage 2a_Letztverbrauch'!$A$415:$J$781,10,FALSE)</f>
        <v>Feuchter Gemeindewerke GmbH</v>
      </c>
    </row>
    <row r="476" spans="1:8" hidden="1" outlineLevel="1">
      <c r="A476" s="853" t="s">
        <v>2202</v>
      </c>
      <c r="B476" s="702">
        <f>+VLOOKUP(A476,'Anlage 2a_Letztverbrauch'!$A$2259:$I$2625,9,FALSE)</f>
        <v>52785.2</v>
      </c>
      <c r="C476" s="88">
        <f>IFERROR(+VLOOKUP(A476,'Anlage 2a_Letztverbrauch'!$A$2797:$I$2816,4,FALSE),0)</f>
        <v>0</v>
      </c>
      <c r="D476" s="88">
        <v>0</v>
      </c>
      <c r="E476" s="88">
        <f t="shared" si="17"/>
        <v>52785.2</v>
      </c>
      <c r="F476" s="668">
        <f>+SUMIF('Anlage 2b_Korrekturen'!$B$700:$B$1160,A476,'Anlage 2b_Korrekturen'!$F$700:$F$1160)</f>
        <v>0</v>
      </c>
      <c r="G476" s="928">
        <f t="shared" si="18"/>
        <v>52785.2</v>
      </c>
      <c r="H476" t="str">
        <f>+VLOOKUP(A476,'Anlage 2a_Letztverbrauch'!$A$415:$J$781,10,FALSE)</f>
        <v>Gemeinde Glattbach</v>
      </c>
    </row>
    <row r="477" spans="1:8" hidden="1" outlineLevel="1">
      <c r="A477" s="853" t="s">
        <v>1586</v>
      </c>
      <c r="B477" s="702">
        <f>+VLOOKUP(A477,'Anlage 2a_Letztverbrauch'!$A$2259:$I$2625,9,FALSE)</f>
        <v>214821.69</v>
      </c>
      <c r="C477" s="88">
        <f>IFERROR(+VLOOKUP(A477,'Anlage 2a_Letztverbrauch'!$A$2797:$I$2816,4,FALSE),0)</f>
        <v>0</v>
      </c>
      <c r="D477" s="88">
        <v>0</v>
      </c>
      <c r="E477" s="88">
        <f t="shared" si="17"/>
        <v>214821.69</v>
      </c>
      <c r="F477" s="668">
        <f>+SUMIF('Anlage 2b_Korrekturen'!$B$700:$B$1160,A477,'Anlage 2b_Korrekturen'!$F$700:$F$1160)</f>
        <v>0</v>
      </c>
      <c r="G477" s="928">
        <f t="shared" si="18"/>
        <v>214821.69</v>
      </c>
      <c r="H477" t="str">
        <f>+VLOOKUP(A477,'Anlage 2a_Letztverbrauch'!$A$415:$J$781,10,FALSE)</f>
        <v>Gemeindewerke Kahl Versorgungsgesellschaft mbH</v>
      </c>
    </row>
    <row r="478" spans="1:8" hidden="1" outlineLevel="1">
      <c r="A478" s="853" t="s">
        <v>1232</v>
      </c>
      <c r="B478" s="702">
        <f>+VLOOKUP(A478,'Anlage 2a_Letztverbrauch'!$A$2259:$I$2625,9,FALSE)</f>
        <v>4120535.22</v>
      </c>
      <c r="C478" s="88">
        <f>IFERROR(+VLOOKUP(A478,'Anlage 2a_Letztverbrauch'!$A$2797:$I$2816,4,FALSE),0)</f>
        <v>0</v>
      </c>
      <c r="D478" s="88">
        <v>0</v>
      </c>
      <c r="E478" s="88">
        <f t="shared" si="17"/>
        <v>4120535.22</v>
      </c>
      <c r="F478" s="668">
        <f>+SUMIF('Anlage 2b_Korrekturen'!$B$700:$B$1160,A478,'Anlage 2b_Korrekturen'!$F$700:$F$1160)</f>
        <v>0</v>
      </c>
      <c r="G478" s="928">
        <f t="shared" si="18"/>
        <v>4120535.22</v>
      </c>
      <c r="H478" t="str">
        <f>+VLOOKUP(A478,'Anlage 2a_Letztverbrauch'!$A$415:$J$781,10,FALSE)</f>
        <v>Stadtwerke Ingolstadt Netze GmbH</v>
      </c>
    </row>
    <row r="479" spans="1:8" hidden="1" outlineLevel="1">
      <c r="A479" s="853" t="s">
        <v>1444</v>
      </c>
      <c r="B479" s="702">
        <f>+VLOOKUP(A479,'Anlage 2a_Letztverbrauch'!$A$2259:$I$2625,9,FALSE)</f>
        <v>7435856.8600000003</v>
      </c>
      <c r="C479" s="88">
        <f>IFERROR(+VLOOKUP(A479,'Anlage 2a_Letztverbrauch'!$A$2797:$I$2816,4,FALSE),0)</f>
        <v>-10312.81</v>
      </c>
      <c r="D479" s="88">
        <v>0</v>
      </c>
      <c r="E479" s="88">
        <f t="shared" si="17"/>
        <v>7425544.0500000007</v>
      </c>
      <c r="F479" s="668">
        <f>+SUMIF('Anlage 2b_Korrekturen'!$B$700:$B$1160,A479,'Anlage 2b_Korrekturen'!$F$700:$F$1160)</f>
        <v>-28786.09</v>
      </c>
      <c r="G479" s="928">
        <f t="shared" si="18"/>
        <v>7396757.9600000009</v>
      </c>
      <c r="H479" t="str">
        <f>+VLOOKUP(A479,'Anlage 2a_Letztverbrauch'!$A$415:$J$781,10,FALSE)</f>
        <v>Regensburg Netz GmbH</v>
      </c>
    </row>
    <row r="480" spans="1:8" hidden="1" outlineLevel="1">
      <c r="A480" s="853" t="s">
        <v>1248</v>
      </c>
      <c r="B480" s="702">
        <f>+VLOOKUP(A480,'Anlage 2a_Letztverbrauch'!$A$2259:$I$2625,9,FALSE)</f>
        <v>887883.05</v>
      </c>
      <c r="C480" s="88">
        <f>IFERROR(+VLOOKUP(A480,'Anlage 2a_Letztverbrauch'!$A$2797:$I$2816,4,FALSE),0)</f>
        <v>0</v>
      </c>
      <c r="D480" s="88">
        <v>0</v>
      </c>
      <c r="E480" s="88">
        <f t="shared" si="17"/>
        <v>887883.05</v>
      </c>
      <c r="F480" s="668">
        <f>+SUMIF('Anlage 2b_Korrekturen'!$B$700:$B$1160,A480,'Anlage 2b_Korrekturen'!$F$700:$F$1160)</f>
        <v>5690.4699999999993</v>
      </c>
      <c r="G480" s="928">
        <f t="shared" si="18"/>
        <v>893573.52</v>
      </c>
      <c r="H480" t="str">
        <f>+VLOOKUP(A480,'Anlage 2a_Letztverbrauch'!$A$415:$J$781,10,FALSE)</f>
        <v>Energieversorgung Alzenau GmbH</v>
      </c>
    </row>
    <row r="481" spans="1:8" hidden="1" outlineLevel="1">
      <c r="A481" s="853" t="s">
        <v>1675</v>
      </c>
      <c r="B481" s="702">
        <f>+VLOOKUP(A481,'Anlage 2a_Letztverbrauch'!$A$2259:$I$2625,9,FALSE)</f>
        <v>2358780.63</v>
      </c>
      <c r="C481" s="88">
        <f>IFERROR(+VLOOKUP(A481,'Anlage 2a_Letztverbrauch'!$A$2797:$I$2816,4,FALSE),0)</f>
        <v>0</v>
      </c>
      <c r="D481" s="88">
        <v>0</v>
      </c>
      <c r="E481" s="88">
        <f t="shared" si="17"/>
        <v>2358780.63</v>
      </c>
      <c r="F481" s="668">
        <f>+SUMIF('Anlage 2b_Korrekturen'!$B$700:$B$1160,A481,'Anlage 2b_Korrekturen'!$F$700:$F$1160)</f>
        <v>0</v>
      </c>
      <c r="G481" s="928">
        <f t="shared" si="18"/>
        <v>2358780.63</v>
      </c>
      <c r="H481" t="str">
        <f>+VLOOKUP(A481,'Anlage 2a_Letztverbrauch'!$A$415:$J$781,10,FALSE)</f>
        <v>Stadtwerke Marburg GmbH</v>
      </c>
    </row>
    <row r="482" spans="1:8" hidden="1" outlineLevel="1">
      <c r="A482" s="853" t="s">
        <v>1536</v>
      </c>
      <c r="B482" s="702">
        <f>+VLOOKUP(A482,'Anlage 2a_Letztverbrauch'!$A$2259:$I$2625,9,FALSE)</f>
        <v>174735.43</v>
      </c>
      <c r="C482" s="88">
        <f>IFERROR(+VLOOKUP(A482,'Anlage 2a_Letztverbrauch'!$A$2797:$I$2816,4,FALSE),0)</f>
        <v>0</v>
      </c>
      <c r="D482" s="88">
        <v>0</v>
      </c>
      <c r="E482" s="88">
        <f t="shared" si="17"/>
        <v>174735.43</v>
      </c>
      <c r="F482" s="668">
        <f>+SUMIF('Anlage 2b_Korrekturen'!$B$700:$B$1160,A482,'Anlage 2b_Korrekturen'!$F$700:$F$1160)</f>
        <v>943.65</v>
      </c>
      <c r="G482" s="928">
        <f t="shared" si="18"/>
        <v>175679.08</v>
      </c>
      <c r="H482" t="str">
        <f>+VLOOKUP(A482,'Anlage 2a_Letztverbrauch'!$A$415:$J$781,10,FALSE)</f>
        <v>Stadtwerke Pappenheim GmbH</v>
      </c>
    </row>
    <row r="483" spans="1:8" hidden="1" outlineLevel="1">
      <c r="A483" s="853" t="s">
        <v>1374</v>
      </c>
      <c r="B483" s="702">
        <f>+VLOOKUP(A483,'Anlage 2a_Letztverbrauch'!$A$2259:$I$2625,9,FALSE)</f>
        <v>663883.81000000006</v>
      </c>
      <c r="C483" s="88">
        <f>IFERROR(+VLOOKUP(A483,'Anlage 2a_Letztverbrauch'!$A$2797:$I$2816,4,FALSE),0)</f>
        <v>0</v>
      </c>
      <c r="D483" s="88">
        <v>0</v>
      </c>
      <c r="E483" s="88">
        <f t="shared" si="17"/>
        <v>663883.81000000006</v>
      </c>
      <c r="F483" s="668">
        <f>+SUMIF('Anlage 2b_Korrekturen'!$B$700:$B$1160,A483,'Anlage 2b_Korrekturen'!$F$700:$F$1160)</f>
        <v>8821.93</v>
      </c>
      <c r="G483" s="928">
        <f t="shared" si="18"/>
        <v>672705.74000000011</v>
      </c>
      <c r="H483" t="str">
        <f>+VLOOKUP(A483,'Anlage 2a_Letztverbrauch'!$A$415:$J$781,10,FALSE)</f>
        <v>Herzo Werke GmbH</v>
      </c>
    </row>
    <row r="484" spans="1:8" hidden="1" outlineLevel="1">
      <c r="A484" s="853" t="s">
        <v>1257</v>
      </c>
      <c r="B484" s="702">
        <f>+VLOOKUP(A484,'Anlage 2a_Letztverbrauch'!$A$2259:$I$2625,9,FALSE)</f>
        <v>373122.31</v>
      </c>
      <c r="C484" s="88">
        <f>IFERROR(+VLOOKUP(A484,'Anlage 2a_Letztverbrauch'!$A$2797:$I$2816,4,FALSE),0)</f>
        <v>0</v>
      </c>
      <c r="D484" s="88">
        <v>0</v>
      </c>
      <c r="E484" s="88">
        <f t="shared" si="17"/>
        <v>373122.31</v>
      </c>
      <c r="F484" s="668">
        <f>+SUMIF('Anlage 2b_Korrekturen'!$B$700:$B$1160,A484,'Anlage 2b_Korrekturen'!$F$700:$F$1160)</f>
        <v>2470.69</v>
      </c>
      <c r="G484" s="928">
        <f t="shared" si="18"/>
        <v>375593</v>
      </c>
      <c r="H484" t="str">
        <f>+VLOOKUP(A484,'Anlage 2a_Letztverbrauch'!$A$415:$J$781,10,FALSE)</f>
        <v>Stadtwerke Ebermannstadt Versorgungsbetriebe GmbH</v>
      </c>
    </row>
    <row r="485" spans="1:8" hidden="1" outlineLevel="1">
      <c r="A485" s="853" t="s">
        <v>1714</v>
      </c>
      <c r="B485" s="702">
        <f>+VLOOKUP(A485,'Anlage 2a_Letztverbrauch'!$A$2259:$I$2625,9,FALSE)</f>
        <v>1431863.35</v>
      </c>
      <c r="C485" s="88">
        <f>IFERROR(+VLOOKUP(A485,'Anlage 2a_Letztverbrauch'!$A$2797:$I$2816,4,FALSE),0)</f>
        <v>0</v>
      </c>
      <c r="D485" s="88">
        <v>0</v>
      </c>
      <c r="E485" s="88">
        <f t="shared" si="17"/>
        <v>1431863.35</v>
      </c>
      <c r="F485" s="668">
        <f>+SUMIF('Anlage 2b_Korrekturen'!$B$700:$B$1160,A485,'Anlage 2b_Korrekturen'!$F$700:$F$1160)</f>
        <v>0</v>
      </c>
      <c r="G485" s="928">
        <f t="shared" si="18"/>
        <v>1431863.35</v>
      </c>
      <c r="H485" t="str">
        <f>+VLOOKUP(A485,'Anlage 2a_Letztverbrauch'!$A$415:$J$781,10,FALSE)</f>
        <v>Stadtwerke Amberg Versorgungs GmbH</v>
      </c>
    </row>
    <row r="486" spans="1:8" hidden="1" outlineLevel="1">
      <c r="A486" s="853" t="s">
        <v>1542</v>
      </c>
      <c r="B486" s="702">
        <f>+VLOOKUP(A486,'Anlage 2a_Letztverbrauch'!$A$2259:$I$2625,9,FALSE)</f>
        <v>328114.34999999998</v>
      </c>
      <c r="C486" s="88">
        <f>IFERROR(+VLOOKUP(A486,'Anlage 2a_Letztverbrauch'!$A$2797:$I$2816,4,FALSE),0)</f>
        <v>0</v>
      </c>
      <c r="D486" s="88">
        <v>0</v>
      </c>
      <c r="E486" s="88">
        <f t="shared" si="17"/>
        <v>328114.34999999998</v>
      </c>
      <c r="F486" s="668">
        <f>+SUMIF('Anlage 2b_Korrekturen'!$B$700:$B$1160,A486,'Anlage 2b_Korrekturen'!$F$700:$F$1160)</f>
        <v>0</v>
      </c>
      <c r="G486" s="928">
        <f t="shared" si="18"/>
        <v>328114.34999999998</v>
      </c>
      <c r="H486" t="str">
        <f>+VLOOKUP(A486,'Anlage 2a_Letztverbrauch'!$A$415:$J$781,10,FALSE)</f>
        <v>Stadtwerke Pfarrkirchen</v>
      </c>
    </row>
    <row r="487" spans="1:8" hidden="1" outlineLevel="1">
      <c r="A487" s="853" t="s">
        <v>1526</v>
      </c>
      <c r="B487" s="702">
        <f>+VLOOKUP(A487,'Anlage 2a_Letztverbrauch'!$A$2259:$I$2625,9,FALSE)</f>
        <v>409021.26</v>
      </c>
      <c r="C487" s="88">
        <f>IFERROR(+VLOOKUP(A487,'Anlage 2a_Letztverbrauch'!$A$2797:$I$2816,4,FALSE),0)</f>
        <v>0</v>
      </c>
      <c r="D487" s="88">
        <v>0</v>
      </c>
      <c r="E487" s="88">
        <f t="shared" si="17"/>
        <v>409021.26</v>
      </c>
      <c r="F487" s="668">
        <f>+SUMIF('Anlage 2b_Korrekturen'!$B$700:$B$1160,A487,'Anlage 2b_Korrekturen'!$F$700:$F$1160)</f>
        <v>0</v>
      </c>
      <c r="G487" s="928">
        <f t="shared" si="18"/>
        <v>409021.26</v>
      </c>
      <c r="H487" t="str">
        <f>+VLOOKUP(A487,'Anlage 2a_Letztverbrauch'!$A$415:$J$781,10,FALSE)</f>
        <v>Stadtwerke Gunzenhausen GmbH</v>
      </c>
    </row>
    <row r="488" spans="1:8" hidden="1" outlineLevel="1">
      <c r="A488" s="853" t="s">
        <v>1356</v>
      </c>
      <c r="B488" s="702">
        <f>+VLOOKUP(A488,'Anlage 2a_Letztverbrauch'!$A$2259:$I$2625,9,FALSE)</f>
        <v>309380.15999999997</v>
      </c>
      <c r="C488" s="88">
        <f>IFERROR(+VLOOKUP(A488,'Anlage 2a_Letztverbrauch'!$A$2797:$I$2816,4,FALSE),0)</f>
        <v>0</v>
      </c>
      <c r="D488" s="88">
        <v>0</v>
      </c>
      <c r="E488" s="88">
        <f t="shared" si="17"/>
        <v>309380.15999999997</v>
      </c>
      <c r="F488" s="668">
        <f>+SUMIF('Anlage 2b_Korrekturen'!$B$700:$B$1160,A488,'Anlage 2b_Korrekturen'!$F$700:$F$1160)</f>
        <v>637.51</v>
      </c>
      <c r="G488" s="928">
        <f t="shared" si="18"/>
        <v>310017.67</v>
      </c>
      <c r="H488" t="str">
        <f>+VLOOKUP(A488,'Anlage 2a_Letztverbrauch'!$A$415:$J$781,10,FALSE)</f>
        <v>Gemeindewerke Halstenbek</v>
      </c>
    </row>
    <row r="489" spans="1:8" hidden="1" outlineLevel="1">
      <c r="A489" s="853" t="s">
        <v>1712</v>
      </c>
      <c r="B489" s="702">
        <f>+VLOOKUP(A489,'Anlage 2a_Letztverbrauch'!$A$2259:$I$2625,9,FALSE)</f>
        <v>127708.49</v>
      </c>
      <c r="C489" s="88">
        <f>IFERROR(+VLOOKUP(A489,'Anlage 2a_Letztverbrauch'!$A$2797:$I$2816,4,FALSE),0)</f>
        <v>0</v>
      </c>
      <c r="D489" s="88">
        <v>0</v>
      </c>
      <c r="E489" s="88">
        <f t="shared" si="17"/>
        <v>127708.49</v>
      </c>
      <c r="F489" s="668">
        <f>+SUMIF('Anlage 2b_Korrekturen'!$B$700:$B$1160,A489,'Anlage 2b_Korrekturen'!$F$700:$F$1160)</f>
        <v>0</v>
      </c>
      <c r="G489" s="928">
        <f t="shared" si="18"/>
        <v>127708.49</v>
      </c>
      <c r="H489" t="str">
        <f>+VLOOKUP(A489,'Anlage 2a_Letztverbrauch'!$A$415:$J$781,10,FALSE)</f>
        <v>Stadtwerke Dettelbach</v>
      </c>
    </row>
    <row r="490" spans="1:8" hidden="1" outlineLevel="1">
      <c r="A490" s="853" t="s">
        <v>1299</v>
      </c>
      <c r="B490" s="702">
        <f>+VLOOKUP(A490,'Anlage 2a_Letztverbrauch'!$A$2259:$I$2625,9,FALSE)</f>
        <v>96205.95</v>
      </c>
      <c r="C490" s="88">
        <f>IFERROR(+VLOOKUP(A490,'Anlage 2a_Letztverbrauch'!$A$2797:$I$2816,4,FALSE),0)</f>
        <v>0</v>
      </c>
      <c r="D490" s="88">
        <v>0</v>
      </c>
      <c r="E490" s="88">
        <f t="shared" si="17"/>
        <v>96205.95</v>
      </c>
      <c r="F490" s="668">
        <f>+SUMIF('Anlage 2b_Korrekturen'!$B$700:$B$1160,A490,'Anlage 2b_Korrekturen'!$F$700:$F$1160)</f>
        <v>-451.84999999999997</v>
      </c>
      <c r="G490" s="928">
        <f t="shared" si="18"/>
        <v>95754.099999999991</v>
      </c>
      <c r="H490" t="str">
        <f>+VLOOKUP(A490,'Anlage 2a_Letztverbrauch'!$A$415:$J$781,10,FALSE)</f>
        <v>Stadtwerke Wilster</v>
      </c>
    </row>
    <row r="491" spans="1:8" hidden="1" outlineLevel="1">
      <c r="A491" s="853" t="s">
        <v>1754</v>
      </c>
      <c r="B491" s="702">
        <f>+VLOOKUP(A491,'Anlage 2a_Letztverbrauch'!$A$2259:$I$2625,9,FALSE)</f>
        <v>170468.94</v>
      </c>
      <c r="C491" s="88">
        <f>IFERROR(+VLOOKUP(A491,'Anlage 2a_Letztverbrauch'!$A$2797:$I$2816,4,FALSE),0)</f>
        <v>0</v>
      </c>
      <c r="D491" s="88">
        <v>0</v>
      </c>
      <c r="E491" s="88">
        <f t="shared" si="17"/>
        <v>170468.94</v>
      </c>
      <c r="F491" s="668">
        <f>+SUMIF('Anlage 2b_Korrekturen'!$B$700:$B$1160,A491,'Anlage 2b_Korrekturen'!$F$700:$F$1160)</f>
        <v>-20.9</v>
      </c>
      <c r="G491" s="928">
        <f t="shared" si="18"/>
        <v>170448.04</v>
      </c>
      <c r="H491" t="str">
        <f>+VLOOKUP(A491,'Anlage 2a_Letztverbrauch'!$A$415:$J$781,10,FALSE)</f>
        <v>Stadtwerke Bad Brückenau GmbH</v>
      </c>
    </row>
    <row r="492" spans="1:8" hidden="1" outlineLevel="1">
      <c r="A492" s="853" t="s">
        <v>1690</v>
      </c>
      <c r="B492" s="702">
        <f>+VLOOKUP(A492,'Anlage 2a_Letztverbrauch'!$A$2259:$I$2625,9,FALSE)</f>
        <v>748892.23</v>
      </c>
      <c r="C492" s="88">
        <f>IFERROR(+VLOOKUP(A492,'Anlage 2a_Letztverbrauch'!$A$2797:$I$2816,4,FALSE),0)</f>
        <v>0</v>
      </c>
      <c r="D492" s="88">
        <v>0</v>
      </c>
      <c r="E492" s="88">
        <f t="shared" si="17"/>
        <v>748892.23</v>
      </c>
      <c r="F492" s="668">
        <f>+SUMIF('Anlage 2b_Korrekturen'!$B$700:$B$1160,A492,'Anlage 2b_Korrekturen'!$F$700:$F$1160)</f>
        <v>-1543.37</v>
      </c>
      <c r="G492" s="928">
        <f t="shared" si="18"/>
        <v>747348.86</v>
      </c>
      <c r="H492" t="str">
        <f>+VLOOKUP(A492,'Anlage 2a_Letztverbrauch'!$A$415:$J$781,10,FALSE)</f>
        <v>Stadtwerke Wedel GmbH</v>
      </c>
    </row>
    <row r="493" spans="1:8" hidden="1" outlineLevel="1">
      <c r="A493" s="853" t="s">
        <v>1251</v>
      </c>
      <c r="B493" s="702">
        <f>+VLOOKUP(A493,'Anlage 2a_Letztverbrauch'!$A$2259:$I$2625,9,FALSE)</f>
        <v>346904.67</v>
      </c>
      <c r="C493" s="88">
        <f>IFERROR(+VLOOKUP(A493,'Anlage 2a_Letztverbrauch'!$A$2797:$I$2816,4,FALSE),0)</f>
        <v>0</v>
      </c>
      <c r="D493" s="88">
        <v>0</v>
      </c>
      <c r="E493" s="88">
        <f t="shared" si="17"/>
        <v>346904.67</v>
      </c>
      <c r="F493" s="668">
        <f>+SUMIF('Anlage 2b_Korrekturen'!$B$700:$B$1160,A493,'Anlage 2b_Korrekturen'!$F$700:$F$1160)</f>
        <v>0</v>
      </c>
      <c r="G493" s="928">
        <f t="shared" si="18"/>
        <v>346904.67</v>
      </c>
      <c r="H493" t="str">
        <f>+VLOOKUP(A493,'Anlage 2a_Letztverbrauch'!$A$415:$J$781,10,FALSE)</f>
        <v>EMB Energieversorgung Miltenberg-Bürgstadt GmbH &amp; Co. KG</v>
      </c>
    </row>
    <row r="494" spans="1:8" hidden="1" outlineLevel="1">
      <c r="A494" s="853" t="s">
        <v>1392</v>
      </c>
      <c r="B494" s="702">
        <f>+VLOOKUP(A494,'Anlage 2a_Letztverbrauch'!$A$2259:$I$2625,9,FALSE)</f>
        <v>422401.06</v>
      </c>
      <c r="C494" s="88">
        <f>IFERROR(+VLOOKUP(A494,'Anlage 2a_Letztverbrauch'!$A$2797:$I$2816,4,FALSE),0)</f>
        <v>0</v>
      </c>
      <c r="D494" s="88">
        <v>0</v>
      </c>
      <c r="E494" s="88">
        <f t="shared" si="17"/>
        <v>422401.06</v>
      </c>
      <c r="F494" s="668">
        <f>+SUMIF('Anlage 2b_Korrekturen'!$B$700:$B$1160,A494,'Anlage 2b_Korrekturen'!$F$700:$F$1160)</f>
        <v>-156.86000000000001</v>
      </c>
      <c r="G494" s="928">
        <f t="shared" si="18"/>
        <v>422244.2</v>
      </c>
      <c r="H494" t="str">
        <f>+VLOOKUP(A494,'Anlage 2a_Letztverbrauch'!$A$415:$J$781,10,FALSE)</f>
        <v>Stadtwerke Vilsbiburg</v>
      </c>
    </row>
    <row r="495" spans="1:8" hidden="1" outlineLevel="1">
      <c r="A495" s="853" t="s">
        <v>1662</v>
      </c>
      <c r="B495" s="702">
        <f>+VLOOKUP(A495,'Anlage 2a_Letztverbrauch'!$A$2259:$I$2625,9,FALSE)</f>
        <v>114933.2</v>
      </c>
      <c r="C495" s="88">
        <f>IFERROR(+VLOOKUP(A495,'Anlage 2a_Letztverbrauch'!$A$2797:$I$2816,4,FALSE),0)</f>
        <v>0</v>
      </c>
      <c r="D495" s="88">
        <v>0</v>
      </c>
      <c r="E495" s="88">
        <f t="shared" si="17"/>
        <v>114933.2</v>
      </c>
      <c r="F495" s="668">
        <f>+SUMIF('Anlage 2b_Korrekturen'!$B$700:$B$1160,A495,'Anlage 2b_Korrekturen'!$F$700:$F$1160)</f>
        <v>-339.49</v>
      </c>
      <c r="G495" s="928">
        <f t="shared" si="18"/>
        <v>114593.70999999999</v>
      </c>
      <c r="H495" t="str">
        <f>+VLOOKUP(A495,'Anlage 2a_Letztverbrauch'!$A$415:$J$781,10,FALSE)</f>
        <v>Stadtwerke Waldmünchen</v>
      </c>
    </row>
    <row r="496" spans="1:8" hidden="1" outlineLevel="1">
      <c r="A496" s="853" t="s">
        <v>1660</v>
      </c>
      <c r="B496" s="702">
        <f>+VLOOKUP(A496,'Anlage 2a_Letztverbrauch'!$A$2259:$I$2625,9,FALSE)</f>
        <v>142756.32999999999</v>
      </c>
      <c r="C496" s="88">
        <f>IFERROR(+VLOOKUP(A496,'Anlage 2a_Letztverbrauch'!$A$2797:$I$2816,4,FALSE),0)</f>
        <v>0</v>
      </c>
      <c r="D496" s="88">
        <v>0</v>
      </c>
      <c r="E496" s="88">
        <f t="shared" si="17"/>
        <v>142756.32999999999</v>
      </c>
      <c r="F496" s="668">
        <f>+SUMIF('Anlage 2b_Korrekturen'!$B$700:$B$1160,A496,'Anlage 2b_Korrekturen'!$F$700:$F$1160)</f>
        <v>-64.540000000000006</v>
      </c>
      <c r="G496" s="928">
        <f t="shared" si="18"/>
        <v>142691.78999999998</v>
      </c>
      <c r="H496" t="str">
        <f>+VLOOKUP(A496,'Anlage 2a_Letztverbrauch'!$A$415:$J$781,10,FALSE)</f>
        <v>Gemeindewerke Heikendorf AöR</v>
      </c>
    </row>
    <row r="497" spans="1:8" hidden="1" outlineLevel="1">
      <c r="A497" s="853" t="s">
        <v>1564</v>
      </c>
      <c r="B497" s="702">
        <f>+VLOOKUP(A497,'Anlage 2a_Letztverbrauch'!$A$2259:$I$2625,9,FALSE)</f>
        <v>45444.71</v>
      </c>
      <c r="C497" s="88">
        <f>IFERROR(+VLOOKUP(A497,'Anlage 2a_Letztverbrauch'!$A$2797:$I$2816,4,FALSE),0)</f>
        <v>0</v>
      </c>
      <c r="D497" s="88">
        <v>0</v>
      </c>
      <c r="E497" s="88">
        <f t="shared" si="17"/>
        <v>45444.71</v>
      </c>
      <c r="F497" s="668">
        <f>+SUMIF('Anlage 2b_Korrekturen'!$B$700:$B$1160,A497,'Anlage 2b_Korrekturen'!$F$700:$F$1160)</f>
        <v>0</v>
      </c>
      <c r="G497" s="928">
        <f t="shared" si="18"/>
        <v>45444.71</v>
      </c>
      <c r="H497" t="str">
        <f>+VLOOKUP(A497,'Anlage 2a_Letztverbrauch'!$A$415:$J$781,10,FALSE)</f>
        <v>Gemeindewerke Markt Lichtenau</v>
      </c>
    </row>
    <row r="498" spans="1:8" hidden="1" outlineLevel="1">
      <c r="A498" s="853" t="s">
        <v>1612</v>
      </c>
      <c r="B498" s="702">
        <f>+VLOOKUP(A498,'Anlage 2a_Letztverbrauch'!$A$2259:$I$2625,9,FALSE)</f>
        <v>436032.07</v>
      </c>
      <c r="C498" s="88">
        <f>IFERROR(+VLOOKUP(A498,'Anlage 2a_Letztverbrauch'!$A$2797:$I$2816,4,FALSE),0)</f>
        <v>0</v>
      </c>
      <c r="D498" s="88">
        <v>0</v>
      </c>
      <c r="E498" s="88">
        <f t="shared" si="17"/>
        <v>436032.07</v>
      </c>
      <c r="F498" s="668">
        <f>+SUMIF('Anlage 2b_Korrekturen'!$B$700:$B$1160,A498,'Anlage 2b_Korrekturen'!$F$700:$F$1160)</f>
        <v>989.67000000000007</v>
      </c>
      <c r="G498" s="928">
        <f t="shared" si="18"/>
        <v>437021.74</v>
      </c>
      <c r="H498" t="str">
        <f>+VLOOKUP(A498,'Anlage 2a_Letztverbrauch'!$A$415:$J$781,10,FALSE)</f>
        <v>STADTWERKE KELHEIM GmbH &amp; Co KG</v>
      </c>
    </row>
    <row r="499" spans="1:8" hidden="1" outlineLevel="1">
      <c r="A499" s="853" t="s">
        <v>1544</v>
      </c>
      <c r="B499" s="702">
        <f>+VLOOKUP(A499,'Anlage 2a_Letztverbrauch'!$A$2259:$I$2625,9,FALSE)</f>
        <v>60702.81</v>
      </c>
      <c r="C499" s="88">
        <f>IFERROR(+VLOOKUP(A499,'Anlage 2a_Letztverbrauch'!$A$2797:$I$2816,4,FALSE),0)</f>
        <v>0</v>
      </c>
      <c r="D499" s="88">
        <v>0</v>
      </c>
      <c r="E499" s="88">
        <f t="shared" si="17"/>
        <v>60702.81</v>
      </c>
      <c r="F499" s="668">
        <f>+SUMIF('Anlage 2b_Korrekturen'!$B$700:$B$1160,A499,'Anlage 2b_Korrekturen'!$F$700:$F$1160)</f>
        <v>0</v>
      </c>
      <c r="G499" s="928">
        <f t="shared" si="18"/>
        <v>60702.81</v>
      </c>
      <c r="H499" t="str">
        <f>+VLOOKUP(A499,'Anlage 2a_Letztverbrauch'!$A$415:$J$781,10,FALSE)</f>
        <v>Gemeindewerke Lam</v>
      </c>
    </row>
    <row r="500" spans="1:8" hidden="1" outlineLevel="1">
      <c r="A500" s="853" t="s">
        <v>1530</v>
      </c>
      <c r="B500" s="702">
        <f>+VLOOKUP(A500,'Anlage 2a_Letztverbrauch'!$A$2259:$I$2625,9,FALSE)</f>
        <v>546963.56000000006</v>
      </c>
      <c r="C500" s="88">
        <f>IFERROR(+VLOOKUP(A500,'Anlage 2a_Letztverbrauch'!$A$2797:$I$2816,4,FALSE),0)</f>
        <v>0</v>
      </c>
      <c r="D500" s="88">
        <v>0</v>
      </c>
      <c r="E500" s="88">
        <f t="shared" si="17"/>
        <v>546963.56000000006</v>
      </c>
      <c r="F500" s="668">
        <f>+SUMIF('Anlage 2b_Korrekturen'!$B$700:$B$1160,A500,'Anlage 2b_Korrekturen'!$F$700:$F$1160)</f>
        <v>0</v>
      </c>
      <c r="G500" s="928">
        <f t="shared" si="18"/>
        <v>546963.56000000006</v>
      </c>
      <c r="H500" t="str">
        <f>+VLOOKUP(A500,'Anlage 2a_Letztverbrauch'!$A$415:$J$781,10,FALSE)</f>
        <v>Stadtwerke Heide GmbH</v>
      </c>
    </row>
    <row r="501" spans="1:8" hidden="1" outlineLevel="1">
      <c r="A501" s="853" t="s">
        <v>1452</v>
      </c>
      <c r="B501" s="702">
        <f>+VLOOKUP(A501,'Anlage 2a_Letztverbrauch'!$A$2259:$I$2625,9,FALSE)</f>
        <v>1037650.76</v>
      </c>
      <c r="C501" s="88">
        <f>IFERROR(+VLOOKUP(A501,'Anlage 2a_Letztverbrauch'!$A$2797:$I$2816,4,FALSE),0)</f>
        <v>0</v>
      </c>
      <c r="D501" s="88">
        <v>0</v>
      </c>
      <c r="E501" s="88">
        <f t="shared" si="17"/>
        <v>1037650.76</v>
      </c>
      <c r="F501" s="668">
        <f>+SUMIF('Anlage 2b_Korrekturen'!$B$700:$B$1160,A501,'Anlage 2b_Korrekturen'!$F$700:$F$1160)</f>
        <v>0</v>
      </c>
      <c r="G501" s="928">
        <f t="shared" si="18"/>
        <v>1037650.76</v>
      </c>
      <c r="H501" t="str">
        <f>+VLOOKUP(A501,'Anlage 2a_Letztverbrauch'!$A$415:$J$781,10,FALSE)</f>
        <v>Licht-, Kraft- und Wasserwerke Kitzingen GmbH</v>
      </c>
    </row>
    <row r="502" spans="1:8" hidden="1" outlineLevel="1">
      <c r="A502" s="853" t="s">
        <v>1774</v>
      </c>
      <c r="B502" s="702">
        <f>+VLOOKUP(A502,'Anlage 2a_Letztverbrauch'!$A$2259:$I$2625,9,FALSE)</f>
        <v>1944125.55</v>
      </c>
      <c r="C502" s="88">
        <f>IFERROR(+VLOOKUP(A502,'Anlage 2a_Letztverbrauch'!$A$2797:$I$2816,4,FALSE),0)</f>
        <v>-31977.19</v>
      </c>
      <c r="D502" s="88">
        <v>0</v>
      </c>
      <c r="E502" s="88">
        <f t="shared" si="17"/>
        <v>1912148.36</v>
      </c>
      <c r="F502" s="668">
        <f>+SUMIF('Anlage 2b_Korrekturen'!$B$700:$B$1160,A502,'Anlage 2b_Korrekturen'!$F$700:$F$1160)</f>
        <v>-1110.3699999999999</v>
      </c>
      <c r="G502" s="928">
        <f t="shared" si="18"/>
        <v>1911037.99</v>
      </c>
      <c r="H502" t="str">
        <f>+VLOOKUP(A502,'Anlage 2a_Letztverbrauch'!$A$415:$J$781,10,FALSE)</f>
        <v>Stadtwerke Fürstenfeldbruck GmbH</v>
      </c>
    </row>
    <row r="503" spans="1:8" hidden="1" outlineLevel="1">
      <c r="A503" s="853" t="s">
        <v>1402</v>
      </c>
      <c r="B503" s="702">
        <f>+VLOOKUP(A503,'Anlage 2a_Letztverbrauch'!$A$2259:$I$2625,9,FALSE)</f>
        <v>6312657.7199999997</v>
      </c>
      <c r="C503" s="88">
        <f>IFERROR(+VLOOKUP(A503,'Anlage 2a_Letztverbrauch'!$A$2797:$I$2816,4,FALSE),0)</f>
        <v>0</v>
      </c>
      <c r="D503" s="88">
        <v>0</v>
      </c>
      <c r="E503" s="88">
        <f t="shared" si="17"/>
        <v>6312657.7199999997</v>
      </c>
      <c r="F503" s="668">
        <f>+SUMIF('Anlage 2b_Korrekturen'!$B$700:$B$1160,A503,'Anlage 2b_Korrekturen'!$F$700:$F$1160)</f>
        <v>-39113.440000000002</v>
      </c>
      <c r="G503" s="928">
        <f t="shared" si="18"/>
        <v>6273544.2799999993</v>
      </c>
      <c r="H503" t="str">
        <f>+VLOOKUP(A503,'Anlage 2a_Letztverbrauch'!$A$415:$J$781,10,FALSE)</f>
        <v>Städtische Werke Netz + Service GmbH</v>
      </c>
    </row>
    <row r="504" spans="1:8" hidden="1" outlineLevel="1">
      <c r="A504" s="853" t="s">
        <v>1440</v>
      </c>
      <c r="B504" s="702">
        <f>+VLOOKUP(A504,'Anlage 2a_Letztverbrauch'!$A$2259:$I$2625,9,FALSE)</f>
        <v>697848.4</v>
      </c>
      <c r="C504" s="88">
        <f>IFERROR(+VLOOKUP(A504,'Anlage 2a_Letztverbrauch'!$A$2797:$I$2816,4,FALSE),0)</f>
        <v>0</v>
      </c>
      <c r="D504" s="88">
        <v>0</v>
      </c>
      <c r="E504" s="88">
        <f t="shared" si="17"/>
        <v>697848.4</v>
      </c>
      <c r="F504" s="668">
        <f>+SUMIF('Anlage 2b_Korrekturen'!$B$700:$B$1160,A504,'Anlage 2b_Korrekturen'!$F$700:$F$1160)</f>
        <v>0</v>
      </c>
      <c r="G504" s="928">
        <f t="shared" si="18"/>
        <v>697848.4</v>
      </c>
      <c r="H504" t="str">
        <f>+VLOOKUP(A504,'Anlage 2a_Letztverbrauch'!$A$415:$J$781,10,FALSE)</f>
        <v>Stadtwerke Bad Nauheim GmbH</v>
      </c>
    </row>
    <row r="505" spans="1:8" hidden="1" outlineLevel="1">
      <c r="A505" s="853" t="s">
        <v>1606</v>
      </c>
      <c r="B505" s="702">
        <f>+VLOOKUP(A505,'Anlage 2a_Letztverbrauch'!$A$2259:$I$2625,9,FALSE)</f>
        <v>142598.06</v>
      </c>
      <c r="C505" s="88">
        <f>IFERROR(+VLOOKUP(A505,'Anlage 2a_Letztverbrauch'!$A$2797:$I$2816,4,FALSE),0)</f>
        <v>0</v>
      </c>
      <c r="D505" s="88">
        <v>0</v>
      </c>
      <c r="E505" s="88">
        <f t="shared" si="17"/>
        <v>142598.06</v>
      </c>
      <c r="F505" s="668">
        <f>+SUMIF('Anlage 2b_Korrekturen'!$B$700:$B$1160,A505,'Anlage 2b_Korrekturen'!$F$700:$F$1160)</f>
        <v>0</v>
      </c>
      <c r="G505" s="928">
        <f t="shared" si="18"/>
        <v>142598.06</v>
      </c>
      <c r="H505" t="str">
        <f>+VLOOKUP(A505,'Anlage 2a_Letztverbrauch'!$A$415:$J$781,10,FALSE)</f>
        <v>KEW Karwendel Energie und Wasser GmbH</v>
      </c>
    </row>
    <row r="506" spans="1:8" hidden="1" outlineLevel="1">
      <c r="A506" s="853" t="s">
        <v>1408</v>
      </c>
      <c r="B506" s="702">
        <f>+VLOOKUP(A506,'Anlage 2a_Letztverbrauch'!$A$2259:$I$2625,9,FALSE)</f>
        <v>4979835.57</v>
      </c>
      <c r="C506" s="88">
        <f>IFERROR(+VLOOKUP(A506,'Anlage 2a_Letztverbrauch'!$A$2797:$I$2816,4,FALSE),0)</f>
        <v>0</v>
      </c>
      <c r="D506" s="88">
        <v>0</v>
      </c>
      <c r="E506" s="88">
        <f t="shared" si="17"/>
        <v>4979835.57</v>
      </c>
      <c r="F506" s="668">
        <f>+SUMIF('Anlage 2b_Korrekturen'!$B$700:$B$1160,A506,'Anlage 2b_Korrekturen'!$F$700:$F$1160)</f>
        <v>0</v>
      </c>
      <c r="G506" s="928">
        <f t="shared" si="18"/>
        <v>4979835.57</v>
      </c>
      <c r="H506" t="str">
        <f>+VLOOKUP(A506,'Anlage 2a_Letztverbrauch'!$A$415:$J$781,10,FALSE)</f>
        <v>Energie Waldeck-Frankenberg GmbH</v>
      </c>
    </row>
    <row r="507" spans="1:8" hidden="1" outlineLevel="1">
      <c r="A507" s="853" t="s">
        <v>1253</v>
      </c>
      <c r="B507" s="702">
        <f>+VLOOKUP(A507,'Anlage 2a_Letztverbrauch'!$A$2259:$I$2625,9,FALSE)</f>
        <v>62952.87</v>
      </c>
      <c r="C507" s="88">
        <f>IFERROR(+VLOOKUP(A507,'Anlage 2a_Letztverbrauch'!$A$2797:$I$2816,4,FALSE),0)</f>
        <v>0</v>
      </c>
      <c r="D507" s="88">
        <v>0</v>
      </c>
      <c r="E507" s="88">
        <f t="shared" si="17"/>
        <v>62952.87</v>
      </c>
      <c r="F507" s="668">
        <f>+SUMIF('Anlage 2b_Korrekturen'!$B$700:$B$1160,A507,'Anlage 2b_Korrekturen'!$F$700:$F$1160)</f>
        <v>-1150.3499999999999</v>
      </c>
      <c r="G507" s="928">
        <f t="shared" si="18"/>
        <v>61802.520000000004</v>
      </c>
      <c r="H507" t="str">
        <f>+VLOOKUP(A507,'Anlage 2a_Letztverbrauch'!$A$415:$J$781,10,FALSE)</f>
        <v>Gemeindewerke Bayerisch Gmain</v>
      </c>
    </row>
    <row r="508" spans="1:8" hidden="1" outlineLevel="1">
      <c r="A508" s="853" t="s">
        <v>1434</v>
      </c>
      <c r="B508" s="702">
        <f>+VLOOKUP(A508,'Anlage 2a_Letztverbrauch'!$A$2259:$I$2625,9,FALSE)</f>
        <v>734926.44</v>
      </c>
      <c r="C508" s="88">
        <f>IFERROR(+VLOOKUP(A508,'Anlage 2a_Letztverbrauch'!$A$2797:$I$2816,4,FALSE),0)</f>
        <v>0</v>
      </c>
      <c r="D508" s="88">
        <v>0</v>
      </c>
      <c r="E508" s="88">
        <f t="shared" si="17"/>
        <v>734926.44</v>
      </c>
      <c r="F508" s="668">
        <f>+SUMIF('Anlage 2b_Korrekturen'!$B$700:$B$1160,A508,'Anlage 2b_Korrekturen'!$F$700:$F$1160)</f>
        <v>0</v>
      </c>
      <c r="G508" s="928">
        <f t="shared" si="18"/>
        <v>734926.44</v>
      </c>
      <c r="H508" t="str">
        <f>+VLOOKUP(A508,'Anlage 2a_Letztverbrauch'!$A$415:$J$781,10,FALSE)</f>
        <v>Stadtwerke Traunstein GmbH &amp; Co. KG</v>
      </c>
    </row>
    <row r="509" spans="1:8" hidden="1" outlineLevel="1">
      <c r="A509" s="853" t="s">
        <v>1702</v>
      </c>
      <c r="B509" s="702">
        <f>+VLOOKUP(A509,'Anlage 2a_Letztverbrauch'!$A$2259:$I$2625,9,FALSE)</f>
        <v>178482.85</v>
      </c>
      <c r="C509" s="88">
        <f>IFERROR(+VLOOKUP(A509,'Anlage 2a_Letztverbrauch'!$A$2797:$I$2816,4,FALSE),0)</f>
        <v>0</v>
      </c>
      <c r="D509" s="88">
        <v>0</v>
      </c>
      <c r="E509" s="88">
        <f t="shared" si="17"/>
        <v>178482.85</v>
      </c>
      <c r="F509" s="668">
        <f>+SUMIF('Anlage 2b_Korrekturen'!$B$700:$B$1160,A509,'Anlage 2b_Korrekturen'!$F$700:$F$1160)</f>
        <v>0</v>
      </c>
      <c r="G509" s="928">
        <f t="shared" si="18"/>
        <v>178482.85</v>
      </c>
      <c r="H509" t="str">
        <f>+VLOOKUP(A509,'Anlage 2a_Letztverbrauch'!$A$415:$J$781,10,FALSE)</f>
        <v>Rothmoser GmbH &amp; Co. KG</v>
      </c>
    </row>
    <row r="510" spans="1:8" hidden="1" outlineLevel="1">
      <c r="A510" s="853" t="s">
        <v>1269</v>
      </c>
      <c r="B510" s="702">
        <f>+VLOOKUP(A510,'Anlage 2a_Letztverbrauch'!$A$2259:$I$2625,9,FALSE)</f>
        <v>286268.12</v>
      </c>
      <c r="C510" s="88">
        <f>IFERROR(+VLOOKUP(A510,'Anlage 2a_Letztverbrauch'!$A$2797:$I$2816,4,FALSE),0)</f>
        <v>0</v>
      </c>
      <c r="D510" s="88">
        <v>0</v>
      </c>
      <c r="E510" s="88">
        <f t="shared" si="17"/>
        <v>286268.12</v>
      </c>
      <c r="F510" s="668">
        <f>+SUMIF('Anlage 2b_Korrekturen'!$B$700:$B$1160,A510,'Anlage 2b_Korrekturen'!$F$700:$F$1160)</f>
        <v>0</v>
      </c>
      <c r="G510" s="928">
        <f t="shared" si="18"/>
        <v>286268.12</v>
      </c>
      <c r="H510" t="str">
        <f>+VLOOKUP(A510,'Anlage 2a_Letztverbrauch'!$A$415:$J$781,10,FALSE)</f>
        <v>Elektrizitäts-Werk Ottersberg</v>
      </c>
    </row>
    <row r="511" spans="1:8" hidden="1" outlineLevel="1">
      <c r="A511" s="853" t="s">
        <v>1259</v>
      </c>
      <c r="B511" s="702">
        <f>+VLOOKUP(A511,'Anlage 2a_Letztverbrauch'!$A$2259:$I$2625,9,FALSE)</f>
        <v>197365.59</v>
      </c>
      <c r="C511" s="88">
        <f>IFERROR(+VLOOKUP(A511,'Anlage 2a_Letztverbrauch'!$A$2797:$I$2816,4,FALSE),0)</f>
        <v>0</v>
      </c>
      <c r="D511" s="88">
        <v>0</v>
      </c>
      <c r="E511" s="88">
        <f t="shared" si="17"/>
        <v>197365.59</v>
      </c>
      <c r="F511" s="668">
        <f>+SUMIF('Anlage 2b_Korrekturen'!$B$700:$B$1160,A511,'Anlage 2b_Korrekturen'!$F$700:$F$1160)</f>
        <v>0</v>
      </c>
      <c r="G511" s="928">
        <f t="shared" si="18"/>
        <v>197365.59</v>
      </c>
      <c r="H511" t="str">
        <f>+VLOOKUP(A511,'Anlage 2a_Letztverbrauch'!$A$415:$J$781,10,FALSE)</f>
        <v>Stadtwerke Furth im Wald GmbH &amp; Co. KG</v>
      </c>
    </row>
    <row r="512" spans="1:8" hidden="1" outlineLevel="1">
      <c r="A512" s="853" t="s">
        <v>1470</v>
      </c>
      <c r="B512" s="702">
        <f>+VLOOKUP(A512,'Anlage 2a_Letztverbrauch'!$A$2259:$I$2625,9,FALSE)</f>
        <v>358275.11</v>
      </c>
      <c r="C512" s="88">
        <f>IFERROR(+VLOOKUP(A512,'Anlage 2a_Letztverbrauch'!$A$2797:$I$2816,4,FALSE),0)</f>
        <v>0</v>
      </c>
      <c r="D512" s="88">
        <v>0</v>
      </c>
      <c r="E512" s="88">
        <f t="shared" si="17"/>
        <v>358275.11</v>
      </c>
      <c r="F512" s="668">
        <f>+SUMIF('Anlage 2b_Korrekturen'!$B$700:$B$1160,A512,'Anlage 2b_Korrekturen'!$F$700:$F$1160)</f>
        <v>0</v>
      </c>
      <c r="G512" s="928">
        <f t="shared" si="18"/>
        <v>358275.11</v>
      </c>
      <c r="H512" t="str">
        <f>+VLOOKUP(A512,'Anlage 2a_Letztverbrauch'!$A$415:$J$781,10,FALSE)</f>
        <v>Eichsfelder Energie- und Wasserversorgungsgesellschaft mbH</v>
      </c>
    </row>
    <row r="513" spans="1:8" hidden="1" outlineLevel="1">
      <c r="A513" s="853" t="s">
        <v>1742</v>
      </c>
      <c r="B513" s="702">
        <f>+VLOOKUP(A513,'Anlage 2a_Letztverbrauch'!$A$2259:$I$2625,9,FALSE)</f>
        <v>207734.02</v>
      </c>
      <c r="C513" s="88">
        <f>IFERROR(+VLOOKUP(A513,'Anlage 2a_Letztverbrauch'!$A$2797:$I$2816,4,FALSE),0)</f>
        <v>0</v>
      </c>
      <c r="D513" s="88">
        <v>0</v>
      </c>
      <c r="E513" s="88">
        <f t="shared" si="17"/>
        <v>207734.02</v>
      </c>
      <c r="F513" s="668">
        <f>+SUMIF('Anlage 2b_Korrekturen'!$B$700:$B$1160,A513,'Anlage 2b_Korrekturen'!$F$700:$F$1160)</f>
        <v>0</v>
      </c>
      <c r="G513" s="928">
        <f t="shared" si="18"/>
        <v>207734.02</v>
      </c>
      <c r="H513" t="str">
        <f>+VLOOKUP(A513,'Anlage 2a_Letztverbrauch'!$A$415:$J$781,10,FALSE)</f>
        <v>Gemeindewerke Schönkirchen</v>
      </c>
    </row>
    <row r="514" spans="1:8" hidden="1" outlineLevel="1">
      <c r="A514" s="853" t="s">
        <v>1350</v>
      </c>
      <c r="B514" s="702">
        <f>+VLOOKUP(A514,'Anlage 2a_Letztverbrauch'!$A$2259:$I$2625,9,FALSE)</f>
        <v>332516.05</v>
      </c>
      <c r="C514" s="88">
        <f>IFERROR(+VLOOKUP(A514,'Anlage 2a_Letztverbrauch'!$A$2797:$I$2816,4,FALSE),0)</f>
        <v>0</v>
      </c>
      <c r="D514" s="88">
        <v>0</v>
      </c>
      <c r="E514" s="88">
        <f t="shared" si="17"/>
        <v>332516.05</v>
      </c>
      <c r="F514" s="668">
        <f>+SUMIF('Anlage 2b_Korrekturen'!$B$700:$B$1160,A514,'Anlage 2b_Korrekturen'!$F$700:$F$1160)</f>
        <v>0</v>
      </c>
      <c r="G514" s="928">
        <f t="shared" si="18"/>
        <v>332516.05</v>
      </c>
      <c r="H514" t="str">
        <f>+VLOOKUP(A514,'Anlage 2a_Letztverbrauch'!$A$415:$J$781,10,FALSE)</f>
        <v>E-Werk Schweiger OHG</v>
      </c>
    </row>
    <row r="515" spans="1:8" hidden="1" outlineLevel="1">
      <c r="A515" s="853" t="s">
        <v>1424</v>
      </c>
      <c r="B515" s="702">
        <f>+VLOOKUP(A515,'Anlage 2a_Letztverbrauch'!$A$2259:$I$2625,9,FALSE)</f>
        <v>493758.95</v>
      </c>
      <c r="C515" s="88">
        <f>IFERROR(+VLOOKUP(A515,'Anlage 2a_Letztverbrauch'!$A$2797:$I$2816,4,FALSE),0)</f>
        <v>0</v>
      </c>
      <c r="D515" s="88">
        <v>0</v>
      </c>
      <c r="E515" s="88">
        <f t="shared" si="17"/>
        <v>493758.95</v>
      </c>
      <c r="F515" s="668">
        <f>+SUMIF('Anlage 2b_Korrekturen'!$B$700:$B$1160,A515,'Anlage 2b_Korrekturen'!$F$700:$F$1160)</f>
        <v>0</v>
      </c>
      <c r="G515" s="928">
        <f t="shared" si="18"/>
        <v>493758.95</v>
      </c>
      <c r="H515" t="str">
        <f>+VLOOKUP(A515,'Anlage 2a_Letztverbrauch'!$A$415:$J$781,10,FALSE)</f>
        <v>Stadtwerke Herborn GmbH</v>
      </c>
    </row>
    <row r="516" spans="1:8" hidden="1" outlineLevel="1">
      <c r="A516" s="853" t="s">
        <v>1486</v>
      </c>
      <c r="B516" s="702">
        <f>+VLOOKUP(A516,'Anlage 2a_Letztverbrauch'!$A$2259:$I$2625,9,FALSE)</f>
        <v>433522.64</v>
      </c>
      <c r="C516" s="88">
        <f>IFERROR(+VLOOKUP(A516,'Anlage 2a_Letztverbrauch'!$A$2797:$I$2816,4,FALSE),0)</f>
        <v>0</v>
      </c>
      <c r="D516" s="88">
        <v>0</v>
      </c>
      <c r="E516" s="88">
        <f t="shared" si="17"/>
        <v>433522.64</v>
      </c>
      <c r="F516" s="668">
        <f>+SUMIF('Anlage 2b_Korrekturen'!$B$700:$B$1160,A516,'Anlage 2b_Korrekturen'!$F$700:$F$1160)</f>
        <v>1309.26</v>
      </c>
      <c r="G516" s="928">
        <f t="shared" si="18"/>
        <v>434831.9</v>
      </c>
      <c r="H516" t="str">
        <f>+VLOOKUP(A516,'Anlage 2a_Letztverbrauch'!$A$415:$J$781,10,FALSE)</f>
        <v>SWN Stadtwerke Neustadt GmbH (Coburg)</v>
      </c>
    </row>
    <row r="517" spans="1:8" hidden="1" outlineLevel="1">
      <c r="A517" s="853" t="s">
        <v>1532</v>
      </c>
      <c r="B517" s="702">
        <f>+VLOOKUP(A517,'Anlage 2a_Letztverbrauch'!$A$2259:$I$2625,9,FALSE)</f>
        <v>1361262.75</v>
      </c>
      <c r="C517" s="88">
        <f>IFERROR(+VLOOKUP(A517,'Anlage 2a_Letztverbrauch'!$A$2797:$I$2816,4,FALSE),0)</f>
        <v>0</v>
      </c>
      <c r="D517" s="88">
        <v>0</v>
      </c>
      <c r="E517" s="88">
        <f t="shared" si="17"/>
        <v>1361262.75</v>
      </c>
      <c r="F517" s="668">
        <f>+SUMIF('Anlage 2b_Korrekturen'!$B$700:$B$1160,A517,'Anlage 2b_Korrekturen'!$F$700:$F$1160)</f>
        <v>9135.26</v>
      </c>
      <c r="G517" s="928">
        <f t="shared" si="18"/>
        <v>1370398.01</v>
      </c>
      <c r="H517" t="str">
        <f>+VLOOKUP(A517,'Anlage 2a_Letztverbrauch'!$A$415:$J$781,10,FALSE)</f>
        <v>Stadtwerke Peine GmbH</v>
      </c>
    </row>
    <row r="518" spans="1:8" hidden="1" outlineLevel="1">
      <c r="A518" s="853" t="s">
        <v>1406</v>
      </c>
      <c r="B518" s="702">
        <f>+VLOOKUP(A518,'Anlage 2a_Letztverbrauch'!$A$2259:$I$2625,9,FALSE)</f>
        <v>203875.12</v>
      </c>
      <c r="C518" s="88">
        <f>IFERROR(+VLOOKUP(A518,'Anlage 2a_Letztverbrauch'!$A$2797:$I$2816,4,FALSE),0)</f>
        <v>0</v>
      </c>
      <c r="D518" s="88">
        <v>0</v>
      </c>
      <c r="E518" s="88">
        <f t="shared" si="17"/>
        <v>203875.12</v>
      </c>
      <c r="F518" s="668">
        <f>+SUMIF('Anlage 2b_Korrekturen'!$B$700:$B$1160,A518,'Anlage 2b_Korrekturen'!$F$700:$F$1160)</f>
        <v>0</v>
      </c>
      <c r="G518" s="928">
        <f t="shared" si="18"/>
        <v>203875.12</v>
      </c>
      <c r="H518" t="str">
        <f>+VLOOKUP(A518,'Anlage 2a_Letztverbrauch'!$A$415:$J$781,10,FALSE)</f>
        <v>Stadtwerke Langenzenn</v>
      </c>
    </row>
    <row r="519" spans="1:8" hidden="1" outlineLevel="1">
      <c r="A519" s="853" t="s">
        <v>1820</v>
      </c>
      <c r="B519" s="702">
        <f>+VLOOKUP(A519,'Anlage 2a_Letztverbrauch'!$A$2259:$I$2625,9,FALSE)</f>
        <v>1392095.29</v>
      </c>
      <c r="C519" s="88">
        <f>IFERROR(+VLOOKUP(A519,'Anlage 2a_Letztverbrauch'!$A$2797:$I$2816,4,FALSE),0)</f>
        <v>0</v>
      </c>
      <c r="D519" s="88">
        <v>0</v>
      </c>
      <c r="E519" s="88">
        <f t="shared" si="17"/>
        <v>1392095.29</v>
      </c>
      <c r="F519" s="668">
        <f>+SUMIF('Anlage 2b_Korrekturen'!$B$700:$B$1160,A519,'Anlage 2b_Korrekturen'!$F$700:$F$1160)</f>
        <v>-1474.1100000000001</v>
      </c>
      <c r="G519" s="928">
        <f t="shared" si="18"/>
        <v>1390621.18</v>
      </c>
      <c r="H519" t="str">
        <f>+VLOOKUP(A519,'Anlage 2a_Letztverbrauch'!$A$415:$J$781,10,FALSE)</f>
        <v>Stadtwerke Forchheim GmbH</v>
      </c>
    </row>
    <row r="520" spans="1:8" hidden="1" outlineLevel="1">
      <c r="A520" s="853" t="s">
        <v>1673</v>
      </c>
      <c r="B520" s="702">
        <f>+VLOOKUP(A520,'Anlage 2a_Letztverbrauch'!$A$2259:$I$2625,9,FALSE)</f>
        <v>922476.23</v>
      </c>
      <c r="C520" s="88">
        <f>IFERROR(+VLOOKUP(A520,'Anlage 2a_Letztverbrauch'!$A$2797:$I$2816,4,FALSE),0)</f>
        <v>0</v>
      </c>
      <c r="D520" s="88">
        <v>0</v>
      </c>
      <c r="E520" s="88">
        <f t="shared" si="17"/>
        <v>922476.23</v>
      </c>
      <c r="F520" s="668">
        <f>+SUMIF('Anlage 2b_Korrekturen'!$B$700:$B$1160,A520,'Anlage 2b_Korrekturen'!$F$700:$F$1160)</f>
        <v>0</v>
      </c>
      <c r="G520" s="928">
        <f t="shared" si="18"/>
        <v>922476.23</v>
      </c>
      <c r="H520" t="str">
        <f>+VLOOKUP(A520,'Anlage 2a_Letztverbrauch'!$A$415:$J$781,10,FALSE)</f>
        <v>Stadtwerke Winsen (Luhe) GmbH</v>
      </c>
    </row>
    <row r="521" spans="1:8" hidden="1" outlineLevel="1">
      <c r="A521" s="853" t="s">
        <v>1580</v>
      </c>
      <c r="B521" s="702">
        <f>+VLOOKUP(A521,'Anlage 2a_Letztverbrauch'!$A$2259:$I$2625,9,FALSE)</f>
        <v>600970.07999999996</v>
      </c>
      <c r="C521" s="88">
        <f>IFERROR(+VLOOKUP(A521,'Anlage 2a_Letztverbrauch'!$A$2797:$I$2816,4,FALSE),0)</f>
        <v>0</v>
      </c>
      <c r="D521" s="88">
        <v>0</v>
      </c>
      <c r="E521" s="88">
        <f t="shared" si="17"/>
        <v>600970.07999999996</v>
      </c>
      <c r="F521" s="668">
        <f>+SUMIF('Anlage 2b_Korrekturen'!$B$700:$B$1160,A521,'Anlage 2b_Korrekturen'!$F$700:$F$1160)</f>
        <v>11000.71</v>
      </c>
      <c r="G521" s="928">
        <f t="shared" si="18"/>
        <v>611970.78999999992</v>
      </c>
      <c r="H521" t="str">
        <f>+VLOOKUP(A521,'Anlage 2a_Letztverbrauch'!$A$415:$J$781,10,FALSE)</f>
        <v>Stadtwerke Waldkraiburg GmbH</v>
      </c>
    </row>
    <row r="522" spans="1:8" hidden="1" outlineLevel="1">
      <c r="A522" s="853" t="s">
        <v>1588</v>
      </c>
      <c r="B522" s="702">
        <f>+VLOOKUP(A522,'Anlage 2a_Letztverbrauch'!$A$2259:$I$2625,9,FALSE)</f>
        <v>1159046.8500000001</v>
      </c>
      <c r="C522" s="88">
        <f>IFERROR(+VLOOKUP(A522,'Anlage 2a_Letztverbrauch'!$A$2797:$I$2816,4,FALSE),0)</f>
        <v>0</v>
      </c>
      <c r="D522" s="88">
        <v>0</v>
      </c>
      <c r="E522" s="88">
        <f t="shared" si="17"/>
        <v>1159046.8500000001</v>
      </c>
      <c r="F522" s="668">
        <f>+SUMIF('Anlage 2b_Korrekturen'!$B$700:$B$1160,A522,'Anlage 2b_Korrekturen'!$F$700:$F$1160)</f>
        <v>-1966.5700000000002</v>
      </c>
      <c r="G522" s="928">
        <f t="shared" si="18"/>
        <v>1157080.28</v>
      </c>
      <c r="H522" t="str">
        <f>+VLOOKUP(A522,'Anlage 2a_Letztverbrauch'!$A$415:$J$781,10,FALSE)</f>
        <v>Stadtwerke Schwabach GmbH</v>
      </c>
    </row>
    <row r="523" spans="1:8" hidden="1" outlineLevel="1">
      <c r="A523" s="853" t="s">
        <v>1568</v>
      </c>
      <c r="B523" s="702">
        <f>+VLOOKUP(A523,'Anlage 2a_Letztverbrauch'!$A$2259:$I$2625,9,FALSE)</f>
        <v>68511.240000000005</v>
      </c>
      <c r="C523" s="88">
        <f>IFERROR(+VLOOKUP(A523,'Anlage 2a_Letztverbrauch'!$A$2797:$I$2816,4,FALSE),0)</f>
        <v>0</v>
      </c>
      <c r="D523" s="88">
        <v>0</v>
      </c>
      <c r="E523" s="88">
        <f t="shared" si="17"/>
        <v>68511.240000000005</v>
      </c>
      <c r="F523" s="668">
        <f>+SUMIF('Anlage 2b_Korrekturen'!$B$700:$B$1160,A523,'Anlage 2b_Korrekturen'!$F$700:$F$1160)</f>
        <v>1448.7800000000002</v>
      </c>
      <c r="G523" s="928">
        <f t="shared" si="18"/>
        <v>69960.02</v>
      </c>
      <c r="H523" t="str">
        <f>+VLOOKUP(A523,'Anlage 2a_Letztverbrauch'!$A$415:$J$781,10,FALSE)</f>
        <v>Stadtwerke Hollfeld</v>
      </c>
    </row>
    <row r="524" spans="1:8" hidden="1" outlineLevel="1">
      <c r="A524" s="853" t="s">
        <v>1482</v>
      </c>
      <c r="B524" s="702">
        <f>+VLOOKUP(A524,'Anlage 2a_Letztverbrauch'!$A$2259:$I$2625,9,FALSE)</f>
        <v>943766.85</v>
      </c>
      <c r="C524" s="88">
        <f>IFERROR(+VLOOKUP(A524,'Anlage 2a_Letztverbrauch'!$A$2797:$I$2816,4,FALSE),0)</f>
        <v>0</v>
      </c>
      <c r="D524" s="88">
        <v>0</v>
      </c>
      <c r="E524" s="88">
        <f t="shared" si="17"/>
        <v>943766.85</v>
      </c>
      <c r="F524" s="668">
        <f>+SUMIF('Anlage 2b_Korrekturen'!$B$700:$B$1160,A524,'Anlage 2b_Korrekturen'!$F$700:$F$1160)</f>
        <v>0</v>
      </c>
      <c r="G524" s="928">
        <f t="shared" si="18"/>
        <v>943766.85</v>
      </c>
      <c r="H524" t="str">
        <f>+VLOOKUP(A524,'Anlage 2a_Letztverbrauch'!$A$415:$J$781,10,FALSE)</f>
        <v>Stadtwerke Soltau GmbH &amp; Co. KG</v>
      </c>
    </row>
    <row r="525" spans="1:8" hidden="1" outlineLevel="1">
      <c r="A525" s="853" t="s">
        <v>1506</v>
      </c>
      <c r="B525" s="702">
        <f>+VLOOKUP(A525,'Anlage 2a_Letztverbrauch'!$A$2259:$I$2625,9,FALSE)</f>
        <v>612686.68000000005</v>
      </c>
      <c r="C525" s="88">
        <f>IFERROR(+VLOOKUP(A525,'Anlage 2a_Letztverbrauch'!$A$2797:$I$2816,4,FALSE),0)</f>
        <v>0</v>
      </c>
      <c r="D525" s="88">
        <v>0</v>
      </c>
      <c r="E525" s="88">
        <f t="shared" ref="E525:E588" si="19">B525+C525+D525</f>
        <v>612686.68000000005</v>
      </c>
      <c r="F525" s="668">
        <f>+SUMIF('Anlage 2b_Korrekturen'!$B$700:$B$1160,A525,'Anlage 2b_Korrekturen'!$F$700:$F$1160)</f>
        <v>-898.91000000000008</v>
      </c>
      <c r="G525" s="928">
        <f t="shared" ref="G525:G588" si="20">E525+F525</f>
        <v>611787.77</v>
      </c>
      <c r="H525" t="str">
        <f>+VLOOKUP(A525,'Anlage 2a_Letztverbrauch'!$A$415:$J$781,10,FALSE)</f>
        <v>Stadtwerke Schneverdingen-Neuenkirchen GmbH</v>
      </c>
    </row>
    <row r="526" spans="1:8" hidden="1" outlineLevel="1">
      <c r="A526" s="853" t="s">
        <v>1596</v>
      </c>
      <c r="B526" s="702">
        <f>+VLOOKUP(A526,'Anlage 2a_Letztverbrauch'!$A$2259:$I$2625,9,FALSE)</f>
        <v>456501.66</v>
      </c>
      <c r="C526" s="88">
        <f>IFERROR(+VLOOKUP(A526,'Anlage 2a_Letztverbrauch'!$A$2797:$I$2816,4,FALSE),0)</f>
        <v>0</v>
      </c>
      <c r="D526" s="88">
        <v>0</v>
      </c>
      <c r="E526" s="88">
        <f t="shared" si="19"/>
        <v>456501.66</v>
      </c>
      <c r="F526" s="668">
        <f>+SUMIF('Anlage 2b_Korrekturen'!$B$700:$B$1160,A526,'Anlage 2b_Korrekturen'!$F$700:$F$1160)</f>
        <v>0</v>
      </c>
      <c r="G526" s="928">
        <f t="shared" si="20"/>
        <v>456501.66</v>
      </c>
      <c r="H526" t="str">
        <f>+VLOOKUP(A526,'Anlage 2a_Letztverbrauch'!$A$415:$J$781,10,FALSE)</f>
        <v>Stadtwerke Landau a.d. Isar</v>
      </c>
    </row>
    <row r="527" spans="1:8" hidden="1" outlineLevel="1">
      <c r="A527" s="853" t="s">
        <v>1330</v>
      </c>
      <c r="B527" s="702">
        <f>+VLOOKUP(A527,'Anlage 2a_Letztverbrauch'!$A$2259:$I$2625,9,FALSE)</f>
        <v>1870357.38</v>
      </c>
      <c r="C527" s="88">
        <f>IFERROR(+VLOOKUP(A527,'Anlage 2a_Letztverbrauch'!$A$2797:$I$2816,4,FALSE),0)</f>
        <v>0</v>
      </c>
      <c r="D527" s="88">
        <v>0</v>
      </c>
      <c r="E527" s="88">
        <f t="shared" si="19"/>
        <v>1870357.38</v>
      </c>
      <c r="F527" s="668">
        <f>+SUMIF('Anlage 2b_Korrekturen'!$B$700:$B$1160,A527,'Anlage 2b_Korrekturen'!$F$700:$F$1160)</f>
        <v>10624.23</v>
      </c>
      <c r="G527" s="928">
        <f t="shared" si="20"/>
        <v>1880981.6099999999</v>
      </c>
      <c r="H527" t="str">
        <f>+VLOOKUP(A527,'Anlage 2a_Letztverbrauch'!$A$415:$J$781,10,FALSE)</f>
        <v>Stadtwerke Detmold GmbH</v>
      </c>
    </row>
    <row r="528" spans="1:8" hidden="1" outlineLevel="1">
      <c r="A528" s="853" t="s">
        <v>1746</v>
      </c>
      <c r="B528" s="702">
        <f>+VLOOKUP(A528,'Anlage 2a_Letztverbrauch'!$A$2259:$I$2625,9,FALSE)</f>
        <v>374097.57</v>
      </c>
      <c r="C528" s="88">
        <f>IFERROR(+VLOOKUP(A528,'Anlage 2a_Letztverbrauch'!$A$2797:$I$2816,4,FALSE),0)</f>
        <v>0</v>
      </c>
      <c r="D528" s="88">
        <v>0</v>
      </c>
      <c r="E528" s="88">
        <f t="shared" si="19"/>
        <v>374097.57</v>
      </c>
      <c r="F528" s="668">
        <f>+SUMIF('Anlage 2b_Korrekturen'!$B$700:$B$1160,A528,'Anlage 2b_Korrekturen'!$F$700:$F$1160)</f>
        <v>0</v>
      </c>
      <c r="G528" s="928">
        <f t="shared" si="20"/>
        <v>374097.57</v>
      </c>
      <c r="H528" t="str">
        <f>+VLOOKUP(A528,'Anlage 2a_Letztverbrauch'!$A$415:$J$781,10,FALSE)</f>
        <v>HEWA, Hersbrucker Energie- und Wasserversorgung GmbH</v>
      </c>
    </row>
    <row r="529" spans="1:8" hidden="1" outlineLevel="1">
      <c r="A529" s="853" t="s">
        <v>1390</v>
      </c>
      <c r="B529" s="702">
        <f>+VLOOKUP(A529,'Anlage 2a_Letztverbrauch'!$A$2259:$I$2625,9,FALSE)</f>
        <v>488322.17</v>
      </c>
      <c r="C529" s="88">
        <v>-509.86</v>
      </c>
      <c r="D529" s="88">
        <v>0</v>
      </c>
      <c r="E529" s="88">
        <f t="shared" si="19"/>
        <v>487812.31</v>
      </c>
      <c r="F529" s="668">
        <f>+SUMIF('Anlage 2b_Korrekturen'!$B$700:$B$1160,A529,'Anlage 2b_Korrekturen'!$F$700:$F$1160)</f>
        <v>6359.82</v>
      </c>
      <c r="G529" s="928">
        <f t="shared" si="20"/>
        <v>494172.13</v>
      </c>
      <c r="H529" t="str">
        <f>+VLOOKUP(A529,'Anlage 2a_Letztverbrauch'!$A$415:$J$781,10,FALSE)</f>
        <v>Energieversorgung Dahlenburg-Bleckede AG</v>
      </c>
    </row>
    <row r="530" spans="1:8" hidden="1" outlineLevel="1">
      <c r="A530" s="853" t="s">
        <v>1642</v>
      </c>
      <c r="B530" s="702">
        <f>+VLOOKUP(A530,'Anlage 2a_Letztverbrauch'!$A$2259:$I$2625,9,FALSE)</f>
        <v>923513.55</v>
      </c>
      <c r="C530" s="88">
        <f>IFERROR(+VLOOKUP(A530,'Anlage 2a_Letztverbrauch'!$A$2797:$I$2816,4,FALSE),0)</f>
        <v>0</v>
      </c>
      <c r="D530" s="88">
        <v>0</v>
      </c>
      <c r="E530" s="88">
        <f t="shared" si="19"/>
        <v>923513.55</v>
      </c>
      <c r="F530" s="668">
        <f>+SUMIF('Anlage 2b_Korrekturen'!$B$700:$B$1160,A530,'Anlage 2b_Korrekturen'!$F$700:$F$1160)</f>
        <v>0</v>
      </c>
      <c r="G530" s="928">
        <f t="shared" si="20"/>
        <v>923513.55</v>
      </c>
      <c r="H530" t="str">
        <f>+VLOOKUP(A530,'Anlage 2a_Letztverbrauch'!$A$415:$J$781,10,FALSE)</f>
        <v>Stadtwerke Buchholz in der Nordheide GmbH</v>
      </c>
    </row>
    <row r="531" spans="1:8" hidden="1" outlineLevel="1">
      <c r="A531" s="853" t="s">
        <v>1574</v>
      </c>
      <c r="B531" s="702">
        <f>+VLOOKUP(A531,'Anlage 2a_Letztverbrauch'!$A$2259:$I$2625,9,FALSE)</f>
        <v>331415.21000000002</v>
      </c>
      <c r="C531" s="88">
        <f>IFERROR(+VLOOKUP(A531,'Anlage 2a_Letztverbrauch'!$A$2797:$I$2816,4,FALSE),0)</f>
        <v>0</v>
      </c>
      <c r="D531" s="88">
        <v>0</v>
      </c>
      <c r="E531" s="88">
        <f t="shared" si="19"/>
        <v>331415.21000000002</v>
      </c>
      <c r="F531" s="668">
        <f>+SUMIF('Anlage 2b_Korrekturen'!$B$700:$B$1160,A531,'Anlage 2b_Korrekturen'!$F$700:$F$1160)</f>
        <v>0</v>
      </c>
      <c r="G531" s="928">
        <f t="shared" si="20"/>
        <v>331415.21000000002</v>
      </c>
      <c r="H531" t="str">
        <f>+VLOOKUP(A531,'Anlage 2a_Letztverbrauch'!$A$415:$J$781,10,FALSE)</f>
        <v>Stadtwerke Bebra GmbH</v>
      </c>
    </row>
    <row r="532" spans="1:8" hidden="1" outlineLevel="1">
      <c r="A532" s="853" t="s">
        <v>1229</v>
      </c>
      <c r="B532" s="702">
        <f>+VLOOKUP(A532,'Anlage 2a_Letztverbrauch'!$A$2259:$I$2625,9,FALSE)</f>
        <v>586447.62</v>
      </c>
      <c r="C532" s="88">
        <f>IFERROR(+VLOOKUP(A532,'Anlage 2a_Letztverbrauch'!$A$2797:$I$2816,4,FALSE),0)</f>
        <v>0</v>
      </c>
      <c r="D532" s="88">
        <v>0</v>
      </c>
      <c r="E532" s="88">
        <f t="shared" si="19"/>
        <v>586447.62</v>
      </c>
      <c r="F532" s="668">
        <f>+SUMIF('Anlage 2b_Korrekturen'!$B$700:$B$1160,A532,'Anlage 2b_Korrekturen'!$F$700:$F$1160)</f>
        <v>-895.24</v>
      </c>
      <c r="G532" s="928">
        <f t="shared" si="20"/>
        <v>585552.38</v>
      </c>
      <c r="H532" t="str">
        <f>+VLOOKUP(A532,'Anlage 2a_Letztverbrauch'!$A$415:$J$781,10,FALSE)</f>
        <v>Stadtwerke Bad Kissingen GmbH</v>
      </c>
    </row>
    <row r="533" spans="1:8" hidden="1" outlineLevel="1">
      <c r="A533" s="853" t="s">
        <v>1572</v>
      </c>
      <c r="B533" s="702">
        <f>+VLOOKUP(A533,'Anlage 2a_Letztverbrauch'!$A$2259:$I$2625,9,FALSE)</f>
        <v>784990.54</v>
      </c>
      <c r="C533" s="88">
        <f>IFERROR(+VLOOKUP(A533,'Anlage 2a_Letztverbrauch'!$A$2797:$I$2816,4,FALSE),0)</f>
        <v>0</v>
      </c>
      <c r="D533" s="88">
        <v>0</v>
      </c>
      <c r="E533" s="88">
        <f t="shared" si="19"/>
        <v>784990.54</v>
      </c>
      <c r="F533" s="668">
        <f>+SUMIF('Anlage 2b_Korrekturen'!$B$700:$B$1160,A533,'Anlage 2b_Korrekturen'!$F$700:$F$1160)</f>
        <v>3140.47</v>
      </c>
      <c r="G533" s="928">
        <f t="shared" si="20"/>
        <v>788131.01</v>
      </c>
      <c r="H533" t="str">
        <f>+VLOOKUP(A533,'Anlage 2a_Letztverbrauch'!$A$415:$J$781,10,FALSE)</f>
        <v>Stadtwerke Bad Vilbel GmbH</v>
      </c>
    </row>
    <row r="534" spans="1:8" hidden="1" outlineLevel="1">
      <c r="A534" s="853" t="s">
        <v>1436</v>
      </c>
      <c r="B534" s="702">
        <f>+VLOOKUP(A534,'Anlage 2a_Letztverbrauch'!$A$2259:$I$2625,9,FALSE)</f>
        <v>866926.58</v>
      </c>
      <c r="C534" s="88">
        <f>IFERROR(+VLOOKUP(A534,'Anlage 2a_Letztverbrauch'!$A$2797:$I$2816,4,FALSE),0)</f>
        <v>0</v>
      </c>
      <c r="D534" s="88">
        <v>0</v>
      </c>
      <c r="E534" s="88">
        <f t="shared" si="19"/>
        <v>866926.58</v>
      </c>
      <c r="F534" s="668">
        <f>+SUMIF('Anlage 2b_Korrekturen'!$B$700:$B$1160,A534,'Anlage 2b_Korrekturen'!$F$700:$F$1160)</f>
        <v>0</v>
      </c>
      <c r="G534" s="928">
        <f t="shared" si="20"/>
        <v>866926.58</v>
      </c>
      <c r="H534" t="str">
        <f>+VLOOKUP(A534,'Anlage 2a_Letztverbrauch'!$A$415:$J$781,10,FALSE)</f>
        <v>Stadtwerke Eschwege GmbH</v>
      </c>
    </row>
    <row r="535" spans="1:8" hidden="1" outlineLevel="1">
      <c r="A535" s="853" t="s">
        <v>1600</v>
      </c>
      <c r="B535" s="702">
        <f>+VLOOKUP(A535,'Anlage 2a_Letztverbrauch'!$A$2259:$I$2625,9,FALSE)</f>
        <v>493265.98</v>
      </c>
      <c r="C535" s="88">
        <f>IFERROR(+VLOOKUP(A535,'Anlage 2a_Letztverbrauch'!$A$2797:$I$2816,4,FALSE),0)</f>
        <v>0</v>
      </c>
      <c r="D535" s="88">
        <v>0</v>
      </c>
      <c r="E535" s="88">
        <f t="shared" si="19"/>
        <v>493265.98</v>
      </c>
      <c r="F535" s="668">
        <f>+SUMIF('Anlage 2b_Korrekturen'!$B$700:$B$1160,A535,'Anlage 2b_Korrekturen'!$F$700:$F$1160)</f>
        <v>0</v>
      </c>
      <c r="G535" s="928">
        <f t="shared" si="20"/>
        <v>493265.98</v>
      </c>
      <c r="H535" t="str">
        <f>+VLOOKUP(A535,'Anlage 2a_Letztverbrauch'!$A$415:$J$781,10,FALSE)</f>
        <v>Stadtwerk Haßfurt GmbH</v>
      </c>
    </row>
    <row r="536" spans="1:8" hidden="1" outlineLevel="1">
      <c r="A536" s="853" t="s">
        <v>1698</v>
      </c>
      <c r="B536" s="702">
        <f>+VLOOKUP(A536,'Anlage 2a_Letztverbrauch'!$A$2259:$I$2625,9,FALSE)</f>
        <v>759170.59</v>
      </c>
      <c r="C536" s="88">
        <f>IFERROR(+VLOOKUP(A536,'Anlage 2a_Letztverbrauch'!$A$2797:$I$2816,4,FALSE),0)</f>
        <v>0</v>
      </c>
      <c r="D536" s="88">
        <v>0</v>
      </c>
      <c r="E536" s="88">
        <f t="shared" si="19"/>
        <v>759170.59</v>
      </c>
      <c r="F536" s="668">
        <f>+SUMIF('Anlage 2b_Korrekturen'!$B$700:$B$1160,A536,'Anlage 2b_Korrekturen'!$F$700:$F$1160)</f>
        <v>2945.76</v>
      </c>
      <c r="G536" s="928">
        <f t="shared" si="20"/>
        <v>762116.35</v>
      </c>
      <c r="H536" t="str">
        <f>+VLOOKUP(A536,'Anlage 2a_Letztverbrauch'!$A$415:$J$781,10,FALSE)</f>
        <v>Stadtwerke Rotenburg (Wümme) GmbH</v>
      </c>
    </row>
    <row r="537" spans="1:8" hidden="1" outlineLevel="1">
      <c r="A537" s="853" t="s">
        <v>1616</v>
      </c>
      <c r="B537" s="702">
        <f>+VLOOKUP(A537,'Anlage 2a_Letztverbrauch'!$A$2259:$I$2625,9,FALSE)</f>
        <v>953608.46</v>
      </c>
      <c r="C537" s="88">
        <f>IFERROR(+VLOOKUP(A537,'Anlage 2a_Letztverbrauch'!$A$2797:$I$2816,4,FALSE),0)</f>
        <v>0</v>
      </c>
      <c r="D537" s="88">
        <v>0</v>
      </c>
      <c r="E537" s="88">
        <f t="shared" si="19"/>
        <v>953608.46</v>
      </c>
      <c r="F537" s="668">
        <f>+SUMIF('Anlage 2b_Korrekturen'!$B$700:$B$1160,A537,'Anlage 2b_Korrekturen'!$F$700:$F$1160)</f>
        <v>47755.35</v>
      </c>
      <c r="G537" s="928">
        <f t="shared" si="20"/>
        <v>1001363.8099999999</v>
      </c>
      <c r="H537" t="str">
        <f>+VLOOKUP(A537,'Anlage 2a_Letztverbrauch'!$A$415:$J$781,10,FALSE)</f>
        <v>Stadtwerke Einbeck GmbH</v>
      </c>
    </row>
    <row r="538" spans="1:8" hidden="1" outlineLevel="1">
      <c r="A538" s="853" t="s">
        <v>1604</v>
      </c>
      <c r="B538" s="702">
        <f>+VLOOKUP(A538,'Anlage 2a_Letztverbrauch'!$A$2259:$I$2625,9,FALSE)</f>
        <v>580436.68000000005</v>
      </c>
      <c r="C538" s="88">
        <f>IFERROR(+VLOOKUP(A538,'Anlage 2a_Letztverbrauch'!$A$2797:$I$2816,4,FALSE),0)</f>
        <v>-88626.71</v>
      </c>
      <c r="D538" s="88">
        <v>0</v>
      </c>
      <c r="E538" s="88">
        <f t="shared" si="19"/>
        <v>491809.97000000003</v>
      </c>
      <c r="F538" s="668">
        <f>+SUMIF('Anlage 2b_Korrekturen'!$B$700:$B$1160,A538,'Anlage 2b_Korrekturen'!$F$700:$F$1160)</f>
        <v>0</v>
      </c>
      <c r="G538" s="928">
        <f t="shared" si="20"/>
        <v>491809.97000000003</v>
      </c>
      <c r="H538" t="str">
        <f>+VLOOKUP(A538,'Anlage 2a_Letztverbrauch'!$A$415:$J$781,10,FALSE)</f>
        <v>Stadtwerke Hünfeld GmbH</v>
      </c>
    </row>
    <row r="539" spans="1:8" hidden="1" outlineLevel="1">
      <c r="A539" s="853" t="s">
        <v>1554</v>
      </c>
      <c r="B539" s="702">
        <f>+VLOOKUP(A539,'Anlage 2a_Letztverbrauch'!$A$2259:$I$2625,9,FALSE)</f>
        <v>235865.65</v>
      </c>
      <c r="C539" s="88">
        <f>IFERROR(+VLOOKUP(A539,'Anlage 2a_Letztverbrauch'!$A$2797:$I$2816,4,FALSE),0)</f>
        <v>0</v>
      </c>
      <c r="D539" s="88">
        <v>0</v>
      </c>
      <c r="E539" s="88">
        <f t="shared" si="19"/>
        <v>235865.65</v>
      </c>
      <c r="F539" s="668">
        <f>+SUMIF('Anlage 2b_Korrekturen'!$B$700:$B$1160,A539,'Anlage 2b_Korrekturen'!$F$700:$F$1160)</f>
        <v>976.66</v>
      </c>
      <c r="G539" s="928">
        <f t="shared" si="20"/>
        <v>236842.31</v>
      </c>
      <c r="H539" t="str">
        <f>+VLOOKUP(A539,'Anlage 2a_Letztverbrauch'!$A$415:$J$781,10,FALSE)</f>
        <v>Gemeindewerke Bovenden GmbH &amp; Co. KG</v>
      </c>
    </row>
    <row r="540" spans="1:8" hidden="1" outlineLevel="1">
      <c r="A540" s="853" t="s">
        <v>1679</v>
      </c>
      <c r="B540" s="702">
        <f>+VLOOKUP(A540,'Anlage 2a_Letztverbrauch'!$A$2259:$I$2625,9,FALSE)</f>
        <v>191803.51999999999</v>
      </c>
      <c r="C540" s="88">
        <f>IFERROR(+VLOOKUP(A540,'Anlage 2a_Letztverbrauch'!$A$2797:$I$2816,4,FALSE),0)</f>
        <v>0</v>
      </c>
      <c r="D540" s="88">
        <v>0</v>
      </c>
      <c r="E540" s="88">
        <f t="shared" si="19"/>
        <v>191803.51999999999</v>
      </c>
      <c r="F540" s="668">
        <f>+SUMIF('Anlage 2b_Korrekturen'!$B$700:$B$1160,A540,'Anlage 2b_Korrekturen'!$F$700:$F$1160)</f>
        <v>0</v>
      </c>
      <c r="G540" s="928">
        <f t="shared" si="20"/>
        <v>191803.51999999999</v>
      </c>
      <c r="H540" t="str">
        <f>+VLOOKUP(A540,'Anlage 2a_Letztverbrauch'!$A$415:$J$781,10,FALSE)</f>
        <v>Versorgungsbetriebe Bordesholm GmbH</v>
      </c>
    </row>
    <row r="541" spans="1:8" hidden="1" outlineLevel="1">
      <c r="A541" s="853" t="s">
        <v>1756</v>
      </c>
      <c r="B541" s="702">
        <f>+VLOOKUP(A541,'Anlage 2a_Letztverbrauch'!$A$2259:$I$2625,9,FALSE)</f>
        <v>7825241.3899999997</v>
      </c>
      <c r="C541" s="88">
        <f>IFERROR(+VLOOKUP(A541,'Anlage 2a_Letztverbrauch'!$A$2797:$I$2816,4,FALSE),0)</f>
        <v>0</v>
      </c>
      <c r="D541" s="88">
        <v>0</v>
      </c>
      <c r="E541" s="88">
        <f t="shared" si="19"/>
        <v>7825241.3899999997</v>
      </c>
      <c r="F541" s="668">
        <f>+SUMIF('Anlage 2b_Korrekturen'!$B$700:$B$1160,A541,'Anlage 2b_Korrekturen'!$F$700:$F$1160)</f>
        <v>227055.77000000002</v>
      </c>
      <c r="G541" s="928">
        <f t="shared" si="20"/>
        <v>8052297.1600000001</v>
      </c>
      <c r="H541" t="str">
        <f>+VLOOKUP(A541,'Anlage 2a_Letztverbrauch'!$A$415:$J$781,10,FALSE)</f>
        <v>TraveNetz GmbH (ehem. Netz Lübeck)</v>
      </c>
    </row>
    <row r="542" spans="1:8" hidden="1" outlineLevel="1">
      <c r="A542" s="853" t="s">
        <v>891</v>
      </c>
      <c r="B542" s="702">
        <f>+VLOOKUP(A542,'Anlage 2a_Letztverbrauch'!$A$2259:$I$2625,9,FALSE)</f>
        <v>169284.81</v>
      </c>
      <c r="C542" s="88">
        <f>IFERROR(+VLOOKUP(A542,'Anlage 2a_Letztverbrauch'!$A$2797:$I$2816,4,FALSE),0)</f>
        <v>0</v>
      </c>
      <c r="D542" s="88">
        <v>0</v>
      </c>
      <c r="E542" s="88">
        <f t="shared" si="19"/>
        <v>169284.81</v>
      </c>
      <c r="F542" s="668">
        <f>+SUMIF('Anlage 2b_Korrekturen'!$B$700:$B$1160,A542,'Anlage 2b_Korrekturen'!$F$700:$F$1160)</f>
        <v>0</v>
      </c>
      <c r="G542" s="928">
        <f t="shared" si="20"/>
        <v>169284.81</v>
      </c>
      <c r="H542" t="str">
        <f>+VLOOKUP(A542,'Anlage 2a_Letztverbrauch'!$A$415:$J$781,10,FALSE)</f>
        <v>Netzgesellschaft Gütersloh mbH</v>
      </c>
    </row>
    <row r="543" spans="1:8" hidden="1" outlineLevel="1">
      <c r="A543" s="853" t="s">
        <v>1336</v>
      </c>
      <c r="B543" s="702">
        <f>+VLOOKUP(A543,'Anlage 2a_Letztverbrauch'!$A$2259:$I$2625,9,FALSE)</f>
        <v>294435.63</v>
      </c>
      <c r="C543" s="88">
        <f>IFERROR(+VLOOKUP(A543,'Anlage 2a_Letztverbrauch'!$A$2797:$I$2816,4,FALSE),0)</f>
        <v>0</v>
      </c>
      <c r="D543" s="88">
        <v>0</v>
      </c>
      <c r="E543" s="88">
        <f t="shared" si="19"/>
        <v>294435.63</v>
      </c>
      <c r="F543" s="668">
        <f>+SUMIF('Anlage 2b_Korrekturen'!$B$700:$B$1160,A543,'Anlage 2b_Korrekturen'!$F$700:$F$1160)</f>
        <v>-1237.3699999999999</v>
      </c>
      <c r="G543" s="928">
        <f t="shared" si="20"/>
        <v>293198.26</v>
      </c>
      <c r="H543" t="str">
        <f>+VLOOKUP(A543,'Anlage 2a_Letztverbrauch'!$A$415:$J$781,10,FALSE)</f>
        <v>Stadtwerke Dorfen GmbH</v>
      </c>
    </row>
    <row r="544" spans="1:8" hidden="1" outlineLevel="1">
      <c r="A544" s="853" t="s">
        <v>1550</v>
      </c>
      <c r="B544" s="702">
        <f>+VLOOKUP(A544,'Anlage 2a_Letztverbrauch'!$A$2259:$I$2625,9,FALSE)</f>
        <v>268416.24</v>
      </c>
      <c r="C544" s="88">
        <f>IFERROR(+VLOOKUP(A544,'Anlage 2a_Letztverbrauch'!$A$2797:$I$2816,4,FALSE),0)</f>
        <v>0</v>
      </c>
      <c r="D544" s="88">
        <v>0</v>
      </c>
      <c r="E544" s="88">
        <f t="shared" si="19"/>
        <v>268416.24</v>
      </c>
      <c r="F544" s="668">
        <f>+SUMIF('Anlage 2b_Korrekturen'!$B$700:$B$1160,A544,'Anlage 2b_Korrekturen'!$F$700:$F$1160)</f>
        <v>0</v>
      </c>
      <c r="G544" s="928">
        <f t="shared" si="20"/>
        <v>268416.24</v>
      </c>
      <c r="H544" t="str">
        <f>+VLOOKUP(A544,'Anlage 2a_Letztverbrauch'!$A$415:$J$781,10,FALSE)</f>
        <v>Stadtwerke Münchberg</v>
      </c>
    </row>
    <row r="545" spans="1:8" hidden="1" outlineLevel="1">
      <c r="A545" s="853" t="s">
        <v>1528</v>
      </c>
      <c r="B545" s="702">
        <f>+VLOOKUP(A545,'Anlage 2a_Letztverbrauch'!$A$2259:$I$2625,9,FALSE)</f>
        <v>653967.21</v>
      </c>
      <c r="C545" s="88">
        <f>IFERROR(+VLOOKUP(A545,'Anlage 2a_Letztverbrauch'!$A$2797:$I$2816,4,FALSE),0)</f>
        <v>0</v>
      </c>
      <c r="D545" s="88">
        <v>0</v>
      </c>
      <c r="E545" s="88">
        <f t="shared" si="19"/>
        <v>653967.21</v>
      </c>
      <c r="F545" s="668">
        <f>+SUMIF('Anlage 2b_Korrekturen'!$B$700:$B$1160,A545,'Anlage 2b_Korrekturen'!$F$700:$F$1160)</f>
        <v>3577.84</v>
      </c>
      <c r="G545" s="928">
        <f t="shared" si="20"/>
        <v>657545.04999999993</v>
      </c>
      <c r="H545" t="str">
        <f>+VLOOKUP(A545,'Anlage 2a_Letztverbrauch'!$A$415:$J$781,10,FALSE)</f>
        <v>Schleswiger Stadtwerke GmbH</v>
      </c>
    </row>
    <row r="546" spans="1:8" hidden="1" outlineLevel="1">
      <c r="A546" s="853" t="s">
        <v>1360</v>
      </c>
      <c r="B546" s="702">
        <f>+VLOOKUP(A546,'Anlage 2a_Letztverbrauch'!$A$2259:$I$2625,9,FALSE)</f>
        <v>333463.17</v>
      </c>
      <c r="C546" s="88">
        <f>IFERROR(+VLOOKUP(A546,'Anlage 2a_Letztverbrauch'!$A$2797:$I$2816,4,FALSE),0)</f>
        <v>0</v>
      </c>
      <c r="D546" s="88">
        <v>0</v>
      </c>
      <c r="E546" s="88">
        <f t="shared" si="19"/>
        <v>333463.17</v>
      </c>
      <c r="F546" s="668">
        <f>+SUMIF('Anlage 2b_Korrekturen'!$B$700:$B$1160,A546,'Anlage 2b_Korrekturen'!$F$700:$F$1160)</f>
        <v>0</v>
      </c>
      <c r="G546" s="928">
        <f t="shared" si="20"/>
        <v>333463.17</v>
      </c>
      <c r="H546" t="str">
        <f>+VLOOKUP(A546,'Anlage 2a_Letztverbrauch'!$A$415:$J$781,10,FALSE)</f>
        <v>Stadtwerke Wasserburg a. Inn</v>
      </c>
    </row>
    <row r="547" spans="1:8" hidden="1" outlineLevel="1">
      <c r="A547" s="853" t="s">
        <v>1648</v>
      </c>
      <c r="B547" s="702">
        <f>+VLOOKUP(A547,'Anlage 2a_Letztverbrauch'!$A$2259:$I$2625,9,FALSE)</f>
        <v>960478.91</v>
      </c>
      <c r="C547" s="88">
        <f>IFERROR(+VLOOKUP(A547,'Anlage 2a_Letztverbrauch'!$A$2797:$I$2816,4,FALSE),0)</f>
        <v>0</v>
      </c>
      <c r="D547" s="88">
        <v>0</v>
      </c>
      <c r="E547" s="88">
        <f t="shared" si="19"/>
        <v>960478.91</v>
      </c>
      <c r="F547" s="668">
        <f>+SUMIF('Anlage 2b_Korrekturen'!$B$700:$B$1160,A547,'Anlage 2b_Korrekturen'!$F$700:$F$1160)</f>
        <v>-2350.89</v>
      </c>
      <c r="G547" s="928">
        <f t="shared" si="20"/>
        <v>958128.02</v>
      </c>
      <c r="H547" t="str">
        <f>+VLOOKUP(A547,'Anlage 2a_Letztverbrauch'!$A$415:$J$781,10,FALSE)</f>
        <v>Stadtwerke Bad Hersfeld GmbH</v>
      </c>
    </row>
    <row r="548" spans="1:8" hidden="1" outlineLevel="1">
      <c r="A548" s="853" t="s">
        <v>1494</v>
      </c>
      <c r="B548" s="702">
        <f>+VLOOKUP(A548,'Anlage 2a_Letztverbrauch'!$A$2259:$I$2625,9,FALSE)</f>
        <v>620985.15</v>
      </c>
      <c r="C548" s="88">
        <f>IFERROR(+VLOOKUP(A548,'Anlage 2a_Letztverbrauch'!$A$2797:$I$2816,4,FALSE),0)</f>
        <v>0</v>
      </c>
      <c r="D548" s="88">
        <v>0</v>
      </c>
      <c r="E548" s="88">
        <f t="shared" si="19"/>
        <v>620985.15</v>
      </c>
      <c r="F548" s="668">
        <f>+SUMIF('Anlage 2b_Korrekturen'!$B$700:$B$1160,A548,'Anlage 2b_Korrekturen'!$F$700:$F$1160)</f>
        <v>0</v>
      </c>
      <c r="G548" s="928">
        <f t="shared" si="20"/>
        <v>620985.15</v>
      </c>
      <c r="H548" t="str">
        <f>+VLOOKUP(A548,'Anlage 2a_Letztverbrauch'!$A$415:$J$781,10,FALSE)</f>
        <v>Stadtwerke Quickborn GmbH</v>
      </c>
    </row>
    <row r="549" spans="1:8" hidden="1" outlineLevel="1">
      <c r="A549" s="853" t="s">
        <v>1566</v>
      </c>
      <c r="B549" s="702">
        <f>+VLOOKUP(A549,'Anlage 2a_Letztverbrauch'!$A$2259:$I$2625,9,FALSE)</f>
        <v>481365.25</v>
      </c>
      <c r="C549" s="88">
        <f>IFERROR(+VLOOKUP(A549,'Anlage 2a_Letztverbrauch'!$A$2797:$I$2816,4,FALSE),0)</f>
        <v>0</v>
      </c>
      <c r="D549" s="88">
        <v>0</v>
      </c>
      <c r="E549" s="88">
        <f t="shared" si="19"/>
        <v>481365.25</v>
      </c>
      <c r="F549" s="668">
        <f>+SUMIF('Anlage 2b_Korrekturen'!$B$700:$B$1160,A549,'Anlage 2b_Korrekturen'!$F$700:$F$1160)</f>
        <v>-284.42</v>
      </c>
      <c r="G549" s="928">
        <f t="shared" si="20"/>
        <v>481080.83</v>
      </c>
      <c r="H549" t="str">
        <f>+VLOOKUP(A549,'Anlage 2a_Letztverbrauch'!$A$415:$J$781,10,FALSE)</f>
        <v>Stadtwerke Bad Reichenhall KU</v>
      </c>
    </row>
    <row r="550" spans="1:8" hidden="1" outlineLevel="1">
      <c r="A550" s="853" t="s">
        <v>1466</v>
      </c>
      <c r="B550" s="702">
        <f>+VLOOKUP(A550,'Anlage 2a_Letztverbrauch'!$A$2259:$I$2625,9,FALSE)</f>
        <v>1164293.18</v>
      </c>
      <c r="C550" s="88">
        <f>IFERROR(+VLOOKUP(A550,'Anlage 2a_Letztverbrauch'!$A$2797:$I$2816,4,FALSE),0)</f>
        <v>0</v>
      </c>
      <c r="D550" s="88">
        <v>0</v>
      </c>
      <c r="E550" s="88">
        <f t="shared" si="19"/>
        <v>1164293.18</v>
      </c>
      <c r="F550" s="668">
        <f>+SUMIF('Anlage 2b_Korrekturen'!$B$700:$B$1160,A550,'Anlage 2b_Korrekturen'!$F$700:$F$1160)</f>
        <v>0</v>
      </c>
      <c r="G550" s="928">
        <f t="shared" si="20"/>
        <v>1164293.18</v>
      </c>
      <c r="H550" t="str">
        <f>+VLOOKUP(A550,'Anlage 2a_Letztverbrauch'!$A$415:$J$781,10,FALSE)</f>
        <v>Stadtwerke Dachau</v>
      </c>
    </row>
    <row r="551" spans="1:8" hidden="1" outlineLevel="1">
      <c r="A551" s="853" t="s">
        <v>1772</v>
      </c>
      <c r="B551" s="702">
        <f>+VLOOKUP(A551,'Anlage 2a_Letztverbrauch'!$A$2259:$I$2625,9,FALSE)</f>
        <v>128678.03</v>
      </c>
      <c r="C551" s="88">
        <f>IFERROR(+VLOOKUP(A551,'Anlage 2a_Letztverbrauch'!$A$2797:$I$2816,4,FALSE),0)</f>
        <v>0</v>
      </c>
      <c r="D551" s="88">
        <v>0</v>
      </c>
      <c r="E551" s="88">
        <f t="shared" si="19"/>
        <v>128678.03</v>
      </c>
      <c r="F551" s="668">
        <f>+SUMIF('Anlage 2b_Korrekturen'!$B$700:$B$1160,A551,'Anlage 2b_Korrekturen'!$F$700:$F$1160)</f>
        <v>0</v>
      </c>
      <c r="G551" s="928">
        <f t="shared" si="20"/>
        <v>128678.03</v>
      </c>
      <c r="H551" t="str">
        <f>+VLOOKUP(A551,'Anlage 2a_Letztverbrauch'!$A$415:$J$781,10,FALSE)</f>
        <v>Stadtwerke Waldkirchen</v>
      </c>
    </row>
    <row r="552" spans="1:8" hidden="1" outlineLevel="1">
      <c r="A552" s="853" t="s">
        <v>1666</v>
      </c>
      <c r="B552" s="702">
        <f>+VLOOKUP(A552,'Anlage 2a_Letztverbrauch'!$A$2259:$I$2625,9,FALSE)</f>
        <v>20070755.810000002</v>
      </c>
      <c r="C552" s="88">
        <f>IFERROR(+VLOOKUP(A552,'Anlage 2a_Letztverbrauch'!$A$2797:$I$2816,4,FALSE),0)</f>
        <v>-85127.69</v>
      </c>
      <c r="D552" s="88">
        <v>0</v>
      </c>
      <c r="E552" s="88">
        <f t="shared" si="19"/>
        <v>19985628.120000001</v>
      </c>
      <c r="F552" s="668">
        <f>+SUMIF('Anlage 2b_Korrekturen'!$B$700:$B$1160,A552,'Anlage 2b_Korrekturen'!$F$700:$F$1160)</f>
        <v>-5904</v>
      </c>
      <c r="G552" s="928">
        <f t="shared" si="20"/>
        <v>19979724.120000001</v>
      </c>
      <c r="H552" t="str">
        <f>+VLOOKUP(A552,'Anlage 2a_Letztverbrauch'!$A$415:$J$781,10,FALSE)</f>
        <v>enercity Netz GmbH</v>
      </c>
    </row>
    <row r="553" spans="1:8" hidden="1" outlineLevel="1">
      <c r="A553" s="853" t="s">
        <v>1720</v>
      </c>
      <c r="B553" s="702">
        <f>+VLOOKUP(A553,'Anlage 2a_Letztverbrauch'!$A$2259:$I$2625,9,FALSE)</f>
        <v>2087907.86</v>
      </c>
      <c r="C553" s="88">
        <f>IFERROR(+VLOOKUP(A553,'Anlage 2a_Letztverbrauch'!$A$2797:$I$2816,4,FALSE),0)</f>
        <v>0</v>
      </c>
      <c r="D553" s="88">
        <v>0</v>
      </c>
      <c r="E553" s="88">
        <f t="shared" si="19"/>
        <v>2087907.86</v>
      </c>
      <c r="F553" s="668">
        <f>+SUMIF('Anlage 2b_Korrekturen'!$B$700:$B$1160,A553,'Anlage 2b_Korrekturen'!$F$700:$F$1160)</f>
        <v>0</v>
      </c>
      <c r="G553" s="928">
        <f t="shared" si="20"/>
        <v>2087907.86</v>
      </c>
      <c r="H553" t="str">
        <f>+VLOOKUP(A553,'Anlage 2a_Letztverbrauch'!$A$415:$J$781,10,FALSE)</f>
        <v>e-werk Sachsenwald GmbH (Reinbek-Wentorf)</v>
      </c>
    </row>
    <row r="554" spans="1:8" hidden="1" outlineLevel="1">
      <c r="A554" s="853" t="s">
        <v>2204</v>
      </c>
      <c r="B554" s="702">
        <f>+VLOOKUP(A554,'Anlage 2a_Letztverbrauch'!$A$2259:$I$2625,9,FALSE)</f>
        <v>18861.59</v>
      </c>
      <c r="C554" s="88">
        <f>IFERROR(+VLOOKUP(A554,'Anlage 2a_Letztverbrauch'!$A$2797:$I$2816,4,FALSE),0)</f>
        <v>0</v>
      </c>
      <c r="D554" s="88">
        <v>0</v>
      </c>
      <c r="E554" s="88">
        <f t="shared" si="19"/>
        <v>18861.59</v>
      </c>
      <c r="F554" s="668">
        <f>+SUMIF('Anlage 2b_Korrekturen'!$B$700:$B$1160,A554,'Anlage 2b_Korrekturen'!$F$700:$F$1160)</f>
        <v>0</v>
      </c>
      <c r="G554" s="928">
        <f t="shared" si="20"/>
        <v>18861.59</v>
      </c>
      <c r="H554" t="str">
        <f>+VLOOKUP(A554,'Anlage 2a_Letztverbrauch'!$A$415:$J$781,10,FALSE)</f>
        <v>Elektrizitäts- und Wasserversorgungsgenossenschaft Vagen  eG</v>
      </c>
    </row>
    <row r="555" spans="1:8" hidden="1" outlineLevel="1">
      <c r="A555" s="853" t="s">
        <v>1372</v>
      </c>
      <c r="B555" s="702">
        <f>+VLOOKUP(A555,'Anlage 2a_Letztverbrauch'!$A$2259:$I$2625,9,FALSE)</f>
        <v>307711.56</v>
      </c>
      <c r="C555" s="88">
        <f>IFERROR(+VLOOKUP(A555,'Anlage 2a_Letztverbrauch'!$A$2797:$I$2816,4,FALSE),0)</f>
        <v>0</v>
      </c>
      <c r="D555" s="88">
        <v>0</v>
      </c>
      <c r="E555" s="88">
        <f t="shared" si="19"/>
        <v>307711.56</v>
      </c>
      <c r="F555" s="668">
        <f>+SUMIF('Anlage 2b_Korrekturen'!$B$700:$B$1160,A555,'Anlage 2b_Korrekturen'!$F$700:$F$1160)</f>
        <v>0</v>
      </c>
      <c r="G555" s="928">
        <f t="shared" si="20"/>
        <v>307711.56</v>
      </c>
      <c r="H555" t="str">
        <f>+VLOOKUP(A555,'Anlage 2a_Letztverbrauch'!$A$415:$J$781,10,FALSE)</f>
        <v>Elektrizitätsgenossenschaft Vogling &amp; Angrenzer eG</v>
      </c>
    </row>
    <row r="556" spans="1:8" hidden="1" outlineLevel="1">
      <c r="A556" s="853" t="s">
        <v>1677</v>
      </c>
      <c r="B556" s="702">
        <f>+VLOOKUP(A556,'Anlage 2a_Letztverbrauch'!$A$2259:$I$2625,9,FALSE)</f>
        <v>888047.72</v>
      </c>
      <c r="C556" s="88">
        <f>IFERROR(+VLOOKUP(A556,'Anlage 2a_Letztverbrauch'!$A$2797:$I$2816,4,FALSE),0)</f>
        <v>0</v>
      </c>
      <c r="D556" s="88">
        <v>0</v>
      </c>
      <c r="E556" s="88">
        <f t="shared" si="19"/>
        <v>888047.72</v>
      </c>
      <c r="F556" s="668">
        <f>+SUMIF('Anlage 2b_Korrekturen'!$B$700:$B$1160,A556,'Anlage 2b_Korrekturen'!$F$700:$F$1160)</f>
        <v>0</v>
      </c>
      <c r="G556" s="928">
        <f t="shared" si="20"/>
        <v>888047.72</v>
      </c>
      <c r="H556" t="str">
        <f>+VLOOKUP(A556,'Anlage 2a_Letztverbrauch'!$A$415:$J$781,10,FALSE)</f>
        <v>Stadtwerke Munster-Bispingen GmbH</v>
      </c>
    </row>
    <row r="557" spans="1:8" hidden="1" outlineLevel="1">
      <c r="A557" s="853" t="s">
        <v>1456</v>
      </c>
      <c r="B557" s="702">
        <f>+VLOOKUP(A557,'Anlage 2a_Letztverbrauch'!$A$2259:$I$2625,9,FALSE)</f>
        <v>219037.56</v>
      </c>
      <c r="C557" s="88">
        <f>IFERROR(+VLOOKUP(A557,'Anlage 2a_Letztverbrauch'!$A$2797:$I$2816,4,FALSE),0)</f>
        <v>0</v>
      </c>
      <c r="D557" s="88">
        <v>0</v>
      </c>
      <c r="E557" s="88">
        <f t="shared" si="19"/>
        <v>219037.56</v>
      </c>
      <c r="F557" s="668">
        <f>+SUMIF('Anlage 2b_Korrekturen'!$B$700:$B$1160,A557,'Anlage 2b_Korrekturen'!$F$700:$F$1160)</f>
        <v>0</v>
      </c>
      <c r="G557" s="928">
        <f t="shared" si="20"/>
        <v>219037.56</v>
      </c>
      <c r="H557" t="str">
        <f>+VLOOKUP(A557,'Anlage 2a_Letztverbrauch'!$A$415:$J$781,10,FALSE)</f>
        <v>Energieversorgung Gemünden GmbH</v>
      </c>
    </row>
    <row r="558" spans="1:8" hidden="1" outlineLevel="1">
      <c r="A558" s="853" t="s">
        <v>1614</v>
      </c>
      <c r="B558" s="702">
        <f>+VLOOKUP(A558,'Anlage 2a_Letztverbrauch'!$A$2259:$I$2625,9,FALSE)</f>
        <v>1031135.42</v>
      </c>
      <c r="C558" s="88">
        <f>IFERROR(+VLOOKUP(A558,'Anlage 2a_Letztverbrauch'!$A$2797:$I$2816,4,FALSE),0)</f>
        <v>0</v>
      </c>
      <c r="D558" s="88">
        <v>0</v>
      </c>
      <c r="E558" s="88">
        <f t="shared" si="19"/>
        <v>1031135.42</v>
      </c>
      <c r="F558" s="668">
        <f>+SUMIF('Anlage 2b_Korrekturen'!$B$700:$B$1160,A558,'Anlage 2b_Korrekturen'!$F$700:$F$1160)</f>
        <v>21516.86</v>
      </c>
      <c r="G558" s="928">
        <f t="shared" si="20"/>
        <v>1052652.28</v>
      </c>
      <c r="H558" t="str">
        <f>+VLOOKUP(A558,'Anlage 2a_Letztverbrauch'!$A$415:$J$781,10,FALSE)</f>
        <v>Stadtwerke Uelzen GmbH</v>
      </c>
    </row>
    <row r="559" spans="1:8" hidden="1" outlineLevel="1">
      <c r="A559" s="853" t="s">
        <v>1314</v>
      </c>
      <c r="B559" s="702">
        <f>+VLOOKUP(A559,'Anlage 2a_Letztverbrauch'!$A$2259:$I$2625,9,FALSE)</f>
        <v>142867.03</v>
      </c>
      <c r="C559" s="88">
        <f>IFERROR(+VLOOKUP(A559,'Anlage 2a_Letztverbrauch'!$A$2797:$I$2816,4,FALSE),0)</f>
        <v>0</v>
      </c>
      <c r="D559" s="88">
        <v>0</v>
      </c>
      <c r="E559" s="88">
        <f t="shared" si="19"/>
        <v>142867.03</v>
      </c>
      <c r="F559" s="668">
        <f>+SUMIF('Anlage 2b_Korrekturen'!$B$700:$B$1160,A559,'Anlage 2b_Korrekturen'!$F$700:$F$1160)</f>
        <v>932.7700000000001</v>
      </c>
      <c r="G559" s="928">
        <f t="shared" si="20"/>
        <v>143799.79999999999</v>
      </c>
      <c r="H559" t="str">
        <f>+VLOOKUP(A559,'Anlage 2a_Letztverbrauch'!$A$415:$J$781,10,FALSE)</f>
        <v>Stadtwerke Wertheim GmbH</v>
      </c>
    </row>
    <row r="560" spans="1:8" hidden="1" outlineLevel="1">
      <c r="A560" s="853" t="s">
        <v>1291</v>
      </c>
      <c r="B560" s="702">
        <f>+VLOOKUP(A560,'Anlage 2a_Letztverbrauch'!$A$2259:$I$2625,9,FALSE)</f>
        <v>639643.56999999995</v>
      </c>
      <c r="C560" s="88">
        <f>IFERROR(+VLOOKUP(A560,'Anlage 2a_Letztverbrauch'!$A$2797:$I$2816,4,FALSE),0)</f>
        <v>0</v>
      </c>
      <c r="D560" s="88">
        <v>0</v>
      </c>
      <c r="E560" s="88">
        <f t="shared" si="19"/>
        <v>639643.56999999995</v>
      </c>
      <c r="F560" s="668">
        <f>+SUMIF('Anlage 2b_Korrekturen'!$B$700:$B$1160,A560,'Anlage 2b_Korrekturen'!$F$700:$F$1160)</f>
        <v>-830.27</v>
      </c>
      <c r="G560" s="928">
        <f t="shared" si="20"/>
        <v>638813.29999999993</v>
      </c>
      <c r="H560" t="str">
        <f>+VLOOKUP(A560,'Anlage 2a_Letztverbrauch'!$A$415:$J$781,10,FALSE)</f>
        <v>Stadtwerke Plattling</v>
      </c>
    </row>
    <row r="561" spans="1:8" hidden="1" outlineLevel="1">
      <c r="A561" s="853" t="s">
        <v>1279</v>
      </c>
      <c r="B561" s="702">
        <f>+VLOOKUP(A561,'Anlage 2a_Letztverbrauch'!$A$2259:$I$2625,9,FALSE)</f>
        <v>132651.34</v>
      </c>
      <c r="C561" s="88">
        <f>IFERROR(+VLOOKUP(A561,'Anlage 2a_Letztverbrauch'!$A$2797:$I$2816,4,FALSE),0)</f>
        <v>0</v>
      </c>
      <c r="D561" s="88">
        <v>0</v>
      </c>
      <c r="E561" s="88">
        <f t="shared" si="19"/>
        <v>132651.34</v>
      </c>
      <c r="F561" s="668">
        <f>+SUMIF('Anlage 2b_Korrekturen'!$B$700:$B$1160,A561,'Anlage 2b_Korrekturen'!$F$700:$F$1160)</f>
        <v>0</v>
      </c>
      <c r="G561" s="928">
        <f t="shared" si="20"/>
        <v>132651.34</v>
      </c>
      <c r="H561" t="str">
        <f>+VLOOKUP(A561,'Anlage 2a_Letztverbrauch'!$A$415:$J$781,10,FALSE)</f>
        <v>Cramer-Mühle GmbH &amp; Co. KG</v>
      </c>
    </row>
    <row r="562" spans="1:8" hidden="1" outlineLevel="1">
      <c r="A562" s="853" t="s">
        <v>1716</v>
      </c>
      <c r="B562" s="702">
        <f>+VLOOKUP(A562,'Anlage 2a_Letztverbrauch'!$A$2259:$I$2625,9,FALSE)</f>
        <v>83771.850000000006</v>
      </c>
      <c r="C562" s="88">
        <f>IFERROR(+VLOOKUP(A562,'Anlage 2a_Letztverbrauch'!$A$2797:$I$2816,4,FALSE),0)</f>
        <v>0</v>
      </c>
      <c r="D562" s="88">
        <v>0</v>
      </c>
      <c r="E562" s="88">
        <f t="shared" si="19"/>
        <v>83771.850000000006</v>
      </c>
      <c r="F562" s="668">
        <f>+SUMIF('Anlage 2b_Korrekturen'!$B$700:$B$1160,A562,'Anlage 2b_Korrekturen'!$F$700:$F$1160)</f>
        <v>-705.34999999999991</v>
      </c>
      <c r="G562" s="928">
        <f t="shared" si="20"/>
        <v>83066.5</v>
      </c>
      <c r="H562" t="str">
        <f>+VLOOKUP(A562,'Anlage 2a_Letztverbrauch'!$A$415:$J$781,10,FALSE)</f>
        <v>E-Werke Haniel Haimhausen GmbH &amp; Co. KG</v>
      </c>
    </row>
    <row r="563" spans="1:8" hidden="1" outlineLevel="1">
      <c r="A563" s="853" t="s">
        <v>1694</v>
      </c>
      <c r="B563" s="702">
        <f>+VLOOKUP(A563,'Anlage 2a_Letztverbrauch'!$A$2259:$I$2625,9,FALSE)</f>
        <v>1418561.28</v>
      </c>
      <c r="C563" s="88">
        <f>IFERROR(+VLOOKUP(A563,'Anlage 2a_Letztverbrauch'!$A$2797:$I$2816,4,FALSE),0)</f>
        <v>0</v>
      </c>
      <c r="D563" s="88">
        <v>0</v>
      </c>
      <c r="E563" s="88">
        <f t="shared" si="19"/>
        <v>1418561.28</v>
      </c>
      <c r="F563" s="668">
        <f>+SUMIF('Anlage 2b_Korrekturen'!$B$700:$B$1160,A563,'Anlage 2b_Korrekturen'!$F$700:$F$1160)</f>
        <v>0</v>
      </c>
      <c r="G563" s="928">
        <f t="shared" si="20"/>
        <v>1418561.28</v>
      </c>
      <c r="H563" t="str">
        <f>+VLOOKUP(A563,'Anlage 2a_Letztverbrauch'!$A$415:$J$781,10,FALSE)</f>
        <v>Stadtwerke Stade GmbH</v>
      </c>
    </row>
    <row r="564" spans="1:8" hidden="1" outlineLevel="1">
      <c r="A564" s="853" t="s">
        <v>1324</v>
      </c>
      <c r="B564" s="702">
        <f>+VLOOKUP(A564,'Anlage 2a_Letztverbrauch'!$A$2259:$I$2625,9,FALSE)</f>
        <v>238781.51</v>
      </c>
      <c r="C564" s="88">
        <f>IFERROR(+VLOOKUP(A564,'Anlage 2a_Letztverbrauch'!$A$2797:$I$2816,4,FALSE),0)</f>
        <v>0</v>
      </c>
      <c r="D564" s="88">
        <v>0</v>
      </c>
      <c r="E564" s="88">
        <f t="shared" si="19"/>
        <v>238781.51</v>
      </c>
      <c r="F564" s="668">
        <f>+SUMIF('Anlage 2b_Korrekturen'!$B$700:$B$1160,A564,'Anlage 2b_Korrekturen'!$F$700:$F$1160)</f>
        <v>-305.73</v>
      </c>
      <c r="G564" s="928">
        <f t="shared" si="20"/>
        <v>238475.78</v>
      </c>
      <c r="H564" t="str">
        <f>+VLOOKUP(A564,'Anlage 2a_Letztverbrauch'!$A$415:$J$781,10,FALSE)</f>
        <v>Stadtwerke Zwiesel</v>
      </c>
    </row>
    <row r="565" spans="1:8" hidden="1" outlineLevel="1">
      <c r="A565" s="853" t="s">
        <v>1730</v>
      </c>
      <c r="B565" s="702">
        <f>+VLOOKUP(A565,'Anlage 2a_Letztverbrauch'!$A$2259:$I$2625,9,FALSE)</f>
        <v>274097.07</v>
      </c>
      <c r="C565" s="88">
        <f>IFERROR(+VLOOKUP(A565,'Anlage 2a_Letztverbrauch'!$A$2797:$I$2816,4,FALSE),0)</f>
        <v>0</v>
      </c>
      <c r="D565" s="88">
        <v>0</v>
      </c>
      <c r="E565" s="88">
        <f t="shared" si="19"/>
        <v>274097.07</v>
      </c>
      <c r="F565" s="668">
        <f>+SUMIF('Anlage 2b_Korrekturen'!$B$700:$B$1160,A565,'Anlage 2b_Korrekturen'!$F$700:$F$1160)</f>
        <v>0</v>
      </c>
      <c r="G565" s="928">
        <f t="shared" si="20"/>
        <v>274097.07</v>
      </c>
      <c r="H565" t="str">
        <f>+VLOOKUP(A565,'Anlage 2a_Letztverbrauch'!$A$415:$J$781,10,FALSE)</f>
        <v>Stadtwerke Heilsbronn</v>
      </c>
    </row>
    <row r="566" spans="1:8" hidden="1" outlineLevel="1">
      <c r="A566" s="853" t="s">
        <v>1696</v>
      </c>
      <c r="B566" s="702">
        <f>+VLOOKUP(A566,'Anlage 2a_Letztverbrauch'!$A$2259:$I$2625,9,FALSE)</f>
        <v>50117.55</v>
      </c>
      <c r="C566" s="88">
        <f>IFERROR(+VLOOKUP(A566,'Anlage 2a_Letztverbrauch'!$A$2797:$I$2816,4,FALSE),0)</f>
        <v>0</v>
      </c>
      <c r="D566" s="88">
        <v>0</v>
      </c>
      <c r="E566" s="88">
        <f t="shared" si="19"/>
        <v>50117.55</v>
      </c>
      <c r="F566" s="668">
        <f>+SUMIF('Anlage 2b_Korrekturen'!$B$700:$B$1160,A566,'Anlage 2b_Korrekturen'!$F$700:$F$1160)</f>
        <v>-20.6</v>
      </c>
      <c r="G566" s="928">
        <f t="shared" si="20"/>
        <v>50096.950000000004</v>
      </c>
      <c r="H566" t="str">
        <f>+VLOOKUP(A566,'Anlage 2a_Letztverbrauch'!$A$415:$J$781,10,FALSE)</f>
        <v>Elektrizitätsgenossenschaft Ohlstadt e. G.</v>
      </c>
    </row>
    <row r="567" spans="1:8" hidden="1" outlineLevel="1">
      <c r="A567" s="853" t="s">
        <v>1726</v>
      </c>
      <c r="B567" s="702">
        <f>+VLOOKUP(A567,'Anlage 2a_Letztverbrauch'!$A$2259:$I$2625,9,FALSE)</f>
        <v>272116.27</v>
      </c>
      <c r="C567" s="88">
        <f>IFERROR(+VLOOKUP(A567,'Anlage 2a_Letztverbrauch'!$A$2797:$I$2816,4,FALSE),0)</f>
        <v>0</v>
      </c>
      <c r="D567" s="88">
        <v>0</v>
      </c>
      <c r="E567" s="88">
        <f t="shared" si="19"/>
        <v>272116.27</v>
      </c>
      <c r="F567" s="668">
        <f>+SUMIF('Anlage 2b_Korrekturen'!$B$700:$B$1160,A567,'Anlage 2b_Korrekturen'!$F$700:$F$1160)</f>
        <v>777.68999999999994</v>
      </c>
      <c r="G567" s="928">
        <f t="shared" si="20"/>
        <v>272893.96000000002</v>
      </c>
      <c r="H567" t="str">
        <f>+VLOOKUP(A567,'Anlage 2a_Letztverbrauch'!$A$415:$J$781,10,FALSE)</f>
        <v>Stadtwerke Glückstadt GmbH</v>
      </c>
    </row>
    <row r="568" spans="1:8" hidden="1" outlineLevel="1">
      <c r="A568" s="853" t="s">
        <v>1281</v>
      </c>
      <c r="B568" s="702">
        <f>+VLOOKUP(A568,'Anlage 2a_Letztverbrauch'!$A$2259:$I$2625,9,FALSE)</f>
        <v>131269.66</v>
      </c>
      <c r="C568" s="88">
        <f>IFERROR(+VLOOKUP(A568,'Anlage 2a_Letztverbrauch'!$A$2797:$I$2816,4,FALSE),0)</f>
        <v>0</v>
      </c>
      <c r="D568" s="88">
        <v>0</v>
      </c>
      <c r="E568" s="88">
        <f t="shared" si="19"/>
        <v>131269.66</v>
      </c>
      <c r="F568" s="668">
        <f>+SUMIF('Anlage 2b_Korrekturen'!$B$700:$B$1160,A568,'Anlage 2b_Korrekturen'!$F$700:$F$1160)</f>
        <v>0</v>
      </c>
      <c r="G568" s="928">
        <f t="shared" si="20"/>
        <v>131269.66</v>
      </c>
      <c r="H568" t="str">
        <f>+VLOOKUP(A568,'Anlage 2a_Letztverbrauch'!$A$415:$J$781,10,FALSE)</f>
        <v>Stadtwerke Hammelburg GmbH</v>
      </c>
    </row>
    <row r="569" spans="1:8" hidden="1" outlineLevel="1">
      <c r="A569" s="853" t="s">
        <v>1802</v>
      </c>
      <c r="B569" s="702">
        <f>+VLOOKUP(A569,'Anlage 2a_Letztverbrauch'!$A$2259:$I$2625,9,FALSE)</f>
        <v>70062.73</v>
      </c>
      <c r="C569" s="88">
        <f>IFERROR(+VLOOKUP(A569,'Anlage 2a_Letztverbrauch'!$A$2797:$I$2816,4,FALSE),0)</f>
        <v>0</v>
      </c>
      <c r="D569" s="88">
        <v>0</v>
      </c>
      <c r="E569" s="88">
        <f t="shared" si="19"/>
        <v>70062.73</v>
      </c>
      <c r="F569" s="668">
        <f>+SUMIF('Anlage 2b_Korrekturen'!$B$700:$B$1160,A569,'Anlage 2b_Korrekturen'!$F$700:$F$1160)</f>
        <v>-63.93</v>
      </c>
      <c r="G569" s="928">
        <f t="shared" si="20"/>
        <v>69998.8</v>
      </c>
      <c r="H569" t="str">
        <f>+VLOOKUP(A569,'Anlage 2a_Letztverbrauch'!$A$415:$J$781,10,FALSE)</f>
        <v>Kommunalunternehmen Stadtwerke Klingenberg (AöR)</v>
      </c>
    </row>
    <row r="570" spans="1:8" hidden="1" outlineLevel="1">
      <c r="A570" s="853" t="s">
        <v>1418</v>
      </c>
      <c r="B570" s="702">
        <f>+VLOOKUP(A570,'Anlage 2a_Letztverbrauch'!$A$2259:$I$2625,9,FALSE)</f>
        <v>227296.97</v>
      </c>
      <c r="C570" s="88">
        <f>IFERROR(+VLOOKUP(A570,'Anlage 2a_Letztverbrauch'!$A$2797:$I$2816,4,FALSE),0)</f>
        <v>0</v>
      </c>
      <c r="D570" s="88">
        <v>0</v>
      </c>
      <c r="E570" s="88">
        <f t="shared" si="19"/>
        <v>227296.97</v>
      </c>
      <c r="F570" s="668">
        <f>+SUMIF('Anlage 2b_Korrekturen'!$B$700:$B$1160,A570,'Anlage 2b_Korrekturen'!$F$700:$F$1160)</f>
        <v>0</v>
      </c>
      <c r="G570" s="928">
        <f t="shared" si="20"/>
        <v>227296.97</v>
      </c>
      <c r="H570" t="str">
        <f>+VLOOKUP(A570,'Anlage 2a_Letztverbrauch'!$A$415:$J$781,10,FALSE)</f>
        <v>Stadtwerke Tirschenreuth</v>
      </c>
    </row>
    <row r="571" spans="1:8" hidden="1" outlineLevel="1">
      <c r="A571" s="853" t="s">
        <v>1338</v>
      </c>
      <c r="B571" s="702">
        <f>+VLOOKUP(A571,'Anlage 2a_Letztverbrauch'!$A$2259:$I$2625,9,FALSE)</f>
        <v>172763.49</v>
      </c>
      <c r="C571" s="88">
        <f>IFERROR(+VLOOKUP(A571,'Anlage 2a_Letztverbrauch'!$A$2797:$I$2816,4,FALSE),0)</f>
        <v>0</v>
      </c>
      <c r="D571" s="88">
        <v>0</v>
      </c>
      <c r="E571" s="88">
        <f t="shared" si="19"/>
        <v>172763.49</v>
      </c>
      <c r="F571" s="668">
        <f>+SUMIF('Anlage 2b_Korrekturen'!$B$700:$B$1160,A571,'Anlage 2b_Korrekturen'!$F$700:$F$1160)</f>
        <v>0</v>
      </c>
      <c r="G571" s="928">
        <f t="shared" si="20"/>
        <v>172763.49</v>
      </c>
      <c r="H571" t="str">
        <f>+VLOOKUP(A571,'Anlage 2a_Letztverbrauch'!$A$415:$J$781,10,FALSE)</f>
        <v>Stadtwerke Uslar GmbH</v>
      </c>
    </row>
    <row r="572" spans="1:8" hidden="1" outlineLevel="1">
      <c r="A572" s="853" t="s">
        <v>1316</v>
      </c>
      <c r="B572" s="702">
        <f>+VLOOKUP(A572,'Anlage 2a_Letztverbrauch'!$A$2259:$I$2625,9,FALSE)</f>
        <v>3076983.58</v>
      </c>
      <c r="C572" s="88">
        <f>IFERROR(+VLOOKUP(A572,'Anlage 2a_Letztverbrauch'!$A$2797:$I$2816,4,FALSE),0)</f>
        <v>0</v>
      </c>
      <c r="D572" s="88">
        <v>0</v>
      </c>
      <c r="E572" s="88">
        <f t="shared" si="19"/>
        <v>3076983.58</v>
      </c>
      <c r="F572" s="668">
        <f>+SUMIF('Anlage 2b_Korrekturen'!$B$700:$B$1160,A572,'Anlage 2b_Korrekturen'!$F$700:$F$1160)</f>
        <v>-14924.39</v>
      </c>
      <c r="G572" s="928">
        <f t="shared" si="20"/>
        <v>3062059.19</v>
      </c>
      <c r="H572" t="str">
        <f>+VLOOKUP(A572,'Anlage 2a_Letztverbrauch'!$A$415:$J$781,10,FALSE)</f>
        <v>Stadtwerke Flensburg GmbH</v>
      </c>
    </row>
    <row r="573" spans="1:8" hidden="1" outlineLevel="1">
      <c r="A573" s="853" t="s">
        <v>1289</v>
      </c>
      <c r="B573" s="702">
        <f>+VLOOKUP(A573,'Anlage 2a_Letztverbrauch'!$A$2259:$I$2625,9,FALSE)</f>
        <v>667503.48</v>
      </c>
      <c r="C573" s="88">
        <f>IFERROR(+VLOOKUP(A573,'Anlage 2a_Letztverbrauch'!$A$2797:$I$2816,4,FALSE),0)</f>
        <v>0</v>
      </c>
      <c r="D573" s="88">
        <v>0</v>
      </c>
      <c r="E573" s="88">
        <f t="shared" si="19"/>
        <v>667503.48</v>
      </c>
      <c r="F573" s="668">
        <f>+SUMIF('Anlage 2b_Korrekturen'!$B$700:$B$1160,A573,'Anlage 2b_Korrekturen'!$F$700:$F$1160)</f>
        <v>0</v>
      </c>
      <c r="G573" s="928">
        <f t="shared" si="20"/>
        <v>667503.48</v>
      </c>
      <c r="H573" t="str">
        <f>+VLOOKUP(A573,'Anlage 2a_Letztverbrauch'!$A$415:$J$781,10,FALSE)</f>
        <v>Versorgungsbetriebe Hann. Münden GmbH</v>
      </c>
    </row>
    <row r="574" spans="1:8" hidden="1" outlineLevel="1">
      <c r="A574" s="853" t="s">
        <v>1476</v>
      </c>
      <c r="B574" s="702">
        <f>+VLOOKUP(A574,'Anlage 2a_Letztverbrauch'!$A$2259:$I$2625,9,FALSE)</f>
        <v>1075210</v>
      </c>
      <c r="C574" s="88">
        <f>IFERROR(+VLOOKUP(A574,'Anlage 2a_Letztverbrauch'!$A$2797:$I$2816,4,FALSE),0)</f>
        <v>0</v>
      </c>
      <c r="D574" s="88">
        <v>0</v>
      </c>
      <c r="E574" s="88">
        <f t="shared" si="19"/>
        <v>1075210</v>
      </c>
      <c r="F574" s="668">
        <f>+SUMIF('Anlage 2b_Korrekturen'!$B$700:$B$1160,A574,'Anlage 2b_Korrekturen'!$F$700:$F$1160)</f>
        <v>-4185.22</v>
      </c>
      <c r="G574" s="928">
        <f t="shared" si="20"/>
        <v>1071024.78</v>
      </c>
      <c r="H574" t="str">
        <f>+VLOOKUP(A574,'Anlage 2a_Letztverbrauch'!$A$415:$J$781,10,FALSE)</f>
        <v>Stadtwerke Itzehoe GmbH</v>
      </c>
    </row>
    <row r="575" spans="1:8" hidden="1" outlineLevel="1">
      <c r="A575" s="853" t="s">
        <v>2206</v>
      </c>
      <c r="B575" s="702">
        <f>+VLOOKUP(A575,'Anlage 2a_Letztverbrauch'!$A$2259:$I$2625,9,FALSE)</f>
        <v>26288.35</v>
      </c>
      <c r="C575" s="88">
        <f>IFERROR(+VLOOKUP(A575,'Anlage 2a_Letztverbrauch'!$A$2797:$I$2816,4,FALSE),0)</f>
        <v>0</v>
      </c>
      <c r="D575" s="88">
        <v>0</v>
      </c>
      <c r="E575" s="88">
        <f t="shared" si="19"/>
        <v>26288.35</v>
      </c>
      <c r="F575" s="668">
        <f>+SUMIF('Anlage 2b_Korrekturen'!$B$700:$B$1160,A575,'Anlage 2b_Korrekturen'!$F$700:$F$1160)</f>
        <v>0</v>
      </c>
      <c r="G575" s="928">
        <f t="shared" si="20"/>
        <v>26288.35</v>
      </c>
      <c r="H575" t="str">
        <f>+VLOOKUP(A575,'Anlage 2a_Letztverbrauch'!$A$415:$J$781,10,FALSE)</f>
        <v>Gemeindewerke Stammbach Kommunalunternehmen AdöR</v>
      </c>
    </row>
    <row r="576" spans="1:8" hidden="1" outlineLevel="1">
      <c r="A576" s="853" t="s">
        <v>1708</v>
      </c>
      <c r="B576" s="702">
        <f>+VLOOKUP(A576,'Anlage 2a_Letztverbrauch'!$A$2259:$I$2625,9,FALSE)</f>
        <v>228991.8</v>
      </c>
      <c r="C576" s="88">
        <f>IFERROR(+VLOOKUP(A576,'Anlage 2a_Letztverbrauch'!$A$2797:$I$2816,4,FALSE),0)</f>
        <v>0</v>
      </c>
      <c r="D576" s="88">
        <v>0</v>
      </c>
      <c r="E576" s="88">
        <f t="shared" si="19"/>
        <v>228991.8</v>
      </c>
      <c r="F576" s="668">
        <f>+SUMIF('Anlage 2b_Korrekturen'!$B$700:$B$1160,A576,'Anlage 2b_Korrekturen'!$F$700:$F$1160)</f>
        <v>0</v>
      </c>
      <c r="G576" s="928">
        <f t="shared" si="20"/>
        <v>228991.8</v>
      </c>
      <c r="H576" t="str">
        <f>+VLOOKUP(A576,'Anlage 2a_Letztverbrauch'!$A$415:$J$781,10,FALSE)</f>
        <v>Stadtwerke Bad Neustadt a. d. Saale</v>
      </c>
    </row>
    <row r="577" spans="1:8" hidden="1" outlineLevel="1">
      <c r="A577" s="853" t="s">
        <v>1638</v>
      </c>
      <c r="B577" s="702">
        <f>+VLOOKUP(A577,'Anlage 2a_Letztverbrauch'!$A$2259:$I$2625,9,FALSE)</f>
        <v>417951.27</v>
      </c>
      <c r="C577" s="88">
        <f>IFERROR(+VLOOKUP(A577,'Anlage 2a_Letztverbrauch'!$A$2797:$I$2816,4,FALSE),0)</f>
        <v>0</v>
      </c>
      <c r="D577" s="88">
        <v>0</v>
      </c>
      <c r="E577" s="88">
        <f t="shared" si="19"/>
        <v>417951.27</v>
      </c>
      <c r="F577" s="668">
        <f>+SUMIF('Anlage 2b_Korrekturen'!$B$700:$B$1160,A577,'Anlage 2b_Korrekturen'!$F$700:$F$1160)</f>
        <v>-318.77000000000004</v>
      </c>
      <c r="G577" s="928">
        <f t="shared" si="20"/>
        <v>417632.5</v>
      </c>
      <c r="H577" t="str">
        <f>+VLOOKUP(A577,'Anlage 2a_Letztverbrauch'!$A$415:$J$781,10,FALSE)</f>
        <v>Stadtwerke Vilshofen GmbH</v>
      </c>
    </row>
    <row r="578" spans="1:8" hidden="1" outlineLevel="1">
      <c r="A578" s="853" t="s">
        <v>1624</v>
      </c>
      <c r="B578" s="702">
        <f>+VLOOKUP(A578,'Anlage 2a_Letztverbrauch'!$A$2259:$I$2625,9,FALSE)</f>
        <v>304683.90999999997</v>
      </c>
      <c r="C578" s="88">
        <f>IFERROR(+VLOOKUP(A578,'Anlage 2a_Letztverbrauch'!$A$2797:$I$2816,4,FALSE),0)</f>
        <v>0</v>
      </c>
      <c r="D578" s="88">
        <v>0</v>
      </c>
      <c r="E578" s="88">
        <f t="shared" si="19"/>
        <v>304683.90999999997</v>
      </c>
      <c r="F578" s="668">
        <f>+SUMIF('Anlage 2b_Korrekturen'!$B$700:$B$1160,A578,'Anlage 2b_Korrekturen'!$F$700:$F$1160)</f>
        <v>800.68999999999994</v>
      </c>
      <c r="G578" s="928">
        <f t="shared" si="20"/>
        <v>305484.59999999998</v>
      </c>
      <c r="H578" t="str">
        <f>+VLOOKUP(A578,'Anlage 2a_Letztverbrauch'!$A$415:$J$781,10,FALSE)</f>
        <v>Gemeindewerke Georgensgmünd</v>
      </c>
    </row>
    <row r="579" spans="1:8" hidden="1" outlineLevel="1">
      <c r="A579" s="853" t="s">
        <v>1780</v>
      </c>
      <c r="B579" s="702">
        <f>+VLOOKUP(A579,'Anlage 2a_Letztverbrauch'!$A$2259:$I$2625,9,FALSE)</f>
        <v>2672126.23</v>
      </c>
      <c r="C579" s="88">
        <f>IFERROR(+VLOOKUP(A579,'Anlage 2a_Letztverbrauch'!$A$2797:$I$2816,4,FALSE),0)</f>
        <v>0</v>
      </c>
      <c r="D579" s="88">
        <v>0</v>
      </c>
      <c r="E579" s="88">
        <f t="shared" si="19"/>
        <v>2672126.23</v>
      </c>
      <c r="F579" s="668">
        <f>+SUMIF('Anlage 2b_Korrekturen'!$B$700:$B$1160,A579,'Anlage 2b_Korrekturen'!$F$700:$F$1160)</f>
        <v>110.98000000000002</v>
      </c>
      <c r="G579" s="928">
        <f t="shared" si="20"/>
        <v>2672237.21</v>
      </c>
      <c r="H579" t="str">
        <f>+VLOOKUP(A579,'Anlage 2a_Letztverbrauch'!$A$415:$J$781,10,FALSE)</f>
        <v>Stadtwerke Norderstedt</v>
      </c>
    </row>
    <row r="580" spans="1:8" hidden="1" outlineLevel="1">
      <c r="A580" s="853" t="s">
        <v>1634</v>
      </c>
      <c r="B580" s="702">
        <f>+VLOOKUP(A580,'Anlage 2a_Letztverbrauch'!$A$2259:$I$2625,9,FALSE)</f>
        <v>2911332.34</v>
      </c>
      <c r="C580" s="88">
        <f>IFERROR(+VLOOKUP(A580,'Anlage 2a_Letztverbrauch'!$A$2797:$I$2816,4,FALSE),0)</f>
        <v>0</v>
      </c>
      <c r="D580" s="88">
        <v>0</v>
      </c>
      <c r="E580" s="88">
        <f t="shared" si="19"/>
        <v>2911332.34</v>
      </c>
      <c r="F580" s="668">
        <f>+SUMIF('Anlage 2b_Korrekturen'!$B$700:$B$1160,A580,'Anlage 2b_Korrekturen'!$F$700:$F$1160)</f>
        <v>-37877</v>
      </c>
      <c r="G580" s="928">
        <f t="shared" si="20"/>
        <v>2873455.34</v>
      </c>
      <c r="H580" t="str">
        <f>+VLOOKUP(A580,'Anlage 2a_Letztverbrauch'!$A$415:$J$781,10,FALSE)</f>
        <v>Stadtwerke Bayreuth Energie und Wasser GmbH</v>
      </c>
    </row>
    <row r="581" spans="1:8" hidden="1" outlineLevel="1">
      <c r="A581" s="853" t="s">
        <v>1261</v>
      </c>
      <c r="B581" s="702">
        <f>+VLOOKUP(A581,'Anlage 2a_Letztverbrauch'!$A$2259:$I$2625,9,FALSE)</f>
        <v>146431.26999999999</v>
      </c>
      <c r="C581" s="88">
        <f>IFERROR(+VLOOKUP(A581,'Anlage 2a_Letztverbrauch'!$A$2797:$I$2816,4,FALSE),0)</f>
        <v>0</v>
      </c>
      <c r="D581" s="88">
        <v>0</v>
      </c>
      <c r="E581" s="88">
        <f t="shared" si="19"/>
        <v>146431.26999999999</v>
      </c>
      <c r="F581" s="668">
        <f>+SUMIF('Anlage 2b_Korrekturen'!$B$700:$B$1160,A581,'Anlage 2b_Korrekturen'!$F$700:$F$1160)</f>
        <v>-821.62</v>
      </c>
      <c r="G581" s="928">
        <f t="shared" si="20"/>
        <v>145609.65</v>
      </c>
      <c r="H581" t="str">
        <f>+VLOOKUP(A581,'Anlage 2a_Letztverbrauch'!$A$415:$J$781,10,FALSE)</f>
        <v>Energiegenossenschaft für Wittmund eG</v>
      </c>
    </row>
    <row r="582" spans="1:8" hidden="1" outlineLevel="1">
      <c r="A582" s="853" t="s">
        <v>1422</v>
      </c>
      <c r="B582" s="702">
        <f>+VLOOKUP(A582,'Anlage 2a_Letztverbrauch'!$A$2259:$I$2625,9,FALSE)</f>
        <v>135389.67000000001</v>
      </c>
      <c r="C582" s="88">
        <f>IFERROR(+VLOOKUP(A582,'Anlage 2a_Letztverbrauch'!$A$2797:$I$2816,4,FALSE),0)</f>
        <v>0</v>
      </c>
      <c r="D582" s="88">
        <v>0</v>
      </c>
      <c r="E582" s="88">
        <f t="shared" si="19"/>
        <v>135389.67000000001</v>
      </c>
      <c r="F582" s="668">
        <f>+SUMIF('Anlage 2b_Korrekturen'!$B$700:$B$1160,A582,'Anlage 2b_Korrekturen'!$F$700:$F$1160)</f>
        <v>0</v>
      </c>
      <c r="G582" s="928">
        <f t="shared" si="20"/>
        <v>135389.67000000001</v>
      </c>
      <c r="H582" t="str">
        <f>+VLOOKUP(A582,'Anlage 2a_Letztverbrauch'!$A$415:$J$781,10,FALSE)</f>
        <v>Stromversorgung Inzell e.G.</v>
      </c>
    </row>
    <row r="583" spans="1:8" hidden="1" outlineLevel="1">
      <c r="A583" s="853" t="s">
        <v>1502</v>
      </c>
      <c r="B583" s="702">
        <f>+VLOOKUP(A583,'Anlage 2a_Letztverbrauch'!$A$2259:$I$2625,9,FALSE)</f>
        <v>169755.76</v>
      </c>
      <c r="C583" s="88">
        <f>IFERROR(+VLOOKUP(A583,'Anlage 2a_Letztverbrauch'!$A$2797:$I$2816,4,FALSE),0)</f>
        <v>0</v>
      </c>
      <c r="D583" s="88">
        <v>0</v>
      </c>
      <c r="E583" s="88">
        <f t="shared" si="19"/>
        <v>169755.76</v>
      </c>
      <c r="F583" s="668">
        <f>+SUMIF('Anlage 2b_Korrekturen'!$B$700:$B$1160,A583,'Anlage 2b_Korrekturen'!$F$700:$F$1160)</f>
        <v>193.11</v>
      </c>
      <c r="G583" s="928">
        <f t="shared" si="20"/>
        <v>169948.87</v>
      </c>
      <c r="H583" t="str">
        <f>+VLOOKUP(A583,'Anlage 2a_Letztverbrauch'!$A$415:$J$781,10,FALSE)</f>
        <v>Stadtwerke Bad Sooden-Allendorf</v>
      </c>
    </row>
    <row r="584" spans="1:8" hidden="1" outlineLevel="1">
      <c r="A584" s="853" t="s">
        <v>1332</v>
      </c>
      <c r="B584" s="702">
        <f>+VLOOKUP(A584,'Anlage 2a_Letztverbrauch'!$A$2259:$I$2625,9,FALSE)</f>
        <v>1131476.8400000001</v>
      </c>
      <c r="C584" s="88">
        <f>IFERROR(+VLOOKUP(A584,'Anlage 2a_Letztverbrauch'!$A$2797:$I$2816,4,FALSE),0)</f>
        <v>0</v>
      </c>
      <c r="D584" s="88">
        <v>0</v>
      </c>
      <c r="E584" s="88">
        <f t="shared" si="19"/>
        <v>1131476.8400000001</v>
      </c>
      <c r="F584" s="668">
        <f>+SUMIF('Anlage 2b_Korrekturen'!$B$700:$B$1160,A584,'Anlage 2b_Korrekturen'!$F$700:$F$1160)</f>
        <v>0</v>
      </c>
      <c r="G584" s="928">
        <f t="shared" si="20"/>
        <v>1131476.8400000001</v>
      </c>
      <c r="H584" t="str">
        <f>+VLOOKUP(A584,'Anlage 2a_Letztverbrauch'!$A$415:$J$781,10,FALSE)</f>
        <v>Stadtwerke Deggendorf GmbH</v>
      </c>
    </row>
    <row r="585" spans="1:8" hidden="1" outlineLevel="1">
      <c r="A585" s="853" t="s">
        <v>1576</v>
      </c>
      <c r="B585" s="702">
        <f>+VLOOKUP(A585,'Anlage 2a_Letztverbrauch'!$A$2259:$I$2625,9,FALSE)</f>
        <v>732556.99</v>
      </c>
      <c r="C585" s="88">
        <f>IFERROR(+VLOOKUP(A585,'Anlage 2a_Letztverbrauch'!$A$2797:$I$2816,4,FALSE),0)</f>
        <v>0</v>
      </c>
      <c r="D585" s="88">
        <v>0</v>
      </c>
      <c r="E585" s="88">
        <f t="shared" si="19"/>
        <v>732556.99</v>
      </c>
      <c r="F585" s="668">
        <f>+SUMIF('Anlage 2b_Korrekturen'!$B$700:$B$1160,A585,'Anlage 2b_Korrekturen'!$F$700:$F$1160)</f>
        <v>4828.29</v>
      </c>
      <c r="G585" s="928">
        <f t="shared" si="20"/>
        <v>737385.28</v>
      </c>
      <c r="H585" t="str">
        <f>+VLOOKUP(A585,'Anlage 2a_Letztverbrauch'!$A$415:$J$781,10,FALSE)</f>
        <v>Stadtwerke Northeim GmbH</v>
      </c>
    </row>
    <row r="586" spans="1:8" hidden="1" outlineLevel="1">
      <c r="A586" s="853" t="s">
        <v>1608</v>
      </c>
      <c r="B586" s="702">
        <f>+VLOOKUP(A586,'Anlage 2a_Letztverbrauch'!$A$2259:$I$2625,9,FALSE)</f>
        <v>200289.1</v>
      </c>
      <c r="C586" s="88">
        <f>IFERROR(+VLOOKUP(A586,'Anlage 2a_Letztverbrauch'!$A$2797:$I$2816,4,FALSE),0)</f>
        <v>0</v>
      </c>
      <c r="D586" s="88">
        <v>0</v>
      </c>
      <c r="E586" s="88">
        <f t="shared" si="19"/>
        <v>200289.1</v>
      </c>
      <c r="F586" s="668">
        <f>+SUMIF('Anlage 2b_Korrekturen'!$B$700:$B$1160,A586,'Anlage 2b_Korrekturen'!$F$700:$F$1160)</f>
        <v>0</v>
      </c>
      <c r="G586" s="928">
        <f t="shared" si="20"/>
        <v>200289.1</v>
      </c>
      <c r="H586" t="str">
        <f>+VLOOKUP(A586,'Anlage 2a_Letztverbrauch'!$A$415:$J$781,10,FALSE)</f>
        <v>Stadtwerke Röthenbach a.d. Pegnitz GmbH</v>
      </c>
    </row>
    <row r="587" spans="1:8" hidden="1" outlineLevel="1">
      <c r="A587" s="853" t="s">
        <v>1255</v>
      </c>
      <c r="B587" s="702">
        <f>+VLOOKUP(A587,'Anlage 2a_Letztverbrauch'!$A$2259:$I$2625,9,FALSE)</f>
        <v>953551.25</v>
      </c>
      <c r="C587" s="88">
        <f>IFERROR(+VLOOKUP(A587,'Anlage 2a_Letztverbrauch'!$A$2797:$I$2816,4,FALSE),0)</f>
        <v>0</v>
      </c>
      <c r="D587" s="88">
        <v>0</v>
      </c>
      <c r="E587" s="88">
        <f t="shared" si="19"/>
        <v>953551.25</v>
      </c>
      <c r="F587" s="668">
        <f>+SUMIF('Anlage 2b_Korrekturen'!$B$700:$B$1160,A587,'Anlage 2b_Korrekturen'!$F$700:$F$1160)</f>
        <v>0</v>
      </c>
      <c r="G587" s="928">
        <f t="shared" si="20"/>
        <v>953551.25</v>
      </c>
      <c r="H587" t="str">
        <f>+VLOOKUP(A587,'Anlage 2a_Letztverbrauch'!$A$415:$J$781,10,FALSE)</f>
        <v>Fischereihafen-Betriebsgesellschaft mbH</v>
      </c>
    </row>
    <row r="588" spans="1:8" hidden="1" outlineLevel="1">
      <c r="A588" s="853" t="s">
        <v>1602</v>
      </c>
      <c r="B588" s="702">
        <f>+VLOOKUP(A588,'Anlage 2a_Letztverbrauch'!$A$2259:$I$2625,9,FALSE)</f>
        <v>338917.25</v>
      </c>
      <c r="C588" s="88">
        <f>IFERROR(+VLOOKUP(A588,'Anlage 2a_Letztverbrauch'!$A$2797:$I$2816,4,FALSE),0)</f>
        <v>0</v>
      </c>
      <c r="D588" s="88">
        <v>0</v>
      </c>
      <c r="E588" s="88">
        <f t="shared" si="19"/>
        <v>338917.25</v>
      </c>
      <c r="F588" s="668">
        <f>+SUMIF('Anlage 2b_Korrekturen'!$B$700:$B$1160,A588,'Anlage 2b_Korrekturen'!$F$700:$F$1160)</f>
        <v>-115.83000000000004</v>
      </c>
      <c r="G588" s="928">
        <f t="shared" si="20"/>
        <v>338801.42</v>
      </c>
      <c r="H588" t="str">
        <f>+VLOOKUP(A588,'Anlage 2a_Letztverbrauch'!$A$415:$J$781,10,FALSE)</f>
        <v>Gemeindewerke Wendelstein KU</v>
      </c>
    </row>
    <row r="589" spans="1:8" hidden="1" outlineLevel="1">
      <c r="A589" s="853" t="s">
        <v>1354</v>
      </c>
      <c r="B589" s="702">
        <f>+VLOOKUP(A589,'Anlage 2a_Letztverbrauch'!$A$2259:$I$2625,9,FALSE)</f>
        <v>804399.01</v>
      </c>
      <c r="C589" s="88">
        <f>IFERROR(+VLOOKUP(A589,'Anlage 2a_Letztverbrauch'!$A$2797:$I$2816,4,FALSE),0)</f>
        <v>0</v>
      </c>
      <c r="D589" s="88">
        <v>0</v>
      </c>
      <c r="E589" s="88">
        <f t="shared" ref="E589:E652" si="21">B589+C589+D589</f>
        <v>804399.01</v>
      </c>
      <c r="F589" s="668">
        <f>+SUMIF('Anlage 2b_Korrekturen'!$B$700:$B$1160,A589,'Anlage 2b_Korrekturen'!$F$700:$F$1160)</f>
        <v>-1406.3300000000002</v>
      </c>
      <c r="G589" s="928">
        <f t="shared" ref="G589:G652" si="22">E589+F589</f>
        <v>802992.68</v>
      </c>
      <c r="H589" t="str">
        <f>+VLOOKUP(A589,'Anlage 2a_Letztverbrauch'!$A$415:$J$781,10,FALSE)</f>
        <v>Elektrizitätswerk Tegernsee Carl Miller KG</v>
      </c>
    </row>
    <row r="590" spans="1:8" hidden="1" outlineLevel="1">
      <c r="A590" s="853" t="s">
        <v>1446</v>
      </c>
      <c r="B590" s="702">
        <f>+VLOOKUP(A590,'Anlage 2a_Letztverbrauch'!$A$2259:$I$2625,9,FALSE)</f>
        <v>16669157.399999999</v>
      </c>
      <c r="C590" s="88">
        <f>IFERROR(+VLOOKUP(A590,'Anlage 2a_Letztverbrauch'!$A$2797:$I$2816,4,FALSE),0)</f>
        <v>0</v>
      </c>
      <c r="D590" s="88">
        <v>0</v>
      </c>
      <c r="E590" s="88">
        <f t="shared" si="21"/>
        <v>16669157.399999999</v>
      </c>
      <c r="F590" s="668">
        <f>+SUMIF('Anlage 2b_Korrekturen'!$B$700:$B$1160,A590,'Anlage 2b_Korrekturen'!$F$700:$F$1160)</f>
        <v>0</v>
      </c>
      <c r="G590" s="928">
        <f t="shared" si="22"/>
        <v>16669157.399999999</v>
      </c>
      <c r="H590" t="str">
        <f>+VLOOKUP(A590,'Anlage 2a_Letztverbrauch'!$A$415:$J$781,10,FALSE)</f>
        <v>wesernetz Bremen GmbH</v>
      </c>
    </row>
    <row r="591" spans="1:8" hidden="1" outlineLevel="1">
      <c r="A591" s="853" t="s">
        <v>1664</v>
      </c>
      <c r="B591" s="702">
        <f>+VLOOKUP(A591,'Anlage 2a_Letztverbrauch'!$A$2259:$I$2625,9,FALSE)</f>
        <v>1749298.65</v>
      </c>
      <c r="C591" s="88">
        <f>IFERROR(+VLOOKUP(A591,'Anlage 2a_Letztverbrauch'!$A$2797:$I$2816,4,FALSE),0)</f>
        <v>0</v>
      </c>
      <c r="D591" s="88">
        <v>0</v>
      </c>
      <c r="E591" s="88">
        <f t="shared" si="21"/>
        <v>1749298.65</v>
      </c>
      <c r="F591" s="668">
        <f>+SUMIF('Anlage 2b_Korrekturen'!$B$700:$B$1160,A591,'Anlage 2b_Korrekturen'!$F$700:$F$1160)</f>
        <v>895.95</v>
      </c>
      <c r="G591" s="928">
        <f t="shared" si="22"/>
        <v>1750194.5999999999</v>
      </c>
      <c r="H591" t="str">
        <f>+VLOOKUP(A591,'Anlage 2a_Letztverbrauch'!$A$415:$J$781,10,FALSE)</f>
        <v>Stadtwerke Straubing Strom und Gas GmbH</v>
      </c>
    </row>
    <row r="592" spans="1:8" hidden="1" outlineLevel="1">
      <c r="A592" s="853" t="s">
        <v>1788</v>
      </c>
      <c r="B592" s="702">
        <f>+VLOOKUP(A592,'Anlage 2a_Letztverbrauch'!$A$2259:$I$2625,9,FALSE)</f>
        <v>127264.89</v>
      </c>
      <c r="C592" s="88">
        <f>IFERROR(+VLOOKUP(A592,'Anlage 2a_Letztverbrauch'!$A$2797:$I$2816,4,FALSE),0)</f>
        <v>0</v>
      </c>
      <c r="D592" s="88">
        <v>0</v>
      </c>
      <c r="E592" s="88">
        <f t="shared" si="21"/>
        <v>127264.89</v>
      </c>
      <c r="F592" s="668">
        <f>+SUMIF('Anlage 2b_Korrekturen'!$B$700:$B$1160,A592,'Anlage 2b_Korrekturen'!$F$700:$F$1160)</f>
        <v>0</v>
      </c>
      <c r="G592" s="928">
        <f t="shared" si="22"/>
        <v>127264.89</v>
      </c>
      <c r="H592" t="str">
        <f>+VLOOKUP(A592,'Anlage 2a_Letztverbrauch'!$A$415:$J$781,10,FALSE)</f>
        <v>Stadtwerke Schlitz</v>
      </c>
    </row>
    <row r="593" spans="1:8" hidden="1" outlineLevel="1">
      <c r="A593" s="853" t="s">
        <v>1650</v>
      </c>
      <c r="B593" s="702">
        <f>+VLOOKUP(A593,'Anlage 2a_Letztverbrauch'!$A$2259:$I$2625,9,FALSE)</f>
        <v>50025632.920000002</v>
      </c>
      <c r="C593" s="88">
        <f>IFERROR(+VLOOKUP(A593,'Anlage 2a_Letztverbrauch'!$A$2797:$I$2816,4,FALSE),0)</f>
        <v>-42244.32</v>
      </c>
      <c r="D593" s="88">
        <v>0</v>
      </c>
      <c r="E593" s="88">
        <f t="shared" si="21"/>
        <v>49983388.600000001</v>
      </c>
      <c r="F593" s="668">
        <f>+SUMIF('Anlage 2b_Korrekturen'!$B$700:$B$1160,A593,'Anlage 2b_Korrekturen'!$F$700:$F$1160)</f>
        <v>473891.21</v>
      </c>
      <c r="G593" s="928">
        <f t="shared" si="22"/>
        <v>50457279.810000002</v>
      </c>
      <c r="H593" t="str">
        <f>+VLOOKUP(A593,'Anlage 2a_Letztverbrauch'!$A$415:$J$781,10,FALSE)</f>
        <v>SWM Infrastruktur GmbH &amp; Co. KG</v>
      </c>
    </row>
    <row r="594" spans="1:8" hidden="1" outlineLevel="1">
      <c r="A594" s="853" t="s">
        <v>1632</v>
      </c>
      <c r="B594" s="702">
        <f>+VLOOKUP(A594,'Anlage 2a_Letztverbrauch'!$A$2259:$I$2625,9,FALSE)</f>
        <v>398257.09</v>
      </c>
      <c r="C594" s="88">
        <f>IFERROR(+VLOOKUP(A594,'Anlage 2a_Letztverbrauch'!$A$2797:$I$2816,4,FALSE),0)</f>
        <v>0</v>
      </c>
      <c r="D594" s="88">
        <v>0</v>
      </c>
      <c r="E594" s="88">
        <f t="shared" si="21"/>
        <v>398257.09</v>
      </c>
      <c r="F594" s="668">
        <f>+SUMIF('Anlage 2b_Korrekturen'!$B$700:$B$1160,A594,'Anlage 2b_Korrekturen'!$F$700:$F$1160)</f>
        <v>-21221.32</v>
      </c>
      <c r="G594" s="928">
        <f t="shared" si="22"/>
        <v>377035.77</v>
      </c>
      <c r="H594" t="str">
        <f>+VLOOKUP(A594,'Anlage 2a_Letztverbrauch'!$A$415:$J$781,10,FALSE)</f>
        <v>Stadtwerke Oerlinghausen GmbH</v>
      </c>
    </row>
    <row r="595" spans="1:8" hidden="1" outlineLevel="1">
      <c r="A595" s="853" t="s">
        <v>1344</v>
      </c>
      <c r="B595" s="702">
        <f>+VLOOKUP(A595,'Anlage 2a_Letztverbrauch'!$A$2259:$I$2625,9,FALSE)</f>
        <v>7835846.4799999995</v>
      </c>
      <c r="C595" s="88">
        <f>IFERROR(+VLOOKUP(A595,'Anlage 2a_Letztverbrauch'!$A$2797:$I$2816,4,FALSE),0)</f>
        <v>0</v>
      </c>
      <c r="D595" s="88">
        <v>0</v>
      </c>
      <c r="E595" s="88">
        <f t="shared" si="21"/>
        <v>7835846.4799999995</v>
      </c>
      <c r="F595" s="668">
        <f>+SUMIF('Anlage 2b_Korrekturen'!$B$700:$B$1160,A595,'Anlage 2b_Korrekturen'!$F$700:$F$1160)</f>
        <v>0</v>
      </c>
      <c r="G595" s="928">
        <f t="shared" si="22"/>
        <v>7835846.4799999995</v>
      </c>
      <c r="H595" t="str">
        <f>+VLOOKUP(A595,'Anlage 2a_Letztverbrauch'!$A$415:$J$781,10,FALSE)</f>
        <v>Braunschweiger Netz GmbH (BS|Netz) (BS Energy Netz GmbH)</v>
      </c>
    </row>
    <row r="596" spans="1:8" hidden="1" outlineLevel="1">
      <c r="A596" s="853" t="s">
        <v>1398</v>
      </c>
      <c r="B596" s="702">
        <f>+VLOOKUP(A596,'Anlage 2a_Letztverbrauch'!$A$2259:$I$2625,9,FALSE)</f>
        <v>211556.78</v>
      </c>
      <c r="C596" s="88">
        <f>IFERROR(+VLOOKUP(A596,'Anlage 2a_Letztverbrauch'!$A$2797:$I$2816,4,FALSE),0)</f>
        <v>0</v>
      </c>
      <c r="D596" s="88">
        <v>0</v>
      </c>
      <c r="E596" s="88">
        <f t="shared" si="21"/>
        <v>211556.78</v>
      </c>
      <c r="F596" s="668">
        <f>+SUMIF('Anlage 2b_Korrekturen'!$B$700:$B$1160,A596,'Anlage 2b_Korrekturen'!$F$700:$F$1160)</f>
        <v>0</v>
      </c>
      <c r="G596" s="928">
        <f t="shared" si="22"/>
        <v>211556.78</v>
      </c>
      <c r="H596" t="str">
        <f>+VLOOKUP(A596,'Anlage 2a_Letztverbrauch'!$A$415:$J$781,10,FALSE)</f>
        <v>Versorgungsbetriebe Kronshagen GmbH</v>
      </c>
    </row>
    <row r="597" spans="1:8" hidden="1" outlineLevel="1">
      <c r="A597" s="853" t="s">
        <v>1244</v>
      </c>
      <c r="B597" s="702">
        <f>+VLOOKUP(A597,'Anlage 2a_Letztverbrauch'!$A$2259:$I$2625,9,FALSE)</f>
        <v>302698.42</v>
      </c>
      <c r="C597" s="88">
        <f>IFERROR(+VLOOKUP(A597,'Anlage 2a_Letztverbrauch'!$A$2797:$I$2816,4,FALSE),0)</f>
        <v>0</v>
      </c>
      <c r="D597" s="88">
        <v>0</v>
      </c>
      <c r="E597" s="88">
        <f t="shared" si="21"/>
        <v>302698.42</v>
      </c>
      <c r="F597" s="668">
        <f>+SUMIF('Anlage 2b_Korrekturen'!$B$700:$B$1160,A597,'Anlage 2b_Korrekturen'!$F$700:$F$1160)</f>
        <v>0</v>
      </c>
      <c r="G597" s="928">
        <f t="shared" si="22"/>
        <v>302698.42</v>
      </c>
      <c r="H597" t="str">
        <f>+VLOOKUP(A597,'Anlage 2a_Letztverbrauch'!$A$415:$J$781,10,FALSE)</f>
        <v>KBG Kraftstrom-Bezugsgenossenschaft Homberg e.G.</v>
      </c>
    </row>
    <row r="598" spans="1:8" hidden="1" outlineLevel="1">
      <c r="A598" s="853" t="s">
        <v>1301</v>
      </c>
      <c r="B598" s="702">
        <f>+VLOOKUP(A598,'Anlage 2a_Letztverbrauch'!$A$2259:$I$2625,9,FALSE)</f>
        <v>474471.89</v>
      </c>
      <c r="C598" s="88">
        <f>IFERROR(+VLOOKUP(A598,'Anlage 2a_Letztverbrauch'!$A$2797:$I$2816,4,FALSE),0)</f>
        <v>0</v>
      </c>
      <c r="D598" s="88">
        <v>0</v>
      </c>
      <c r="E598" s="88">
        <f t="shared" si="21"/>
        <v>474471.89</v>
      </c>
      <c r="F598" s="668">
        <f>+SUMIF('Anlage 2b_Korrekturen'!$B$700:$B$1160,A598,'Anlage 2b_Korrekturen'!$F$700:$F$1160)</f>
        <v>0</v>
      </c>
      <c r="G598" s="928">
        <f t="shared" si="22"/>
        <v>474471.89</v>
      </c>
      <c r="H598" t="str">
        <f>+VLOOKUP(A598,'Anlage 2a_Letztverbrauch'!$A$415:$J$781,10,FALSE)</f>
        <v>Wirtschaftsbetriebe der Stadt Norden GmbH</v>
      </c>
    </row>
    <row r="599" spans="1:8" hidden="1" outlineLevel="1">
      <c r="A599" s="853" t="s">
        <v>1462</v>
      </c>
      <c r="B599" s="702">
        <f>+VLOOKUP(A599,'Anlage 2a_Letztverbrauch'!$A$2259:$I$2625,9,FALSE)</f>
        <v>518821.32</v>
      </c>
      <c r="C599" s="88">
        <f>IFERROR(+VLOOKUP(A599,'Anlage 2a_Letztverbrauch'!$A$2797:$I$2816,4,FALSE),0)</f>
        <v>0</v>
      </c>
      <c r="D599" s="88">
        <v>0</v>
      </c>
      <c r="E599" s="88">
        <f t="shared" si="21"/>
        <v>518821.32</v>
      </c>
      <c r="F599" s="668">
        <f>+SUMIF('Anlage 2b_Korrekturen'!$B$700:$B$1160,A599,'Anlage 2b_Korrekturen'!$F$700:$F$1160)</f>
        <v>0</v>
      </c>
      <c r="G599" s="928">
        <f t="shared" si="22"/>
        <v>518821.32</v>
      </c>
      <c r="H599" t="str">
        <f>+VLOOKUP(A599,'Anlage 2a_Letztverbrauch'!$A$415:$J$781,10,FALSE)</f>
        <v>Stadtwerke Dingolfing GmbH</v>
      </c>
    </row>
    <row r="600" spans="1:8" hidden="1" outlineLevel="1">
      <c r="A600" s="853" t="s">
        <v>1794</v>
      </c>
      <c r="B600" s="702">
        <f>+VLOOKUP(A600,'Anlage 2a_Letztverbrauch'!$A$2259:$I$2625,9,FALSE)</f>
        <v>1930223.03</v>
      </c>
      <c r="C600" s="88">
        <f>IFERROR(+VLOOKUP(A600,'Anlage 2a_Letztverbrauch'!$A$2797:$I$2816,4,FALSE),0)</f>
        <v>0</v>
      </c>
      <c r="D600" s="88">
        <v>0</v>
      </c>
      <c r="E600" s="88">
        <f t="shared" si="21"/>
        <v>1930223.03</v>
      </c>
      <c r="F600" s="668">
        <f>+SUMIF('Anlage 2b_Korrekturen'!$B$700:$B$1160,A600,'Anlage 2b_Korrekturen'!$F$700:$F$1160)</f>
        <v>11411.099999999999</v>
      </c>
      <c r="G600" s="928">
        <f t="shared" si="22"/>
        <v>1941634.1300000001</v>
      </c>
      <c r="H600" t="str">
        <f>+VLOOKUP(A600,'Anlage 2a_Letztverbrauch'!$A$415:$J$781,10,FALSE)</f>
        <v>Stadtwerke Rosenheim Netze GmbH</v>
      </c>
    </row>
    <row r="601" spans="1:8" hidden="1" outlineLevel="1">
      <c r="A601" s="853" t="s">
        <v>1546</v>
      </c>
      <c r="B601" s="702">
        <f>+VLOOKUP(A601,'Anlage 2a_Letztverbrauch'!$A$2259:$I$2625,9,FALSE)</f>
        <v>239590.17</v>
      </c>
      <c r="C601" s="88">
        <f>IFERROR(+VLOOKUP(A601,'Anlage 2a_Letztverbrauch'!$A$2797:$I$2816,4,FALSE),0)</f>
        <v>0</v>
      </c>
      <c r="D601" s="88">
        <v>0</v>
      </c>
      <c r="E601" s="88">
        <f t="shared" si="21"/>
        <v>239590.17</v>
      </c>
      <c r="F601" s="668">
        <f>+SUMIF('Anlage 2b_Korrekturen'!$B$700:$B$1160,A601,'Anlage 2b_Korrekturen'!$F$700:$F$1160)</f>
        <v>0</v>
      </c>
      <c r="G601" s="928">
        <f t="shared" si="22"/>
        <v>239590.17</v>
      </c>
      <c r="H601" t="str">
        <f>+VLOOKUP(A601,'Anlage 2a_Letztverbrauch'!$A$415:$J$781,10,FALSE)</f>
        <v>Stadtwerke Neunburg vorm Wald Strom GmbH</v>
      </c>
    </row>
    <row r="602" spans="1:8" hidden="1" outlineLevel="1">
      <c r="A602" s="853" t="s">
        <v>1426</v>
      </c>
      <c r="B602" s="702">
        <f>+VLOOKUP(A602,'Anlage 2a_Letztverbrauch'!$A$2259:$I$2625,9,FALSE)</f>
        <v>437963.85</v>
      </c>
      <c r="C602" s="88">
        <f>IFERROR(+VLOOKUP(A602,'Anlage 2a_Letztverbrauch'!$A$2797:$I$2816,4,FALSE),0)</f>
        <v>0</v>
      </c>
      <c r="D602" s="88">
        <v>0</v>
      </c>
      <c r="E602" s="88">
        <f t="shared" si="21"/>
        <v>437963.85</v>
      </c>
      <c r="F602" s="668">
        <f>+SUMIF('Anlage 2b_Korrekturen'!$B$700:$B$1160,A602,'Anlage 2b_Korrekturen'!$F$700:$F$1160)</f>
        <v>0</v>
      </c>
      <c r="G602" s="928">
        <f t="shared" si="22"/>
        <v>437963.85</v>
      </c>
      <c r="H602" t="str">
        <f>+VLOOKUP(A602,'Anlage 2a_Letztverbrauch'!$A$415:$J$781,10,FALSE)</f>
        <v>Stadtwerke Bad Aibling</v>
      </c>
    </row>
    <row r="603" spans="1:8" hidden="1" outlineLevel="1">
      <c r="A603" s="853" t="s">
        <v>1760</v>
      </c>
      <c r="B603" s="702">
        <f>+VLOOKUP(A603,'Anlage 2a_Letztverbrauch'!$A$2259:$I$2625,9,FALSE)</f>
        <v>482476.65</v>
      </c>
      <c r="C603" s="88">
        <f>IFERROR(+VLOOKUP(A603,'Anlage 2a_Letztverbrauch'!$A$2797:$I$2816,4,FALSE),0)</f>
        <v>0</v>
      </c>
      <c r="D603" s="88">
        <v>0</v>
      </c>
      <c r="E603" s="88">
        <f t="shared" si="21"/>
        <v>482476.65</v>
      </c>
      <c r="F603" s="668">
        <f>+SUMIF('Anlage 2b_Korrekturen'!$B$700:$B$1160,A603,'Anlage 2b_Korrekturen'!$F$700:$F$1160)</f>
        <v>-776.92</v>
      </c>
      <c r="G603" s="928">
        <f t="shared" si="22"/>
        <v>481699.73000000004</v>
      </c>
      <c r="H603" t="str">
        <f>+VLOOKUP(A603,'Anlage 2a_Letztverbrauch'!$A$415:$J$781,10,FALSE)</f>
        <v>SVH Stromversorgung Haar GmbH</v>
      </c>
    </row>
    <row r="604" spans="1:8" hidden="1" outlineLevel="1">
      <c r="A604" s="853" t="s">
        <v>1798</v>
      </c>
      <c r="B604" s="702">
        <f>+VLOOKUP(A604,'Anlage 2a_Letztverbrauch'!$A$2259:$I$2625,9,FALSE)</f>
        <v>1185703.3999999999</v>
      </c>
      <c r="C604" s="88">
        <f>IFERROR(+VLOOKUP(A604,'Anlage 2a_Letztverbrauch'!$A$2797:$I$2816,4,FALSE),0)</f>
        <v>0</v>
      </c>
      <c r="D604" s="88">
        <v>0</v>
      </c>
      <c r="E604" s="88">
        <f t="shared" si="21"/>
        <v>1185703.3999999999</v>
      </c>
      <c r="F604" s="668">
        <f>+SUMIF('Anlage 2b_Korrekturen'!$B$700:$B$1160,A604,'Anlage 2b_Korrekturen'!$F$700:$F$1160)</f>
        <v>-482.47</v>
      </c>
      <c r="G604" s="928">
        <f t="shared" si="22"/>
        <v>1185220.93</v>
      </c>
      <c r="H604" t="str">
        <f>+VLOOKUP(A604,'Anlage 2a_Letztverbrauch'!$A$415:$J$781,10,FALSE)</f>
        <v>Stadtwerke Neumarkt i.d.OPf. Energie GmbH</v>
      </c>
    </row>
    <row r="605" spans="1:8" hidden="1" outlineLevel="1">
      <c r="A605" s="853" t="s">
        <v>1318</v>
      </c>
      <c r="B605" s="702">
        <f>+VLOOKUP(A605,'Anlage 2a_Letztverbrauch'!$A$2259:$I$2625,9,FALSE)</f>
        <v>345196.6</v>
      </c>
      <c r="C605" s="88">
        <f>IFERROR(+VLOOKUP(A605,'Anlage 2a_Letztverbrauch'!$A$2797:$I$2816,4,FALSE),0)</f>
        <v>0</v>
      </c>
      <c r="D605" s="88">
        <v>0</v>
      </c>
      <c r="E605" s="88">
        <f t="shared" si="21"/>
        <v>345196.6</v>
      </c>
      <c r="F605" s="668">
        <f>+SUMIF('Anlage 2b_Korrekturen'!$B$700:$B$1160,A605,'Anlage 2b_Korrekturen'!$F$700:$F$1160)</f>
        <v>-28314.489999999998</v>
      </c>
      <c r="G605" s="928">
        <f t="shared" si="22"/>
        <v>316882.11</v>
      </c>
      <c r="H605" t="str">
        <f>+VLOOKUP(A605,'Anlage 2a_Letztverbrauch'!$A$415:$J$781,10,FALSE)</f>
        <v>Licht- und Kraftwerke Helmbrechts</v>
      </c>
    </row>
    <row r="606" spans="1:8" hidden="1" outlineLevel="1">
      <c r="A606" s="853" t="s">
        <v>1764</v>
      </c>
      <c r="B606" s="702">
        <f>+VLOOKUP(A606,'Anlage 2a_Letztverbrauch'!$A$2259:$I$2625,9,FALSE)</f>
        <v>173716.04</v>
      </c>
      <c r="C606" s="88">
        <f>IFERROR(+VLOOKUP(A606,'Anlage 2a_Letztverbrauch'!$A$2797:$I$2816,4,FALSE),0)</f>
        <v>0</v>
      </c>
      <c r="D606" s="88">
        <v>0</v>
      </c>
      <c r="E606" s="88">
        <f t="shared" si="21"/>
        <v>173716.04</v>
      </c>
      <c r="F606" s="668">
        <f>+SUMIF('Anlage 2b_Korrekturen'!$B$700:$B$1160,A606,'Anlage 2b_Korrekturen'!$F$700:$F$1160)</f>
        <v>0</v>
      </c>
      <c r="G606" s="928">
        <f t="shared" si="22"/>
        <v>173716.04</v>
      </c>
      <c r="H606" t="str">
        <f>+VLOOKUP(A606,'Anlage 2a_Letztverbrauch'!$A$415:$J$781,10,FALSE)</f>
        <v>strotög GmbH Strom für Töging</v>
      </c>
    </row>
    <row r="607" spans="1:8" hidden="1" outlineLevel="1">
      <c r="A607" s="853" t="s">
        <v>1540</v>
      </c>
      <c r="B607" s="702">
        <f>+VLOOKUP(A607,'Anlage 2a_Letztverbrauch'!$A$2259:$I$2625,9,FALSE)</f>
        <v>195457.66</v>
      </c>
      <c r="C607" s="88">
        <f>IFERROR(+VLOOKUP(A607,'Anlage 2a_Letztverbrauch'!$A$2797:$I$2816,4,FALSE),0)</f>
        <v>0</v>
      </c>
      <c r="D607" s="88">
        <v>0</v>
      </c>
      <c r="E607" s="88">
        <f t="shared" si="21"/>
        <v>195457.66</v>
      </c>
      <c r="F607" s="668">
        <f>+SUMIF('Anlage 2b_Korrekturen'!$B$700:$B$1160,A607,'Anlage 2b_Korrekturen'!$F$700:$F$1160)</f>
        <v>0</v>
      </c>
      <c r="G607" s="928">
        <f t="shared" si="22"/>
        <v>195457.66</v>
      </c>
      <c r="H607" t="str">
        <f>+VLOOKUP(A607,'Anlage 2a_Letztverbrauch'!$A$415:$J$781,10,FALSE)</f>
        <v>Stromversorgung Schierling eG</v>
      </c>
    </row>
    <row r="608" spans="1:8" hidden="1" outlineLevel="1">
      <c r="A608" s="853" t="s">
        <v>1396</v>
      </c>
      <c r="B608" s="702">
        <f>+VLOOKUP(A608,'Anlage 2a_Letztverbrauch'!$A$2259:$I$2625,9,FALSE)</f>
        <v>445095.28</v>
      </c>
      <c r="C608" s="88">
        <f>IFERROR(+VLOOKUP(A608,'Anlage 2a_Letztverbrauch'!$A$2797:$I$2816,4,FALSE),0)</f>
        <v>0</v>
      </c>
      <c r="D608" s="88">
        <v>0</v>
      </c>
      <c r="E608" s="88">
        <f t="shared" si="21"/>
        <v>445095.28</v>
      </c>
      <c r="F608" s="668">
        <f>+SUMIF('Anlage 2b_Korrekturen'!$B$700:$B$1160,A608,'Anlage 2b_Korrekturen'!$F$700:$F$1160)</f>
        <v>0</v>
      </c>
      <c r="G608" s="928">
        <f t="shared" si="22"/>
        <v>445095.28</v>
      </c>
      <c r="H608" t="str">
        <f>+VLOOKUP(A608,'Anlage 2a_Letztverbrauch'!$A$415:$J$781,10,FALSE)</f>
        <v>Stadtwerke Neustadt in Holstein</v>
      </c>
    </row>
    <row r="609" spans="1:8" hidden="1" outlineLevel="1">
      <c r="A609" s="853" t="s">
        <v>1681</v>
      </c>
      <c r="B609" s="702">
        <f>+VLOOKUP(A609,'Anlage 2a_Letztverbrauch'!$A$2259:$I$2625,9,FALSE)</f>
        <v>7751955.7999999998</v>
      </c>
      <c r="C609" s="88">
        <f>IFERROR(+VLOOKUP(A609,'Anlage 2a_Letztverbrauch'!$A$2797:$I$2816,4,FALSE),0)</f>
        <v>0</v>
      </c>
      <c r="D609" s="88">
        <v>0</v>
      </c>
      <c r="E609" s="88">
        <f t="shared" si="21"/>
        <v>7751955.7999999998</v>
      </c>
      <c r="F609" s="668">
        <f>+SUMIF('Anlage 2b_Korrekturen'!$B$700:$B$1160,A609,'Anlage 2b_Korrekturen'!$F$700:$F$1160)</f>
        <v>0</v>
      </c>
      <c r="G609" s="928">
        <f t="shared" si="22"/>
        <v>7751955.7999999998</v>
      </c>
      <c r="H609" t="str">
        <f>+VLOOKUP(A609,'Anlage 2a_Letztverbrauch'!$A$415:$J$781,10,FALSE)</f>
        <v>SW Kiel Netz GmbH</v>
      </c>
    </row>
    <row r="610" spans="1:8" hidden="1" outlineLevel="1">
      <c r="A610" s="853" t="s">
        <v>2208</v>
      </c>
      <c r="B610" s="702">
        <f>+VLOOKUP(A610,'Anlage 2a_Letztverbrauch'!$A$2259:$I$2625,9,FALSE)</f>
        <v>49325.8</v>
      </c>
      <c r="C610" s="88">
        <f>IFERROR(+VLOOKUP(A610,'Anlage 2a_Letztverbrauch'!$A$2797:$I$2816,4,FALSE),0)</f>
        <v>0</v>
      </c>
      <c r="D610" s="88">
        <v>0</v>
      </c>
      <c r="E610" s="88">
        <f t="shared" si="21"/>
        <v>49325.8</v>
      </c>
      <c r="F610" s="668">
        <f>+SUMIF('Anlage 2b_Korrekturen'!$B$700:$B$1160,A610,'Anlage 2b_Korrekturen'!$F$700:$F$1160)</f>
        <v>0</v>
      </c>
      <c r="G610" s="928">
        <f t="shared" si="22"/>
        <v>49325.8</v>
      </c>
      <c r="H610" t="str">
        <f>+VLOOKUP(A610,'Anlage 2a_Letztverbrauch'!$A$415:$J$781,10,FALSE)</f>
        <v>EW Geiger GmbH</v>
      </c>
    </row>
    <row r="611" spans="1:8" hidden="1" outlineLevel="1">
      <c r="A611" s="853" t="s">
        <v>1766</v>
      </c>
      <c r="B611" s="702">
        <f>+VLOOKUP(A611,'Anlage 2a_Letztverbrauch'!$A$2259:$I$2625,9,FALSE)</f>
        <v>163891.41</v>
      </c>
      <c r="C611" s="88">
        <f>IFERROR(+VLOOKUP(A611,'Anlage 2a_Letztverbrauch'!$A$2797:$I$2816,4,FALSE),0)</f>
        <v>0</v>
      </c>
      <c r="D611" s="88">
        <v>0</v>
      </c>
      <c r="E611" s="88">
        <f t="shared" si="21"/>
        <v>163891.41</v>
      </c>
      <c r="F611" s="668">
        <f>+SUMIF('Anlage 2b_Korrekturen'!$B$700:$B$1160,A611,'Anlage 2b_Korrekturen'!$F$700:$F$1160)</f>
        <v>3637.69</v>
      </c>
      <c r="G611" s="928">
        <f t="shared" si="22"/>
        <v>167529.1</v>
      </c>
      <c r="H611" t="str">
        <f>+VLOOKUP(A611,'Anlage 2a_Letztverbrauch'!$A$415:$J$781,10,FALSE)</f>
        <v>Gemeindewerke Neuendettelsau</v>
      </c>
    </row>
    <row r="612" spans="1:8" hidden="1" outlineLevel="1">
      <c r="A612" s="853" t="s">
        <v>1448</v>
      </c>
      <c r="B612" s="702">
        <f>+VLOOKUP(A612,'Anlage 2a_Letztverbrauch'!$A$2259:$I$2625,9,FALSE)</f>
        <v>1460672.83</v>
      </c>
      <c r="C612" s="88">
        <f>IFERROR(+VLOOKUP(A612,'Anlage 2a_Letztverbrauch'!$A$2797:$I$2816,4,FALSE),0)</f>
        <v>0</v>
      </c>
      <c r="D612" s="88">
        <v>0</v>
      </c>
      <c r="E612" s="88">
        <f t="shared" si="21"/>
        <v>1460672.83</v>
      </c>
      <c r="F612" s="668">
        <f>+SUMIF('Anlage 2b_Korrekturen'!$B$700:$B$1160,A612,'Anlage 2b_Korrekturen'!$F$700:$F$1160)</f>
        <v>-47183.89</v>
      </c>
      <c r="G612" s="928">
        <f t="shared" si="22"/>
        <v>1413488.9400000002</v>
      </c>
      <c r="H612" t="str">
        <f>+VLOOKUP(A612,'Anlage 2a_Letztverbrauch'!$A$415:$J$781,10,FALSE)</f>
        <v>Stadtwerke Achim AG</v>
      </c>
    </row>
    <row r="613" spans="1:8" hidden="1" outlineLevel="1">
      <c r="A613" s="853" t="s">
        <v>1490</v>
      </c>
      <c r="B613" s="702">
        <f>+VLOOKUP(A613,'Anlage 2a_Letztverbrauch'!$A$2259:$I$2625,9,FALSE)</f>
        <v>129505.87</v>
      </c>
      <c r="C613" s="88">
        <f>IFERROR(+VLOOKUP(A613,'Anlage 2a_Letztverbrauch'!$A$2797:$I$2816,4,FALSE),0)</f>
        <v>0</v>
      </c>
      <c r="D613" s="88">
        <v>0</v>
      </c>
      <c r="E613" s="88">
        <f t="shared" si="21"/>
        <v>129505.87</v>
      </c>
      <c r="F613" s="668">
        <f>+SUMIF('Anlage 2b_Korrekturen'!$B$700:$B$1160,A613,'Anlage 2b_Korrekturen'!$F$700:$F$1160)</f>
        <v>0</v>
      </c>
      <c r="G613" s="928">
        <f t="shared" si="22"/>
        <v>129505.87</v>
      </c>
      <c r="H613" t="str">
        <f>+VLOOKUP(A613,'Anlage 2a_Letztverbrauch'!$A$415:$J$781,10,FALSE)</f>
        <v>Stadtwerke Uffenheim</v>
      </c>
    </row>
    <row r="614" spans="1:8" hidden="1" outlineLevel="1">
      <c r="A614" s="853" t="s">
        <v>1724</v>
      </c>
      <c r="B614" s="702">
        <f>+VLOOKUP(A614,'Anlage 2a_Letztverbrauch'!$A$2259:$I$2625,9,FALSE)</f>
        <v>981643.8</v>
      </c>
      <c r="C614" s="88">
        <f>IFERROR(+VLOOKUP(A614,'Anlage 2a_Letztverbrauch'!$A$2797:$I$2816,4,FALSE),0)</f>
        <v>0</v>
      </c>
      <c r="D614" s="88">
        <v>0</v>
      </c>
      <c r="E614" s="88">
        <f t="shared" si="21"/>
        <v>981643.8</v>
      </c>
      <c r="F614" s="668">
        <f>+SUMIF('Anlage 2b_Korrekturen'!$B$700:$B$1160,A614,'Anlage 2b_Korrekturen'!$F$700:$F$1160)</f>
        <v>1189.48</v>
      </c>
      <c r="G614" s="928">
        <f t="shared" si="22"/>
        <v>982833.28</v>
      </c>
      <c r="H614" t="str">
        <f>+VLOOKUP(A614,'Anlage 2a_Letztverbrauch'!$A$415:$J$781,10,FALSE)</f>
        <v>Stadtwerke Neuburg an der Donau</v>
      </c>
    </row>
    <row r="615" spans="1:8" hidden="1" outlineLevel="1">
      <c r="A615" s="853" t="s">
        <v>1267</v>
      </c>
      <c r="B615" s="702">
        <f>+VLOOKUP(A615,'Anlage 2a_Letztverbrauch'!$A$2259:$I$2625,9,FALSE)</f>
        <v>122935.2</v>
      </c>
      <c r="C615" s="88">
        <f>IFERROR(+VLOOKUP(A615,'Anlage 2a_Letztverbrauch'!$A$2797:$I$2816,4,FALSE),0)</f>
        <v>0</v>
      </c>
      <c r="D615" s="88">
        <v>0</v>
      </c>
      <c r="E615" s="88">
        <f t="shared" si="21"/>
        <v>122935.2</v>
      </c>
      <c r="F615" s="668">
        <f>+SUMIF('Anlage 2b_Korrekturen'!$B$700:$B$1160,A615,'Anlage 2b_Korrekturen'!$F$700:$F$1160)</f>
        <v>0</v>
      </c>
      <c r="G615" s="928">
        <f t="shared" si="22"/>
        <v>122935.2</v>
      </c>
      <c r="H615" t="str">
        <f>+VLOOKUP(A615,'Anlage 2a_Letztverbrauch'!$A$415:$J$781,10,FALSE)</f>
        <v>Gemeindewerke Pleinfeld</v>
      </c>
    </row>
    <row r="616" spans="1:8" hidden="1" outlineLevel="1">
      <c r="A616" s="853" t="s">
        <v>1358</v>
      </c>
      <c r="B616" s="702">
        <f>+VLOOKUP(A616,'Anlage 2a_Letztverbrauch'!$A$2259:$I$2625,9,FALSE)</f>
        <v>2777342.49</v>
      </c>
      <c r="C616" s="88">
        <f>IFERROR(+VLOOKUP(A616,'Anlage 2a_Letztverbrauch'!$A$2797:$I$2816,4,FALSE),0)</f>
        <v>0</v>
      </c>
      <c r="D616" s="88">
        <v>0</v>
      </c>
      <c r="E616" s="88">
        <f t="shared" si="21"/>
        <v>2777342.49</v>
      </c>
      <c r="F616" s="668">
        <f>+SUMIF('Anlage 2b_Korrekturen'!$B$700:$B$1160,A616,'Anlage 2b_Korrekturen'!$F$700:$F$1160)</f>
        <v>0</v>
      </c>
      <c r="G616" s="928">
        <f t="shared" si="22"/>
        <v>2777342.49</v>
      </c>
      <c r="H616" t="str">
        <f>+VLOOKUP(A616,'Anlage 2a_Letztverbrauch'!$A$415:$J$781,10,FALSE)</f>
        <v>Stadtwerke Landshut</v>
      </c>
    </row>
    <row r="617" spans="1:8" hidden="1" outlineLevel="1">
      <c r="A617" s="853" t="s">
        <v>1658</v>
      </c>
      <c r="B617" s="702">
        <f>+VLOOKUP(A617,'Anlage 2a_Letztverbrauch'!$A$2259:$I$2625,9,FALSE)</f>
        <v>377945.88</v>
      </c>
      <c r="C617" s="88">
        <f>IFERROR(+VLOOKUP(A617,'Anlage 2a_Letztverbrauch'!$A$2797:$I$2816,4,FALSE),0)</f>
        <v>0</v>
      </c>
      <c r="D617" s="88">
        <v>0</v>
      </c>
      <c r="E617" s="88">
        <f t="shared" si="21"/>
        <v>377945.88</v>
      </c>
      <c r="F617" s="668">
        <f>+SUMIF('Anlage 2b_Korrekturen'!$B$700:$B$1160,A617,'Anlage 2b_Korrekturen'!$F$700:$F$1160)</f>
        <v>0</v>
      </c>
      <c r="G617" s="928">
        <f t="shared" si="22"/>
        <v>377945.88</v>
      </c>
      <c r="H617" t="str">
        <f>+VLOOKUP(A617,'Anlage 2a_Letztverbrauch'!$A$415:$J$781,10,FALSE)</f>
        <v>Stadtwerke Eichstätt Versorgungs-GmbH</v>
      </c>
    </row>
    <row r="618" spans="1:8" hidden="1" outlineLevel="1">
      <c r="A618" s="853" t="s">
        <v>1552</v>
      </c>
      <c r="B618" s="702">
        <f>+VLOOKUP(A618,'Anlage 2a_Letztverbrauch'!$A$2259:$I$2625,9,FALSE)</f>
        <v>852165.11</v>
      </c>
      <c r="C618" s="88">
        <f>IFERROR(+VLOOKUP(A618,'Anlage 2a_Letztverbrauch'!$A$2797:$I$2816,4,FALSE),0)</f>
        <v>0</v>
      </c>
      <c r="D618" s="88">
        <v>0</v>
      </c>
      <c r="E618" s="88">
        <f t="shared" si="21"/>
        <v>852165.11</v>
      </c>
      <c r="F618" s="668">
        <f>+SUMIF('Anlage 2b_Korrekturen'!$B$700:$B$1160,A618,'Anlage 2b_Korrekturen'!$F$700:$F$1160)</f>
        <v>-360.96999999999997</v>
      </c>
      <c r="G618" s="928">
        <f t="shared" si="22"/>
        <v>851804.14</v>
      </c>
      <c r="H618" t="str">
        <f>+VLOOKUP(A618,'Anlage 2a_Letztverbrauch'!$A$415:$J$781,10,FALSE)</f>
        <v>StWL Städtische Werke Lauf a.d. Pegnitz GmbH</v>
      </c>
    </row>
    <row r="619" spans="1:8" hidden="1" outlineLevel="1">
      <c r="A619" s="853" t="s">
        <v>1242</v>
      </c>
      <c r="B619" s="702">
        <f>+VLOOKUP(A619,'Anlage 2a_Letztverbrauch'!$A$2259:$I$2625,9,FALSE)</f>
        <v>115199.42</v>
      </c>
      <c r="C619" s="88">
        <f>IFERROR(+VLOOKUP(A619,'Anlage 2a_Letztverbrauch'!$A$2797:$I$2816,4,FALSE),0)</f>
        <v>0</v>
      </c>
      <c r="D619" s="88">
        <v>0</v>
      </c>
      <c r="E619" s="88">
        <f t="shared" si="21"/>
        <v>115199.42</v>
      </c>
      <c r="F619" s="668">
        <f>+SUMIF('Anlage 2b_Korrekturen'!$B$700:$B$1160,A619,'Anlage 2b_Korrekturen'!$F$700:$F$1160)</f>
        <v>-40.14</v>
      </c>
      <c r="G619" s="928">
        <f t="shared" si="22"/>
        <v>115159.28</v>
      </c>
      <c r="H619" t="str">
        <f>+VLOOKUP(A619,'Anlage 2a_Letztverbrauch'!$A$415:$J$781,10,FALSE)</f>
        <v>Stromversorgung Neunkirchen GmbH</v>
      </c>
    </row>
    <row r="620" spans="1:8" hidden="1" outlineLevel="1">
      <c r="A620" s="853" t="s">
        <v>1752</v>
      </c>
      <c r="B620" s="702">
        <f>+VLOOKUP(A620,'Anlage 2a_Letztverbrauch'!$A$2259:$I$2625,9,FALSE)</f>
        <v>140483.54</v>
      </c>
      <c r="C620" s="88">
        <f>IFERROR(+VLOOKUP(A620,'Anlage 2a_Letztverbrauch'!$A$2797:$I$2816,4,FALSE),0)</f>
        <v>0</v>
      </c>
      <c r="D620" s="88">
        <v>0</v>
      </c>
      <c r="E620" s="88">
        <f t="shared" si="21"/>
        <v>140483.54</v>
      </c>
      <c r="F620" s="668">
        <f>+SUMIF('Anlage 2b_Korrekturen'!$B$700:$B$1160,A620,'Anlage 2b_Korrekturen'!$F$700:$F$1160)</f>
        <v>-1931.0900000000001</v>
      </c>
      <c r="G620" s="928">
        <f t="shared" si="22"/>
        <v>138552.45000000001</v>
      </c>
      <c r="H620" t="str">
        <f>+VLOOKUP(A620,'Anlage 2a_Letztverbrauch'!$A$415:$J$781,10,FALSE)</f>
        <v>Versorgungsbetrieb Waldbüttelbrunn GmbH</v>
      </c>
    </row>
    <row r="621" spans="1:8" hidden="1" outlineLevel="1">
      <c r="A621" s="853" t="s">
        <v>1295</v>
      </c>
      <c r="B621" s="702">
        <f>+VLOOKUP(A621,'Anlage 2a_Letztverbrauch'!$A$2259:$I$2625,9,FALSE)</f>
        <v>8901726.5699999984</v>
      </c>
      <c r="C621" s="88">
        <f>IFERROR(+VLOOKUP(A621,'Anlage 2a_Letztverbrauch'!$A$2797:$I$2816,4,FALSE),0)</f>
        <v>0</v>
      </c>
      <c r="D621" s="88">
        <v>0</v>
      </c>
      <c r="E621" s="88">
        <f t="shared" si="21"/>
        <v>8901726.5699999984</v>
      </c>
      <c r="F621" s="668">
        <f>+SUMIF('Anlage 2b_Korrekturen'!$B$700:$B$1160,A621,'Anlage 2b_Korrekturen'!$F$700:$F$1160)</f>
        <v>0</v>
      </c>
      <c r="G621" s="928">
        <f t="shared" si="22"/>
        <v>8901726.5699999984</v>
      </c>
      <c r="H621" t="str">
        <f>+VLOOKUP(A621,'Anlage 2a_Letztverbrauch'!$A$415:$J$781,10,FALSE)</f>
        <v>Bielefelder Netz GmbH</v>
      </c>
    </row>
    <row r="622" spans="1:8" hidden="1" outlineLevel="1">
      <c r="A622" s="853" t="s">
        <v>1685</v>
      </c>
      <c r="B622" s="702">
        <f>+VLOOKUP(A622,'Anlage 2a_Letztverbrauch'!$A$2259:$I$2625,9,FALSE)</f>
        <v>1249837.42</v>
      </c>
      <c r="C622" s="88">
        <f>IFERROR(+VLOOKUP(A622,'Anlage 2a_Letztverbrauch'!$A$2797:$I$2816,4,FALSE),0)</f>
        <v>0</v>
      </c>
      <c r="D622" s="88">
        <v>0</v>
      </c>
      <c r="E622" s="88">
        <f t="shared" si="21"/>
        <v>1249837.42</v>
      </c>
      <c r="F622" s="668">
        <f>+SUMIF('Anlage 2b_Korrekturen'!$B$700:$B$1160,A622,'Anlage 2b_Korrekturen'!$F$700:$F$1160)</f>
        <v>0</v>
      </c>
      <c r="G622" s="928">
        <f t="shared" si="22"/>
        <v>1249837.42</v>
      </c>
      <c r="H622" t="str">
        <f>+VLOOKUP(A622,'Anlage 2a_Letztverbrauch'!$A$415:$J$781,10,FALSE)</f>
        <v>Stadtwerke Buxtehude GmbH</v>
      </c>
    </row>
    <row r="623" spans="1:8" hidden="1" outlineLevel="1">
      <c r="A623" s="853" t="s">
        <v>2210</v>
      </c>
      <c r="B623" s="702">
        <f>+VLOOKUP(A623,'Anlage 2a_Letztverbrauch'!$A$2259:$I$2625,9,FALSE)</f>
        <v>14171.58</v>
      </c>
      <c r="C623" s="88">
        <f>IFERROR(+VLOOKUP(A623,'Anlage 2a_Letztverbrauch'!$A$2797:$I$2816,4,FALSE),0)</f>
        <v>0</v>
      </c>
      <c r="D623" s="88">
        <v>0</v>
      </c>
      <c r="E623" s="88">
        <f t="shared" si="21"/>
        <v>14171.58</v>
      </c>
      <c r="F623" s="668">
        <f>+SUMIF('Anlage 2b_Korrekturen'!$B$700:$B$1160,A623,'Anlage 2b_Korrekturen'!$F$700:$F$1160)</f>
        <v>0</v>
      </c>
      <c r="G623" s="928">
        <f t="shared" si="22"/>
        <v>14171.58</v>
      </c>
      <c r="H623" t="str">
        <f>+VLOOKUP(A623,'Anlage 2a_Letztverbrauch'!$A$415:$J$781,10,FALSE)</f>
        <v>Elektrizitätswerk Oberwössen e.G.</v>
      </c>
    </row>
    <row r="624" spans="1:8" hidden="1" outlineLevel="1">
      <c r="A624" s="853" t="s">
        <v>2212</v>
      </c>
      <c r="B624" s="702">
        <f>+VLOOKUP(A624,'Anlage 2a_Letztverbrauch'!$A$2259:$I$2625,9,FALSE)</f>
        <v>170926.01</v>
      </c>
      <c r="C624" s="88">
        <f>IFERROR(+VLOOKUP(A624,'Anlage 2a_Letztverbrauch'!$A$2797:$I$2816,4,FALSE),0)</f>
        <v>0</v>
      </c>
      <c r="D624" s="88">
        <v>0</v>
      </c>
      <c r="E624" s="88">
        <f t="shared" si="21"/>
        <v>170926.01</v>
      </c>
      <c r="F624" s="668">
        <f>+SUMIF('Anlage 2b_Korrekturen'!$B$700:$B$1160,A624,'Anlage 2b_Korrekturen'!$F$700:$F$1160)</f>
        <v>0</v>
      </c>
      <c r="G624" s="928">
        <f t="shared" si="22"/>
        <v>170926.01</v>
      </c>
      <c r="H624" t="str">
        <f>+VLOOKUP(A624,'Anlage 2a_Letztverbrauch'!$A$415:$J$781,10,FALSE)</f>
        <v>E-Werk Wanfried von Scharfenberg GmbH &amp; Co. KG</v>
      </c>
    </row>
    <row r="625" spans="1:8" hidden="1" outlineLevel="1">
      <c r="A625" s="853" t="s">
        <v>1400</v>
      </c>
      <c r="B625" s="702">
        <f>+VLOOKUP(A625,'Anlage 2a_Letztverbrauch'!$A$2259:$I$2625,9,FALSE)</f>
        <v>164295.04000000001</v>
      </c>
      <c r="C625" s="88">
        <f>IFERROR(+VLOOKUP(A625,'Anlage 2a_Letztverbrauch'!$A$2797:$I$2816,4,FALSE),0)</f>
        <v>0</v>
      </c>
      <c r="D625" s="88">
        <v>0</v>
      </c>
      <c r="E625" s="88">
        <f t="shared" si="21"/>
        <v>164295.04000000001</v>
      </c>
      <c r="F625" s="668">
        <f>+SUMIF('Anlage 2b_Korrekturen'!$B$700:$B$1160,A625,'Anlage 2b_Korrekturen'!$F$700:$F$1160)</f>
        <v>0</v>
      </c>
      <c r="G625" s="928">
        <f t="shared" si="22"/>
        <v>164295.04000000001</v>
      </c>
      <c r="H625" t="str">
        <f>+VLOOKUP(A625,'Anlage 2a_Letztverbrauch'!$A$415:$J$781,10,FALSE)</f>
        <v>Elektrizitäts-Genossenschaft Tacherting-Feichten e.G.</v>
      </c>
    </row>
    <row r="626" spans="1:8" hidden="1" outlineLevel="1">
      <c r="A626" s="853" t="s">
        <v>1620</v>
      </c>
      <c r="B626" s="702">
        <f>+VLOOKUP(A626,'Anlage 2a_Letztverbrauch'!$A$2259:$I$2625,9,FALSE)</f>
        <v>711683.87</v>
      </c>
      <c r="C626" s="88">
        <f>IFERROR(+VLOOKUP(A626,'Anlage 2a_Letztverbrauch'!$A$2797:$I$2816,4,FALSE),0)</f>
        <v>0</v>
      </c>
      <c r="D626" s="88">
        <v>0</v>
      </c>
      <c r="E626" s="88">
        <f t="shared" si="21"/>
        <v>711683.87</v>
      </c>
      <c r="F626" s="668">
        <f>+SUMIF('Anlage 2b_Korrekturen'!$B$700:$B$1160,A626,'Anlage 2b_Korrekturen'!$F$700:$F$1160)</f>
        <v>0</v>
      </c>
      <c r="G626" s="928">
        <f t="shared" si="22"/>
        <v>711683.87</v>
      </c>
      <c r="H626" t="str">
        <f>+VLOOKUP(A626,'Anlage 2a_Letztverbrauch'!$A$415:$J$781,10,FALSE)</f>
        <v>Stadtwerke Weißenburg GmbH</v>
      </c>
    </row>
    <row r="627" spans="1:8" hidden="1" outlineLevel="1">
      <c r="A627" s="853" t="s">
        <v>1671</v>
      </c>
      <c r="B627" s="702">
        <f>+VLOOKUP(A627,'Anlage 2a_Letztverbrauch'!$A$2259:$I$2625,9,FALSE)</f>
        <v>602345.84</v>
      </c>
      <c r="C627" s="88">
        <f>IFERROR(+VLOOKUP(A627,'Anlage 2a_Letztverbrauch'!$A$2797:$I$2816,4,FALSE),0)</f>
        <v>0</v>
      </c>
      <c r="D627" s="88">
        <v>0</v>
      </c>
      <c r="E627" s="88">
        <f t="shared" si="21"/>
        <v>602345.84</v>
      </c>
      <c r="F627" s="668">
        <f>+SUMIF('Anlage 2b_Korrekturen'!$B$700:$B$1160,A627,'Anlage 2b_Korrekturen'!$F$700:$F$1160)</f>
        <v>4545.6900000000005</v>
      </c>
      <c r="G627" s="928">
        <f t="shared" si="22"/>
        <v>606891.52999999991</v>
      </c>
      <c r="H627" t="str">
        <f>+VLOOKUP(A627,'Anlage 2a_Letztverbrauch'!$A$415:$J$781,10,FALSE)</f>
        <v>Butzbacher Netzbetriebe GmbH &amp; Co. KG</v>
      </c>
    </row>
    <row r="628" spans="1:8" hidden="1" outlineLevel="1">
      <c r="A628" s="853" t="s">
        <v>1538</v>
      </c>
      <c r="B628" s="702">
        <f>+VLOOKUP(A628,'Anlage 2a_Letztverbrauch'!$A$2259:$I$2625,9,FALSE)</f>
        <v>6468949.2300000004</v>
      </c>
      <c r="C628" s="88">
        <f>IFERROR(+VLOOKUP(A628,'Anlage 2a_Letztverbrauch'!$A$2797:$I$2816,4,FALSE),0)</f>
        <v>0</v>
      </c>
      <c r="D628" s="88">
        <v>0</v>
      </c>
      <c r="E628" s="88">
        <f t="shared" si="21"/>
        <v>6468949.2300000004</v>
      </c>
      <c r="F628" s="668">
        <f>+SUMIF('Anlage 2b_Korrekturen'!$B$700:$B$1160,A628,'Anlage 2b_Korrekturen'!$F$700:$F$1160)</f>
        <v>0</v>
      </c>
      <c r="G628" s="928">
        <f t="shared" si="22"/>
        <v>6468949.2300000004</v>
      </c>
      <c r="H628" t="str">
        <f>+VLOOKUP(A628,'Anlage 2a_Letztverbrauch'!$A$415:$J$781,10,FALSE)</f>
        <v>Celle-Uelzen Netz GmbH (SVO Energie GmbH)</v>
      </c>
    </row>
    <row r="629" spans="1:8" hidden="1" outlineLevel="1">
      <c r="A629" s="853" t="s">
        <v>1382</v>
      </c>
      <c r="B629" s="702">
        <f>+VLOOKUP(A629,'Anlage 2a_Letztverbrauch'!$A$2259:$I$2625,9,FALSE)</f>
        <v>539416.76</v>
      </c>
      <c r="C629" s="88">
        <f>IFERROR(+VLOOKUP(A629,'Anlage 2a_Letztverbrauch'!$A$2797:$I$2816,4,FALSE),0)</f>
        <v>0</v>
      </c>
      <c r="D629" s="88">
        <v>0</v>
      </c>
      <c r="E629" s="88">
        <f t="shared" si="21"/>
        <v>539416.76</v>
      </c>
      <c r="F629" s="668">
        <f>+SUMIF('Anlage 2b_Korrekturen'!$B$700:$B$1160,A629,'Anlage 2b_Korrekturen'!$F$700:$F$1160)</f>
        <v>0</v>
      </c>
      <c r="G629" s="928">
        <f t="shared" si="22"/>
        <v>539416.76</v>
      </c>
      <c r="H629" t="str">
        <f>+VLOOKUP(A629,'Anlage 2a_Letztverbrauch'!$A$415:$J$781,10,FALSE)</f>
        <v>Stadtwerke Zirndorf GmbH</v>
      </c>
    </row>
    <row r="630" spans="1:8" hidden="1" outlineLevel="1">
      <c r="A630" s="853" t="s">
        <v>1524</v>
      </c>
      <c r="B630" s="702">
        <f>+VLOOKUP(A630,'Anlage 2a_Letztverbrauch'!$A$2259:$I$2625,9,FALSE)</f>
        <v>283673.33</v>
      </c>
      <c r="C630" s="88">
        <f>IFERROR(+VLOOKUP(A630,'Anlage 2a_Letztverbrauch'!$A$2797:$I$2816,4,FALSE),0)</f>
        <v>0</v>
      </c>
      <c r="D630" s="88">
        <v>0</v>
      </c>
      <c r="E630" s="88">
        <f t="shared" si="21"/>
        <v>283673.33</v>
      </c>
      <c r="F630" s="668">
        <f>+SUMIF('Anlage 2b_Korrekturen'!$B$700:$B$1160,A630,'Anlage 2b_Korrekturen'!$F$700:$F$1160)</f>
        <v>-2257.4499999999998</v>
      </c>
      <c r="G630" s="928">
        <f t="shared" si="22"/>
        <v>281415.88</v>
      </c>
      <c r="H630" t="str">
        <f>+VLOOKUP(A630,'Anlage 2a_Letztverbrauch'!$A$415:$J$781,10,FALSE)</f>
        <v>Stadtwerke Clausthal-Zellerfeld GmbH</v>
      </c>
    </row>
    <row r="631" spans="1:8" hidden="1" outlineLevel="1">
      <c r="A631" s="853" t="s">
        <v>1818</v>
      </c>
      <c r="B631" s="702">
        <f>+VLOOKUP(A631,'Anlage 2a_Letztverbrauch'!$A$2259:$I$2625,9,FALSE)</f>
        <v>1123897.26</v>
      </c>
      <c r="C631" s="88">
        <f>IFERROR(+VLOOKUP(A631,'Anlage 2a_Letztverbrauch'!$A$2797:$I$2816,4,FALSE),0)</f>
        <v>0</v>
      </c>
      <c r="D631" s="88">
        <v>0</v>
      </c>
      <c r="E631" s="88">
        <f t="shared" si="21"/>
        <v>1123897.26</v>
      </c>
      <c r="F631" s="668">
        <f>+SUMIF('Anlage 2b_Korrekturen'!$B$700:$B$1160,A631,'Anlage 2b_Korrekturen'!$F$700:$F$1160)</f>
        <v>-4165.55</v>
      </c>
      <c r="G631" s="928">
        <f t="shared" si="22"/>
        <v>1119731.71</v>
      </c>
      <c r="H631" t="str">
        <f>+VLOOKUP(A631,'Anlage 2a_Letztverbrauch'!$A$415:$J$781,10,FALSE)</f>
        <v>Energieversorgung Sylt GmbH</v>
      </c>
    </row>
    <row r="632" spans="1:8" hidden="1" outlineLevel="1">
      <c r="A632" s="853" t="s">
        <v>1238</v>
      </c>
      <c r="B632" s="702">
        <f>+VLOOKUP(A632,'Anlage 2a_Letztverbrauch'!$A$2259:$I$2625,9,FALSE)</f>
        <v>559522.13</v>
      </c>
      <c r="C632" s="88">
        <f>IFERROR(+VLOOKUP(A632,'Anlage 2a_Letztverbrauch'!$A$2797:$I$2816,4,FALSE),0)</f>
        <v>0</v>
      </c>
      <c r="D632" s="88">
        <v>0</v>
      </c>
      <c r="E632" s="88">
        <f t="shared" si="21"/>
        <v>559522.13</v>
      </c>
      <c r="F632" s="668">
        <f>+SUMIF('Anlage 2b_Korrekturen'!$B$700:$B$1160,A632,'Anlage 2b_Korrekturen'!$F$700:$F$1160)</f>
        <v>-11196.93</v>
      </c>
      <c r="G632" s="928">
        <f t="shared" si="22"/>
        <v>548325.19999999995</v>
      </c>
      <c r="H632" t="str">
        <f>+VLOOKUP(A632,'Anlage 2a_Letztverbrauch'!$A$415:$J$781,10,FALSE)</f>
        <v>ews-Netz GmbH (Wahlstedt/Bad Segeberg)</v>
      </c>
    </row>
    <row r="633" spans="1:8" hidden="1" outlineLevel="1">
      <c r="A633" s="853" t="s">
        <v>1800</v>
      </c>
      <c r="B633" s="702">
        <f>+VLOOKUP(A633,'Anlage 2a_Letztverbrauch'!$A$2259:$I$2625,9,FALSE)</f>
        <v>273820.34999999998</v>
      </c>
      <c r="C633" s="88">
        <f>IFERROR(+VLOOKUP(A633,'Anlage 2a_Letztverbrauch'!$A$2797:$I$2816,4,FALSE),0)</f>
        <v>0</v>
      </c>
      <c r="D633" s="88">
        <v>0</v>
      </c>
      <c r="E633" s="88">
        <f t="shared" si="21"/>
        <v>273820.34999999998</v>
      </c>
      <c r="F633" s="668">
        <f>+SUMIF('Anlage 2b_Korrekturen'!$B$700:$B$1160,A633,'Anlage 2b_Korrekturen'!$F$700:$F$1160)</f>
        <v>0</v>
      </c>
      <c r="G633" s="928">
        <f t="shared" si="22"/>
        <v>273820.34999999998</v>
      </c>
      <c r="H633" t="str">
        <f>+VLOOKUP(A633,'Anlage 2a_Letztverbrauch'!$A$415:$J$781,10,FALSE)</f>
        <v>EVU der Gemeinde Gochsheim</v>
      </c>
    </row>
    <row r="634" spans="1:8" hidden="1" outlineLevel="1">
      <c r="A634" s="853" t="s">
        <v>2214</v>
      </c>
      <c r="B634" s="702">
        <f>+VLOOKUP(A634,'Anlage 2a_Letztverbrauch'!$A$2259:$I$2625,9,FALSE)</f>
        <v>88534.18</v>
      </c>
      <c r="C634" s="88">
        <f>IFERROR(+VLOOKUP(A634,'Anlage 2a_Letztverbrauch'!$A$2797:$I$2816,4,FALSE),0)</f>
        <v>0</v>
      </c>
      <c r="D634" s="88">
        <v>0</v>
      </c>
      <c r="E634" s="88">
        <f t="shared" si="21"/>
        <v>88534.18</v>
      </c>
      <c r="F634" s="668">
        <f>+SUMIF('Anlage 2b_Korrekturen'!$B$700:$B$1160,A634,'Anlage 2b_Korrekturen'!$F$700:$F$1160)</f>
        <v>0</v>
      </c>
      <c r="G634" s="928">
        <f t="shared" si="22"/>
        <v>88534.18</v>
      </c>
      <c r="H634" t="str">
        <f>+VLOOKUP(A634,'Anlage 2a_Letztverbrauch'!$A$415:$J$781,10,FALSE)</f>
        <v>Elektrizitätsgenossenschaft Wolkersdorf und Umgebung eG</v>
      </c>
    </row>
    <row r="635" spans="1:8" hidden="1" outlineLevel="1">
      <c r="A635" s="853" t="s">
        <v>1704</v>
      </c>
      <c r="B635" s="702">
        <f>+VLOOKUP(A635,'Anlage 2a_Letztverbrauch'!$A$2259:$I$2625,9,FALSE)</f>
        <v>384164.53</v>
      </c>
      <c r="C635" s="88">
        <f>IFERROR(+VLOOKUP(A635,'Anlage 2a_Letztverbrauch'!$A$2797:$I$2816,4,FALSE),0)</f>
        <v>0</v>
      </c>
      <c r="D635" s="88">
        <v>0</v>
      </c>
      <c r="E635" s="88">
        <f t="shared" si="21"/>
        <v>384164.53</v>
      </c>
      <c r="F635" s="668">
        <f>+SUMIF('Anlage 2b_Korrekturen'!$B$700:$B$1160,A635,'Anlage 2b_Korrekturen'!$F$700:$F$1160)</f>
        <v>-1430.43</v>
      </c>
      <c r="G635" s="928">
        <f t="shared" si="22"/>
        <v>382734.10000000003</v>
      </c>
      <c r="H635" t="str">
        <f>+VLOOKUP(A635,'Anlage 2a_Letztverbrauch'!$A$415:$J$781,10,FALSE)</f>
        <v>Stadtwerke Treuchtlingen KU</v>
      </c>
    </row>
    <row r="636" spans="1:8" hidden="1" outlineLevel="1">
      <c r="A636" s="853" t="s">
        <v>1312</v>
      </c>
      <c r="B636" s="702">
        <f>+VLOOKUP(A636,'Anlage 2a_Letztverbrauch'!$A$2259:$I$2625,9,FALSE)</f>
        <v>39602427</v>
      </c>
      <c r="C636" s="88">
        <f>IFERROR(+VLOOKUP(A636,'Anlage 2a_Letztverbrauch'!$A$2797:$I$2816,4,FALSE),0)</f>
        <v>0</v>
      </c>
      <c r="D636" s="88">
        <v>0</v>
      </c>
      <c r="E636" s="88">
        <f t="shared" si="21"/>
        <v>39602427</v>
      </c>
      <c r="F636" s="668">
        <f>+SUMIF('Anlage 2b_Korrekturen'!$B$700:$B$1160,A636,'Anlage 2b_Korrekturen'!$F$700:$F$1160)</f>
        <v>2075954.8199999998</v>
      </c>
      <c r="G636" s="928">
        <f t="shared" si="22"/>
        <v>41678381.82</v>
      </c>
      <c r="H636" t="str">
        <f>+VLOOKUP(A636,'Anlage 2a_Letztverbrauch'!$A$415:$J$781,10,FALSE)</f>
        <v>NRM Netzdienste Rhein-Main GmbH (Frankfurt)</v>
      </c>
    </row>
    <row r="637" spans="1:8" hidden="1" outlineLevel="1">
      <c r="A637" s="853" t="s">
        <v>1468</v>
      </c>
      <c r="B637" s="702">
        <f>+VLOOKUP(A637,'Anlage 2a_Letztverbrauch'!$A$2259:$I$2625,9,FALSE)</f>
        <v>285875.37</v>
      </c>
      <c r="C637" s="88">
        <f>IFERROR(+VLOOKUP(A637,'Anlage 2a_Letztverbrauch'!$A$2797:$I$2816,4,FALSE),0)</f>
        <v>0</v>
      </c>
      <c r="D637" s="88">
        <v>0</v>
      </c>
      <c r="E637" s="88">
        <f t="shared" si="21"/>
        <v>285875.37</v>
      </c>
      <c r="F637" s="668">
        <f>+SUMIF('Anlage 2b_Korrekturen'!$B$700:$B$1160,A637,'Anlage 2b_Korrekturen'!$F$700:$F$1160)</f>
        <v>-562.84999999999991</v>
      </c>
      <c r="G637" s="928">
        <f t="shared" si="22"/>
        <v>285312.52</v>
      </c>
      <c r="H637" t="str">
        <f>+VLOOKUP(A637,'Anlage 2a_Letztverbrauch'!$A$415:$J$781,10,FALSE)</f>
        <v>Stadtwerke Haiger</v>
      </c>
    </row>
    <row r="638" spans="1:8" hidden="1" outlineLevel="1">
      <c r="A638" s="853" t="s">
        <v>1309</v>
      </c>
      <c r="B638" s="702">
        <f>+VLOOKUP(A638,'Anlage 2a_Letztverbrauch'!$A$2259:$I$2625,9,FALSE)</f>
        <v>1595401.71</v>
      </c>
      <c r="C638" s="88">
        <f>IFERROR(+VLOOKUP(A638,'Anlage 2a_Letztverbrauch'!$A$2797:$I$2816,4,FALSE),0)</f>
        <v>0</v>
      </c>
      <c r="D638" s="88">
        <v>0</v>
      </c>
      <c r="E638" s="88">
        <f t="shared" si="21"/>
        <v>1595401.71</v>
      </c>
      <c r="F638" s="668">
        <f>+SUMIF('Anlage 2b_Korrekturen'!$B$700:$B$1160,A638,'Anlage 2b_Korrekturen'!$F$700:$F$1160)</f>
        <v>-2405.8919500000002</v>
      </c>
      <c r="G638" s="928">
        <f t="shared" si="22"/>
        <v>1592995.8180499999</v>
      </c>
      <c r="H638" t="str">
        <f>+VLOOKUP(A638,'Anlage 2a_Letztverbrauch'!$A$415:$J$781,10,FALSE)</f>
        <v>Energie- und Wassergesellschaft mbH</v>
      </c>
    </row>
    <row r="639" spans="1:8" hidden="1" outlineLevel="1">
      <c r="A639" s="853" t="s">
        <v>2216</v>
      </c>
      <c r="B639" s="702">
        <f>+VLOOKUP(A639,'Anlage 2a_Letztverbrauch'!$A$2259:$I$2625,9,FALSE)</f>
        <v>55142.87</v>
      </c>
      <c r="C639" s="88">
        <f>IFERROR(+VLOOKUP(A639,'Anlage 2a_Letztverbrauch'!$A$2797:$I$2816,4,FALSE),0)</f>
        <v>0</v>
      </c>
      <c r="D639" s="88">
        <v>0</v>
      </c>
      <c r="E639" s="88">
        <f t="shared" si="21"/>
        <v>55142.87</v>
      </c>
      <c r="F639" s="668">
        <f>+SUMIF('Anlage 2b_Korrekturen'!$B$700:$B$1160,A639,'Anlage 2b_Korrekturen'!$F$700:$F$1160)</f>
        <v>0</v>
      </c>
      <c r="G639" s="928">
        <f t="shared" si="22"/>
        <v>55142.87</v>
      </c>
      <c r="H639" t="str">
        <f>+VLOOKUP(A639,'Anlage 2a_Letztverbrauch'!$A$415:$J$781,10,FALSE)</f>
        <v>Elektrizitätswerk Unterwössen Döllerer &amp; Greimel Netz GmbH &amp; Co. KG</v>
      </c>
    </row>
    <row r="640" spans="1:8" hidden="1" outlineLevel="1">
      <c r="A640" s="853" t="s">
        <v>1558</v>
      </c>
      <c r="B640" s="702">
        <f>+VLOOKUP(A640,'Anlage 2a_Letztverbrauch'!$A$2259:$I$2625,9,FALSE)</f>
        <v>8743792.9500000011</v>
      </c>
      <c r="C640" s="88">
        <f>IFERROR(+VLOOKUP(A640,'Anlage 2a_Letztverbrauch'!$A$2797:$I$2816,4,FALSE),0)</f>
        <v>0</v>
      </c>
      <c r="D640" s="88">
        <v>0</v>
      </c>
      <c r="E640" s="88">
        <f t="shared" si="21"/>
        <v>8743792.9500000011</v>
      </c>
      <c r="F640" s="668">
        <f>+SUMIF('Anlage 2b_Korrekturen'!$B$700:$B$1160,A640,'Anlage 2b_Korrekturen'!$F$700:$F$1160)</f>
        <v>0</v>
      </c>
      <c r="G640" s="928">
        <f t="shared" si="22"/>
        <v>8743792.9500000011</v>
      </c>
      <c r="H640" t="str">
        <f>+VLOOKUP(A640,'Anlage 2a_Letztverbrauch'!$A$415:$J$781,10,FALSE)</f>
        <v>LSW Netz GmbH &amp; Co. KG</v>
      </c>
    </row>
    <row r="641" spans="1:8" hidden="1" outlineLevel="1">
      <c r="A641" s="853" t="s">
        <v>1762</v>
      </c>
      <c r="B641" s="702">
        <f>+VLOOKUP(A641,'Anlage 2a_Letztverbrauch'!$A$2259:$I$2625,9,FALSE)</f>
        <v>469206.4</v>
      </c>
      <c r="C641" s="88">
        <f>IFERROR(+VLOOKUP(A641,'Anlage 2a_Letztverbrauch'!$A$2797:$I$2816,4,FALSE),0)</f>
        <v>0</v>
      </c>
      <c r="D641" s="88">
        <v>0</v>
      </c>
      <c r="E641" s="88">
        <f t="shared" si="21"/>
        <v>469206.4</v>
      </c>
      <c r="F641" s="668">
        <f>+SUMIF('Anlage 2b_Korrekturen'!$B$700:$B$1160,A641,'Anlage 2b_Korrekturen'!$F$700:$F$1160)</f>
        <v>-767.93995999999993</v>
      </c>
      <c r="G641" s="928">
        <f t="shared" si="22"/>
        <v>468438.46004000003</v>
      </c>
      <c r="H641" t="str">
        <f>+VLOOKUP(A641,'Anlage 2a_Letztverbrauch'!$A$415:$J$781,10,FALSE)</f>
        <v>Stadtwerke Bad Pyrmont GmbH</v>
      </c>
    </row>
    <row r="642" spans="1:8" hidden="1" outlineLevel="1">
      <c r="A642" s="853" t="s">
        <v>1442</v>
      </c>
      <c r="B642" s="702">
        <f>+VLOOKUP(A642,'Anlage 2a_Letztverbrauch'!$A$2259:$I$2625,9,FALSE)</f>
        <v>50341.72</v>
      </c>
      <c r="C642" s="88">
        <f>IFERROR(+VLOOKUP(A642,'Anlage 2a_Letztverbrauch'!$A$2797:$I$2816,4,FALSE),0)</f>
        <v>0</v>
      </c>
      <c r="D642" s="88">
        <v>0</v>
      </c>
      <c r="E642" s="88">
        <f t="shared" si="21"/>
        <v>50341.72</v>
      </c>
      <c r="F642" s="668">
        <f>+SUMIF('Anlage 2b_Korrekturen'!$B$700:$B$1160,A642,'Anlage 2b_Korrekturen'!$F$700:$F$1160)</f>
        <v>0</v>
      </c>
      <c r="G642" s="928">
        <f t="shared" si="22"/>
        <v>50341.72</v>
      </c>
      <c r="H642" t="str">
        <f>+VLOOKUP(A642,'Anlage 2a_Letztverbrauch'!$A$415:$J$781,10,FALSE)</f>
        <v>Stromversorgung Seebruck eG</v>
      </c>
    </row>
    <row r="643" spans="1:8" hidden="1" outlineLevel="1">
      <c r="A643" s="853" t="s">
        <v>1748</v>
      </c>
      <c r="B643" s="702">
        <f>+VLOOKUP(A643,'Anlage 2a_Letztverbrauch'!$A$2259:$I$2625,9,FALSE)</f>
        <v>153014.66</v>
      </c>
      <c r="C643" s="88">
        <f>IFERROR(+VLOOKUP(A643,'Anlage 2a_Letztverbrauch'!$A$2797:$I$2816,4,FALSE),0)</f>
        <v>0</v>
      </c>
      <c r="D643" s="88">
        <v>0</v>
      </c>
      <c r="E643" s="88">
        <f t="shared" si="21"/>
        <v>153014.66</v>
      </c>
      <c r="F643" s="668">
        <f>+SUMIF('Anlage 2b_Korrekturen'!$B$700:$B$1160,A643,'Anlage 2b_Korrekturen'!$F$700:$F$1160)</f>
        <v>99.55</v>
      </c>
      <c r="G643" s="928">
        <f t="shared" si="22"/>
        <v>153114.21</v>
      </c>
      <c r="H643" t="str">
        <f>+VLOOKUP(A643,'Anlage 2a_Letztverbrauch'!$A$415:$J$781,10,FALSE)</f>
        <v>Stadtwerke Bogen GmbH</v>
      </c>
    </row>
    <row r="644" spans="1:8" hidden="1" outlineLevel="1">
      <c r="A644" s="853" t="s">
        <v>1790</v>
      </c>
      <c r="B644" s="702">
        <f>+VLOOKUP(A644,'Anlage 2a_Letztverbrauch'!$A$2259:$I$2625,9,FALSE)</f>
        <v>63665.58</v>
      </c>
      <c r="C644" s="88">
        <f>IFERROR(+VLOOKUP(A644,'Anlage 2a_Letztverbrauch'!$A$2797:$I$2816,4,FALSE),0)</f>
        <v>0</v>
      </c>
      <c r="D644" s="88">
        <v>0</v>
      </c>
      <c r="E644" s="88">
        <f t="shared" si="21"/>
        <v>63665.58</v>
      </c>
      <c r="F644" s="668">
        <f>+SUMIF('Anlage 2b_Korrekturen'!$B$700:$B$1160,A644,'Anlage 2b_Korrekturen'!$F$700:$F$1160)</f>
        <v>0</v>
      </c>
      <c r="G644" s="928">
        <f t="shared" si="22"/>
        <v>63665.58</v>
      </c>
      <c r="H644" t="str">
        <f>+VLOOKUP(A644,'Anlage 2a_Letztverbrauch'!$A$415:$J$781,10,FALSE)</f>
        <v>Elektrizitätsgenossenschaft Unterneukirchen eG</v>
      </c>
    </row>
    <row r="645" spans="1:8" hidden="1" outlineLevel="1">
      <c r="A645" s="853" t="s">
        <v>2218</v>
      </c>
      <c r="B645" s="702">
        <f>+VLOOKUP(A645,'Anlage 2a_Letztverbrauch'!$A$2259:$I$2625,9,FALSE)</f>
        <v>79764.92</v>
      </c>
      <c r="C645" s="88">
        <f>IFERROR(+VLOOKUP(A645,'Anlage 2a_Letztverbrauch'!$A$2797:$I$2816,4,FALSE),0)</f>
        <v>0</v>
      </c>
      <c r="D645" s="88">
        <v>0</v>
      </c>
      <c r="E645" s="88">
        <f t="shared" si="21"/>
        <v>79764.92</v>
      </c>
      <c r="F645" s="668">
        <f>+SUMIF('Anlage 2b_Korrekturen'!$B$700:$B$1160,A645,'Anlage 2b_Korrekturen'!$F$700:$F$1160)</f>
        <v>0</v>
      </c>
      <c r="G645" s="928">
        <f t="shared" si="22"/>
        <v>79764.92</v>
      </c>
      <c r="H645" t="str">
        <f>+VLOOKUP(A645,'Anlage 2a_Letztverbrauch'!$A$415:$J$781,10,FALSE)</f>
        <v>Elektrizitäts-Genossenschaft Schonstett eG</v>
      </c>
    </row>
    <row r="646" spans="1:8" hidden="1" outlineLevel="1">
      <c r="A646" s="853" t="s">
        <v>1334</v>
      </c>
      <c r="B646" s="702">
        <f>+VLOOKUP(A646,'Anlage 2a_Letztverbrauch'!$A$2259:$I$2625,9,FALSE)</f>
        <v>540170.41</v>
      </c>
      <c r="C646" s="88">
        <f>IFERROR(+VLOOKUP(A646,'Anlage 2a_Letztverbrauch'!$A$2797:$I$2816,4,FALSE),0)</f>
        <v>0</v>
      </c>
      <c r="D646" s="88">
        <v>0</v>
      </c>
      <c r="E646" s="88">
        <f t="shared" si="21"/>
        <v>540170.41</v>
      </c>
      <c r="F646" s="668">
        <f>+SUMIF('Anlage 2b_Korrekturen'!$B$700:$B$1160,A646,'Anlage 2b_Korrekturen'!$F$700:$F$1160)</f>
        <v>0</v>
      </c>
      <c r="G646" s="928">
        <f t="shared" si="22"/>
        <v>540170.41</v>
      </c>
      <c r="H646" t="str">
        <f>+VLOOKUP(A646,'Anlage 2a_Letztverbrauch'!$A$415:$J$781,10,FALSE)</f>
        <v>Gemeindewerke Holzkirchen GmbH</v>
      </c>
    </row>
    <row r="647" spans="1:8" hidden="1" outlineLevel="1">
      <c r="A647" s="853" t="s">
        <v>2220</v>
      </c>
      <c r="B647" s="702">
        <f>+VLOOKUP(A647,'Anlage 2a_Letztverbrauch'!$A$2259:$I$2625,9,FALSE)</f>
        <v>141745.13</v>
      </c>
      <c r="C647" s="88">
        <f>IFERROR(+VLOOKUP(A647,'Anlage 2a_Letztverbrauch'!$A$2797:$I$2816,4,FALSE),0)</f>
        <v>0</v>
      </c>
      <c r="D647" s="88">
        <v>0</v>
      </c>
      <c r="E647" s="88">
        <f t="shared" si="21"/>
        <v>141745.13</v>
      </c>
      <c r="F647" s="668">
        <f>+SUMIF('Anlage 2b_Korrekturen'!$B$700:$B$1160,A647,'Anlage 2b_Korrekturen'!$F$700:$F$1160)</f>
        <v>0</v>
      </c>
      <c r="G647" s="928">
        <f t="shared" si="22"/>
        <v>141745.13</v>
      </c>
      <c r="H647" t="str">
        <f>+VLOOKUP(A647,'Anlage 2a_Letztverbrauch'!$A$415:$J$781,10,FALSE)</f>
        <v>Raiffeisenbank Altmühl-Jura eG</v>
      </c>
    </row>
    <row r="648" spans="1:8" hidden="1" outlineLevel="1">
      <c r="A648" s="853" t="s">
        <v>1263</v>
      </c>
      <c r="B648" s="702">
        <f>+VLOOKUP(A648,'Anlage 2a_Letztverbrauch'!$A$2259:$I$2625,9,FALSE)</f>
        <v>200888.16</v>
      </c>
      <c r="C648" s="88">
        <f>IFERROR(+VLOOKUP(A648,'Anlage 2a_Letztverbrauch'!$A$2797:$I$2816,4,FALSE),0)</f>
        <v>0</v>
      </c>
      <c r="D648" s="88">
        <v>0</v>
      </c>
      <c r="E648" s="88">
        <f t="shared" si="21"/>
        <v>200888.16</v>
      </c>
      <c r="F648" s="668">
        <f>+SUMIF('Anlage 2b_Korrekturen'!$B$700:$B$1160,A648,'Anlage 2b_Korrekturen'!$F$700:$F$1160)</f>
        <v>1937.69399</v>
      </c>
      <c r="G648" s="928">
        <f t="shared" si="22"/>
        <v>202825.85399</v>
      </c>
      <c r="H648" t="str">
        <f>+VLOOKUP(A648,'Anlage 2a_Letztverbrauch'!$A$415:$J$781,10,FALSE)</f>
        <v>Stadtwerke Trostberg GmbH &amp; Co. KG</v>
      </c>
    </row>
    <row r="649" spans="1:8" hidden="1" outlineLevel="1">
      <c r="A649" s="853" t="s">
        <v>1388</v>
      </c>
      <c r="B649" s="702">
        <f>+VLOOKUP(A649,'Anlage 2a_Letztverbrauch'!$A$2259:$I$2625,9,FALSE)</f>
        <v>289991.52</v>
      </c>
      <c r="C649" s="88">
        <f>IFERROR(+VLOOKUP(A649,'Anlage 2a_Letztverbrauch'!$A$2797:$I$2816,4,FALSE),0)</f>
        <v>0</v>
      </c>
      <c r="D649" s="88">
        <v>0</v>
      </c>
      <c r="E649" s="88">
        <f t="shared" si="21"/>
        <v>289991.52</v>
      </c>
      <c r="F649" s="668">
        <f>+SUMIF('Anlage 2b_Korrekturen'!$B$700:$B$1160,A649,'Anlage 2b_Korrekturen'!$F$700:$F$1160)</f>
        <v>-200.42200000000003</v>
      </c>
      <c r="G649" s="928">
        <f t="shared" si="22"/>
        <v>289791.098</v>
      </c>
      <c r="H649" t="str">
        <f>+VLOOKUP(A649,'Anlage 2a_Letztverbrauch'!$A$415:$J$781,10,FALSE)</f>
        <v>Stadtwerke Norderney GmbH</v>
      </c>
    </row>
    <row r="650" spans="1:8" hidden="1" outlineLevel="1">
      <c r="A650" s="853" t="s">
        <v>1277</v>
      </c>
      <c r="B650" s="702">
        <f>+VLOOKUP(A650,'Anlage 2a_Letztverbrauch'!$A$2259:$I$2625,9,FALSE)</f>
        <v>567519.73</v>
      </c>
      <c r="C650" s="88">
        <f>IFERROR(+VLOOKUP(A650,'Anlage 2a_Letztverbrauch'!$A$2797:$I$2816,4,FALSE),0)</f>
        <v>0</v>
      </c>
      <c r="D650" s="88">
        <v>0</v>
      </c>
      <c r="E650" s="88">
        <f t="shared" si="21"/>
        <v>567519.73</v>
      </c>
      <c r="F650" s="668">
        <f>+SUMIF('Anlage 2b_Korrekturen'!$B$700:$B$1160,A650,'Anlage 2b_Korrekturen'!$F$700:$F$1160)</f>
        <v>-177.78716</v>
      </c>
      <c r="G650" s="928">
        <f t="shared" si="22"/>
        <v>567341.94284000003</v>
      </c>
      <c r="H650" t="str">
        <f>+VLOOKUP(A650,'Anlage 2a_Letztverbrauch'!$A$415:$J$781,10,FALSE)</f>
        <v>Gemeindewerke Steinhagen GmbH</v>
      </c>
    </row>
    <row r="651" spans="1:8" hidden="1" outlineLevel="1">
      <c r="A651" s="853" t="s">
        <v>1736</v>
      </c>
      <c r="B651" s="702">
        <f>+VLOOKUP(A651,'Anlage 2a_Letztverbrauch'!$A$2259:$I$2625,9,FALSE)</f>
        <v>368998.56</v>
      </c>
      <c r="C651" s="88">
        <f>IFERROR(+VLOOKUP(A651,'Anlage 2a_Letztverbrauch'!$A$2797:$I$2816,4,FALSE),0)</f>
        <v>0</v>
      </c>
      <c r="D651" s="88">
        <v>0</v>
      </c>
      <c r="E651" s="88">
        <f t="shared" si="21"/>
        <v>368998.56</v>
      </c>
      <c r="F651" s="668">
        <f>+SUMIF('Anlage 2b_Korrekturen'!$B$700:$B$1160,A651,'Anlage 2b_Korrekturen'!$F$700:$F$1160)</f>
        <v>0</v>
      </c>
      <c r="G651" s="928">
        <f t="shared" si="22"/>
        <v>368998.56</v>
      </c>
      <c r="H651" t="str">
        <f>+VLOOKUP(A651,'Anlage 2a_Letztverbrauch'!$A$415:$J$781,10,FALSE)</f>
        <v>SWR Energie GmbH &amp; Co. KG</v>
      </c>
    </row>
    <row r="652" spans="1:8" hidden="1" outlineLevel="1">
      <c r="A652" s="853" t="s">
        <v>1297</v>
      </c>
      <c r="B652" s="702">
        <f>+VLOOKUP(A652,'Anlage 2a_Letztverbrauch'!$A$2259:$I$2625,9,FALSE)</f>
        <v>585378.51</v>
      </c>
      <c r="C652" s="88">
        <f>IFERROR(+VLOOKUP(A652,'Anlage 2a_Letztverbrauch'!$A$2797:$I$2816,4,FALSE),0)</f>
        <v>0</v>
      </c>
      <c r="D652" s="88">
        <v>0</v>
      </c>
      <c r="E652" s="88">
        <f t="shared" si="21"/>
        <v>585378.51</v>
      </c>
      <c r="F652" s="668">
        <f>+SUMIF('Anlage 2b_Korrekturen'!$B$700:$B$1160,A652,'Anlage 2b_Korrekturen'!$F$700:$F$1160)</f>
        <v>0</v>
      </c>
      <c r="G652" s="928">
        <f t="shared" si="22"/>
        <v>585378.51</v>
      </c>
      <c r="H652" t="str">
        <f>+VLOOKUP(A652,'Anlage 2a_Letztverbrauch'!$A$415:$J$781,10,FALSE)</f>
        <v>SVI - Stromversorgung Ismaning GmbH</v>
      </c>
    </row>
    <row r="653" spans="1:8" hidden="1" outlineLevel="1">
      <c r="A653" s="853" t="s">
        <v>2222</v>
      </c>
      <c r="B653" s="702">
        <f>+VLOOKUP(A653,'Anlage 2a_Letztverbrauch'!$A$2259:$I$2625,9,FALSE)</f>
        <v>75218.81</v>
      </c>
      <c r="C653" s="88">
        <f>IFERROR(+VLOOKUP(A653,'Anlage 2a_Letztverbrauch'!$A$2797:$I$2816,4,FALSE),0)</f>
        <v>0</v>
      </c>
      <c r="D653" s="88">
        <v>0</v>
      </c>
      <c r="E653" s="88">
        <f t="shared" ref="E653:E716" si="23">B653+C653+D653</f>
        <v>75218.81</v>
      </c>
      <c r="F653" s="668">
        <f>+SUMIF('Anlage 2b_Korrekturen'!$B$700:$B$1160,A653,'Anlage 2b_Korrekturen'!$F$700:$F$1160)</f>
        <v>0</v>
      </c>
      <c r="G653" s="928">
        <f t="shared" ref="G653:G716" si="24">E653+F653</f>
        <v>75218.81</v>
      </c>
      <c r="H653" t="str">
        <f>+VLOOKUP(A653,'Anlage 2a_Letztverbrauch'!$A$415:$J$781,10,FALSE)</f>
        <v>Westenthanner Energieversorgung GmbH</v>
      </c>
    </row>
    <row r="654" spans="1:8" hidden="1" outlineLevel="1">
      <c r="A654" s="853" t="s">
        <v>1750</v>
      </c>
      <c r="B654" s="702">
        <f>+VLOOKUP(A654,'Anlage 2a_Letztverbrauch'!$A$2259:$I$2625,9,FALSE)</f>
        <v>457085.7</v>
      </c>
      <c r="C654" s="88">
        <f>IFERROR(+VLOOKUP(A654,'Anlage 2a_Letztverbrauch'!$A$2797:$I$2816,4,FALSE),0)</f>
        <v>0</v>
      </c>
      <c r="D654" s="88">
        <v>0</v>
      </c>
      <c r="E654" s="88">
        <f t="shared" si="23"/>
        <v>457085.7</v>
      </c>
      <c r="F654" s="668">
        <f>+SUMIF('Anlage 2b_Korrekturen'!$B$700:$B$1160,A654,'Anlage 2b_Korrekturen'!$F$700:$F$1160)</f>
        <v>0</v>
      </c>
      <c r="G654" s="928">
        <f t="shared" si="24"/>
        <v>457085.7</v>
      </c>
      <c r="H654" t="str">
        <f>+VLOOKUP(A654,'Anlage 2a_Letztverbrauch'!$A$415:$J$781,10,FALSE)</f>
        <v>Stadtwerke Bad Tölz GmbH</v>
      </c>
    </row>
    <row r="655" spans="1:8" hidden="1" outlineLevel="1">
      <c r="A655" s="853" t="s">
        <v>1514</v>
      </c>
      <c r="B655" s="702">
        <f>+VLOOKUP(A655,'Anlage 2a_Letztverbrauch'!$A$2259:$I$2625,9,FALSE)</f>
        <v>1142390.3999999999</v>
      </c>
      <c r="C655" s="88">
        <f>IFERROR(+VLOOKUP(A655,'Anlage 2a_Letztverbrauch'!$A$2797:$I$2816,4,FALSE),0)</f>
        <v>0</v>
      </c>
      <c r="D655" s="88">
        <v>0</v>
      </c>
      <c r="E655" s="88">
        <f t="shared" si="23"/>
        <v>1142390.3999999999</v>
      </c>
      <c r="F655" s="668">
        <f>+SUMIF('Anlage 2b_Korrekturen'!$B$700:$B$1160,A655,'Anlage 2b_Korrekturen'!$F$700:$F$1160)</f>
        <v>-980.44662000000005</v>
      </c>
      <c r="G655" s="928">
        <f t="shared" si="24"/>
        <v>1141409.9533799998</v>
      </c>
      <c r="H655" t="str">
        <f>+VLOOKUP(A655,'Anlage 2a_Letztverbrauch'!$A$415:$J$781,10,FALSE)</f>
        <v>SEW Stromversorgungs-GmbH</v>
      </c>
    </row>
    <row r="656" spans="1:8" hidden="1" outlineLevel="1">
      <c r="A656" s="853" t="s">
        <v>1578</v>
      </c>
      <c r="B656" s="702">
        <f>+VLOOKUP(A656,'Anlage 2a_Letztverbrauch'!$A$2259:$I$2625,9,FALSE)</f>
        <v>422260.51</v>
      </c>
      <c r="C656" s="88">
        <f>IFERROR(+VLOOKUP(A656,'Anlage 2a_Letztverbrauch'!$A$2797:$I$2816,4,FALSE),0)</f>
        <v>0</v>
      </c>
      <c r="D656" s="88">
        <v>0</v>
      </c>
      <c r="E656" s="88">
        <f t="shared" si="23"/>
        <v>422260.51</v>
      </c>
      <c r="F656" s="668">
        <f>+SUMIF('Anlage 2b_Korrekturen'!$B$700:$B$1160,A656,'Anlage 2b_Korrekturen'!$F$700:$F$1160)</f>
        <v>9873.7808299999997</v>
      </c>
      <c r="G656" s="928">
        <f t="shared" si="24"/>
        <v>432134.29083000001</v>
      </c>
      <c r="H656" t="str">
        <f>+VLOOKUP(A656,'Anlage 2a_Letztverbrauch'!$A$415:$J$781,10,FALSE)</f>
        <v>Stadtwerke Schwentinental GmbH (Raisdorf)</v>
      </c>
    </row>
    <row r="657" spans="1:8" hidden="1" outlineLevel="1">
      <c r="A657" s="853" t="s">
        <v>1776</v>
      </c>
      <c r="B657" s="702">
        <f>+VLOOKUP(A657,'Anlage 2a_Letztverbrauch'!$A$2259:$I$2625,9,FALSE)</f>
        <v>2262106.35</v>
      </c>
      <c r="C657" s="88">
        <f>IFERROR(+VLOOKUP(A657,'Anlage 2a_Letztverbrauch'!$A$2797:$I$2816,4,FALSE),0)</f>
        <v>0</v>
      </c>
      <c r="D657" s="88">
        <v>0</v>
      </c>
      <c r="E657" s="88">
        <f t="shared" si="23"/>
        <v>2262106.35</v>
      </c>
      <c r="F657" s="668">
        <f>+SUMIF('Anlage 2b_Korrekturen'!$B$700:$B$1160,A657,'Anlage 2b_Korrekturen'!$F$700:$F$1160)</f>
        <v>0</v>
      </c>
      <c r="G657" s="928">
        <f t="shared" si="24"/>
        <v>2262106.35</v>
      </c>
      <c r="H657" t="str">
        <f>+VLOOKUP(A657,'Anlage 2a_Letztverbrauch'!$A$415:$J$781,10,FALSE)</f>
        <v>wesernetz Bremerhaven GmbH</v>
      </c>
    </row>
    <row r="658" spans="1:8" hidden="1" outlineLevel="1">
      <c r="A658" s="853" t="s">
        <v>1710</v>
      </c>
      <c r="B658" s="702">
        <f>+VLOOKUP(A658,'Anlage 2a_Letztverbrauch'!$A$2259:$I$2625,9,FALSE)</f>
        <v>1371057.55</v>
      </c>
      <c r="C658" s="88">
        <f>IFERROR(+VLOOKUP(A658,'Anlage 2a_Letztverbrauch'!$A$2797:$I$2816,4,FALSE),0)</f>
        <v>0</v>
      </c>
      <c r="D658" s="88">
        <v>84.2</v>
      </c>
      <c r="E658" s="88">
        <f t="shared" si="23"/>
        <v>1371141.75</v>
      </c>
      <c r="F658" s="668">
        <f>+SUMIF('Anlage 2b_Korrekturen'!$B$700:$B$1160,A658,'Anlage 2b_Korrekturen'!$F$700:$F$1160)</f>
        <v>0</v>
      </c>
      <c r="G658" s="928">
        <f t="shared" si="24"/>
        <v>1371141.75</v>
      </c>
      <c r="H658" t="str">
        <f>+VLOOKUP(A658,'Anlage 2a_Letztverbrauch'!$A$415:$J$781,10,FALSE)</f>
        <v>Freisinger Stadtwerke Versorgungs-GmbH</v>
      </c>
    </row>
    <row r="659" spans="1:8" hidden="1" outlineLevel="1">
      <c r="A659" s="853" t="s">
        <v>1303</v>
      </c>
      <c r="B659" s="702">
        <f>+VLOOKUP(A659,'Anlage 2a_Letztverbrauch'!$A$2259:$I$2625,9,FALSE)</f>
        <v>2676421.4700000002</v>
      </c>
      <c r="C659" s="88">
        <f>IFERROR(+VLOOKUP(A659,'Anlage 2a_Letztverbrauch'!$A$2797:$I$2816,4,FALSE),0)</f>
        <v>0</v>
      </c>
      <c r="D659" s="88">
        <v>0</v>
      </c>
      <c r="E659" s="88">
        <f t="shared" si="23"/>
        <v>2676421.4700000002</v>
      </c>
      <c r="F659" s="668">
        <f>+SUMIF('Anlage 2b_Korrekturen'!$B$700:$B$1160,A659,'Anlage 2b_Korrekturen'!$F$700:$F$1160)</f>
        <v>0</v>
      </c>
      <c r="G659" s="928">
        <f t="shared" si="24"/>
        <v>2676421.4700000002</v>
      </c>
      <c r="H659" t="str">
        <f>+VLOOKUP(A659,'Anlage 2a_Letztverbrauch'!$A$415:$J$781,10,FALSE)</f>
        <v>GEW Wilhelmshaven GmbH</v>
      </c>
    </row>
    <row r="660" spans="1:8" hidden="1" outlineLevel="1">
      <c r="A660" s="853" t="s">
        <v>1512</v>
      </c>
      <c r="B660" s="702">
        <f>+VLOOKUP(A660,'Anlage 2a_Letztverbrauch'!$A$2259:$I$2625,9,FALSE)</f>
        <v>107772.59</v>
      </c>
      <c r="C660" s="88">
        <f>IFERROR(+VLOOKUP(A660,'Anlage 2a_Letztverbrauch'!$A$2797:$I$2816,4,FALSE),0)</f>
        <v>0</v>
      </c>
      <c r="D660" s="88">
        <v>0</v>
      </c>
      <c r="E660" s="88">
        <f t="shared" si="23"/>
        <v>107772.59</v>
      </c>
      <c r="F660" s="668">
        <f>+SUMIF('Anlage 2b_Korrekturen'!$B$700:$B$1160,A660,'Anlage 2b_Korrekturen'!$F$700:$F$1160)</f>
        <v>0</v>
      </c>
      <c r="G660" s="928">
        <f t="shared" si="24"/>
        <v>107772.59</v>
      </c>
      <c r="H660" t="str">
        <f>+VLOOKUP(A660,'Anlage 2a_Letztverbrauch'!$A$415:$J$781,10,FALSE)</f>
        <v>Gemeindewerke Oberaudorf</v>
      </c>
    </row>
    <row r="661" spans="1:8" hidden="1" outlineLevel="1">
      <c r="A661" s="853" t="s">
        <v>1560</v>
      </c>
      <c r="B661" s="702">
        <f>+VLOOKUP(A661,'Anlage 2a_Letztverbrauch'!$A$2259:$I$2625,9,FALSE)</f>
        <v>116625.66</v>
      </c>
      <c r="C661" s="88">
        <f>IFERROR(+VLOOKUP(A661,'Anlage 2a_Letztverbrauch'!$A$2797:$I$2816,4,FALSE),0)</f>
        <v>0</v>
      </c>
      <c r="D661" s="88">
        <v>0</v>
      </c>
      <c r="E661" s="88">
        <f t="shared" si="23"/>
        <v>116625.66</v>
      </c>
      <c r="F661" s="668">
        <f>+SUMIF('Anlage 2b_Korrekturen'!$B$700:$B$1160,A661,'Anlage 2b_Korrekturen'!$F$700:$F$1160)</f>
        <v>0</v>
      </c>
      <c r="G661" s="928">
        <f t="shared" si="24"/>
        <v>116625.66</v>
      </c>
      <c r="H661" t="str">
        <f>+VLOOKUP(A661,'Anlage 2a_Letztverbrauch'!$A$415:$J$781,10,FALSE)</f>
        <v>Stadtwerke Windsbach</v>
      </c>
    </row>
    <row r="662" spans="1:8" hidden="1" outlineLevel="1">
      <c r="A662" s="853" t="s">
        <v>1636</v>
      </c>
      <c r="B662" s="702">
        <f>+VLOOKUP(A662,'Anlage 2a_Letztverbrauch'!$A$2259:$I$2625,9,FALSE)</f>
        <v>472910.31</v>
      </c>
      <c r="C662" s="88">
        <f>IFERROR(+VLOOKUP(A662,'Anlage 2a_Letztverbrauch'!$A$2797:$I$2816,4,FALSE),0)</f>
        <v>-21755.52</v>
      </c>
      <c r="D662" s="88">
        <v>0</v>
      </c>
      <c r="E662" s="88">
        <f t="shared" si="23"/>
        <v>451154.79</v>
      </c>
      <c r="F662" s="668">
        <f>+SUMIF('Anlage 2b_Korrekturen'!$B$700:$B$1160,A662,'Anlage 2b_Korrekturen'!$F$700:$F$1160)</f>
        <v>785.11235999999997</v>
      </c>
      <c r="G662" s="928">
        <f t="shared" si="24"/>
        <v>451939.90236000001</v>
      </c>
      <c r="H662" t="str">
        <f>+VLOOKUP(A662,'Anlage 2a_Letztverbrauch'!$A$415:$J$781,10,FALSE)</f>
        <v>SWW Wunsiedel GmbH</v>
      </c>
    </row>
    <row r="663" spans="1:8" hidden="1" outlineLevel="1">
      <c r="A663" s="853" t="s">
        <v>1646</v>
      </c>
      <c r="B663" s="702">
        <f>+VLOOKUP(A663,'Anlage 2a_Letztverbrauch'!$A$2259:$I$2625,9,FALSE)</f>
        <v>2683481.58</v>
      </c>
      <c r="C663" s="88">
        <f>IFERROR(+VLOOKUP(A663,'Anlage 2a_Letztverbrauch'!$A$2797:$I$2816,4,FALSE),0)</f>
        <v>0</v>
      </c>
      <c r="D663" s="88">
        <v>0</v>
      </c>
      <c r="E663" s="88">
        <f t="shared" si="23"/>
        <v>2683481.58</v>
      </c>
      <c r="F663" s="668">
        <f>+SUMIF('Anlage 2b_Korrekturen'!$B$700:$B$1160,A663,'Anlage 2b_Korrekturen'!$F$700:$F$1160)</f>
        <v>-11747.96723</v>
      </c>
      <c r="G663" s="928">
        <f t="shared" si="24"/>
        <v>2671733.61277</v>
      </c>
      <c r="H663" t="str">
        <f>+VLOOKUP(A663,'Anlage 2a_Letztverbrauch'!$A$415:$J$781,10,FALSE)</f>
        <v>SÜC Energie und H2O GmbH</v>
      </c>
    </row>
    <row r="664" spans="1:8" hidden="1" outlineLevel="1">
      <c r="A664" s="853" t="s">
        <v>1718</v>
      </c>
      <c r="B664" s="702">
        <f>+VLOOKUP(A664,'Anlage 2a_Letztverbrauch'!$A$2259:$I$2625,9,FALSE)</f>
        <v>6459257.5899999999</v>
      </c>
      <c r="C664" s="88">
        <f>IFERROR(+VLOOKUP(A664,'Anlage 2a_Letztverbrauch'!$A$2797:$I$2816,4,FALSE),0)</f>
        <v>0</v>
      </c>
      <c r="D664" s="88">
        <v>0</v>
      </c>
      <c r="E664" s="88">
        <f t="shared" si="23"/>
        <v>6459257.5899999999</v>
      </c>
      <c r="F664" s="668">
        <f>+SUMIF('Anlage 2b_Korrekturen'!$B$700:$B$1160,A664,'Anlage 2b_Korrekturen'!$F$700:$F$1160)</f>
        <v>0</v>
      </c>
      <c r="G664" s="928">
        <f t="shared" si="24"/>
        <v>6459257.5899999999</v>
      </c>
      <c r="H664" t="str">
        <f>+VLOOKUP(A664,'Anlage 2a_Letztverbrauch'!$A$415:$J$781,10,FALSE)</f>
        <v>VW Kraftwerk GmbH</v>
      </c>
    </row>
    <row r="665" spans="1:8" hidden="1" outlineLevel="1">
      <c r="A665" s="853" t="s">
        <v>1640</v>
      </c>
      <c r="B665" s="702">
        <f>+VLOOKUP(A665,'Anlage 2a_Letztverbrauch'!$A$2259:$I$2625,9,FALSE)</f>
        <v>4708350.47</v>
      </c>
      <c r="C665" s="88">
        <f>IFERROR(+VLOOKUP(A665,'Anlage 2a_Letztverbrauch'!$A$2797:$I$2816,4,FALSE),0)</f>
        <v>0</v>
      </c>
      <c r="D665" s="88">
        <v>0</v>
      </c>
      <c r="E665" s="88">
        <f t="shared" si="23"/>
        <v>4708350.47</v>
      </c>
      <c r="F665" s="668">
        <f>+SUMIF('Anlage 2b_Korrekturen'!$B$700:$B$1160,A665,'Anlage 2b_Korrekturen'!$F$700:$F$1160)</f>
        <v>0</v>
      </c>
      <c r="G665" s="928">
        <f t="shared" si="24"/>
        <v>4708350.47</v>
      </c>
      <c r="H665" t="str">
        <f>+VLOOKUP(A665,'Anlage 2a_Letztverbrauch'!$A$415:$J$781,10,FALSE)</f>
        <v>Erlanger Stadtwerke AG</v>
      </c>
    </row>
    <row r="666" spans="1:8" hidden="1" outlineLevel="1">
      <c r="A666" s="853" t="s">
        <v>869</v>
      </c>
      <c r="B666" s="702">
        <f>+VLOOKUP(A666,'Anlage 2a_Letztverbrauch'!$A$2259:$I$2625,9,FALSE)</f>
        <v>275440.21000000002</v>
      </c>
      <c r="C666" s="88">
        <f>IFERROR(+VLOOKUP(A666,'Anlage 2a_Letztverbrauch'!$A$2797:$I$2816,4,FALSE),0)</f>
        <v>0</v>
      </c>
      <c r="D666" s="88">
        <v>0</v>
      </c>
      <c r="E666" s="88">
        <f t="shared" si="23"/>
        <v>275440.21000000002</v>
      </c>
      <c r="F666" s="668">
        <f>+SUMIF('Anlage 2b_Korrekturen'!$B$700:$B$1160,A666,'Anlage 2b_Korrekturen'!$F$700:$F$1160)</f>
        <v>-1586.58592</v>
      </c>
      <c r="G666" s="928">
        <f t="shared" si="24"/>
        <v>273853.62408000004</v>
      </c>
      <c r="H666" t="str">
        <f>+VLOOKUP(A666,'Anlage 2a_Letztverbrauch'!$A$415:$J$781,10,FALSE)</f>
        <v>Stadtwerke Weilburg GmbH</v>
      </c>
    </row>
    <row r="667" spans="1:8" hidden="1" outlineLevel="1">
      <c r="A667" s="853" t="s">
        <v>1744</v>
      </c>
      <c r="B667" s="702">
        <f>+VLOOKUP(A667,'Anlage 2a_Letztverbrauch'!$A$2259:$I$2625,9,FALSE)</f>
        <v>2848971.76</v>
      </c>
      <c r="C667" s="88">
        <f>IFERROR(+VLOOKUP(A667,'Anlage 2a_Letztverbrauch'!$A$2797:$I$2816,4,FALSE),0)</f>
        <v>0</v>
      </c>
      <c r="D667" s="88">
        <v>0</v>
      </c>
      <c r="E667" s="88">
        <f t="shared" si="23"/>
        <v>2848971.76</v>
      </c>
      <c r="F667" s="668">
        <f>+SUMIF('Anlage 2b_Korrekturen'!$B$700:$B$1160,A667,'Anlage 2b_Korrekturen'!$F$700:$F$1160)</f>
        <v>3440.3541500000001</v>
      </c>
      <c r="G667" s="928">
        <f t="shared" si="24"/>
        <v>2852412.1141499998</v>
      </c>
      <c r="H667" t="str">
        <f>+VLOOKUP(A667,'Anlage 2a_Letztverbrauch'!$A$415:$J$781,10,FALSE)</f>
        <v>Stadtwerke Hameln Weserbergland GmbH (vormals: GWS Stadtwerke Hameln GmbH)</v>
      </c>
    </row>
    <row r="668" spans="1:8" hidden="1" outlineLevel="1">
      <c r="A668" s="853" t="s">
        <v>1622</v>
      </c>
      <c r="B668" s="702">
        <f>+VLOOKUP(A668,'Anlage 2a_Letztverbrauch'!$A$2259:$I$2625,9,FALSE)</f>
        <v>530650.31999999995</v>
      </c>
      <c r="C668" s="88">
        <f>IFERROR(+VLOOKUP(A668,'Anlage 2a_Letztverbrauch'!$A$2797:$I$2816,4,FALSE),0)</f>
        <v>0</v>
      </c>
      <c r="D668" s="88">
        <v>0</v>
      </c>
      <c r="E668" s="88">
        <f t="shared" si="23"/>
        <v>530650.31999999995</v>
      </c>
      <c r="F668" s="668">
        <f>+SUMIF('Anlage 2b_Korrekturen'!$B$700:$B$1160,A668,'Anlage 2b_Korrekturen'!$F$700:$F$1160)</f>
        <v>0</v>
      </c>
      <c r="G668" s="928">
        <f t="shared" si="24"/>
        <v>530650.31999999995</v>
      </c>
      <c r="H668" t="str">
        <f>+VLOOKUP(A668,'Anlage 2a_Letztverbrauch'!$A$415:$J$781,10,FALSE)</f>
        <v>Elektrizitätswerk Goldbach-Hösbach GmbH &amp; Co. KG</v>
      </c>
    </row>
    <row r="669" spans="1:8" hidden="1" outlineLevel="1">
      <c r="A669" s="853" t="s">
        <v>2224</v>
      </c>
      <c r="B669" s="702">
        <f>+VLOOKUP(A669,'Anlage 2a_Letztverbrauch'!$A$2259:$I$2625,9,FALSE)</f>
        <v>91739.11</v>
      </c>
      <c r="C669" s="88">
        <f>IFERROR(+VLOOKUP(A669,'Anlage 2a_Letztverbrauch'!$A$2797:$I$2816,4,FALSE),0)</f>
        <v>0</v>
      </c>
      <c r="D669" s="88">
        <v>0</v>
      </c>
      <c r="E669" s="88">
        <f t="shared" si="23"/>
        <v>91739.11</v>
      </c>
      <c r="F669" s="668">
        <f>+SUMIF('Anlage 2b_Korrekturen'!$B$700:$B$1160,A669,'Anlage 2b_Korrekturen'!$F$700:$F$1160)</f>
        <v>0</v>
      </c>
      <c r="G669" s="928">
        <f t="shared" si="24"/>
        <v>91739.11</v>
      </c>
      <c r="H669" t="str">
        <f>+VLOOKUP(A669,'Anlage 2a_Letztverbrauch'!$A$415:$J$781,10,FALSE)</f>
        <v>Gemeindewerke Gangkofen</v>
      </c>
    </row>
    <row r="670" spans="1:8" hidden="1" outlineLevel="1">
      <c r="A670" s="853" t="s">
        <v>1114</v>
      </c>
      <c r="B670" s="702">
        <f>+VLOOKUP(A670,'Anlage 2a_Letztverbrauch'!$A$2259:$I$2625,9,FALSE)</f>
        <v>509460.59</v>
      </c>
      <c r="C670" s="88">
        <f>IFERROR(+VLOOKUP(A670,'Anlage 2a_Letztverbrauch'!$A$2797:$I$2816,4,FALSE),0)</f>
        <v>0</v>
      </c>
      <c r="D670" s="88">
        <v>0</v>
      </c>
      <c r="E670" s="88">
        <f t="shared" si="23"/>
        <v>509460.59</v>
      </c>
      <c r="F670" s="668">
        <f>+SUMIF('Anlage 2b_Korrekturen'!$B$700:$B$1160,A670,'Anlage 2b_Korrekturen'!$F$700:$F$1160)</f>
        <v>1625.4028900000001</v>
      </c>
      <c r="G670" s="928">
        <f t="shared" si="24"/>
        <v>511085.99289000005</v>
      </c>
      <c r="H670" t="str">
        <f>+VLOOKUP(A670,'Anlage 2a_Letztverbrauch'!$A$415:$J$781,10,FALSE)</f>
        <v>T.W.O Technische Werke Osning GmbH</v>
      </c>
    </row>
    <row r="671" spans="1:8" hidden="1" outlineLevel="1">
      <c r="A671" s="853" t="s">
        <v>1414</v>
      </c>
      <c r="B671" s="702">
        <f>+VLOOKUP(A671,'Anlage 2a_Letztverbrauch'!$A$2259:$I$2625,9,FALSE)</f>
        <v>305635.59000000003</v>
      </c>
      <c r="C671" s="88">
        <f>IFERROR(+VLOOKUP(A671,'Anlage 2a_Letztverbrauch'!$A$2797:$I$2816,4,FALSE),0)</f>
        <v>0</v>
      </c>
      <c r="D671" s="88">
        <v>0</v>
      </c>
      <c r="E671" s="88">
        <f t="shared" si="23"/>
        <v>305635.59000000003</v>
      </c>
      <c r="F671" s="668">
        <f>+SUMIF('Anlage 2b_Korrekturen'!$B$700:$B$1160,A671,'Anlage 2b_Korrekturen'!$F$700:$F$1160)</f>
        <v>-1098.52196</v>
      </c>
      <c r="G671" s="928">
        <f t="shared" si="24"/>
        <v>304537.06804000004</v>
      </c>
      <c r="H671" t="str">
        <f>+VLOOKUP(A671,'Anlage 2a_Letztverbrauch'!$A$415:$J$781,10,FALSE)</f>
        <v>Stadtwerke Witzenhausen GmbH &amp; Co. KG</v>
      </c>
    </row>
    <row r="672" spans="1:8" hidden="1" outlineLevel="1">
      <c r="A672" s="853" t="s">
        <v>1652</v>
      </c>
      <c r="B672" s="702">
        <f>+VLOOKUP(A672,'Anlage 2a_Letztverbrauch'!$A$2259:$I$2625,9,FALSE)</f>
        <v>1262546.25</v>
      </c>
      <c r="C672" s="88">
        <f>IFERROR(+VLOOKUP(A672,'Anlage 2a_Letztverbrauch'!$A$2797:$I$2816,4,FALSE),0)</f>
        <v>0</v>
      </c>
      <c r="D672" s="88">
        <v>0</v>
      </c>
      <c r="E672" s="88">
        <f t="shared" si="23"/>
        <v>1262546.25</v>
      </c>
      <c r="F672" s="668">
        <f>+SUMIF('Anlage 2b_Korrekturen'!$B$700:$B$1160,A672,'Anlage 2b_Korrekturen'!$F$700:$F$1160)</f>
        <v>0</v>
      </c>
      <c r="G672" s="928">
        <f t="shared" si="24"/>
        <v>1262546.25</v>
      </c>
      <c r="H672" t="str">
        <f>+VLOOKUP(A672,'Anlage 2a_Letztverbrauch'!$A$415:$J$781,10,FALSE)</f>
        <v>E-Werke Reutte GmbH &amp; Co. KG</v>
      </c>
    </row>
    <row r="673" spans="1:8" hidden="1" outlineLevel="1">
      <c r="A673" s="853" t="s">
        <v>1428</v>
      </c>
      <c r="B673" s="702">
        <f>+VLOOKUP(A673,'Anlage 2a_Letztverbrauch'!$A$2259:$I$2625,9,FALSE)</f>
        <v>481484.22</v>
      </c>
      <c r="C673" s="88">
        <f>IFERROR(+VLOOKUP(A673,'Anlage 2a_Letztverbrauch'!$A$2797:$I$2816,4,FALSE),0)</f>
        <v>0</v>
      </c>
      <c r="D673" s="88">
        <v>0</v>
      </c>
      <c r="E673" s="88">
        <f t="shared" si="23"/>
        <v>481484.22</v>
      </c>
      <c r="F673" s="668">
        <f>+SUMIF('Anlage 2b_Korrekturen'!$B$700:$B$1160,A673,'Anlage 2b_Korrekturen'!$F$700:$F$1160)</f>
        <v>0</v>
      </c>
      <c r="G673" s="928">
        <f t="shared" si="24"/>
        <v>481484.22</v>
      </c>
      <c r="H673" t="str">
        <f>+VLOOKUP(A673,'Anlage 2a_Letztverbrauch'!$A$415:$J$781,10,FALSE)</f>
        <v>EZV Energie- und Service GmbH &amp; Co. KG Untermain</v>
      </c>
    </row>
    <row r="674" spans="1:8" hidden="1" outlineLevel="1">
      <c r="A674" s="853" t="s">
        <v>1700</v>
      </c>
      <c r="B674" s="702">
        <f>+VLOOKUP(A674,'Anlage 2a_Letztverbrauch'!$A$2259:$I$2625,9,FALSE)</f>
        <v>75113</v>
      </c>
      <c r="C674" s="88">
        <f>IFERROR(+VLOOKUP(A674,'Anlage 2a_Letztverbrauch'!$A$2797:$I$2816,4,FALSE),0)</f>
        <v>0</v>
      </c>
      <c r="D674" s="88">
        <v>0</v>
      </c>
      <c r="E674" s="88">
        <f t="shared" si="23"/>
        <v>75113</v>
      </c>
      <c r="F674" s="668">
        <f>+SUMIF('Anlage 2b_Korrekturen'!$B$700:$B$1160,A674,'Anlage 2b_Korrekturen'!$F$700:$F$1160)</f>
        <v>-54</v>
      </c>
      <c r="G674" s="928">
        <f t="shared" si="24"/>
        <v>75059</v>
      </c>
      <c r="H674" t="str">
        <f>+VLOOKUP(A674,'Anlage 2a_Letztverbrauch'!$A$415:$J$781,10,FALSE)</f>
        <v>Gemeindewerke Waging am See</v>
      </c>
    </row>
    <row r="675" spans="1:8" hidden="1" outlineLevel="1">
      <c r="A675" s="853" t="s">
        <v>1734</v>
      </c>
      <c r="B675" s="702">
        <f>+VLOOKUP(A675,'Anlage 2a_Letztverbrauch'!$A$2259:$I$2625,9,FALSE)</f>
        <v>508313.1</v>
      </c>
      <c r="C675" s="88">
        <f>IFERROR(+VLOOKUP(A675,'Anlage 2a_Letztverbrauch'!$A$2797:$I$2816,4,FALSE),0)</f>
        <v>0</v>
      </c>
      <c r="D675" s="88">
        <v>0</v>
      </c>
      <c r="E675" s="88">
        <f t="shared" si="23"/>
        <v>508313.1</v>
      </c>
      <c r="F675" s="668">
        <f>+SUMIF('Anlage 2b_Korrekturen'!$B$700:$B$1160,A675,'Anlage 2b_Korrekturen'!$F$700:$F$1160)</f>
        <v>0</v>
      </c>
      <c r="G675" s="928">
        <f t="shared" si="24"/>
        <v>508313.1</v>
      </c>
      <c r="H675" t="str">
        <f>+VLOOKUP(A675,'Anlage 2a_Letztverbrauch'!$A$415:$J$781,10,FALSE)</f>
        <v>Stadtwerke Zeven GmbH</v>
      </c>
    </row>
    <row r="676" spans="1:8" hidden="1" outlineLevel="1">
      <c r="A676" s="853" t="s">
        <v>2226</v>
      </c>
      <c r="B676" s="702">
        <f>+VLOOKUP(A676,'Anlage 2a_Letztverbrauch'!$A$2259:$I$2625,9,FALSE)</f>
        <v>40345.53</v>
      </c>
      <c r="C676" s="88">
        <f>IFERROR(+VLOOKUP(A676,'Anlage 2a_Letztverbrauch'!$A$2797:$I$2816,4,FALSE),0)</f>
        <v>0</v>
      </c>
      <c r="D676" s="88">
        <v>0</v>
      </c>
      <c r="E676" s="88">
        <f t="shared" si="23"/>
        <v>40345.53</v>
      </c>
      <c r="F676" s="668">
        <f>+SUMIF('Anlage 2b_Korrekturen'!$B$700:$B$1160,A676,'Anlage 2b_Korrekturen'!$F$700:$F$1160)</f>
        <v>148.09116</v>
      </c>
      <c r="G676" s="928">
        <f t="shared" si="24"/>
        <v>40493.621160000002</v>
      </c>
      <c r="H676" t="str">
        <f>+VLOOKUP(A676,'Anlage 2a_Letztverbrauch'!$A$415:$J$781,10,FALSE)</f>
        <v>Gemeindewerke Langenpreising GmbH &amp; Co. KG</v>
      </c>
    </row>
    <row r="677" spans="1:8" hidden="1" outlineLevel="1">
      <c r="A677" s="853" t="s">
        <v>1824</v>
      </c>
      <c r="B677" s="702">
        <f>+VLOOKUP(A677,'Anlage 2a_Letztverbrauch'!$A$2259:$I$2625,9,FALSE)</f>
        <v>13530.77</v>
      </c>
      <c r="C677" s="88">
        <f>IFERROR(+VLOOKUP(A677,'Anlage 2a_Letztverbrauch'!$A$2797:$I$2816,4,FALSE),0)</f>
        <v>0</v>
      </c>
      <c r="D677" s="88">
        <v>0</v>
      </c>
      <c r="E677" s="88">
        <f t="shared" si="23"/>
        <v>13530.77</v>
      </c>
      <c r="F677" s="668">
        <f>+SUMIF('Anlage 2b_Korrekturen'!$B$700:$B$1160,A677,'Anlage 2b_Korrekturen'!$F$700:$F$1160)</f>
        <v>-293.02563999999995</v>
      </c>
      <c r="G677" s="928">
        <f t="shared" si="24"/>
        <v>13237.744360000001</v>
      </c>
      <c r="H677" t="str">
        <f>+VLOOKUP(A677,'Anlage 2a_Letztverbrauch'!$A$415:$J$781,10,FALSE)</f>
        <v>Markt Egloffstein</v>
      </c>
    </row>
    <row r="678" spans="1:8" hidden="1" outlineLevel="1">
      <c r="A678" s="853" t="s">
        <v>2228</v>
      </c>
      <c r="B678" s="702">
        <f>+VLOOKUP(A678,'Anlage 2a_Letztverbrauch'!$A$2259:$I$2625,9,FALSE)</f>
        <v>32709.35</v>
      </c>
      <c r="C678" s="88">
        <f>IFERROR(+VLOOKUP(A678,'Anlage 2a_Letztverbrauch'!$A$2797:$I$2816,4,FALSE),0)</f>
        <v>0</v>
      </c>
      <c r="D678" s="88">
        <v>0</v>
      </c>
      <c r="E678" s="88">
        <f t="shared" si="23"/>
        <v>32709.35</v>
      </c>
      <c r="F678" s="668">
        <f>+SUMIF('Anlage 2b_Korrekturen'!$B$700:$B$1160,A678,'Anlage 2b_Korrekturen'!$F$700:$F$1160)</f>
        <v>0</v>
      </c>
      <c r="G678" s="928">
        <f t="shared" si="24"/>
        <v>32709.35</v>
      </c>
      <c r="H678" t="str">
        <f>+VLOOKUP(A678,'Anlage 2a_Letztverbrauch'!$A$415:$J$781,10,FALSE)</f>
        <v>Elektra-Genossenschaft Effeltrich e.G.</v>
      </c>
    </row>
    <row r="679" spans="1:8" hidden="1" outlineLevel="1">
      <c r="A679" s="853" t="s">
        <v>1732</v>
      </c>
      <c r="B679" s="702">
        <f>+VLOOKUP(A679,'Anlage 2a_Letztverbrauch'!$A$2259:$I$2625,9,FALSE)</f>
        <v>2743914.39</v>
      </c>
      <c r="C679" s="88">
        <f>IFERROR(+VLOOKUP(A679,'Anlage 2a_Letztverbrauch'!$A$2797:$I$2816,4,FALSE),0)</f>
        <v>0</v>
      </c>
      <c r="D679" s="88">
        <v>0</v>
      </c>
      <c r="E679" s="88">
        <f t="shared" si="23"/>
        <v>2743914.39</v>
      </c>
      <c r="F679" s="668">
        <f>+SUMIF('Anlage 2b_Korrekturen'!$B$700:$B$1160,A679,'Anlage 2b_Korrekturen'!$F$700:$F$1160)</f>
        <v>0</v>
      </c>
      <c r="G679" s="928">
        <f t="shared" si="24"/>
        <v>2743914.39</v>
      </c>
      <c r="H679" t="str">
        <f>+VLOOKUP(A679,'Anlage 2a_Letztverbrauch'!$A$415:$J$781,10,FALSE)</f>
        <v>EVI Energieversorgung Hildesheim GmbH &amp; Co. KG</v>
      </c>
    </row>
    <row r="680" spans="1:8" hidden="1" outlineLevel="1">
      <c r="A680" s="853" t="s">
        <v>1728</v>
      </c>
      <c r="B680" s="702">
        <f>+VLOOKUP(A680,'Anlage 2a_Letztverbrauch'!$A$2259:$I$2625,9,FALSE)</f>
        <v>342904.1</v>
      </c>
      <c r="C680" s="88">
        <f>IFERROR(+VLOOKUP(A680,'Anlage 2a_Letztverbrauch'!$A$2797:$I$2816,4,FALSE),0)</f>
        <v>0</v>
      </c>
      <c r="D680" s="88">
        <v>0</v>
      </c>
      <c r="E680" s="88">
        <f t="shared" si="23"/>
        <v>342904.1</v>
      </c>
      <c r="F680" s="668">
        <f>+SUMIF('Anlage 2b_Korrekturen'!$B$700:$B$1160,A680,'Anlage 2b_Korrekturen'!$F$700:$F$1160)</f>
        <v>0</v>
      </c>
      <c r="G680" s="928">
        <f t="shared" si="24"/>
        <v>342904.1</v>
      </c>
      <c r="H680" t="str">
        <f>+VLOOKUP(A680,'Anlage 2a_Letztverbrauch'!$A$415:$J$781,10,FALSE)</f>
        <v>Stadtwerke Lauterbach GmbH</v>
      </c>
    </row>
    <row r="681" spans="1:8" hidden="1" outlineLevel="1">
      <c r="A681" s="853" t="s">
        <v>1384</v>
      </c>
      <c r="B681" s="702">
        <f>+VLOOKUP(A681,'Anlage 2a_Letztverbrauch'!$A$2259:$I$2625,9,FALSE)</f>
        <v>223691.89</v>
      </c>
      <c r="C681" s="88">
        <f>IFERROR(+VLOOKUP(A681,'Anlage 2a_Letztverbrauch'!$A$2797:$I$2816,4,FALSE),0)</f>
        <v>0</v>
      </c>
      <c r="D681" s="88">
        <v>0</v>
      </c>
      <c r="E681" s="88">
        <f t="shared" si="23"/>
        <v>223691.89</v>
      </c>
      <c r="F681" s="668">
        <f>+SUMIF('Anlage 2b_Korrekturen'!$B$700:$B$1160,A681,'Anlage 2b_Korrekturen'!$F$700:$F$1160)</f>
        <v>-869.03031499999997</v>
      </c>
      <c r="G681" s="928">
        <f t="shared" si="24"/>
        <v>222822.859685</v>
      </c>
      <c r="H681" t="str">
        <f>+VLOOKUP(A681,'Anlage 2a_Letztverbrauch'!$A$415:$J$781,10,FALSE)</f>
        <v>Nordseeheilbad Borkum GmbH</v>
      </c>
    </row>
    <row r="682" spans="1:8" hidden="1" outlineLevel="1">
      <c r="A682" s="853" t="s">
        <v>1804</v>
      </c>
      <c r="B682" s="702">
        <f>+VLOOKUP(A682,'Anlage 2a_Letztverbrauch'!$A$2259:$I$2625,9,FALSE)</f>
        <v>787831.85</v>
      </c>
      <c r="C682" s="88">
        <f>IFERROR(+VLOOKUP(A682,'Anlage 2a_Letztverbrauch'!$A$2797:$I$2816,4,FALSE),0)</f>
        <v>-3955.59</v>
      </c>
      <c r="D682" s="88">
        <v>0</v>
      </c>
      <c r="E682" s="88">
        <f t="shared" si="23"/>
        <v>783876.26</v>
      </c>
      <c r="F682" s="668">
        <f>+SUMIF('Anlage 2b_Korrekturen'!$B$700:$B$1160,A682,'Anlage 2b_Korrekturen'!$F$700:$F$1160)</f>
        <v>924.95630000000006</v>
      </c>
      <c r="G682" s="928">
        <f t="shared" si="24"/>
        <v>784801.21629999997</v>
      </c>
      <c r="H682" t="str">
        <f>+VLOOKUP(A682,'Anlage 2a_Letztverbrauch'!$A$415:$J$781,10,FALSE)</f>
        <v>Stadtwerke Cham GmbH</v>
      </c>
    </row>
    <row r="683" spans="1:8" hidden="1" outlineLevel="1">
      <c r="A683" s="853" t="s">
        <v>1378</v>
      </c>
      <c r="B683" s="702">
        <f>+VLOOKUP(A683,'Anlage 2a_Letztverbrauch'!$A$2259:$I$2625,9,FALSE)</f>
        <v>78519.86</v>
      </c>
      <c r="C683" s="88">
        <f>IFERROR(+VLOOKUP(A683,'Anlage 2a_Letztverbrauch'!$A$2797:$I$2816,4,FALSE),0)</f>
        <v>0</v>
      </c>
      <c r="D683" s="88">
        <v>0</v>
      </c>
      <c r="E683" s="88">
        <f t="shared" si="23"/>
        <v>78519.86</v>
      </c>
      <c r="F683" s="668">
        <f>+SUMIF('Anlage 2b_Korrekturen'!$B$700:$B$1160,A683,'Anlage 2b_Korrekturen'!$F$700:$F$1160)</f>
        <v>0</v>
      </c>
      <c r="G683" s="928">
        <f t="shared" si="24"/>
        <v>78519.86</v>
      </c>
      <c r="H683" t="str">
        <f>+VLOOKUP(A683,'Anlage 2a_Letztverbrauch'!$A$415:$J$781,10,FALSE)</f>
        <v>Elektrizitäts-Versorgungs-Genossenschaft Perlesreut eG</v>
      </c>
    </row>
    <row r="684" spans="1:8" hidden="1" outlineLevel="1">
      <c r="A684" s="853" t="s">
        <v>1740</v>
      </c>
      <c r="B684" s="702">
        <f>+VLOOKUP(A684,'Anlage 2a_Letztverbrauch'!$A$2259:$I$2625,9,FALSE)</f>
        <v>47509.7</v>
      </c>
      <c r="C684" s="88">
        <f>IFERROR(+VLOOKUP(A684,'Anlage 2a_Letztverbrauch'!$A$2797:$I$2816,4,FALSE),0)</f>
        <v>0</v>
      </c>
      <c r="D684" s="88">
        <v>0</v>
      </c>
      <c r="E684" s="88">
        <f t="shared" si="23"/>
        <v>47509.7</v>
      </c>
      <c r="F684" s="668">
        <f>+SUMIF('Anlage 2b_Korrekturen'!$B$700:$B$1160,A684,'Anlage 2b_Korrekturen'!$F$700:$F$1160)</f>
        <v>0</v>
      </c>
      <c r="G684" s="928">
        <f t="shared" si="24"/>
        <v>47509.7</v>
      </c>
      <c r="H684" t="str">
        <f>+VLOOKUP(A684,'Anlage 2a_Letztverbrauch'!$A$415:$J$781,10,FALSE)</f>
        <v>Gemeindewerke Nüdlingen</v>
      </c>
    </row>
    <row r="685" spans="1:8" hidden="1" outlineLevel="1">
      <c r="A685" s="853" t="s">
        <v>1346</v>
      </c>
      <c r="B685" s="702">
        <f>+VLOOKUP(A685,'Anlage 2a_Letztverbrauch'!$A$2259:$I$2625,9,FALSE)</f>
        <v>890286.81</v>
      </c>
      <c r="C685" s="88">
        <f>IFERROR(+VLOOKUP(A685,'Anlage 2a_Letztverbrauch'!$A$2797:$I$2816,4,FALSE),0)</f>
        <v>0</v>
      </c>
      <c r="D685" s="88">
        <v>0</v>
      </c>
      <c r="E685" s="88">
        <f t="shared" si="23"/>
        <v>890286.81</v>
      </c>
      <c r="F685" s="668">
        <f>+SUMIF('Anlage 2b_Korrekturen'!$B$700:$B$1160,A685,'Anlage 2b_Korrekturen'!$F$700:$F$1160)</f>
        <v>0</v>
      </c>
      <c r="G685" s="928">
        <f t="shared" si="24"/>
        <v>890286.81</v>
      </c>
      <c r="H685" t="str">
        <f>+VLOOKUP(A685,'Anlage 2a_Letztverbrauch'!$A$415:$J$781,10,FALSE)</f>
        <v>Gemeindewerke Garmisch-Partenkirchen</v>
      </c>
    </row>
    <row r="686" spans="1:8" hidden="1" outlineLevel="1">
      <c r="A686" s="853" t="s">
        <v>1287</v>
      </c>
      <c r="B686" s="702">
        <f>+VLOOKUP(A686,'Anlage 2a_Letztverbrauch'!$A$2259:$I$2625,9,FALSE)</f>
        <v>1061579.3999999999</v>
      </c>
      <c r="C686" s="88">
        <f>IFERROR(+VLOOKUP(A686,'Anlage 2a_Letztverbrauch'!$A$2797:$I$2816,4,FALSE),0)</f>
        <v>0</v>
      </c>
      <c r="D686" s="88">
        <v>0</v>
      </c>
      <c r="E686" s="88">
        <f t="shared" si="23"/>
        <v>1061579.3999999999</v>
      </c>
      <c r="F686" s="668">
        <f>+SUMIF('Anlage 2b_Korrekturen'!$B$700:$B$1160,A686,'Anlage 2b_Korrekturen'!$F$700:$F$1160)</f>
        <v>-1070.67327</v>
      </c>
      <c r="G686" s="928">
        <f t="shared" si="24"/>
        <v>1060508.72673</v>
      </c>
      <c r="H686" t="str">
        <f>+VLOOKUP(A686,'Anlage 2a_Letztverbrauch'!$A$415:$J$781,10,FALSE)</f>
        <v>Überlandzentrale Wörth/l.- Altheim Netz AG</v>
      </c>
    </row>
    <row r="687" spans="1:8" hidden="1" outlineLevel="1">
      <c r="A687" s="853" t="s">
        <v>2230</v>
      </c>
      <c r="B687" s="702">
        <f>+VLOOKUP(A687,'Anlage 2a_Letztverbrauch'!$A$2259:$I$2625,9,FALSE)</f>
        <v>400542.38</v>
      </c>
      <c r="C687" s="88">
        <f>IFERROR(+VLOOKUP(A687,'Anlage 2a_Letztverbrauch'!$A$2797:$I$2816,4,FALSE),0)</f>
        <v>0</v>
      </c>
      <c r="D687" s="88">
        <v>0</v>
      </c>
      <c r="E687" s="88">
        <f t="shared" si="23"/>
        <v>400542.38</v>
      </c>
      <c r="F687" s="668">
        <f>+SUMIF('Anlage 2b_Korrekturen'!$B$700:$B$1160,A687,'Anlage 2b_Korrekturen'!$F$700:$F$1160)</f>
        <v>0</v>
      </c>
      <c r="G687" s="928">
        <f t="shared" si="24"/>
        <v>400542.38</v>
      </c>
      <c r="H687" t="str">
        <f>+VLOOKUP(A687,'Anlage 2a_Letztverbrauch'!$A$415:$J$781,10,FALSE)</f>
        <v>SWB Stadtwerke Biedenkopf GmbH</v>
      </c>
    </row>
    <row r="688" spans="1:8" hidden="1" outlineLevel="1">
      <c r="A688" s="853" t="s">
        <v>1594</v>
      </c>
      <c r="B688" s="702">
        <f>+VLOOKUP(A688,'Anlage 2a_Letztverbrauch'!$A$2259:$I$2625,9,FALSE)</f>
        <v>67744.55</v>
      </c>
      <c r="C688" s="88">
        <f>IFERROR(+VLOOKUP(A688,'Anlage 2a_Letztverbrauch'!$A$2797:$I$2816,4,FALSE),0)</f>
        <v>0</v>
      </c>
      <c r="D688" s="88">
        <v>0</v>
      </c>
      <c r="E688" s="88">
        <f t="shared" si="23"/>
        <v>67744.55</v>
      </c>
      <c r="F688" s="668">
        <f>+SUMIF('Anlage 2b_Korrekturen'!$B$700:$B$1160,A688,'Anlage 2b_Korrekturen'!$F$700:$F$1160)</f>
        <v>0</v>
      </c>
      <c r="G688" s="928">
        <f t="shared" si="24"/>
        <v>67744.55</v>
      </c>
      <c r="H688" t="str">
        <f>+VLOOKUP(A688,'Anlage 2a_Letztverbrauch'!$A$415:$J$781,10,FALSE)</f>
        <v>Bauer Netz GmbH &amp; Co. KG</v>
      </c>
    </row>
    <row r="689" spans="1:8" hidden="1" outlineLevel="1">
      <c r="A689" s="853" t="s">
        <v>779</v>
      </c>
      <c r="B689" s="702">
        <f>+VLOOKUP(A689,'Anlage 2a_Letztverbrauch'!$A$2259:$I$2625,9,FALSE)</f>
        <v>428358.12</v>
      </c>
      <c r="C689" s="88">
        <f>IFERROR(+VLOOKUP(A689,'Anlage 2a_Letztverbrauch'!$A$2797:$I$2816,4,FALSE),0)</f>
        <v>0</v>
      </c>
      <c r="D689" s="88">
        <v>0</v>
      </c>
      <c r="E689" s="88">
        <f t="shared" si="23"/>
        <v>428358.12</v>
      </c>
      <c r="F689" s="668">
        <f>+SUMIF('Anlage 2b_Korrekturen'!$B$700:$B$1160,A689,'Anlage 2b_Korrekturen'!$F$700:$F$1160)</f>
        <v>0</v>
      </c>
      <c r="G689" s="928">
        <f t="shared" si="24"/>
        <v>428358.12</v>
      </c>
      <c r="H689" t="str">
        <f>+VLOOKUP(A689,'Anlage 2a_Letztverbrauch'!$A$415:$J$781,10,FALSE)</f>
        <v>Aschaffenburger Versorgungs GmbH</v>
      </c>
    </row>
    <row r="690" spans="1:8" hidden="1" outlineLevel="1">
      <c r="A690" s="853" t="s">
        <v>1307</v>
      </c>
      <c r="B690" s="702">
        <f>+VLOOKUP(A690,'Anlage 2a_Letztverbrauch'!$A$2259:$I$2625,9,FALSE)</f>
        <v>275062.74</v>
      </c>
      <c r="C690" s="88">
        <f>IFERROR(+VLOOKUP(A690,'Anlage 2a_Letztverbrauch'!$A$2797:$I$2816,4,FALSE),0)</f>
        <v>0</v>
      </c>
      <c r="D690" s="88">
        <v>0</v>
      </c>
      <c r="E690" s="88">
        <f t="shared" si="23"/>
        <v>275062.74</v>
      </c>
      <c r="F690" s="668">
        <f>+SUMIF('Anlage 2b_Korrekturen'!$B$700:$B$1160,A690,'Anlage 2b_Korrekturen'!$F$700:$F$1160)</f>
        <v>0</v>
      </c>
      <c r="G690" s="928">
        <f t="shared" si="24"/>
        <v>275062.74</v>
      </c>
      <c r="H690" t="str">
        <f>+VLOOKUP(A690,'Anlage 2a_Letztverbrauch'!$A$415:$J$781,10,FALSE)</f>
        <v>Stadtwerke Feuchtwangen</v>
      </c>
    </row>
    <row r="691" spans="1:8" hidden="1" outlineLevel="1">
      <c r="A691" s="853" t="s">
        <v>1510</v>
      </c>
      <c r="B691" s="702">
        <f>+VLOOKUP(A691,'Anlage 2a_Letztverbrauch'!$A$2259:$I$2625,9,FALSE)</f>
        <v>831558.54</v>
      </c>
      <c r="C691" s="88">
        <f>IFERROR(+VLOOKUP(A691,'Anlage 2a_Letztverbrauch'!$A$2797:$I$2816,4,FALSE),0)</f>
        <v>0</v>
      </c>
      <c r="D691" s="88">
        <v>0</v>
      </c>
      <c r="E691" s="88">
        <f t="shared" si="23"/>
        <v>831558.54</v>
      </c>
      <c r="F691" s="668">
        <f>+SUMIF('Anlage 2b_Korrekturen'!$B$700:$B$1160,A691,'Anlage 2b_Korrekturen'!$F$700:$F$1160)</f>
        <v>354.75379000000009</v>
      </c>
      <c r="G691" s="928">
        <f t="shared" si="24"/>
        <v>831913.29379000003</v>
      </c>
      <c r="H691" t="str">
        <f>+VLOOKUP(A691,'Anlage 2a_Letztverbrauch'!$A$415:$J$781,10,FALSE)</f>
        <v>Stadtwerke Husum Netz GmbH</v>
      </c>
    </row>
    <row r="692" spans="1:8" hidden="1" outlineLevel="1">
      <c r="A692" s="853" t="s">
        <v>1328</v>
      </c>
      <c r="B692" s="702">
        <f>+VLOOKUP(A692,'Anlage 2a_Letztverbrauch'!$A$2259:$I$2625,9,FALSE)</f>
        <v>26466.02</v>
      </c>
      <c r="C692" s="88">
        <f>IFERROR(+VLOOKUP(A692,'Anlage 2a_Letztverbrauch'!$A$2797:$I$2816,4,FALSE),0)</f>
        <v>0</v>
      </c>
      <c r="D692" s="88">
        <v>0</v>
      </c>
      <c r="E692" s="88">
        <f t="shared" si="23"/>
        <v>26466.02</v>
      </c>
      <c r="F692" s="668">
        <f>+SUMIF('Anlage 2b_Korrekturen'!$B$700:$B$1160,A692,'Anlage 2b_Korrekturen'!$F$700:$F$1160)</f>
        <v>0</v>
      </c>
      <c r="G692" s="928">
        <f t="shared" si="24"/>
        <v>26466.02</v>
      </c>
      <c r="H692" t="str">
        <f>+VLOOKUP(A692,'Anlage 2a_Letztverbrauch'!$A$415:$J$781,10,FALSE)</f>
        <v>EVU Späth e.K.</v>
      </c>
    </row>
    <row r="693" spans="1:8" hidden="1" outlineLevel="1">
      <c r="A693" s="853" t="s">
        <v>2232</v>
      </c>
      <c r="B693" s="702">
        <f>+VLOOKUP(A693,'Anlage 2a_Letztverbrauch'!$A$2259:$I$2625,9,FALSE)</f>
        <v>24130.77</v>
      </c>
      <c r="C693" s="88">
        <f>IFERROR(+VLOOKUP(A693,'Anlage 2a_Letztverbrauch'!$A$2797:$I$2816,4,FALSE),0)</f>
        <v>0</v>
      </c>
      <c r="D693" s="88">
        <v>0</v>
      </c>
      <c r="E693" s="88">
        <f t="shared" si="23"/>
        <v>24130.77</v>
      </c>
      <c r="F693" s="668">
        <f>+SUMIF('Anlage 2b_Korrekturen'!$B$700:$B$1160,A693,'Anlage 2b_Korrekturen'!$F$700:$F$1160)</f>
        <v>0</v>
      </c>
      <c r="G693" s="928">
        <f t="shared" si="24"/>
        <v>24130.77</v>
      </c>
      <c r="H693" t="str">
        <f>+VLOOKUP(A693,'Anlage 2a_Letztverbrauch'!$A$415:$J$781,10,FALSE)</f>
        <v>Energieversorgung - Schmid</v>
      </c>
    </row>
    <row r="694" spans="1:8" hidden="1" outlineLevel="1">
      <c r="A694" s="853" t="s">
        <v>1362</v>
      </c>
      <c r="B694" s="702">
        <f>+VLOOKUP(A694,'Anlage 2a_Letztverbrauch'!$A$2259:$I$2625,9,FALSE)</f>
        <v>3130583.53</v>
      </c>
      <c r="C694" s="88">
        <f>IFERROR(+VLOOKUP(A694,'Anlage 2a_Letztverbrauch'!$A$2797:$I$2816,4,FALSE),0)</f>
        <v>-2159.27</v>
      </c>
      <c r="D694" s="88">
        <v>0</v>
      </c>
      <c r="E694" s="88">
        <f t="shared" si="23"/>
        <v>3128424.26</v>
      </c>
      <c r="F694" s="668">
        <f>+SUMIF('Anlage 2b_Korrekturen'!$B$700:$B$1160,A694,'Anlage 2b_Korrekturen'!$F$700:$F$1160)</f>
        <v>5383.2111599999998</v>
      </c>
      <c r="G694" s="928">
        <f t="shared" si="24"/>
        <v>3133807.4711599997</v>
      </c>
      <c r="H694" t="str">
        <f>+VLOOKUP(A694,'Anlage 2a_Letztverbrauch'!$A$415:$J$781,10,FALSE)</f>
        <v>ÜZ Mainfranken eG</v>
      </c>
    </row>
    <row r="695" spans="1:8" hidden="1" outlineLevel="1">
      <c r="A695" s="853" t="s">
        <v>456</v>
      </c>
      <c r="B695" s="702">
        <f>+VLOOKUP(A695,'Anlage 2a_Letztverbrauch'!$A$2259:$I$2625,9,FALSE)</f>
        <v>1468210.46</v>
      </c>
      <c r="C695" s="88">
        <f>IFERROR(+VLOOKUP(A695,'Anlage 2a_Letztverbrauch'!$A$2797:$I$2816,4,FALSE),0)</f>
        <v>0</v>
      </c>
      <c r="D695" s="88">
        <v>0</v>
      </c>
      <c r="E695" s="88">
        <f t="shared" si="23"/>
        <v>1468210.46</v>
      </c>
      <c r="F695" s="668">
        <f>+SUMIF('Anlage 2b_Korrekturen'!$B$700:$B$1160,A695,'Anlage 2b_Korrekturen'!$F$700:$F$1160)</f>
        <v>10805.258736</v>
      </c>
      <c r="G695" s="928">
        <f t="shared" si="24"/>
        <v>1479015.7187359999</v>
      </c>
      <c r="H695" t="str">
        <f>+VLOOKUP(A695,'Anlage 2a_Letztverbrauch'!$A$415:$J$781,10,FALSE)</f>
        <v>GETEC net GmbH</v>
      </c>
    </row>
    <row r="696" spans="1:8" hidden="1" outlineLevel="1">
      <c r="A696" s="853" t="s">
        <v>2234</v>
      </c>
      <c r="B696" s="702">
        <f>+VLOOKUP(A696,'Anlage 2a_Letztverbrauch'!$A$2259:$I$2625,9,FALSE)</f>
        <v>54869.5</v>
      </c>
      <c r="C696" s="88">
        <f>IFERROR(+VLOOKUP(A696,'Anlage 2a_Letztverbrauch'!$A$2797:$I$2816,4,FALSE),0)</f>
        <v>0</v>
      </c>
      <c r="D696" s="88">
        <v>0</v>
      </c>
      <c r="E696" s="88">
        <f t="shared" si="23"/>
        <v>54869.5</v>
      </c>
      <c r="F696" s="668">
        <f>+SUMIF('Anlage 2b_Korrekturen'!$B$700:$B$1160,A696,'Anlage 2b_Korrekturen'!$F$700:$F$1160)</f>
        <v>0</v>
      </c>
      <c r="G696" s="928">
        <f t="shared" si="24"/>
        <v>54869.5</v>
      </c>
      <c r="H696" t="str">
        <f>+VLOOKUP(A696,'Anlage 2a_Letztverbrauch'!$A$415:$J$781,10,FALSE)</f>
        <v>Markt Obernzell</v>
      </c>
    </row>
    <row r="697" spans="1:8" hidden="1" outlineLevel="1">
      <c r="A697" s="853" t="s">
        <v>2236</v>
      </c>
      <c r="B697" s="702">
        <f>+VLOOKUP(A697,'Anlage 2a_Letztverbrauch'!$A$2259:$I$2625,9,FALSE)</f>
        <v>39653.18</v>
      </c>
      <c r="C697" s="88">
        <f>IFERROR(+VLOOKUP(A697,'Anlage 2a_Letztverbrauch'!$A$2797:$I$2816,4,FALSE),0)</f>
        <v>-463.17</v>
      </c>
      <c r="D697" s="88">
        <v>0</v>
      </c>
      <c r="E697" s="88">
        <f t="shared" si="23"/>
        <v>39190.01</v>
      </c>
      <c r="F697" s="668">
        <f>+SUMIF('Anlage 2b_Korrekturen'!$B$700:$B$1160,A697,'Anlage 2b_Korrekturen'!$F$700:$F$1160)</f>
        <v>0</v>
      </c>
      <c r="G697" s="928">
        <f t="shared" si="24"/>
        <v>39190.01</v>
      </c>
      <c r="H697" t="str">
        <f>+VLOOKUP(A697,'Anlage 2a_Letztverbrauch'!$A$415:$J$781,10,FALSE)</f>
        <v>Elektrizitätsgenossenschaft Engelsberg e.G.</v>
      </c>
    </row>
    <row r="698" spans="1:8" hidden="1" outlineLevel="1">
      <c r="A698" s="853" t="s">
        <v>1492</v>
      </c>
      <c r="B698" s="702">
        <f>+VLOOKUP(A698,'Anlage 2a_Letztverbrauch'!$A$2259:$I$2625,9,FALSE)</f>
        <v>78495.98</v>
      </c>
      <c r="C698" s="88">
        <f>IFERROR(+VLOOKUP(A698,'Anlage 2a_Letztverbrauch'!$A$2797:$I$2816,4,FALSE),0)</f>
        <v>0</v>
      </c>
      <c r="D698" s="88">
        <v>0</v>
      </c>
      <c r="E698" s="88">
        <f t="shared" si="23"/>
        <v>78495.98</v>
      </c>
      <c r="F698" s="668">
        <f>+SUMIF('Anlage 2b_Korrekturen'!$B$700:$B$1160,A698,'Anlage 2b_Korrekturen'!$F$700:$F$1160)</f>
        <v>0</v>
      </c>
      <c r="G698" s="928">
        <f t="shared" si="24"/>
        <v>78495.98</v>
      </c>
      <c r="H698" t="str">
        <f>+VLOOKUP(A698,'Anlage 2a_Letztverbrauch'!$A$415:$J$781,10,FALSE)</f>
        <v>Gemeindewerke Frammersbach</v>
      </c>
    </row>
    <row r="699" spans="1:8" hidden="1" outlineLevel="1">
      <c r="A699" s="853" t="s">
        <v>1786</v>
      </c>
      <c r="B699" s="702">
        <f>+VLOOKUP(A699,'Anlage 2a_Letztverbrauch'!$A$2259:$I$2625,9,FALSE)</f>
        <v>72298.55</v>
      </c>
      <c r="C699" s="88">
        <f>IFERROR(+VLOOKUP(A699,'Anlage 2a_Letztverbrauch'!$A$2797:$I$2816,4,FALSE),0)</f>
        <v>0</v>
      </c>
      <c r="D699" s="88">
        <v>0</v>
      </c>
      <c r="E699" s="88">
        <f t="shared" si="23"/>
        <v>72298.55</v>
      </c>
      <c r="F699" s="668">
        <f>+SUMIF('Anlage 2b_Korrekturen'!$B$700:$B$1160,A699,'Anlage 2b_Korrekturen'!$F$700:$F$1160)</f>
        <v>16.5</v>
      </c>
      <c r="G699" s="928">
        <f t="shared" si="24"/>
        <v>72315.05</v>
      </c>
      <c r="H699" t="str">
        <f>+VLOOKUP(A699,'Anlage 2a_Letztverbrauch'!$A$415:$J$781,10,FALSE)</f>
        <v>Kraftwerk Farchant A. Poettinger &amp; Co. KG</v>
      </c>
    </row>
    <row r="700" spans="1:8" hidden="1" outlineLevel="1">
      <c r="A700" s="853" t="s">
        <v>1478</v>
      </c>
      <c r="B700" s="702">
        <f>+VLOOKUP(A700,'Anlage 2a_Letztverbrauch'!$A$2259:$I$2625,9,FALSE)</f>
        <v>228486.97</v>
      </c>
      <c r="C700" s="88">
        <f>IFERROR(+VLOOKUP(A700,'Anlage 2a_Letztverbrauch'!$A$2797:$I$2816,4,FALSE),0)</f>
        <v>0</v>
      </c>
      <c r="D700" s="88">
        <v>0</v>
      </c>
      <c r="E700" s="88">
        <f t="shared" si="23"/>
        <v>228486.97</v>
      </c>
      <c r="F700" s="668">
        <f>+SUMIF('Anlage 2b_Korrekturen'!$B$700:$B$1160,A700,'Anlage 2b_Korrekturen'!$F$700:$F$1160)</f>
        <v>10.391719999999999</v>
      </c>
      <c r="G700" s="928">
        <f t="shared" si="24"/>
        <v>228497.36172000002</v>
      </c>
      <c r="H700" t="str">
        <f>+VLOOKUP(A700,'Anlage 2a_Letztverbrauch'!$A$415:$J$781,10,FALSE)</f>
        <v>Wendelsteinbahn Verteilnetz GmbH</v>
      </c>
    </row>
    <row r="701" spans="1:8" hidden="1" outlineLevel="1">
      <c r="A701" s="853" t="s">
        <v>2238</v>
      </c>
      <c r="B701" s="702">
        <f>+VLOOKUP(A701,'Anlage 2a_Letztverbrauch'!$A$2259:$I$2625,9,FALSE)</f>
        <v>110679.79</v>
      </c>
      <c r="C701" s="88">
        <f>IFERROR(+VLOOKUP(A701,'Anlage 2a_Letztverbrauch'!$A$2797:$I$2816,4,FALSE),0)</f>
        <v>0</v>
      </c>
      <c r="D701" s="88">
        <v>0</v>
      </c>
      <c r="E701" s="88">
        <f t="shared" si="23"/>
        <v>110679.79</v>
      </c>
      <c r="F701" s="668">
        <f>+SUMIF('Anlage 2b_Korrekturen'!$B$700:$B$1160,A701,'Anlage 2b_Korrekturen'!$F$700:$F$1160)</f>
        <v>0</v>
      </c>
      <c r="G701" s="928">
        <f t="shared" si="24"/>
        <v>110679.79</v>
      </c>
      <c r="H701" t="str">
        <f>+VLOOKUP(A701,'Anlage 2a_Letztverbrauch'!$A$415:$J$781,10,FALSE)</f>
        <v>Niedersachsen Ports GmbH &amp; Co. KG</v>
      </c>
    </row>
    <row r="702" spans="1:8" hidden="1" outlineLevel="1">
      <c r="A702" s="853" t="s">
        <v>1410</v>
      </c>
      <c r="B702" s="702">
        <f>+VLOOKUP(A702,'Anlage 2a_Letztverbrauch'!$A$2259:$I$2625,9,FALSE)</f>
        <v>395128.33</v>
      </c>
      <c r="C702" s="88">
        <f>IFERROR(+VLOOKUP(A702,'Anlage 2a_Letztverbrauch'!$A$2797:$I$2816,4,FALSE),0)</f>
        <v>0</v>
      </c>
      <c r="D702" s="88">
        <v>0</v>
      </c>
      <c r="E702" s="88">
        <f t="shared" si="23"/>
        <v>395128.33</v>
      </c>
      <c r="F702" s="668">
        <f>+SUMIF('Anlage 2b_Korrekturen'!$B$700:$B$1160,A702,'Anlage 2b_Korrekturen'!$F$700:$F$1160)</f>
        <v>0</v>
      </c>
      <c r="G702" s="928">
        <f t="shared" si="24"/>
        <v>395128.33</v>
      </c>
      <c r="H702" t="str">
        <f>+VLOOKUP(A702,'Anlage 2a_Letztverbrauch'!$A$415:$J$781,10,FALSE)</f>
        <v>Stadtwerke Eutin GmbH</v>
      </c>
    </row>
    <row r="703" spans="1:8" hidden="1" outlineLevel="1">
      <c r="A703" s="853" t="s">
        <v>1796</v>
      </c>
      <c r="B703" s="702">
        <f>+VLOOKUP(A703,'Anlage 2a_Letztverbrauch'!$A$2259:$I$2625,9,FALSE)</f>
        <v>1109497.97</v>
      </c>
      <c r="C703" s="88">
        <f>IFERROR(+VLOOKUP(A703,'Anlage 2a_Letztverbrauch'!$A$2797:$I$2816,4,FALSE),0)</f>
        <v>0</v>
      </c>
      <c r="D703" s="88">
        <v>0</v>
      </c>
      <c r="E703" s="88">
        <f t="shared" si="23"/>
        <v>1109497.97</v>
      </c>
      <c r="F703" s="668">
        <f>+SUMIF('Anlage 2b_Korrekturen'!$B$700:$B$1160,A703,'Anlage 2b_Korrekturen'!$F$700:$F$1160)</f>
        <v>6101.8153200000006</v>
      </c>
      <c r="G703" s="928">
        <f t="shared" si="24"/>
        <v>1115599.78532</v>
      </c>
      <c r="H703" t="str">
        <f>+VLOOKUP(A703,'Anlage 2a_Letztverbrauch'!$A$415:$J$781,10,FALSE)</f>
        <v>Elektrizitätswerk Wörth a.d. Donau Rupert Heider GmbH &amp; Co. KG</v>
      </c>
    </row>
    <row r="704" spans="1:8" hidden="1" outlineLevel="1">
      <c r="A704" s="853" t="s">
        <v>2240</v>
      </c>
      <c r="B704" s="702">
        <f>+VLOOKUP(A704,'Anlage 2a_Letztverbrauch'!$A$2259:$I$2625,9,FALSE)</f>
        <v>29847.66</v>
      </c>
      <c r="C704" s="88">
        <f>IFERROR(+VLOOKUP(A704,'Anlage 2a_Letztverbrauch'!$A$2797:$I$2816,4,FALSE),0)</f>
        <v>0</v>
      </c>
      <c r="D704" s="88">
        <v>0</v>
      </c>
      <c r="E704" s="88">
        <f t="shared" si="23"/>
        <v>29847.66</v>
      </c>
      <c r="F704" s="668">
        <f>+SUMIF('Anlage 2b_Korrekturen'!$B$700:$B$1160,A704,'Anlage 2b_Korrekturen'!$F$700:$F$1160)</f>
        <v>0</v>
      </c>
      <c r="G704" s="928">
        <f t="shared" si="24"/>
        <v>29847.66</v>
      </c>
      <c r="H704" t="str">
        <f>+VLOOKUP(A704,'Anlage 2a_Letztverbrauch'!$A$415:$J$781,10,FALSE)</f>
        <v>Elektrizitätsvereinigung Böbing eG</v>
      </c>
    </row>
    <row r="705" spans="1:8" hidden="1" outlineLevel="1">
      <c r="A705" s="853" t="s">
        <v>2242</v>
      </c>
      <c r="B705" s="702">
        <f>+VLOOKUP(A705,'Anlage 2a_Letztverbrauch'!$A$2259:$I$2625,9,FALSE)</f>
        <v>65996.960000000006</v>
      </c>
      <c r="C705" s="88">
        <f>IFERROR(+VLOOKUP(A705,'Anlage 2a_Letztverbrauch'!$A$2797:$I$2816,4,FALSE),0)</f>
        <v>0</v>
      </c>
      <c r="D705" s="88">
        <v>0</v>
      </c>
      <c r="E705" s="88">
        <f t="shared" si="23"/>
        <v>65996.960000000006</v>
      </c>
      <c r="F705" s="668">
        <f>+SUMIF('Anlage 2b_Korrekturen'!$B$700:$B$1160,A705,'Anlage 2b_Korrekturen'!$F$700:$F$1160)</f>
        <v>0</v>
      </c>
      <c r="G705" s="928">
        <f t="shared" si="24"/>
        <v>65996.960000000006</v>
      </c>
      <c r="H705" t="str">
        <f>+VLOOKUP(A705,'Anlage 2a_Letztverbrauch'!$A$415:$J$781,10,FALSE)</f>
        <v>Gemeindewerke Wildeck</v>
      </c>
    </row>
    <row r="706" spans="1:8" hidden="1" outlineLevel="1">
      <c r="A706" s="853" t="s">
        <v>1234</v>
      </c>
      <c r="B706" s="702">
        <f>+VLOOKUP(A706,'Anlage 2a_Letztverbrauch'!$A$2259:$I$2625,9,FALSE)</f>
        <v>750291.14</v>
      </c>
      <c r="C706" s="88">
        <f>IFERROR(+VLOOKUP(A706,'Anlage 2a_Letztverbrauch'!$A$2797:$I$2816,4,FALSE),0)</f>
        <v>0</v>
      </c>
      <c r="D706" s="88">
        <v>0</v>
      </c>
      <c r="E706" s="88">
        <f t="shared" si="23"/>
        <v>750291.14</v>
      </c>
      <c r="F706" s="668">
        <f>+SUMIF('Anlage 2b_Korrekturen'!$B$700:$B$1160,A706,'Anlage 2b_Korrekturen'!$F$700:$F$1160)</f>
        <v>0</v>
      </c>
      <c r="G706" s="928">
        <f t="shared" si="24"/>
        <v>750291.14</v>
      </c>
      <c r="H706" t="str">
        <f>+VLOOKUP(A706,'Anlage 2a_Letztverbrauch'!$A$415:$J$781,10,FALSE)</f>
        <v>Stadtwerke Warburg GmbH</v>
      </c>
    </row>
    <row r="707" spans="1:8" hidden="1" outlineLevel="1">
      <c r="A707" s="853" t="s">
        <v>2244</v>
      </c>
      <c r="B707" s="702">
        <f>+VLOOKUP(A707,'Anlage 2a_Letztverbrauch'!$A$2259:$I$2625,9,FALSE)</f>
        <v>25750.58</v>
      </c>
      <c r="C707" s="88">
        <f>IFERROR(+VLOOKUP(A707,'Anlage 2a_Letztverbrauch'!$A$2797:$I$2816,4,FALSE),0)</f>
        <v>0</v>
      </c>
      <c r="D707" s="88">
        <v>0</v>
      </c>
      <c r="E707" s="88">
        <f t="shared" si="23"/>
        <v>25750.58</v>
      </c>
      <c r="F707" s="668">
        <f>+SUMIF('Anlage 2b_Korrekturen'!$B$700:$B$1160,A707,'Anlage 2b_Korrekturen'!$F$700:$F$1160)</f>
        <v>2590.6550999999999</v>
      </c>
      <c r="G707" s="928">
        <f t="shared" si="24"/>
        <v>28341.235100000002</v>
      </c>
      <c r="H707" t="str">
        <f>+VLOOKUP(A707,'Anlage 2a_Letztverbrauch'!$A$415:$J$781,10,FALSE)</f>
        <v>Elektrizitätsgenossenschaft Nordhalben und Umgebung eG</v>
      </c>
    </row>
    <row r="708" spans="1:8" hidden="1" outlineLevel="1">
      <c r="A708" s="853" t="s">
        <v>1416</v>
      </c>
      <c r="B708" s="702">
        <f>+VLOOKUP(A708,'Anlage 2a_Letztverbrauch'!$A$2259:$I$2625,9,FALSE)</f>
        <v>2098482.11</v>
      </c>
      <c r="C708" s="88">
        <f>IFERROR(+VLOOKUP(A708,'Anlage 2a_Letztverbrauch'!$A$2797:$I$2816,4,FALSE),0)</f>
        <v>0</v>
      </c>
      <c r="D708" s="88">
        <v>0</v>
      </c>
      <c r="E708" s="88">
        <f t="shared" si="23"/>
        <v>2098482.11</v>
      </c>
      <c r="F708" s="668">
        <f>+SUMIF('Anlage 2b_Korrekturen'!$B$700:$B$1160,A708,'Anlage 2b_Korrekturen'!$F$700:$F$1160)</f>
        <v>50867.494640000004</v>
      </c>
      <c r="G708" s="928">
        <f t="shared" si="24"/>
        <v>2149349.60464</v>
      </c>
      <c r="H708" t="str">
        <f>+VLOOKUP(A708,'Anlage 2a_Letztverbrauch'!$A$415:$J$781,10,FALSE)</f>
        <v>Kreiswerke Main-Kinzig GmbH</v>
      </c>
    </row>
    <row r="709" spans="1:8" hidden="1" outlineLevel="1">
      <c r="A709" s="853" t="s">
        <v>564</v>
      </c>
      <c r="B709" s="702">
        <f>+VLOOKUP(A709,'Anlage 2a_Letztverbrauch'!$A$2259:$I$2625,9,FALSE)</f>
        <v>6927031.3311999999</v>
      </c>
      <c r="C709" s="88">
        <f>IFERROR(+VLOOKUP(A709,'Anlage 2a_Letztverbrauch'!$A$2797:$I$2816,4,FALSE),0)</f>
        <v>0</v>
      </c>
      <c r="D709" s="88">
        <v>0</v>
      </c>
      <c r="E709" s="88">
        <f t="shared" si="23"/>
        <v>6927031.3311999999</v>
      </c>
      <c r="F709" s="668">
        <f>+SUMIF('Anlage 2b_Korrekturen'!$B$700:$B$1160,A709,'Anlage 2b_Korrekturen'!$F$700:$F$1160)</f>
        <v>0</v>
      </c>
      <c r="G709" s="928">
        <f t="shared" si="24"/>
        <v>6927031.3311999999</v>
      </c>
      <c r="H709" t="str">
        <f>+VLOOKUP(A709,'Anlage 2a_Letztverbrauch'!$A$415:$J$781,10,FALSE)</f>
        <v>OsthessenNetz GmbH</v>
      </c>
    </row>
    <row r="710" spans="1:8" hidden="1" outlineLevel="1">
      <c r="A710" s="853" t="s">
        <v>2246</v>
      </c>
      <c r="B710" s="702">
        <f>+VLOOKUP(A710,'Anlage 2a_Letztverbrauch'!$A$2259:$I$2625,9,FALSE)</f>
        <v>28542.87</v>
      </c>
      <c r="C710" s="88">
        <f>IFERROR(+VLOOKUP(A710,'Anlage 2a_Letztverbrauch'!$A$2797:$I$2816,4,FALSE),0)</f>
        <v>0</v>
      </c>
      <c r="D710" s="88">
        <v>0</v>
      </c>
      <c r="E710" s="88">
        <f t="shared" si="23"/>
        <v>28542.87</v>
      </c>
      <c r="F710" s="668">
        <f>+SUMIF('Anlage 2b_Korrekturen'!$B$700:$B$1160,A710,'Anlage 2b_Korrekturen'!$F$700:$F$1160)</f>
        <v>0</v>
      </c>
      <c r="G710" s="928">
        <f t="shared" si="24"/>
        <v>28542.87</v>
      </c>
      <c r="H710" t="str">
        <f>+VLOOKUP(A710,'Anlage 2a_Letztverbrauch'!$A$415:$J$781,10,FALSE)</f>
        <v>Elektrizitätswerk Mainbernheim GmbH</v>
      </c>
    </row>
    <row r="711" spans="1:8" hidden="1" outlineLevel="1">
      <c r="A711" s="853" t="s">
        <v>1630</v>
      </c>
      <c r="B711" s="702">
        <f>+VLOOKUP(A711,'Anlage 2a_Letztverbrauch'!$A$2259:$I$2625,9,FALSE)</f>
        <v>218241.63</v>
      </c>
      <c r="C711" s="88">
        <f>IFERROR(+VLOOKUP(A711,'Anlage 2a_Letztverbrauch'!$A$2797:$I$2816,4,FALSE),0)</f>
        <v>0</v>
      </c>
      <c r="D711" s="88">
        <v>0</v>
      </c>
      <c r="E711" s="88">
        <f t="shared" si="23"/>
        <v>218241.63</v>
      </c>
      <c r="F711" s="668">
        <f>+SUMIF('Anlage 2b_Korrekturen'!$B$700:$B$1160,A711,'Anlage 2b_Korrekturen'!$F$700:$F$1160)</f>
        <v>0</v>
      </c>
      <c r="G711" s="928">
        <f t="shared" si="24"/>
        <v>218241.63</v>
      </c>
      <c r="H711" t="str">
        <f>+VLOOKUP(A711,'Anlage 2a_Letztverbrauch'!$A$415:$J$781,10,FALSE)</f>
        <v>Stadtwerke Bad Rodach</v>
      </c>
    </row>
    <row r="712" spans="1:8" hidden="1" outlineLevel="1">
      <c r="A712" s="853" t="s">
        <v>1265</v>
      </c>
      <c r="B712" s="702">
        <f>+VLOOKUP(A712,'Anlage 2a_Letztverbrauch'!$A$2259:$I$2625,9,FALSE)</f>
        <v>6068006.79</v>
      </c>
      <c r="C712" s="88">
        <f>IFERROR(+VLOOKUP(A712,'Anlage 2a_Letztverbrauch'!$A$2797:$I$2816,4,FALSE),0)</f>
        <v>0</v>
      </c>
      <c r="D712" s="88">
        <v>0</v>
      </c>
      <c r="E712" s="88">
        <f t="shared" si="23"/>
        <v>6068006.79</v>
      </c>
      <c r="F712" s="668">
        <f>+SUMIF('Anlage 2b_Korrekturen'!$B$700:$B$1160,A712,'Anlage 2b_Korrekturen'!$F$700:$F$1160)</f>
        <v>-7276.43</v>
      </c>
      <c r="G712" s="928">
        <f t="shared" si="24"/>
        <v>6060730.3600000003</v>
      </c>
      <c r="H712" t="str">
        <f>+VLOOKUP(A712,'Anlage 2a_Letztverbrauch'!$A$415:$J$781,10,FALSE)</f>
        <v>Mainfranken Netze GmbH (ehem. SW Würzburg)</v>
      </c>
    </row>
    <row r="713" spans="1:8" hidden="1" outlineLevel="1">
      <c r="A713" s="853" t="s">
        <v>2248</v>
      </c>
      <c r="B713" s="702">
        <f>+VLOOKUP(A713,'Anlage 2a_Letztverbrauch'!$A$2259:$I$2625,9,FALSE)</f>
        <v>20503.47</v>
      </c>
      <c r="C713" s="88">
        <f>IFERROR(+VLOOKUP(A713,'Anlage 2a_Letztverbrauch'!$A$2797:$I$2816,4,FALSE),0)</f>
        <v>0</v>
      </c>
      <c r="D713" s="88">
        <v>0</v>
      </c>
      <c r="E713" s="88">
        <f t="shared" si="23"/>
        <v>20503.47</v>
      </c>
      <c r="F713" s="668">
        <f>+SUMIF('Anlage 2b_Korrekturen'!$B$700:$B$1160,A713,'Anlage 2b_Korrekturen'!$F$700:$F$1160)</f>
        <v>0</v>
      </c>
      <c r="G713" s="928">
        <f t="shared" si="24"/>
        <v>20503.47</v>
      </c>
      <c r="H713" t="str">
        <f>+VLOOKUP(A713,'Anlage 2a_Letztverbrauch'!$A$415:$J$781,10,FALSE)</f>
        <v>FischerStrom GmbH &amp; Co. KG (vormals: FischerStrom KG)</v>
      </c>
    </row>
    <row r="714" spans="1:8" hidden="1" outlineLevel="1">
      <c r="A714" s="853" t="s">
        <v>1380</v>
      </c>
      <c r="B714" s="702">
        <f>+VLOOKUP(A714,'Anlage 2a_Letztverbrauch'!$A$2259:$I$2625,9,FALSE)</f>
        <v>1376050.92</v>
      </c>
      <c r="C714" s="88">
        <f>IFERROR(+VLOOKUP(A714,'Anlage 2a_Letztverbrauch'!$A$2797:$I$2816,4,FALSE),0)</f>
        <v>0</v>
      </c>
      <c r="D714" s="88">
        <v>0</v>
      </c>
      <c r="E714" s="88">
        <f t="shared" si="23"/>
        <v>1376050.92</v>
      </c>
      <c r="F714" s="668">
        <f>+SUMIF('Anlage 2b_Korrekturen'!$B$700:$B$1160,A714,'Anlage 2b_Korrekturen'!$F$700:$F$1160)</f>
        <v>0</v>
      </c>
      <c r="G714" s="928">
        <f t="shared" si="24"/>
        <v>1376050.92</v>
      </c>
      <c r="H714" t="str">
        <f>+VLOOKUP(A714,'Anlage 2a_Letztverbrauch'!$A$415:$J$781,10,FALSE)</f>
        <v>Vereinigte Stadtwerke Netz GmbH</v>
      </c>
    </row>
    <row r="715" spans="1:8" hidden="1" outlineLevel="1">
      <c r="A715" s="853" t="s">
        <v>2250</v>
      </c>
      <c r="B715" s="702">
        <f>+VLOOKUP(A715,'Anlage 2a_Letztverbrauch'!$A$2259:$I$2625,9,FALSE)</f>
        <v>539902.81000000006</v>
      </c>
      <c r="C715" s="88">
        <f>IFERROR(+VLOOKUP(A715,'Anlage 2a_Letztverbrauch'!$A$2797:$I$2816,4,FALSE),0)</f>
        <v>0</v>
      </c>
      <c r="D715" s="88">
        <v>0</v>
      </c>
      <c r="E715" s="88">
        <f t="shared" si="23"/>
        <v>539902.81000000006</v>
      </c>
      <c r="F715" s="668">
        <f>+SUMIF('Anlage 2b_Korrekturen'!$B$700:$B$1160,A715,'Anlage 2b_Korrekturen'!$F$700:$F$1160)</f>
        <v>1504.5880000000002</v>
      </c>
      <c r="G715" s="928">
        <f t="shared" si="24"/>
        <v>541407.39800000004</v>
      </c>
      <c r="H715" t="str">
        <f>+VLOOKUP(A715,'Anlage 2a_Letztverbrauch'!$A$415:$J$781,10,FALSE)</f>
        <v>EGF EnergieGesellschaft Frankenberg mbH</v>
      </c>
    </row>
    <row r="716" spans="1:8" hidden="1" outlineLevel="1">
      <c r="A716" s="853" t="s">
        <v>2252</v>
      </c>
      <c r="B716" s="702">
        <f>+VLOOKUP(A716,'Anlage 2a_Letztverbrauch'!$A$2259:$I$2625,9,FALSE)</f>
        <v>15385.99</v>
      </c>
      <c r="C716" s="88">
        <f>IFERROR(+VLOOKUP(A716,'Anlage 2a_Letztverbrauch'!$A$2797:$I$2816,4,FALSE),0)</f>
        <v>0</v>
      </c>
      <c r="D716" s="88">
        <v>0</v>
      </c>
      <c r="E716" s="88">
        <f t="shared" si="23"/>
        <v>15385.99</v>
      </c>
      <c r="F716" s="668">
        <f>+SUMIF('Anlage 2b_Korrekturen'!$B$700:$B$1160,A716,'Anlage 2b_Korrekturen'!$F$700:$F$1160)</f>
        <v>0</v>
      </c>
      <c r="G716" s="928">
        <f t="shared" si="24"/>
        <v>15385.99</v>
      </c>
      <c r="H716" t="str">
        <f>+VLOOKUP(A716,'Anlage 2a_Letztverbrauch'!$A$415:$J$781,10,FALSE)</f>
        <v>Elektra Genossenschaft Pinzberg e.G.</v>
      </c>
    </row>
    <row r="717" spans="1:8" hidden="1" outlineLevel="1">
      <c r="A717" s="853" t="s">
        <v>1654</v>
      </c>
      <c r="B717" s="702">
        <f>+VLOOKUP(A717,'Anlage 2a_Letztverbrauch'!$A$2259:$I$2625,9,FALSE)</f>
        <v>9806345.2899999991</v>
      </c>
      <c r="C717" s="88">
        <f>IFERROR(+VLOOKUP(A717,'Anlage 2a_Letztverbrauch'!$A$2797:$I$2816,4,FALSE),0)</f>
        <v>0</v>
      </c>
      <c r="D717" s="88">
        <v>0</v>
      </c>
      <c r="E717" s="88">
        <f t="shared" ref="E717:E780" si="25">B717+C717+D717</f>
        <v>9806345.2899999991</v>
      </c>
      <c r="F717" s="668">
        <f>+SUMIF('Anlage 2b_Korrekturen'!$B$700:$B$1160,A717,'Anlage 2b_Korrekturen'!$F$700:$F$1160)</f>
        <v>-493419.18310340005</v>
      </c>
      <c r="G717" s="928">
        <f t="shared" ref="G717:G780" si="26">E717+F717</f>
        <v>9312926.1068965998</v>
      </c>
      <c r="H717" t="str">
        <f>+VLOOKUP(A717,'Anlage 2a_Letztverbrauch'!$A$415:$J$781,10,FALSE)</f>
        <v>ovag Netz GmbH</v>
      </c>
    </row>
    <row r="718" spans="1:8" hidden="1" outlineLevel="1">
      <c r="A718" s="853" t="s">
        <v>1516</v>
      </c>
      <c r="B718" s="702">
        <f>+VLOOKUP(A718,'Anlage 2a_Letztverbrauch'!$A$2259:$I$2625,9,FALSE)</f>
        <v>61678357.18</v>
      </c>
      <c r="C718" s="88">
        <f>IFERROR(+VLOOKUP(A718,'Anlage 2a_Letztverbrauch'!$A$2797:$I$2816,4,FALSE),0)</f>
        <v>-26615.74</v>
      </c>
      <c r="D718" s="88">
        <v>0</v>
      </c>
      <c r="E718" s="88">
        <f t="shared" si="25"/>
        <v>61651741.439999998</v>
      </c>
      <c r="F718" s="668">
        <f>+SUMIF('Anlage 2b_Korrekturen'!$B$700:$B$1160,A718,'Anlage 2b_Korrekturen'!$F$700:$F$1160)</f>
        <v>-283801.43864000001</v>
      </c>
      <c r="G718" s="928">
        <f t="shared" si="26"/>
        <v>61367940.001359999</v>
      </c>
      <c r="H718" t="str">
        <f>+VLOOKUP(A718,'Anlage 2a_Letztverbrauch'!$A$415:$J$781,10,FALSE)</f>
        <v>EWE NETZ GmbH</v>
      </c>
    </row>
    <row r="719" spans="1:8" hidden="1" outlineLevel="1">
      <c r="A719" s="853" t="s">
        <v>1460</v>
      </c>
      <c r="B719" s="702">
        <f>+VLOOKUP(A719,'Anlage 2a_Letztverbrauch'!$A$2259:$I$2625,9,FALSE)</f>
        <v>200197.22</v>
      </c>
      <c r="C719" s="88">
        <f>IFERROR(+VLOOKUP(A719,'Anlage 2a_Letztverbrauch'!$A$2797:$I$2816,4,FALSE),0)</f>
        <v>0</v>
      </c>
      <c r="D719" s="88">
        <v>0</v>
      </c>
      <c r="E719" s="88">
        <f t="shared" si="25"/>
        <v>200197.22</v>
      </c>
      <c r="F719" s="668">
        <f>+SUMIF('Anlage 2b_Korrekturen'!$B$700:$B$1160,A719,'Anlage 2b_Korrekturen'!$F$700:$F$1160)</f>
        <v>0</v>
      </c>
      <c r="G719" s="928">
        <f t="shared" si="26"/>
        <v>200197.22</v>
      </c>
      <c r="H719" t="str">
        <f>+VLOOKUP(A719,'Anlage 2a_Letztverbrauch'!$A$415:$J$781,10,FALSE)</f>
        <v>Gemeindewerke Schwarzenbruck GmbH</v>
      </c>
    </row>
    <row r="720" spans="1:8" hidden="1" outlineLevel="1">
      <c r="A720" s="853" t="s">
        <v>1430</v>
      </c>
      <c r="B720" s="702">
        <f>+VLOOKUP(A720,'Anlage 2a_Letztverbrauch'!$A$2259:$I$2625,9,FALSE)</f>
        <v>131061169.34999999</v>
      </c>
      <c r="C720" s="88">
        <f>IFERROR(+VLOOKUP(A720,'Anlage 2a_Letztverbrauch'!$A$2797:$I$2816,4,FALSE),0)</f>
        <v>-1715401.29</v>
      </c>
      <c r="D720" s="88">
        <v>0</v>
      </c>
      <c r="E720" s="88">
        <f t="shared" si="25"/>
        <v>129345768.05999999</v>
      </c>
      <c r="F720" s="668">
        <f>+SUMIF('Anlage 2b_Korrekturen'!$B$700:$B$1160,A720,'Anlage 2b_Korrekturen'!$F$700:$F$1160)</f>
        <v>-1089418.6333999999</v>
      </c>
      <c r="G720" s="928">
        <f t="shared" si="26"/>
        <v>128256349.42659999</v>
      </c>
      <c r="H720" t="str">
        <f>+VLOOKUP(A720,'Anlage 2a_Letztverbrauch'!$A$415:$J$781,10,FALSE)</f>
        <v>Bayernwerk Netz GmbH</v>
      </c>
    </row>
    <row r="721" spans="1:8" hidden="1" outlineLevel="1">
      <c r="A721" s="853" t="s">
        <v>1808</v>
      </c>
      <c r="B721" s="702">
        <f>+VLOOKUP(A721,'Anlage 2a_Letztverbrauch'!$A$2259:$I$2625,9,FALSE)</f>
        <v>29987662.620000001</v>
      </c>
      <c r="C721" s="88">
        <f>IFERROR(+VLOOKUP(A721,'Anlage 2a_Letztverbrauch'!$A$2797:$I$2816,4,FALSE),0)</f>
        <v>-72223.570000000007</v>
      </c>
      <c r="D721" s="88">
        <v>0</v>
      </c>
      <c r="E721" s="88">
        <f t="shared" si="25"/>
        <v>29915439.050000001</v>
      </c>
      <c r="F721" s="668">
        <f>+SUMIF('Anlage 2b_Korrekturen'!$B$700:$B$1160,A721,'Anlage 2b_Korrekturen'!$F$700:$F$1160)</f>
        <v>-100357.22076148001</v>
      </c>
      <c r="G721" s="928">
        <f t="shared" si="26"/>
        <v>29815081.829238519</v>
      </c>
      <c r="H721" t="str">
        <f>+VLOOKUP(A721,'Anlage 2a_Letztverbrauch'!$A$415:$J$781,10,FALSE)</f>
        <v>Schleswig-Holstein Netz GmbH (vormals: Schleswig-Holstein Netz AG)</v>
      </c>
    </row>
    <row r="722" spans="1:8" hidden="1" outlineLevel="1">
      <c r="A722" s="853" t="s">
        <v>1768</v>
      </c>
      <c r="B722" s="702">
        <f>+VLOOKUP(A722,'Anlage 2a_Letztverbrauch'!$A$2259:$I$2625,9,FALSE)</f>
        <v>5438904.6399999997</v>
      </c>
      <c r="C722" s="88">
        <f>IFERROR(+VLOOKUP(A722,'Anlage 2a_Letztverbrauch'!$A$2797:$I$2816,4,FALSE),0)</f>
        <v>0</v>
      </c>
      <c r="D722" s="88">
        <v>0</v>
      </c>
      <c r="E722" s="88">
        <f t="shared" si="25"/>
        <v>5438904.6399999997</v>
      </c>
      <c r="F722" s="668">
        <f>+SUMIF('Anlage 2b_Korrekturen'!$B$700:$B$1160,A722,'Anlage 2b_Korrekturen'!$F$700:$F$1160)</f>
        <v>-75341.320000000007</v>
      </c>
      <c r="G722" s="928">
        <f t="shared" si="26"/>
        <v>5363563.3199999994</v>
      </c>
      <c r="H722" t="str">
        <f>+VLOOKUP(A722,'Anlage 2a_Letztverbrauch'!$A$415:$J$781,10,FALSE)</f>
        <v>Harz Energie Netz GmbH</v>
      </c>
    </row>
    <row r="723" spans="1:8" hidden="1" outlineLevel="1">
      <c r="A723" s="853" t="s">
        <v>2254</v>
      </c>
      <c r="B723" s="702">
        <f>+VLOOKUP(A723,'Anlage 2a_Letztverbrauch'!$A$2259:$I$2625,9,FALSE)</f>
        <v>1781472.67</v>
      </c>
      <c r="C723" s="88">
        <f>IFERROR(+VLOOKUP(A723,'Anlage 2a_Letztverbrauch'!$A$2797:$I$2816,4,FALSE),0)</f>
        <v>0</v>
      </c>
      <c r="D723" s="88">
        <v>0</v>
      </c>
      <c r="E723" s="88">
        <f t="shared" si="25"/>
        <v>1781472.67</v>
      </c>
      <c r="F723" s="668">
        <f>+SUMIF('Anlage 2b_Korrekturen'!$B$700:$B$1160,A723,'Anlage 2b_Korrekturen'!$F$700:$F$1160)</f>
        <v>0</v>
      </c>
      <c r="G723" s="928">
        <f t="shared" si="26"/>
        <v>1781472.67</v>
      </c>
      <c r="H723" t="str">
        <f>+VLOOKUP(A723,'Anlage 2a_Letztverbrauch'!$A$415:$J$781,10,FALSE)</f>
        <v>Flughafen München GmbH</v>
      </c>
    </row>
    <row r="724" spans="1:8" hidden="1" outlineLevel="1">
      <c r="A724" s="853" t="s">
        <v>879</v>
      </c>
      <c r="B724" s="702">
        <f>+VLOOKUP(A724,'Anlage 2a_Letztverbrauch'!$A$2259:$I$2625,9,FALSE)</f>
        <v>30319898.649999999</v>
      </c>
      <c r="C724" s="88">
        <f>IFERROR(+VLOOKUP(A724,'Anlage 2a_Letztverbrauch'!$A$2797:$I$2816,4,FALSE),0)</f>
        <v>0</v>
      </c>
      <c r="D724" s="88">
        <v>0</v>
      </c>
      <c r="E724" s="88">
        <f t="shared" si="25"/>
        <v>30319898.649999999</v>
      </c>
      <c r="F724" s="668">
        <f>+SUMIF('Anlage 2b_Korrekturen'!$B$700:$B$1160,A724,'Anlage 2b_Korrekturen'!$F$700:$F$1160)</f>
        <v>-184679.38702000002</v>
      </c>
      <c r="G724" s="928">
        <f t="shared" si="26"/>
        <v>30135219.262979999</v>
      </c>
      <c r="H724" t="str">
        <f>+VLOOKUP(A724,'Anlage 2a_Letztverbrauch'!$A$415:$J$781,10,FALSE)</f>
        <v>Westfalen Weser Netz GmbH</v>
      </c>
    </row>
    <row r="725" spans="1:8" hidden="1" outlineLevel="1">
      <c r="A725" s="853" t="s">
        <v>1500</v>
      </c>
      <c r="B725" s="702">
        <f>+VLOOKUP(A725,'Anlage 2a_Letztverbrauch'!$A$2259:$I$2625,9,FALSE)</f>
        <v>582970.18999999994</v>
      </c>
      <c r="C725" s="88">
        <f>IFERROR(+VLOOKUP(A725,'Anlage 2a_Letztverbrauch'!$A$2797:$I$2816,4,FALSE),0)</f>
        <v>0</v>
      </c>
      <c r="D725" s="88">
        <v>0</v>
      </c>
      <c r="E725" s="88">
        <f t="shared" si="25"/>
        <v>582970.18999999994</v>
      </c>
      <c r="F725" s="668">
        <f>+SUMIF('Anlage 2b_Korrekturen'!$B$700:$B$1160,A725,'Anlage 2b_Korrekturen'!$F$700:$F$1160)</f>
        <v>0</v>
      </c>
      <c r="G725" s="928">
        <f t="shared" si="26"/>
        <v>582970.18999999994</v>
      </c>
      <c r="H725" t="str">
        <f>+VLOOKUP(A725,'Anlage 2a_Letztverbrauch'!$A$415:$J$781,10,FALSE)</f>
        <v>Stadtwerke Burgdorf Netz GmbH</v>
      </c>
    </row>
    <row r="726" spans="1:8" hidden="1" outlineLevel="1">
      <c r="A726" s="853" t="s">
        <v>1683</v>
      </c>
      <c r="B726" s="702">
        <f>+VLOOKUP(A726,'Anlage 2a_Letztverbrauch'!$A$2259:$I$2625,9,FALSE)</f>
        <v>34697919.5</v>
      </c>
      <c r="C726" s="88">
        <f>IFERROR(+VLOOKUP(A726,'Anlage 2a_Letztverbrauch'!$A$2797:$I$2816,4,FALSE),0)</f>
        <v>-226407.67999999999</v>
      </c>
      <c r="D726" s="88">
        <v>0</v>
      </c>
      <c r="E726" s="88">
        <f t="shared" si="25"/>
        <v>34471511.82</v>
      </c>
      <c r="F726" s="668">
        <f>+SUMIF('Anlage 2b_Korrekturen'!$B$700:$B$1160,A726,'Anlage 2b_Korrekturen'!$F$700:$F$1160)</f>
        <v>-399448.28217000002</v>
      </c>
      <c r="G726" s="928">
        <f t="shared" si="26"/>
        <v>34072063.537830003</v>
      </c>
      <c r="H726" t="str">
        <f>+VLOOKUP(A726,'Anlage 2a_Letztverbrauch'!$A$415:$J$781,10,FALSE)</f>
        <v>N-ERGIE Netz GmbH</v>
      </c>
    </row>
    <row r="727" spans="1:8" hidden="1" outlineLevel="1">
      <c r="A727" s="853" t="s">
        <v>758</v>
      </c>
      <c r="B727" s="702">
        <f>+VLOOKUP(A727,'Anlage 2a_Letztverbrauch'!$A$2259:$I$2625,9,FALSE)</f>
        <v>36831926.329999998</v>
      </c>
      <c r="C727" s="88">
        <f>IFERROR(+VLOOKUP(A727,'Anlage 2a_Letztverbrauch'!$A$2797:$I$2816,4,FALSE),0)</f>
        <v>-300020.11</v>
      </c>
      <c r="D727" s="88">
        <v>0</v>
      </c>
      <c r="E727" s="88">
        <f t="shared" si="25"/>
        <v>36531906.219999999</v>
      </c>
      <c r="F727" s="668">
        <f>+SUMIF('Anlage 2b_Korrekturen'!$B$700:$B$1160,A727,'Anlage 2b_Korrekturen'!$F$700:$F$1160)</f>
        <v>-204100.72811704001</v>
      </c>
      <c r="G727" s="928">
        <f t="shared" si="26"/>
        <v>36327805.491882958</v>
      </c>
      <c r="H727" t="str">
        <f>+VLOOKUP(A727,'Anlage 2a_Letztverbrauch'!$A$415:$J$781,10,FALSE)</f>
        <v>Avacon Netz GmbH</v>
      </c>
    </row>
    <row r="728" spans="1:8" hidden="1" outlineLevel="1">
      <c r="A728" s="853" t="s">
        <v>1090</v>
      </c>
      <c r="B728" s="702">
        <f>+VLOOKUP(A728,'Anlage 2a_Letztverbrauch'!$A$2259:$I$2625,9,FALSE)</f>
        <v>30544752.739999998</v>
      </c>
      <c r="C728" s="88">
        <f>IFERROR(+VLOOKUP(A728,'Anlage 2a_Letztverbrauch'!$A$2797:$I$2816,4,FALSE),0)</f>
        <v>-132402.43</v>
      </c>
      <c r="D728" s="88">
        <v>0</v>
      </c>
      <c r="E728" s="88">
        <f t="shared" si="25"/>
        <v>30412350.309999999</v>
      </c>
      <c r="F728" s="668">
        <f>+SUMIF('Anlage 2b_Korrekturen'!$B$700:$B$1160,A728,'Anlage 2b_Korrekturen'!$F$700:$F$1160)</f>
        <v>-6713.8101700000007</v>
      </c>
      <c r="G728" s="928">
        <f t="shared" si="26"/>
        <v>30405636.49983</v>
      </c>
      <c r="H728" t="str">
        <f>+VLOOKUP(A728,'Anlage 2a_Letztverbrauch'!$A$415:$J$781,10,FALSE)</f>
        <v>EAM Netz GmbH</v>
      </c>
    </row>
    <row r="729" spans="1:8" hidden="1" outlineLevel="1">
      <c r="A729" s="853" t="s">
        <v>2256</v>
      </c>
      <c r="B729" s="702">
        <f>+VLOOKUP(A729,'Anlage 2a_Letztverbrauch'!$A$2259:$I$2625,9,FALSE)</f>
        <v>724476.25</v>
      </c>
      <c r="C729" s="88">
        <f>IFERROR(+VLOOKUP(A729,'Anlage 2a_Letztverbrauch'!$A$2797:$I$2816,4,FALSE),0)</f>
        <v>0</v>
      </c>
      <c r="D729" s="88">
        <v>0</v>
      </c>
      <c r="E729" s="88">
        <f t="shared" si="25"/>
        <v>724476.25</v>
      </c>
      <c r="F729" s="668">
        <f>+SUMIF('Anlage 2b_Korrekturen'!$B$700:$B$1160,A729,'Anlage 2b_Korrekturen'!$F$700:$F$1160)</f>
        <v>15041.68</v>
      </c>
      <c r="G729" s="928">
        <f t="shared" si="26"/>
        <v>739517.93</v>
      </c>
      <c r="H729" t="str">
        <f>+VLOOKUP(A729,'Anlage 2a_Letztverbrauch'!$A$415:$J$781,10,FALSE)</f>
        <v>AlzChem Netz GmbH</v>
      </c>
    </row>
    <row r="730" spans="1:8" hidden="1" outlineLevel="1">
      <c r="A730" s="853" t="s">
        <v>1352</v>
      </c>
      <c r="B730" s="702">
        <f>+VLOOKUP(A730,'Anlage 2a_Letztverbrauch'!$A$2259:$I$2625,9,FALSE)</f>
        <v>29397.71</v>
      </c>
      <c r="C730" s="88">
        <f>IFERROR(+VLOOKUP(A730,'Anlage 2a_Letztverbrauch'!$A$2797:$I$2816,4,FALSE),0)</f>
        <v>0</v>
      </c>
      <c r="D730" s="88">
        <v>0</v>
      </c>
      <c r="E730" s="88">
        <f t="shared" si="25"/>
        <v>29397.71</v>
      </c>
      <c r="F730" s="668">
        <f>+SUMIF('Anlage 2b_Korrekturen'!$B$700:$B$1160,A730,'Anlage 2b_Korrekturen'!$F$700:$F$1160)</f>
        <v>0</v>
      </c>
      <c r="G730" s="928">
        <f t="shared" si="26"/>
        <v>29397.71</v>
      </c>
      <c r="H730" t="str">
        <f>+VLOOKUP(A730,'Anlage 2a_Letztverbrauch'!$A$415:$J$781,10,FALSE)</f>
        <v>BTT Bauteam Tretzel GmbH</v>
      </c>
    </row>
    <row r="731" spans="1:8" hidden="1" outlineLevel="1">
      <c r="A731" s="853" t="s">
        <v>2258</v>
      </c>
      <c r="B731" s="702">
        <f>+VLOOKUP(A731,'Anlage 2a_Letztverbrauch'!$A$2259:$I$2625,9,FALSE)</f>
        <v>61058.64</v>
      </c>
      <c r="C731" s="88">
        <f>IFERROR(+VLOOKUP(A731,'Anlage 2a_Letztverbrauch'!$A$2797:$I$2816,4,FALSE),0)</f>
        <v>0</v>
      </c>
      <c r="D731" s="88">
        <v>0</v>
      </c>
      <c r="E731" s="88">
        <f t="shared" si="25"/>
        <v>61058.64</v>
      </c>
      <c r="F731" s="668">
        <f>+SUMIF('Anlage 2b_Korrekturen'!$B$700:$B$1160,A731,'Anlage 2b_Korrekturen'!$F$700:$F$1160)</f>
        <v>0</v>
      </c>
      <c r="G731" s="928">
        <f t="shared" si="26"/>
        <v>61058.64</v>
      </c>
      <c r="H731" t="str">
        <f>+VLOOKUP(A731,'Anlage 2a_Letztverbrauch'!$A$415:$J$781,10,FALSE)</f>
        <v>EnBW Mainfrankenpark GmbH (vorm. Utility Service Center Main-Franken-Park GmbH)</v>
      </c>
    </row>
    <row r="732" spans="1:8" hidden="1" outlineLevel="1">
      <c r="A732" s="853" t="s">
        <v>2260</v>
      </c>
      <c r="B732" s="702">
        <f>+VLOOKUP(A732,'Anlage 2a_Letztverbrauch'!$A$2259:$I$2625,9,FALSE)</f>
        <v>3147.36</v>
      </c>
      <c r="C732" s="88">
        <f>IFERROR(+VLOOKUP(A732,'Anlage 2a_Letztverbrauch'!$A$2797:$I$2816,4,FALSE),0)</f>
        <v>0</v>
      </c>
      <c r="D732" s="88">
        <v>0</v>
      </c>
      <c r="E732" s="88">
        <f t="shared" si="25"/>
        <v>3147.36</v>
      </c>
      <c r="F732" s="668">
        <f>+SUMIF('Anlage 2b_Korrekturen'!$B$700:$B$1160,A732,'Anlage 2b_Korrekturen'!$F$700:$F$1160)</f>
        <v>0</v>
      </c>
      <c r="G732" s="928">
        <f t="shared" si="26"/>
        <v>3147.36</v>
      </c>
      <c r="H732" t="str">
        <f>+VLOOKUP(A732,'Anlage 2a_Letztverbrauch'!$A$415:$J$781,10,FALSE)</f>
        <v>Elektrizitätswerk Josef Haimmerer</v>
      </c>
    </row>
    <row r="733" spans="1:8" hidden="1" outlineLevel="1">
      <c r="A733" s="853" t="s">
        <v>1784</v>
      </c>
      <c r="B733" s="702">
        <f>+VLOOKUP(A733,'Anlage 2a_Letztverbrauch'!$A$2259:$I$2625,9,FALSE)</f>
        <v>950068.25</v>
      </c>
      <c r="C733" s="88">
        <f>IFERROR(+VLOOKUP(A733,'Anlage 2a_Letztverbrauch'!$A$2797:$I$2816,4,FALSE),0)</f>
        <v>0</v>
      </c>
      <c r="D733" s="88">
        <v>0</v>
      </c>
      <c r="E733" s="88">
        <f t="shared" si="25"/>
        <v>950068.25</v>
      </c>
      <c r="F733" s="668">
        <f>+SUMIF('Anlage 2b_Korrekturen'!$B$700:$B$1160,A733,'Anlage 2b_Korrekturen'!$F$700:$F$1160)</f>
        <v>-415.997973</v>
      </c>
      <c r="G733" s="928">
        <f t="shared" si="26"/>
        <v>949652.25202699995</v>
      </c>
      <c r="H733" t="str">
        <f>+VLOOKUP(A733,'Anlage 2a_Letztverbrauch'!$A$415:$J$781,10,FALSE)</f>
        <v>KommEnergie GmbH</v>
      </c>
    </row>
    <row r="734" spans="1:8" hidden="1" outlineLevel="1">
      <c r="A734" s="853" t="s">
        <v>1816</v>
      </c>
      <c r="B734" s="702">
        <f>+VLOOKUP(A734,'Anlage 2a_Letztverbrauch'!$A$2259:$I$2625,9,FALSE)</f>
        <v>735465.3</v>
      </c>
      <c r="C734" s="88">
        <f>IFERROR(+VLOOKUP(A734,'Anlage 2a_Letztverbrauch'!$A$2797:$I$2816,4,FALSE),0)</f>
        <v>0</v>
      </c>
      <c r="D734" s="88">
        <v>0</v>
      </c>
      <c r="E734" s="88">
        <f t="shared" si="25"/>
        <v>735465.3</v>
      </c>
      <c r="F734" s="668">
        <f>+SUMIF('Anlage 2b_Korrekturen'!$B$700:$B$1160,A734,'Anlage 2b_Korrekturen'!$F$700:$F$1160)</f>
        <v>2569.33</v>
      </c>
      <c r="G734" s="928">
        <f t="shared" si="26"/>
        <v>738034.63</v>
      </c>
      <c r="H734" t="str">
        <f>+VLOOKUP(A734,'Anlage 2a_Letztverbrauch'!$A$415:$J$781,10,FALSE)</f>
        <v>Energienetze Bayern GmbH</v>
      </c>
    </row>
    <row r="735" spans="1:8" hidden="1" outlineLevel="1">
      <c r="A735" s="853" t="s">
        <v>1368</v>
      </c>
      <c r="B735" s="702">
        <f>+VLOOKUP(A735,'Anlage 2a_Letztverbrauch'!$A$2259:$I$2625,9,FALSE)</f>
        <v>576515.22</v>
      </c>
      <c r="C735" s="88">
        <f>IFERROR(+VLOOKUP(A735,'Anlage 2a_Letztverbrauch'!$A$2797:$I$2816,4,FALSE),0)</f>
        <v>0</v>
      </c>
      <c r="D735" s="88">
        <v>0</v>
      </c>
      <c r="E735" s="88">
        <f t="shared" si="25"/>
        <v>576515.22</v>
      </c>
      <c r="F735" s="668">
        <f>+SUMIF('Anlage 2b_Korrekturen'!$B$700:$B$1160,A735,'Anlage 2b_Korrekturen'!$F$700:$F$1160)</f>
        <v>0</v>
      </c>
      <c r="G735" s="928">
        <f t="shared" si="26"/>
        <v>576515.22</v>
      </c>
      <c r="H735" t="str">
        <f>+VLOOKUP(A735,'Anlage 2a_Letztverbrauch'!$A$415:$J$781,10,FALSE)</f>
        <v>EUROGATE Technical Services GmbH</v>
      </c>
    </row>
    <row r="736" spans="1:8" hidden="1" outlineLevel="1">
      <c r="A736" s="853" t="s">
        <v>1534</v>
      </c>
      <c r="B736" s="702">
        <f>+VLOOKUP(A736,'Anlage 2a_Letztverbrauch'!$A$2259:$I$2625,9,FALSE)</f>
        <v>726499.17</v>
      </c>
      <c r="C736" s="88">
        <f>IFERROR(+VLOOKUP(A736,'Anlage 2a_Letztverbrauch'!$A$2797:$I$2816,4,FALSE),0)</f>
        <v>0</v>
      </c>
      <c r="D736" s="88">
        <v>0</v>
      </c>
      <c r="E736" s="88">
        <f t="shared" si="25"/>
        <v>726499.17</v>
      </c>
      <c r="F736" s="668">
        <f>+SUMIF('Anlage 2b_Korrekturen'!$B$700:$B$1160,A736,'Anlage 2b_Korrekturen'!$F$700:$F$1160)</f>
        <v>0</v>
      </c>
      <c r="G736" s="928">
        <f t="shared" si="26"/>
        <v>726499.17</v>
      </c>
      <c r="H736" t="str">
        <f>+VLOOKUP(A736,'Anlage 2a_Letztverbrauch'!$A$415:$J$781,10,FALSE)</f>
        <v>Stadtwerke Springe GmbH</v>
      </c>
    </row>
    <row r="737" spans="1:8" hidden="1" outlineLevel="1">
      <c r="A737" s="853" t="s">
        <v>1778</v>
      </c>
      <c r="B737" s="702">
        <f>+VLOOKUP(A737,'Anlage 2a_Letztverbrauch'!$A$2259:$I$2625,9,FALSE)</f>
        <v>2600660.8199999998</v>
      </c>
      <c r="C737" s="88">
        <f>IFERROR(+VLOOKUP(A737,'Anlage 2a_Letztverbrauch'!$A$2797:$I$2816,4,FALSE),0)</f>
        <v>0</v>
      </c>
      <c r="D737" s="88">
        <v>0</v>
      </c>
      <c r="E737" s="88">
        <f t="shared" si="25"/>
        <v>2600660.8199999998</v>
      </c>
      <c r="F737" s="668">
        <f>+SUMIF('Anlage 2b_Korrekturen'!$B$700:$B$1160,A737,'Anlage 2b_Korrekturen'!$F$700:$F$1160)</f>
        <v>322.17</v>
      </c>
      <c r="G737" s="928">
        <f t="shared" si="26"/>
        <v>2600982.9899999998</v>
      </c>
      <c r="H737" t="str">
        <f>+VLOOKUP(A737,'Anlage 2a_Letztverbrauch'!$A$415:$J$781,10,FALSE)</f>
        <v>Hanau Netz GmbH</v>
      </c>
    </row>
    <row r="738" spans="1:8" hidden="1" outlineLevel="1">
      <c r="A738" s="853" t="s">
        <v>799</v>
      </c>
      <c r="B738" s="702">
        <f>+VLOOKUP(A738,'Anlage 2a_Letztverbrauch'!$A$2259:$I$2625,9,FALSE)</f>
        <v>166573.43</v>
      </c>
      <c r="C738" s="88">
        <f>IFERROR(+VLOOKUP(A738,'Anlage 2a_Letztverbrauch'!$A$2797:$I$2816,4,FALSE),0)</f>
        <v>0</v>
      </c>
      <c r="D738" s="88">
        <v>0</v>
      </c>
      <c r="E738" s="88">
        <f t="shared" si="25"/>
        <v>166573.43</v>
      </c>
      <c r="F738" s="668">
        <f>+SUMIF('Anlage 2b_Korrekturen'!$B$700:$B$1160,A738,'Anlage 2b_Korrekturen'!$F$700:$F$1160)</f>
        <v>105.61722</v>
      </c>
      <c r="G738" s="928">
        <f t="shared" si="26"/>
        <v>166679.04721999998</v>
      </c>
      <c r="H738" t="str">
        <f>+VLOOKUP(A738,'Anlage 2a_Letztverbrauch'!$A$415:$J$781,10,FALSE)</f>
        <v>EGC Energie- und Gebäudetechnik Control GmbH &amp; Co. KG</v>
      </c>
    </row>
    <row r="739" spans="1:8" hidden="1" outlineLevel="1">
      <c r="A739" s="853" t="s">
        <v>730</v>
      </c>
      <c r="B739" s="702">
        <f>+VLOOKUP(A739,'Anlage 2a_Letztverbrauch'!$A$2259:$I$2625,9,FALSE)</f>
        <v>151674.51</v>
      </c>
      <c r="C739" s="88">
        <f>IFERROR(+VLOOKUP(A739,'Anlage 2a_Letztverbrauch'!$A$2797:$I$2816,4,FALSE),0)</f>
        <v>0</v>
      </c>
      <c r="D739" s="88">
        <v>0</v>
      </c>
      <c r="E739" s="88">
        <f t="shared" si="25"/>
        <v>151674.51</v>
      </c>
      <c r="F739" s="668">
        <f>+SUMIF('Anlage 2b_Korrekturen'!$B$700:$B$1160,A739,'Anlage 2b_Korrekturen'!$F$700:$F$1160)</f>
        <v>0</v>
      </c>
      <c r="G739" s="928">
        <f t="shared" si="26"/>
        <v>151674.51</v>
      </c>
      <c r="H739" t="str">
        <f>+VLOOKUP(A739,'Anlage 2a_Letztverbrauch'!$A$415:$J$781,10,FALSE)</f>
        <v>Stromkontor Netzgesellschaft mbH</v>
      </c>
    </row>
    <row r="740" spans="1:8" hidden="1" outlineLevel="1">
      <c r="A740" s="853" t="s">
        <v>1450</v>
      </c>
      <c r="B740" s="702">
        <f>+VLOOKUP(A740,'Anlage 2a_Letztverbrauch'!$A$2259:$I$2625,9,FALSE)</f>
        <v>2551837.0099999998</v>
      </c>
      <c r="C740" s="88">
        <f>IFERROR(+VLOOKUP(A740,'Anlage 2a_Letztverbrauch'!$A$2797:$I$2816,4,FALSE),0)</f>
        <v>0</v>
      </c>
      <c r="D740" s="88">
        <v>0</v>
      </c>
      <c r="E740" s="88">
        <f t="shared" si="25"/>
        <v>2551837.0099999998</v>
      </c>
      <c r="F740" s="668">
        <f>+SUMIF('Anlage 2b_Korrekturen'!$B$700:$B$1160,A740,'Anlage 2b_Korrekturen'!$F$700:$F$1160)</f>
        <v>0</v>
      </c>
      <c r="G740" s="928">
        <f t="shared" si="26"/>
        <v>2551837.0099999998</v>
      </c>
      <c r="H740" t="str">
        <f>+VLOOKUP(A740,'Anlage 2a_Letztverbrauch'!$A$415:$J$781,10,FALSE)</f>
        <v>InfraServ Gendorf Netze GmbH</v>
      </c>
    </row>
    <row r="741" spans="1:8" hidden="1" outlineLevel="1">
      <c r="A741" s="853" t="s">
        <v>2263</v>
      </c>
      <c r="B741" s="702">
        <f>+VLOOKUP(A741,'Anlage 2a_Letztverbrauch'!$A$2259:$I$2625,9,FALSE)</f>
        <v>231795.07</v>
      </c>
      <c r="C741" s="88">
        <f>IFERROR(+VLOOKUP(A741,'Anlage 2a_Letztverbrauch'!$A$2797:$I$2816,4,FALSE),0)</f>
        <v>0</v>
      </c>
      <c r="D741" s="88">
        <v>0</v>
      </c>
      <c r="E741" s="88">
        <f t="shared" si="25"/>
        <v>231795.07</v>
      </c>
      <c r="F741" s="668">
        <f>+SUMIF('Anlage 2b_Korrekturen'!$B$700:$B$1160,A741,'Anlage 2b_Korrekturen'!$F$700:$F$1160)</f>
        <v>-1693.81</v>
      </c>
      <c r="G741" s="928">
        <f t="shared" si="26"/>
        <v>230101.26</v>
      </c>
      <c r="H741" t="str">
        <f>+VLOOKUP(A741,'Anlage 2a_Letztverbrauch'!$A$415:$J$781,10,FALSE)</f>
        <v>Energieversorgung Putzbrunn GmbH &amp; Co. KG</v>
      </c>
    </row>
    <row r="742" spans="1:8" hidden="1" outlineLevel="1">
      <c r="A742" s="853" t="s">
        <v>2265</v>
      </c>
      <c r="B742" s="702">
        <f>+VLOOKUP(A742,'Anlage 2a_Letztverbrauch'!$A$2259:$I$2625,9,FALSE)</f>
        <v>46831.45</v>
      </c>
      <c r="C742" s="88">
        <f>IFERROR(+VLOOKUP(A742,'Anlage 2a_Letztverbrauch'!$A$2797:$I$2816,4,FALSE),0)</f>
        <v>0</v>
      </c>
      <c r="D742" s="88">
        <v>0</v>
      </c>
      <c r="E742" s="88">
        <f t="shared" si="25"/>
        <v>46831.45</v>
      </c>
      <c r="F742" s="668">
        <f>+SUMIF('Anlage 2b_Korrekturen'!$B$700:$B$1160,A742,'Anlage 2b_Korrekturen'!$F$700:$F$1160)</f>
        <v>83.23</v>
      </c>
      <c r="G742" s="928">
        <f t="shared" si="26"/>
        <v>46914.68</v>
      </c>
      <c r="H742" t="str">
        <f>+VLOOKUP(A742,'Anlage 2a_Letztverbrauch'!$A$415:$J$781,10,FALSE)</f>
        <v>Netz &amp; Energie Betriebsgesellschaft mbH</v>
      </c>
    </row>
    <row r="743" spans="1:8" hidden="1" outlineLevel="1">
      <c r="A743" s="853" t="s">
        <v>1520</v>
      </c>
      <c r="B743" s="702">
        <f>+VLOOKUP(A743,'Anlage 2a_Letztverbrauch'!$A$2259:$I$2625,9,FALSE)</f>
        <v>731831.23</v>
      </c>
      <c r="C743" s="88">
        <f>IFERROR(+VLOOKUP(A743,'Anlage 2a_Letztverbrauch'!$A$2797:$I$2816,4,FALSE),0)</f>
        <v>0</v>
      </c>
      <c r="D743" s="88">
        <v>0</v>
      </c>
      <c r="E743" s="88">
        <f t="shared" si="25"/>
        <v>731831.23</v>
      </c>
      <c r="F743" s="668">
        <f>+SUMIF('Anlage 2b_Korrekturen'!$B$700:$B$1160,A743,'Anlage 2b_Korrekturen'!$F$700:$F$1160)</f>
        <v>9958.3058399999991</v>
      </c>
      <c r="G743" s="928">
        <f t="shared" si="26"/>
        <v>741789.53584000003</v>
      </c>
      <c r="H743" t="str">
        <f>+VLOOKUP(A743,'Anlage 2a_Letztverbrauch'!$A$415:$J$781,10,FALSE)</f>
        <v>Stadtwerke Brunsbüttel GmbH</v>
      </c>
    </row>
    <row r="744" spans="1:8" hidden="1" outlineLevel="1">
      <c r="A744" s="853" t="s">
        <v>1394</v>
      </c>
      <c r="B744" s="702">
        <f>+VLOOKUP(A744,'Anlage 2a_Letztverbrauch'!$A$2259:$I$2625,9,FALSE)</f>
        <v>716054.21</v>
      </c>
      <c r="C744" s="88">
        <f>IFERROR(+VLOOKUP(A744,'Anlage 2a_Letztverbrauch'!$A$2797:$I$2816,4,FALSE),0)</f>
        <v>0</v>
      </c>
      <c r="D744" s="88">
        <v>0</v>
      </c>
      <c r="E744" s="88">
        <f t="shared" si="25"/>
        <v>716054.21</v>
      </c>
      <c r="F744" s="668">
        <f>+SUMIF('Anlage 2b_Korrekturen'!$B$700:$B$1160,A744,'Anlage 2b_Korrekturen'!$F$700:$F$1160)</f>
        <v>0</v>
      </c>
      <c r="G744" s="928">
        <f t="shared" si="26"/>
        <v>716054.21</v>
      </c>
      <c r="H744" t="str">
        <f>+VLOOKUP(A744,'Anlage 2a_Letztverbrauch'!$A$415:$J$781,10,FALSE)</f>
        <v>Stadtwerke Kaltenkirchen GmbH</v>
      </c>
    </row>
    <row r="745" spans="1:8" hidden="1" outlineLevel="1">
      <c r="A745" s="853" t="s">
        <v>943</v>
      </c>
      <c r="B745" s="702">
        <f>+VLOOKUP(A745,'Anlage 2a_Letztverbrauch'!$A$2259:$I$2625,9,FALSE)</f>
        <v>5637018.5</v>
      </c>
      <c r="C745" s="88">
        <f>IFERROR(+VLOOKUP(A745,'Anlage 2a_Letztverbrauch'!$A$2797:$I$2816,4,FALSE),0)</f>
        <v>0</v>
      </c>
      <c r="D745" s="88">
        <v>0</v>
      </c>
      <c r="E745" s="88">
        <f t="shared" si="25"/>
        <v>5637018.5</v>
      </c>
      <c r="F745" s="668">
        <f>+SUMIF('Anlage 2b_Korrekturen'!$B$700:$B$1160,A745,'Anlage 2b_Korrekturen'!$F$700:$F$1160)</f>
        <v>-62192.394540000001</v>
      </c>
      <c r="G745" s="928">
        <f t="shared" si="26"/>
        <v>5574826.1054600002</v>
      </c>
      <c r="H745" t="str">
        <f>+VLOOKUP(A745,'Anlage 2a_Letztverbrauch'!$A$415:$J$781,10,FALSE)</f>
        <v>DB Energie GmbH</v>
      </c>
    </row>
    <row r="746" spans="1:8" hidden="1" outlineLevel="1">
      <c r="A746" s="853" t="s">
        <v>1046</v>
      </c>
      <c r="B746" s="702">
        <f>+VLOOKUP(A746,'Anlage 2a_Letztverbrauch'!$A$2259:$I$2625,9,FALSE)</f>
        <v>2310850.0699999998</v>
      </c>
      <c r="C746" s="88">
        <f>IFERROR(+VLOOKUP(A746,'Anlage 2a_Letztverbrauch'!$A$2797:$I$2816,4,FALSE),0)</f>
        <v>0</v>
      </c>
      <c r="D746" s="88">
        <v>0</v>
      </c>
      <c r="E746" s="88">
        <f t="shared" si="25"/>
        <v>2310850.0699999998</v>
      </c>
      <c r="F746" s="668">
        <f>+SUMIF('Anlage 2b_Korrekturen'!$B$700:$B$1160,A746,'Anlage 2b_Korrekturen'!$F$700:$F$1160)</f>
        <v>0</v>
      </c>
      <c r="G746" s="928">
        <f t="shared" si="26"/>
        <v>2310850.0699999998</v>
      </c>
      <c r="H746" t="str">
        <f>+VLOOKUP(A746,'Anlage 2a_Letztverbrauch'!$A$415:$J$781,10,FALSE)</f>
        <v>Fraport AG</v>
      </c>
    </row>
    <row r="747" spans="1:8" hidden="1" outlineLevel="1">
      <c r="A747" s="853" t="s">
        <v>1770</v>
      </c>
      <c r="B747" s="702">
        <f>+VLOOKUP(A747,'Anlage 2a_Letztverbrauch'!$A$2259:$I$2625,9,FALSE)</f>
        <v>517093.81</v>
      </c>
      <c r="C747" s="88">
        <f>IFERROR(+VLOOKUP(A747,'Anlage 2a_Letztverbrauch'!$A$2797:$I$2816,4,FALSE),0)</f>
        <v>0</v>
      </c>
      <c r="D747" s="88">
        <v>0</v>
      </c>
      <c r="E747" s="88">
        <f t="shared" si="25"/>
        <v>517093.81</v>
      </c>
      <c r="F747" s="668">
        <f>+SUMIF('Anlage 2b_Korrekturen'!$B$700:$B$1160,A747,'Anlage 2b_Korrekturen'!$F$700:$F$1160)</f>
        <v>738.59486000000004</v>
      </c>
      <c r="G747" s="928">
        <f t="shared" si="26"/>
        <v>517832.40486000001</v>
      </c>
      <c r="H747" t="str">
        <f>+VLOOKUP(A747,'Anlage 2a_Letztverbrauch'!$A$415:$J$781,10,FALSE)</f>
        <v>EVE Netz GmbH (EVE Energieversorgung Elbtalaue GmbH)</v>
      </c>
    </row>
    <row r="748" spans="1:8" hidden="1" outlineLevel="1">
      <c r="A748" s="853" t="s">
        <v>2267</v>
      </c>
      <c r="B748" s="702">
        <f>+VLOOKUP(A748,'Anlage 2a_Letztverbrauch'!$A$2259:$I$2625,9,FALSE)</f>
        <v>62285.3</v>
      </c>
      <c r="C748" s="88">
        <f>IFERROR(+VLOOKUP(A748,'Anlage 2a_Letztverbrauch'!$A$2797:$I$2816,4,FALSE),0)</f>
        <v>0</v>
      </c>
      <c r="D748" s="88">
        <v>0</v>
      </c>
      <c r="E748" s="88">
        <f t="shared" si="25"/>
        <v>62285.3</v>
      </c>
      <c r="F748" s="668">
        <f>+SUMIF('Anlage 2b_Korrekturen'!$B$700:$B$1160,A748,'Anlage 2b_Korrekturen'!$F$700:$F$1160)</f>
        <v>0</v>
      </c>
      <c r="G748" s="928">
        <f t="shared" si="26"/>
        <v>62285.3</v>
      </c>
      <c r="H748" t="str">
        <f>+VLOOKUP(A748,'Anlage 2a_Letztverbrauch'!$A$415:$J$781,10,FALSE)</f>
        <v>Covestro Brunsbüttel Energie GmbH</v>
      </c>
    </row>
    <row r="749" spans="1:8" hidden="1" outlineLevel="1">
      <c r="A749" s="853" t="s">
        <v>1030</v>
      </c>
      <c r="B749" s="702">
        <f>+VLOOKUP(A749,'Anlage 2a_Letztverbrauch'!$A$2259:$I$2625,9,FALSE)</f>
        <v>557000.48</v>
      </c>
      <c r="C749" s="88">
        <f>IFERROR(+VLOOKUP(A749,'Anlage 2a_Letztverbrauch'!$A$2797:$I$2816,4,FALSE),0)</f>
        <v>0</v>
      </c>
      <c r="D749" s="88">
        <v>0</v>
      </c>
      <c r="E749" s="88">
        <f t="shared" si="25"/>
        <v>557000.48</v>
      </c>
      <c r="F749" s="668">
        <f>+SUMIF('Anlage 2b_Korrekturen'!$B$700:$B$1160,A749,'Anlage 2b_Korrekturen'!$F$700:$F$1160)</f>
        <v>-11349.917970000002</v>
      </c>
      <c r="G749" s="928">
        <f t="shared" si="26"/>
        <v>545650.56203000003</v>
      </c>
      <c r="H749" t="str">
        <f>+VLOOKUP(A749,'Anlage 2a_Letztverbrauch'!$A$415:$J$781,10,FALSE)</f>
        <v>GELSENWASSER Energienetze GmbH</v>
      </c>
    </row>
    <row r="750" spans="1:8" hidden="1" outlineLevel="1">
      <c r="A750" s="853" t="s">
        <v>2269</v>
      </c>
      <c r="B750" s="702">
        <f>+VLOOKUP(A750,'Anlage 2a_Letztverbrauch'!$A$2259:$I$2625,9,FALSE)</f>
        <v>44301.96</v>
      </c>
      <c r="C750" s="88">
        <f>IFERROR(+VLOOKUP(A750,'Anlage 2a_Letztverbrauch'!$A$2797:$I$2816,4,FALSE),0)</f>
        <v>0</v>
      </c>
      <c r="D750" s="88">
        <v>0</v>
      </c>
      <c r="E750" s="88">
        <f t="shared" si="25"/>
        <v>44301.96</v>
      </c>
      <c r="F750" s="668">
        <f>+SUMIF('Anlage 2b_Korrekturen'!$B$700:$B$1160,A750,'Anlage 2b_Korrekturen'!$F$700:$F$1160)</f>
        <v>0</v>
      </c>
      <c r="G750" s="928">
        <f t="shared" si="26"/>
        <v>44301.96</v>
      </c>
      <c r="H750" t="str">
        <f>+VLOOKUP(A750,'Anlage 2a_Letztverbrauch'!$A$415:$J$781,10,FALSE)</f>
        <v>Brücken-Center Ansbach GmbH</v>
      </c>
    </row>
    <row r="751" spans="1:8" hidden="1" outlineLevel="1">
      <c r="A751" s="853" t="s">
        <v>839</v>
      </c>
      <c r="B751" s="702">
        <f>+VLOOKUP(A751,'Anlage 2a_Letztverbrauch'!$A$2259:$I$2625,9,FALSE)</f>
        <v>1648108.29</v>
      </c>
      <c r="C751" s="88">
        <f>IFERROR(+VLOOKUP(A751,'Anlage 2a_Letztverbrauch'!$A$2797:$I$2816,4,FALSE),0)</f>
        <v>0</v>
      </c>
      <c r="D751" s="88">
        <v>0</v>
      </c>
      <c r="E751" s="88">
        <f t="shared" si="25"/>
        <v>1648108.29</v>
      </c>
      <c r="F751" s="668">
        <f>+SUMIF('Anlage 2b_Korrekturen'!$B$700:$B$1160,A751,'Anlage 2b_Korrekturen'!$F$700:$F$1160)</f>
        <v>-28.061280000000124</v>
      </c>
      <c r="G751" s="928">
        <f t="shared" si="26"/>
        <v>1648080.22872</v>
      </c>
      <c r="H751" t="str">
        <f>+VLOOKUP(A751,'Anlage 2a_Letztverbrauch'!$A$415:$J$781,10,FALSE)</f>
        <v>Westnetz GmbH</v>
      </c>
    </row>
    <row r="752" spans="1:8" hidden="1" outlineLevel="1">
      <c r="A752" s="853" t="s">
        <v>1273</v>
      </c>
      <c r="B752" s="702">
        <f>+VLOOKUP(A752,'Anlage 2a_Letztverbrauch'!$A$2259:$I$2625,9,FALSE)</f>
        <v>1097248.18</v>
      </c>
      <c r="C752" s="88">
        <f>IFERROR(+VLOOKUP(A752,'Anlage 2a_Letztverbrauch'!$A$2797:$I$2816,4,FALSE),0)</f>
        <v>0</v>
      </c>
      <c r="D752" s="88">
        <v>0</v>
      </c>
      <c r="E752" s="88">
        <f t="shared" si="25"/>
        <v>1097248.18</v>
      </c>
      <c r="F752" s="668">
        <f>+SUMIF('Anlage 2b_Korrekturen'!$B$700:$B$1160,A752,'Anlage 2b_Korrekturen'!$F$700:$F$1160)</f>
        <v>21772.318609999998</v>
      </c>
      <c r="G752" s="928">
        <f t="shared" si="26"/>
        <v>1119020.4986099999</v>
      </c>
      <c r="H752" t="str">
        <f>+VLOOKUP(A752,'Anlage 2a_Letztverbrauch'!$A$415:$J$781,10,FALSE)</f>
        <v>Stadtwerke Lippe-Weser Service GmbH &amp; Co. KG</v>
      </c>
    </row>
    <row r="753" spans="1:8" hidden="1" outlineLevel="1">
      <c r="A753" s="853" t="s">
        <v>1480</v>
      </c>
      <c r="B753" s="702">
        <f>+VLOOKUP(A753,'Anlage 2a_Letztverbrauch'!$A$2259:$I$2625,9,FALSE)</f>
        <v>89139.22</v>
      </c>
      <c r="C753" s="88">
        <f>IFERROR(+VLOOKUP(A753,'Anlage 2a_Letztverbrauch'!$A$2797:$I$2816,4,FALSE),0)</f>
        <v>0</v>
      </c>
      <c r="D753" s="88">
        <v>0</v>
      </c>
      <c r="E753" s="88">
        <f t="shared" si="25"/>
        <v>89139.22</v>
      </c>
      <c r="F753" s="668">
        <f>+SUMIF('Anlage 2b_Korrekturen'!$B$700:$B$1160,A753,'Anlage 2b_Korrekturen'!$F$700:$F$1160)</f>
        <v>0</v>
      </c>
      <c r="G753" s="928">
        <f t="shared" si="26"/>
        <v>89139.22</v>
      </c>
      <c r="H753" t="str">
        <f>+VLOOKUP(A753,'Anlage 2a_Letztverbrauch'!$A$415:$J$781,10,FALSE)</f>
        <v>Stadtwerke Schwarzenbach a.d. Saale</v>
      </c>
    </row>
    <row r="754" spans="1:8" hidden="1" outlineLevel="1">
      <c r="A754" s="853" t="s">
        <v>1271</v>
      </c>
      <c r="B754" s="702">
        <f>+VLOOKUP(A754,'Anlage 2a_Letztverbrauch'!$A$2259:$I$2625,9,FALSE)</f>
        <v>843223.49</v>
      </c>
      <c r="C754" s="88">
        <f>IFERROR(+VLOOKUP(A754,'Anlage 2a_Letztverbrauch'!$A$2797:$I$2816,4,FALSE),0)</f>
        <v>0</v>
      </c>
      <c r="D754" s="88">
        <v>0</v>
      </c>
      <c r="E754" s="88">
        <f t="shared" si="25"/>
        <v>843223.49</v>
      </c>
      <c r="F754" s="668">
        <f>+SUMIF('Anlage 2b_Korrekturen'!$B$700:$B$1160,A754,'Anlage 2b_Korrekturen'!$F$700:$F$1160)</f>
        <v>0</v>
      </c>
      <c r="G754" s="928">
        <f t="shared" si="26"/>
        <v>843223.49</v>
      </c>
      <c r="H754" t="str">
        <f>+VLOOKUP(A754,'Anlage 2a_Letztverbrauch'!$A$415:$J$781,10,FALSE)</f>
        <v>Stromversorgung Pfaffenhofen a. d. Ilm GmbH &amp; Co. KG</v>
      </c>
    </row>
    <row r="755" spans="1:8" hidden="1" outlineLevel="1">
      <c r="A755" s="853" t="s">
        <v>1488</v>
      </c>
      <c r="B755" s="702">
        <f>+VLOOKUP(A755,'Anlage 2a_Letztverbrauch'!$A$2259:$I$2625,9,FALSE)</f>
        <v>1164686.46</v>
      </c>
      <c r="C755" s="88">
        <f>IFERROR(+VLOOKUP(A755,'Anlage 2a_Letztverbrauch'!$A$2797:$I$2816,4,FALSE),0)</f>
        <v>0</v>
      </c>
      <c r="D755" s="88">
        <v>0</v>
      </c>
      <c r="E755" s="88">
        <f t="shared" si="25"/>
        <v>1164686.46</v>
      </c>
      <c r="F755" s="668">
        <f>+SUMIF('Anlage 2b_Korrekturen'!$B$700:$B$1160,A755,'Anlage 2b_Korrekturen'!$F$700:$F$1160)</f>
        <v>-5604.8517199999997</v>
      </c>
      <c r="G755" s="928">
        <f t="shared" si="26"/>
        <v>1159081.60828</v>
      </c>
      <c r="H755" t="str">
        <f>+VLOOKUP(A755,'Anlage 2a_Letztverbrauch'!$A$415:$J$781,10,FALSE)</f>
        <v>Stromnetz Kulmbach GmbH &amp; Co. KG</v>
      </c>
    </row>
    <row r="756" spans="1:8" hidden="1" outlineLevel="1">
      <c r="A756" s="853" t="s">
        <v>1782</v>
      </c>
      <c r="B756" s="702">
        <f>+VLOOKUP(A756,'Anlage 2a_Letztverbrauch'!$A$2259:$I$2625,9,FALSE)</f>
        <v>1385546.84</v>
      </c>
      <c r="C756" s="88">
        <f>IFERROR(+VLOOKUP(A756,'Anlage 2a_Letztverbrauch'!$A$2797:$I$2816,4,FALSE),0)</f>
        <v>0</v>
      </c>
      <c r="D756" s="88">
        <v>0</v>
      </c>
      <c r="E756" s="88">
        <f t="shared" si="25"/>
        <v>1385546.84</v>
      </c>
      <c r="F756" s="668">
        <f>+SUMIF('Anlage 2b_Korrekturen'!$B$700:$B$1160,A756,'Anlage 2b_Korrekturen'!$F$700:$F$1160)</f>
        <v>467.60617999999999</v>
      </c>
      <c r="G756" s="928">
        <f t="shared" si="26"/>
        <v>1386014.44618</v>
      </c>
      <c r="H756" t="str">
        <f>+VLOOKUP(A756,'Anlage 2a_Letztverbrauch'!$A$415:$J$781,10,FALSE)</f>
        <v>Stromnetz Weiden i. d. OPf. GmbH &amp; Co. KG</v>
      </c>
    </row>
    <row r="757" spans="1:8" hidden="1" outlineLevel="1">
      <c r="A757" s="853" t="s">
        <v>1472</v>
      </c>
      <c r="B757" s="702">
        <f>+VLOOKUP(A757,'Anlage 2a_Letztverbrauch'!$A$2259:$I$2625,9,FALSE)</f>
        <v>143851.35999999999</v>
      </c>
      <c r="C757" s="88">
        <f>IFERROR(+VLOOKUP(A757,'Anlage 2a_Letztverbrauch'!$A$2797:$I$2816,4,FALSE),0)</f>
        <v>0</v>
      </c>
      <c r="D757" s="88">
        <v>0</v>
      </c>
      <c r="E757" s="88">
        <f t="shared" si="25"/>
        <v>143851.35999999999</v>
      </c>
      <c r="F757" s="668">
        <f>+SUMIF('Anlage 2b_Korrekturen'!$B$700:$B$1160,A757,'Anlage 2b_Korrekturen'!$F$700:$F$1160)</f>
        <v>767.25935000000004</v>
      </c>
      <c r="G757" s="928">
        <f t="shared" si="26"/>
        <v>144618.61934999999</v>
      </c>
      <c r="H757" t="str">
        <f>+VLOOKUP(A757,'Anlage 2a_Letztverbrauch'!$A$415:$J$781,10,FALSE)</f>
        <v>Stadtwerke Leine-Solling GmbH</v>
      </c>
    </row>
    <row r="758" spans="1:8" hidden="1" outlineLevel="1">
      <c r="A758" s="853" t="s">
        <v>1692</v>
      </c>
      <c r="B758" s="702">
        <f>+VLOOKUP(A758,'Anlage 2a_Letztverbrauch'!$A$2259:$I$2625,9,FALSE)</f>
        <v>358312.7</v>
      </c>
      <c r="C758" s="88">
        <f>IFERROR(+VLOOKUP(A758,'Anlage 2a_Letztverbrauch'!$A$2797:$I$2816,4,FALSE),0)</f>
        <v>0</v>
      </c>
      <c r="D758" s="88">
        <v>0</v>
      </c>
      <c r="E758" s="88">
        <f t="shared" si="25"/>
        <v>358312.7</v>
      </c>
      <c r="F758" s="668">
        <f>+SUMIF('Anlage 2b_Korrekturen'!$B$700:$B$1160,A758,'Anlage 2b_Korrekturen'!$F$700:$F$1160)</f>
        <v>0</v>
      </c>
      <c r="G758" s="928">
        <f t="shared" si="26"/>
        <v>358312.7</v>
      </c>
      <c r="H758" t="str">
        <f>+VLOOKUP(A758,'Anlage 2a_Letztverbrauch'!$A$415:$J$781,10,FALSE)</f>
        <v>Stadtwerke Oldenburg in Holstein GmbH</v>
      </c>
    </row>
    <row r="759" spans="1:8" hidden="1" outlineLevel="1">
      <c r="A759" s="853" t="s">
        <v>2271</v>
      </c>
      <c r="B759" s="702">
        <f>+VLOOKUP(A759,'Anlage 2a_Letztverbrauch'!$A$2259:$I$2625,9,FALSE)</f>
        <v>139151.29999999999</v>
      </c>
      <c r="C759" s="88">
        <f>IFERROR(+VLOOKUP(A759,'Anlage 2a_Letztverbrauch'!$A$2797:$I$2816,4,FALSE),0)</f>
        <v>0</v>
      </c>
      <c r="D759" s="88">
        <v>0</v>
      </c>
      <c r="E759" s="88">
        <f t="shared" si="25"/>
        <v>139151.29999999999</v>
      </c>
      <c r="F759" s="668">
        <f>+SUMIF('Anlage 2b_Korrekturen'!$B$700:$B$1160,A759,'Anlage 2b_Korrekturen'!$F$700:$F$1160)</f>
        <v>0</v>
      </c>
      <c r="G759" s="928">
        <f t="shared" si="26"/>
        <v>139151.29999999999</v>
      </c>
      <c r="H759" t="str">
        <f>+VLOOKUP(A759,'Anlage 2a_Letztverbrauch'!$A$415:$J$781,10,FALSE)</f>
        <v>Flughafen Nürnberg Energie GmbH</v>
      </c>
    </row>
    <row r="760" spans="1:8" hidden="1" outlineLevel="1">
      <c r="A760" s="853" t="s">
        <v>1687</v>
      </c>
      <c r="B760" s="702">
        <f>+VLOOKUP(A760,'Anlage 2a_Letztverbrauch'!$A$2259:$I$2625,9,FALSE)</f>
        <v>449856.28</v>
      </c>
      <c r="C760" s="88">
        <f>IFERROR(+VLOOKUP(A760,'Anlage 2a_Letztverbrauch'!$A$2797:$I$2816,4,FALSE),0)</f>
        <v>0</v>
      </c>
      <c r="D760" s="88">
        <v>0</v>
      </c>
      <c r="E760" s="88">
        <f t="shared" si="25"/>
        <v>449856.28</v>
      </c>
      <c r="F760" s="668">
        <f>+SUMIF('Anlage 2b_Korrekturen'!$B$700:$B$1160,A760,'Anlage 2b_Korrekturen'!$F$700:$F$1160)</f>
        <v>0</v>
      </c>
      <c r="G760" s="928">
        <f t="shared" si="26"/>
        <v>449856.28</v>
      </c>
      <c r="H760" t="str">
        <f>+VLOOKUP(A760,'Anlage 2a_Letztverbrauch'!$A$415:$J$781,10,FALSE)</f>
        <v>Mainsite GmbH &amp; Co. KG</v>
      </c>
    </row>
    <row r="761" spans="1:8" hidden="1" outlineLevel="1">
      <c r="A761" s="853" t="s">
        <v>2273</v>
      </c>
      <c r="B761" s="702">
        <f>+VLOOKUP(A761,'Anlage 2a_Letztverbrauch'!$A$2259:$I$2625,9,FALSE)</f>
        <v>673589.5</v>
      </c>
      <c r="C761" s="88">
        <f>IFERROR(+VLOOKUP(A761,'Anlage 2a_Letztverbrauch'!$A$2797:$I$2816,4,FALSE),0)</f>
        <v>0</v>
      </c>
      <c r="D761" s="88">
        <v>0</v>
      </c>
      <c r="E761" s="88">
        <f t="shared" si="25"/>
        <v>673589.5</v>
      </c>
      <c r="F761" s="668">
        <f>+SUMIF('Anlage 2b_Korrekturen'!$B$700:$B$1160,A761,'Anlage 2b_Korrekturen'!$F$700:$F$1160)</f>
        <v>0</v>
      </c>
      <c r="G761" s="928">
        <f t="shared" si="26"/>
        <v>673589.5</v>
      </c>
      <c r="H761" t="str">
        <f>+VLOOKUP(A761,'Anlage 2a_Letztverbrauch'!$A$415:$J$781,10,FALSE)</f>
        <v>INNEXIS Marburg GmbH (vormals Pharmaserv GmbH)</v>
      </c>
    </row>
    <row r="762" spans="1:8" hidden="1" outlineLevel="1">
      <c r="A762" s="853" t="s">
        <v>1498</v>
      </c>
      <c r="B762" s="702">
        <f>+VLOOKUP(A762,'Anlage 2a_Letztverbrauch'!$A$2259:$I$2625,9,FALSE)</f>
        <v>47425.66</v>
      </c>
      <c r="C762" s="88">
        <f>IFERROR(+VLOOKUP(A762,'Anlage 2a_Letztverbrauch'!$A$2797:$I$2816,4,FALSE),0)</f>
        <v>0</v>
      </c>
      <c r="D762" s="88">
        <v>0</v>
      </c>
      <c r="E762" s="88">
        <f t="shared" si="25"/>
        <v>47425.66</v>
      </c>
      <c r="F762" s="668">
        <f>+SUMIF('Anlage 2b_Korrekturen'!$B$700:$B$1160,A762,'Anlage 2b_Korrekturen'!$F$700:$F$1160)</f>
        <v>0</v>
      </c>
      <c r="G762" s="928">
        <f t="shared" si="26"/>
        <v>47425.66</v>
      </c>
      <c r="H762" t="str">
        <f>+VLOOKUP(A762,'Anlage 2a_Letztverbrauch'!$A$415:$J$781,10,FALSE)</f>
        <v>Obermaier und Gerg Grundstücksverwaltung KG</v>
      </c>
    </row>
    <row r="763" spans="1:8" hidden="1" outlineLevel="1">
      <c r="A763" s="853" t="s">
        <v>1508</v>
      </c>
      <c r="B763" s="702">
        <f>+VLOOKUP(A763,'Anlage 2a_Letztverbrauch'!$A$2259:$I$2625,9,FALSE)</f>
        <v>1228576.93</v>
      </c>
      <c r="C763" s="88">
        <f>IFERROR(+VLOOKUP(A763,'Anlage 2a_Letztverbrauch'!$A$2797:$I$2816,4,FALSE),0)</f>
        <v>0</v>
      </c>
      <c r="D763" s="88">
        <v>0</v>
      </c>
      <c r="E763" s="88">
        <f t="shared" si="25"/>
        <v>1228576.93</v>
      </c>
      <c r="F763" s="668">
        <f>+SUMIF('Anlage 2b_Korrekturen'!$B$700:$B$1160,A763,'Anlage 2b_Korrekturen'!$F$700:$F$1160)</f>
        <v>-3116.3775400000004</v>
      </c>
      <c r="G763" s="928">
        <f t="shared" si="26"/>
        <v>1225460.5524599999</v>
      </c>
      <c r="H763" t="str">
        <f>+VLOOKUP(A763,'Anlage 2a_Letztverbrauch'!$A$415:$J$781,10,FALSE)</f>
        <v>Stadtwerke Lehrte GmbH</v>
      </c>
    </row>
    <row r="764" spans="1:8" hidden="1" outlineLevel="1">
      <c r="A764" s="853" t="s">
        <v>1305</v>
      </c>
      <c r="B764" s="702">
        <f>+VLOOKUP(A764,'Anlage 2a_Letztverbrauch'!$A$2259:$I$2625,9,FALSE)</f>
        <v>2341469.35</v>
      </c>
      <c r="C764" s="88">
        <f>IFERROR(+VLOOKUP(A764,'Anlage 2a_Letztverbrauch'!$A$2797:$I$2816,4,FALSE),0)</f>
        <v>0</v>
      </c>
      <c r="D764" s="88">
        <v>0</v>
      </c>
      <c r="E764" s="88">
        <f t="shared" si="25"/>
        <v>2341469.35</v>
      </c>
      <c r="F764" s="668">
        <f>+SUMIF('Anlage 2b_Korrekturen'!$B$700:$B$1160,A764,'Anlage 2b_Korrekturen'!$F$700:$F$1160)</f>
        <v>-21352.82750779</v>
      </c>
      <c r="G764" s="928">
        <f t="shared" si="26"/>
        <v>2320116.5224922099</v>
      </c>
      <c r="H764" t="str">
        <f>+VLOOKUP(A764,'Anlage 2a_Letztverbrauch'!$A$415:$J$781,10,FALSE)</f>
        <v>NordNetz GmbH</v>
      </c>
    </row>
    <row r="765" spans="1:8" hidden="1" outlineLevel="1">
      <c r="A765" s="853" t="s">
        <v>1810</v>
      </c>
      <c r="B765" s="702">
        <f>+VLOOKUP(A765,'Anlage 2a_Letztverbrauch'!$A$2259:$I$2625,9,FALSE)</f>
        <v>536449.18000000005</v>
      </c>
      <c r="C765" s="88">
        <f>IFERROR(+VLOOKUP(A765,'Anlage 2a_Letztverbrauch'!$A$2797:$I$2816,4,FALSE),0)</f>
        <v>0</v>
      </c>
      <c r="D765" s="88">
        <v>0</v>
      </c>
      <c r="E765" s="88">
        <f t="shared" si="25"/>
        <v>536449.18000000005</v>
      </c>
      <c r="F765" s="668">
        <f>+SUMIF('Anlage 2b_Korrekturen'!$B$700:$B$1160,A765,'Anlage 2b_Korrekturen'!$F$700:$F$1160)</f>
        <v>-3897.9561499999995</v>
      </c>
      <c r="G765" s="928">
        <f t="shared" si="26"/>
        <v>532551.22385000007</v>
      </c>
      <c r="H765" t="str">
        <f>+VLOOKUP(A765,'Anlage 2a_Letztverbrauch'!$A$415:$J$781,10,FALSE)</f>
        <v>Stadtwerke Vlotho Stromnetz GmbH</v>
      </c>
    </row>
    <row r="766" spans="1:8" hidden="1" outlineLevel="1">
      <c r="A766" s="853" t="s">
        <v>542</v>
      </c>
      <c r="B766" s="702">
        <f>+VLOOKUP(A766,'Anlage 2a_Letztverbrauch'!$A$2259:$I$2625,9,FALSE)</f>
        <v>3.47</v>
      </c>
      <c r="C766" s="88">
        <f>IFERROR(+VLOOKUP(A766,'Anlage 2a_Letztverbrauch'!$A$2797:$I$2816,4,FALSE),0)</f>
        <v>0</v>
      </c>
      <c r="D766" s="88">
        <v>0</v>
      </c>
      <c r="E766" s="88">
        <f t="shared" si="25"/>
        <v>3.47</v>
      </c>
      <c r="F766" s="668">
        <f>+SUMIF('Anlage 2b_Korrekturen'!$B$700:$B$1160,A766,'Anlage 2b_Korrekturen'!$F$700:$F$1160)</f>
        <v>0</v>
      </c>
      <c r="G766" s="928">
        <f t="shared" si="26"/>
        <v>3.47</v>
      </c>
      <c r="H766" t="str">
        <f>+VLOOKUP(A766,'Anlage 2a_Letztverbrauch'!$A$415:$J$781,10,FALSE)</f>
        <v>EGC Infrastruktur und Netz GmbH</v>
      </c>
    </row>
    <row r="767" spans="1:8" hidden="1" outlineLevel="1">
      <c r="A767" s="853" t="s">
        <v>2275</v>
      </c>
      <c r="B767" s="702">
        <f>+VLOOKUP(A767,'Anlage 2a_Letztverbrauch'!$A$2259:$I$2625,9,FALSE)</f>
        <v>441851.49</v>
      </c>
      <c r="C767" s="88">
        <f>IFERROR(+VLOOKUP(A767,'Anlage 2a_Letztverbrauch'!$A$2797:$I$2816,4,FALSE),0)</f>
        <v>0</v>
      </c>
      <c r="D767" s="88">
        <v>0</v>
      </c>
      <c r="E767" s="88">
        <f t="shared" si="25"/>
        <v>441851.49</v>
      </c>
      <c r="F767" s="668">
        <f>+SUMIF('Anlage 2b_Korrekturen'!$B$700:$B$1160,A767,'Anlage 2b_Korrekturen'!$F$700:$F$1160)</f>
        <v>-11973.30439261</v>
      </c>
      <c r="G767" s="928">
        <f t="shared" si="26"/>
        <v>429878.18560739001</v>
      </c>
      <c r="H767" t="str">
        <f>+VLOOKUP(A767,'Anlage 2a_Letztverbrauch'!$A$415:$J$781,10,FALSE)</f>
        <v>Stromnetz Pullach GmbH</v>
      </c>
    </row>
    <row r="768" spans="1:8" hidden="1" outlineLevel="1">
      <c r="A768" s="853" t="s">
        <v>726</v>
      </c>
      <c r="B768" s="702">
        <f>+VLOOKUP(A768,'Anlage 2a_Letztverbrauch'!$A$2259:$I$2625,9,FALSE)</f>
        <v>238432</v>
      </c>
      <c r="C768" s="88">
        <f>IFERROR(+VLOOKUP(A768,'Anlage 2a_Letztverbrauch'!$A$2797:$I$2816,4,FALSE),0)</f>
        <v>0</v>
      </c>
      <c r="D768" s="88">
        <v>0</v>
      </c>
      <c r="E768" s="88">
        <f t="shared" si="25"/>
        <v>238432</v>
      </c>
      <c r="F768" s="668">
        <f>+SUMIF('Anlage 2b_Korrekturen'!$B$700:$B$1160,A768,'Anlage 2b_Korrekturen'!$F$700:$F$1160)</f>
        <v>-2278.5700000000002</v>
      </c>
      <c r="G768" s="928">
        <f t="shared" si="26"/>
        <v>236153.43</v>
      </c>
      <c r="H768" t="str">
        <f>+VLOOKUP(A768,'Anlage 2a_Letztverbrauch'!$A$415:$J$781,10,FALSE)</f>
        <v>Stromnetz24 GmbH</v>
      </c>
    </row>
    <row r="769" spans="1:8" hidden="1" outlineLevel="1">
      <c r="A769" s="853" t="s">
        <v>1370</v>
      </c>
      <c r="B769" s="702">
        <f>+VLOOKUP(A769,'Anlage 2a_Letztverbrauch'!$A$2259:$I$2625,9,FALSE)</f>
        <v>186819.53</v>
      </c>
      <c r="C769" s="88">
        <f>IFERROR(+VLOOKUP(A769,'Anlage 2a_Letztverbrauch'!$A$2797:$I$2816,4,FALSE),0)</f>
        <v>0</v>
      </c>
      <c r="D769" s="88">
        <v>0</v>
      </c>
      <c r="E769" s="88">
        <f t="shared" si="25"/>
        <v>186819.53</v>
      </c>
      <c r="F769" s="668">
        <f>+SUMIF('Anlage 2b_Korrekturen'!$B$700:$B$1160,A769,'Anlage 2b_Korrekturen'!$F$700:$F$1160)</f>
        <v>-39.665322400000001</v>
      </c>
      <c r="G769" s="928">
        <f t="shared" si="26"/>
        <v>186779.86467760001</v>
      </c>
      <c r="H769" t="str">
        <f>+VLOOKUP(A769,'Anlage 2a_Letztverbrauch'!$A$415:$J$781,10,FALSE)</f>
        <v>werkkraft GmbH</v>
      </c>
    </row>
    <row r="770" spans="1:8" hidden="1" outlineLevel="1">
      <c r="A770" s="853" t="s">
        <v>1522</v>
      </c>
      <c r="B770" s="702">
        <f>+VLOOKUP(A770,'Anlage 2a_Letztverbrauch'!$A$2259:$I$2625,9,FALSE)</f>
        <v>2331724.27</v>
      </c>
      <c r="C770" s="88">
        <f>IFERROR(+VLOOKUP(A770,'Anlage 2a_Letztverbrauch'!$A$2797:$I$2816,4,FALSE),0)</f>
        <v>0</v>
      </c>
      <c r="D770" s="88">
        <v>0</v>
      </c>
      <c r="E770" s="88">
        <f t="shared" si="25"/>
        <v>2331724.27</v>
      </c>
      <c r="F770" s="668">
        <f>+SUMIF('Anlage 2b_Korrekturen'!$B$700:$B$1160,A770,'Anlage 2b_Korrekturen'!$F$700:$F$1160)</f>
        <v>879.29340000000002</v>
      </c>
      <c r="G770" s="928">
        <f t="shared" si="26"/>
        <v>2332603.5633999999</v>
      </c>
      <c r="H770" t="str">
        <f>+VLOOKUP(A770,'Anlage 2a_Letztverbrauch'!$A$415:$J$781,10,FALSE)</f>
        <v>LeineNetz GmbH</v>
      </c>
    </row>
    <row r="771" spans="1:8" hidden="1" outlineLevel="1">
      <c r="A771" s="853" t="s">
        <v>1223</v>
      </c>
      <c r="B771" s="702">
        <f>+VLOOKUP(A771,'Anlage 2a_Letztverbrauch'!$A$2259:$I$2625,9,FALSE)</f>
        <v>500535.84</v>
      </c>
      <c r="C771" s="88">
        <f>IFERROR(+VLOOKUP(A771,'Anlage 2a_Letztverbrauch'!$A$2797:$I$2816,4,FALSE),0)</f>
        <v>0</v>
      </c>
      <c r="D771" s="88">
        <v>0</v>
      </c>
      <c r="E771" s="88">
        <f t="shared" si="25"/>
        <v>500535.84</v>
      </c>
      <c r="F771" s="668">
        <f>+SUMIF('Anlage 2b_Korrekturen'!$B$700:$B$1160,A771,'Anlage 2b_Korrekturen'!$F$700:$F$1160)</f>
        <v>11134.095846700002</v>
      </c>
      <c r="G771" s="928">
        <f t="shared" si="26"/>
        <v>511669.93584670004</v>
      </c>
      <c r="H771" t="str">
        <f>+VLOOKUP(A771,'Anlage 2a_Letztverbrauch'!$A$415:$J$781,10,FALSE)</f>
        <v>Blomberg Netz GmbH &amp; Co. KG</v>
      </c>
    </row>
    <row r="772" spans="1:8" hidden="1" outlineLevel="1">
      <c r="A772" s="853" t="s">
        <v>1432</v>
      </c>
      <c r="B772" s="702">
        <f>+VLOOKUP(A772,'Anlage 2a_Letztverbrauch'!$A$2259:$I$2625,9,FALSE)</f>
        <v>542793.93999999994</v>
      </c>
      <c r="C772" s="88">
        <f>IFERROR(+VLOOKUP(A772,'Anlage 2a_Letztverbrauch'!$A$2797:$I$2816,4,FALSE),0)</f>
        <v>0</v>
      </c>
      <c r="D772" s="88">
        <v>0</v>
      </c>
      <c r="E772" s="88">
        <f t="shared" si="25"/>
        <v>542793.93999999994</v>
      </c>
      <c r="F772" s="668">
        <f>+SUMIF('Anlage 2b_Korrekturen'!$B$700:$B$1160,A772,'Anlage 2b_Korrekturen'!$F$700:$F$1160)</f>
        <v>2665.3472648000006</v>
      </c>
      <c r="G772" s="928">
        <f t="shared" si="26"/>
        <v>545459.28726479993</v>
      </c>
      <c r="H772" t="str">
        <f>+VLOOKUP(A772,'Anlage 2a_Letztverbrauch'!$A$415:$J$781,10,FALSE)</f>
        <v>Stadtwerke Olching Stromnetz GmbH &amp; Co. KG</v>
      </c>
    </row>
    <row r="773" spans="1:8" hidden="1" outlineLevel="1">
      <c r="A773" s="853" t="s">
        <v>1364</v>
      </c>
      <c r="B773" s="702">
        <f>+VLOOKUP(A773,'Anlage 2a_Letztverbrauch'!$A$2259:$I$2625,9,FALSE)</f>
        <v>587083.66</v>
      </c>
      <c r="C773" s="88">
        <f>IFERROR(+VLOOKUP(A773,'Anlage 2a_Letztverbrauch'!$A$2797:$I$2816,4,FALSE),0)</f>
        <v>0</v>
      </c>
      <c r="D773" s="88">
        <v>0</v>
      </c>
      <c r="E773" s="88">
        <f t="shared" si="25"/>
        <v>587083.66</v>
      </c>
      <c r="F773" s="668">
        <f>+SUMIF('Anlage 2b_Korrekturen'!$B$700:$B$1160,A773,'Anlage 2b_Korrekturen'!$F$700:$F$1160)</f>
        <v>-921.45689030000005</v>
      </c>
      <c r="G773" s="928">
        <f t="shared" si="26"/>
        <v>586162.2031097</v>
      </c>
      <c r="H773" t="str">
        <f>+VLOOKUP(A773,'Anlage 2a_Letztverbrauch'!$A$415:$J$781,10,FALSE)</f>
        <v>Stromnetz Weilheim GmbH &amp; Co. KG</v>
      </c>
    </row>
    <row r="774" spans="1:8" hidden="1" outlineLevel="1">
      <c r="A774" s="853" t="s">
        <v>1822</v>
      </c>
      <c r="B774" s="702">
        <f>+VLOOKUP(A774,'Anlage 2a_Letztverbrauch'!$A$2259:$I$2625,9,FALSE)</f>
        <v>505466.64</v>
      </c>
      <c r="C774" s="88">
        <f>IFERROR(+VLOOKUP(A774,'Anlage 2a_Letztverbrauch'!$A$2797:$I$2816,4,FALSE),0)</f>
        <v>0</v>
      </c>
      <c r="D774" s="88">
        <v>0</v>
      </c>
      <c r="E774" s="88">
        <f t="shared" si="25"/>
        <v>505466.64</v>
      </c>
      <c r="F774" s="668">
        <f>+SUMIF('Anlage 2b_Korrekturen'!$B$700:$B$1160,A774,'Anlage 2b_Korrekturen'!$F$700:$F$1160)</f>
        <v>0</v>
      </c>
      <c r="G774" s="928">
        <f t="shared" si="26"/>
        <v>505466.64</v>
      </c>
      <c r="H774" t="str">
        <f>+VLOOKUP(A774,'Anlage 2a_Letztverbrauch'!$A$415:$J$781,10,FALSE)</f>
        <v>Stadtwerke Elm-Lappwald GmbH</v>
      </c>
    </row>
    <row r="775" spans="1:8" hidden="1" outlineLevel="1">
      <c r="A775" s="853" t="s">
        <v>1285</v>
      </c>
      <c r="B775" s="702">
        <f>+VLOOKUP(A775,'Anlage 2a_Letztverbrauch'!$A$2259:$I$2625,9,FALSE)</f>
        <v>456028.18</v>
      </c>
      <c r="C775" s="88">
        <f>IFERROR(+VLOOKUP(A775,'Anlage 2a_Letztverbrauch'!$A$2797:$I$2816,4,FALSE),0)</f>
        <v>0</v>
      </c>
      <c r="D775" s="88">
        <v>0</v>
      </c>
      <c r="E775" s="88">
        <f t="shared" si="25"/>
        <v>456028.18</v>
      </c>
      <c r="F775" s="668">
        <f>+SUMIF('Anlage 2b_Korrekturen'!$B$700:$B$1160,A775,'Anlage 2b_Korrekturen'!$F$700:$F$1160)</f>
        <v>2134.4002300000002</v>
      </c>
      <c r="G775" s="928">
        <f t="shared" si="26"/>
        <v>458162.58023000002</v>
      </c>
      <c r="H775" t="str">
        <f>+VLOOKUP(A775,'Anlage 2a_Letztverbrauch'!$A$415:$J$781,10,FALSE)</f>
        <v>Regionalwerke Wolfhager Land GmbH</v>
      </c>
    </row>
    <row r="776" spans="1:8" hidden="1" outlineLevel="1">
      <c r="A776" s="853" t="s">
        <v>768</v>
      </c>
      <c r="B776" s="702">
        <f>+VLOOKUP(A776,'Anlage 2a_Letztverbrauch'!$A$2259:$I$2625,9,FALSE)</f>
        <v>154209.82</v>
      </c>
      <c r="C776" s="88">
        <f>IFERROR(+VLOOKUP(A776,'Anlage 2a_Letztverbrauch'!$A$2797:$I$2816,4,FALSE),0)</f>
        <v>0</v>
      </c>
      <c r="D776" s="88">
        <v>0</v>
      </c>
      <c r="E776" s="88">
        <f t="shared" si="25"/>
        <v>154209.82</v>
      </c>
      <c r="F776" s="668">
        <f>+SUMIF('Anlage 2b_Korrekturen'!$B$700:$B$1160,A776,'Anlage 2b_Korrekturen'!$F$700:$F$1160)</f>
        <v>718.46957999999984</v>
      </c>
      <c r="G776" s="928">
        <f t="shared" si="26"/>
        <v>154928.28958000001</v>
      </c>
      <c r="H776" t="str">
        <f>+VLOOKUP(A776,'Anlage 2a_Letztverbrauch'!$A$415:$J$781,10,FALSE)</f>
        <v>GETEC Quartier GmbH</v>
      </c>
    </row>
    <row r="777" spans="1:8" hidden="1" outlineLevel="1">
      <c r="A777" s="853" t="s">
        <v>2277</v>
      </c>
      <c r="B777" s="702">
        <f>+VLOOKUP(A777,'Anlage 2a_Letztverbrauch'!$A$2259:$I$2625,9,FALSE)</f>
        <v>93273.99</v>
      </c>
      <c r="C777" s="88">
        <f>IFERROR(+VLOOKUP(A777,'Anlage 2a_Letztverbrauch'!$A$2797:$I$2816,4,FALSE),0)</f>
        <v>-76611.12</v>
      </c>
      <c r="D777" s="88">
        <v>0</v>
      </c>
      <c r="E777" s="88">
        <f t="shared" si="25"/>
        <v>16662.87000000001</v>
      </c>
      <c r="F777" s="668">
        <f>+SUMIF('Anlage 2b_Korrekturen'!$B$700:$B$1160,A777,'Anlage 2b_Korrekturen'!$F$700:$F$1160)</f>
        <v>0</v>
      </c>
      <c r="G777" s="928">
        <f t="shared" si="26"/>
        <v>16662.87000000001</v>
      </c>
      <c r="H777" t="str">
        <f>+VLOOKUP(A777,'Anlage 2a_Letztverbrauch'!$A$415:$J$781,10,FALSE)</f>
        <v>Reußenköge Netz &amp; Infrastruktur GmbH</v>
      </c>
    </row>
    <row r="778" spans="1:8" hidden="1" outlineLevel="1">
      <c r="A778" s="853" t="s">
        <v>2279</v>
      </c>
      <c r="B778" s="702">
        <f>+VLOOKUP(A778,'Anlage 2a_Letztverbrauch'!$A$2259:$I$2625,9,FALSE)</f>
        <v>258834.63</v>
      </c>
      <c r="C778" s="88">
        <f>IFERROR(+VLOOKUP(A778,'Anlage 2a_Letztverbrauch'!$A$2797:$I$2816,4,FALSE),0)</f>
        <v>0</v>
      </c>
      <c r="D778" s="88">
        <v>0</v>
      </c>
      <c r="E778" s="88">
        <f t="shared" si="25"/>
        <v>258834.63</v>
      </c>
      <c r="F778" s="668">
        <f>+SUMIF('Anlage 2b_Korrekturen'!$B$700:$B$1160,A778,'Anlage 2b_Korrekturen'!$F$700:$F$1160)</f>
        <v>0</v>
      </c>
      <c r="G778" s="928">
        <f t="shared" si="26"/>
        <v>258834.63</v>
      </c>
      <c r="H778" t="str">
        <f>+VLOOKUP(A778,'Anlage 2a_Letztverbrauch'!$A$415:$J$781,10,FALSE)</f>
        <v>enercity Flughafen Netz GmbH</v>
      </c>
    </row>
    <row r="779" spans="1:8" hidden="1" outlineLevel="1">
      <c r="A779" s="853" t="s">
        <v>2281</v>
      </c>
      <c r="B779" s="702">
        <f>+VLOOKUP(A779,'Anlage 2a_Letztverbrauch'!$A$2259:$I$2625,9,FALSE)</f>
        <v>26393.51</v>
      </c>
      <c r="C779" s="88">
        <f>IFERROR(+VLOOKUP(A779,'Anlage 2a_Letztverbrauch'!$A$2797:$I$2816,4,FALSE),0)</f>
        <v>0</v>
      </c>
      <c r="D779" s="88">
        <v>0</v>
      </c>
      <c r="E779" s="88">
        <f t="shared" si="25"/>
        <v>26393.51</v>
      </c>
      <c r="F779" s="668">
        <f>+SUMIF('Anlage 2b_Korrekturen'!$B$700:$B$1160,A779,'Anlage 2b_Korrekturen'!$F$700:$F$1160)</f>
        <v>232.43</v>
      </c>
      <c r="G779" s="928">
        <f t="shared" si="26"/>
        <v>26625.94</v>
      </c>
      <c r="H779" t="str">
        <f>+VLOOKUP(A779,'Anlage 2a_Letztverbrauch'!$A$415:$J$781,10,FALSE)</f>
        <v>QuartiersNetz Bayern GmbH</v>
      </c>
    </row>
    <row r="780" spans="1:8" hidden="1" outlineLevel="1">
      <c r="A780" s="853" t="s">
        <v>1826</v>
      </c>
      <c r="B780" s="702">
        <f>+VLOOKUP(A780,'Anlage 2a_Letztverbrauch'!$A$2259:$I$2625,9,FALSE)</f>
        <v>1763779.18</v>
      </c>
      <c r="C780" s="88">
        <f>IFERROR(+VLOOKUP(A780,'Anlage 2a_Letztverbrauch'!$A$2797:$I$2816,4,FALSE),0)</f>
        <v>0</v>
      </c>
      <c r="D780" s="88">
        <v>0</v>
      </c>
      <c r="E780" s="88">
        <f t="shared" si="25"/>
        <v>1763779.18</v>
      </c>
      <c r="F780" s="668">
        <f>+SUMIF('Anlage 2b_Korrekturen'!$B$700:$B$1160,A780,'Anlage 2b_Korrekturen'!$F$700:$F$1160)</f>
        <v>0</v>
      </c>
      <c r="G780" s="928">
        <f t="shared" si="26"/>
        <v>1763779.18</v>
      </c>
      <c r="H780" t="str">
        <f>+VLOOKUP(A780,'Anlage 2a_Letztverbrauch'!$A$415:$J$781,10,FALSE)</f>
        <v>Stadtwerke Südholstein GmbH</v>
      </c>
    </row>
    <row r="781" spans="1:8" hidden="1" outlineLevel="1">
      <c r="A781" s="853" t="s">
        <v>2283</v>
      </c>
      <c r="B781" s="702">
        <f>+VLOOKUP(A781,'Anlage 2a_Letztverbrauch'!$A$2259:$I$2625,9,FALSE)</f>
        <v>232204.76</v>
      </c>
      <c r="C781" s="88">
        <f>IFERROR(+VLOOKUP(A781,'Anlage 2a_Letztverbrauch'!$A$2797:$I$2816,4,FALSE),0)</f>
        <v>0</v>
      </c>
      <c r="D781" s="88">
        <v>0</v>
      </c>
      <c r="E781" s="88">
        <f t="shared" ref="E781" si="27">B781+C781+D781</f>
        <v>232204.76</v>
      </c>
      <c r="F781" s="668">
        <f>+SUMIF('Anlage 2b_Korrekturen'!$B$700:$B$1160,A781,'Anlage 2b_Korrekturen'!$F$700:$F$1160)</f>
        <v>0</v>
      </c>
      <c r="G781" s="928">
        <f t="shared" ref="G781:G785" si="28">E781+F781</f>
        <v>232204.76</v>
      </c>
      <c r="H781" t="str">
        <f>+VLOOKUP(A781,'Anlage 2a_Letztverbrauch'!$A$415:$J$781,10,FALSE)</f>
        <v>CCF Cassella Chemiepark Frankfurt GmbH</v>
      </c>
    </row>
    <row r="782" spans="1:8" hidden="1" outlineLevel="1">
      <c r="A782" s="853" t="s">
        <v>2285</v>
      </c>
      <c r="B782" s="702">
        <f>+VLOOKUP(A782,'Anlage 2a_Letztverbrauch'!$A$2259:$I$2625,9,FALSE)</f>
        <v>5673.55</v>
      </c>
      <c r="C782" s="88">
        <f>IFERROR(+VLOOKUP(A782,'Anlage 2a_Letztverbrauch'!$A$2797:$I$2816,4,FALSE),0)</f>
        <v>0</v>
      </c>
      <c r="D782" s="88">
        <v>0</v>
      </c>
      <c r="E782" s="88">
        <f>B782+C782+D782</f>
        <v>5673.55</v>
      </c>
      <c r="F782" s="668">
        <f>+SUMIF('Anlage 2b_Korrekturen'!$B$700:$B$1160,A782,'Anlage 2b_Korrekturen'!$F$700:$F$1160)</f>
        <v>1243.98</v>
      </c>
      <c r="G782" s="928">
        <f t="shared" si="28"/>
        <v>6917.5300000000007</v>
      </c>
      <c r="H782" t="str">
        <f>+VLOOKUP(A782,'Anlage 2a_Letztverbrauch'!$A$415:$J$781,10,FALSE)</f>
        <v>enercity GridPartner GmbH</v>
      </c>
    </row>
    <row r="783" spans="1:8" hidden="1" outlineLevel="1">
      <c r="A783" s="853" t="s">
        <v>2287</v>
      </c>
      <c r="B783" s="702">
        <v>0</v>
      </c>
      <c r="C783" s="406">
        <v>0</v>
      </c>
      <c r="D783" s="406">
        <v>0</v>
      </c>
      <c r="E783" s="406">
        <v>0</v>
      </c>
      <c r="F783" s="668">
        <f>+SUMIF('Anlage 2b_Korrekturen'!$B$700:$B$1160,A783,'Anlage 2b_Korrekturen'!$F$700:$F$1160)</f>
        <v>-19228.260000000002</v>
      </c>
      <c r="G783" s="928">
        <f>E783+F783</f>
        <v>-19228.260000000002</v>
      </c>
      <c r="H783" t="s">
        <v>2288</v>
      </c>
    </row>
    <row r="784" spans="1:8" hidden="1" outlineLevel="1">
      <c r="A784" s="853" t="s">
        <v>2289</v>
      </c>
      <c r="B784" s="702">
        <v>0</v>
      </c>
      <c r="C784" s="406">
        <v>0</v>
      </c>
      <c r="D784" s="406">
        <v>0</v>
      </c>
      <c r="E784" s="406">
        <v>0</v>
      </c>
      <c r="F784" s="668">
        <f>+SUMIF('Anlage 2b_Korrekturen'!$B$700:$B$1160,A784,'Anlage 2b_Korrekturen'!$F$700:$F$1160)</f>
        <v>-17304.41</v>
      </c>
      <c r="G784" s="928">
        <f>E784+F784</f>
        <v>-17304.41</v>
      </c>
      <c r="H784" t="s">
        <v>2290</v>
      </c>
    </row>
    <row r="785" spans="1:11" ht="13.5" collapsed="1" thickBot="1">
      <c r="A785" s="856" t="s">
        <v>1828</v>
      </c>
      <c r="B785" s="495">
        <f>SUM(B786:B923)</f>
        <v>369965130.00999999</v>
      </c>
      <c r="C785" s="412">
        <f t="shared" ref="C785:F785" si="29">SUM(C786:C923)</f>
        <v>-9323537.8599999994</v>
      </c>
      <c r="D785" s="412">
        <f>SUM(D786:D923)</f>
        <v>44285.82</v>
      </c>
      <c r="E785" s="412">
        <f t="shared" si="29"/>
        <v>360685877.96999991</v>
      </c>
      <c r="F785" s="1651">
        <f t="shared" si="29"/>
        <v>2158074.09</v>
      </c>
      <c r="G785" s="929">
        <f t="shared" si="28"/>
        <v>362843952.05999988</v>
      </c>
      <c r="K785" s="89"/>
    </row>
    <row r="786" spans="1:11" hidden="1" outlineLevel="1">
      <c r="A786" s="867" t="s">
        <v>1829</v>
      </c>
      <c r="B786" s="406">
        <v>1829055.62</v>
      </c>
      <c r="C786" s="88">
        <v>0</v>
      </c>
      <c r="D786" s="88">
        <v>0</v>
      </c>
      <c r="E786" s="88">
        <v>1829055.62</v>
      </c>
      <c r="F786" s="88">
        <v>0</v>
      </c>
      <c r="G786" s="866">
        <f>E786+F786</f>
        <v>1829055.62</v>
      </c>
      <c r="H786" t="s">
        <v>1830</v>
      </c>
    </row>
    <row r="787" spans="1:11" hidden="1" outlineLevel="1">
      <c r="A787" s="867" t="s">
        <v>1831</v>
      </c>
      <c r="B787" s="406">
        <v>3612404.39</v>
      </c>
      <c r="C787" s="88">
        <v>0</v>
      </c>
      <c r="D787" s="88">
        <v>0</v>
      </c>
      <c r="E787" s="88">
        <v>3612404.39</v>
      </c>
      <c r="F787" s="88">
        <v>-25522.02</v>
      </c>
      <c r="G787" s="866">
        <f t="shared" ref="G787:G850" si="30">E787+F787</f>
        <v>3586882.37</v>
      </c>
      <c r="H787" t="s">
        <v>1832</v>
      </c>
    </row>
    <row r="788" spans="1:11" hidden="1" outlineLevel="1">
      <c r="A788" s="867" t="s">
        <v>1833</v>
      </c>
      <c r="B788" s="406">
        <v>10571773.800000001</v>
      </c>
      <c r="C788" s="88">
        <v>0</v>
      </c>
      <c r="D788" s="88">
        <v>0</v>
      </c>
      <c r="E788" s="88">
        <v>10571773.800000001</v>
      </c>
      <c r="F788" s="88">
        <v>0</v>
      </c>
      <c r="G788" s="866">
        <f t="shared" si="30"/>
        <v>10571773.800000001</v>
      </c>
      <c r="H788" t="s">
        <v>1834</v>
      </c>
    </row>
    <row r="789" spans="1:11" hidden="1" outlineLevel="1">
      <c r="A789" s="867" t="s">
        <v>2291</v>
      </c>
      <c r="B789" s="406">
        <v>89938.08</v>
      </c>
      <c r="C789" s="88">
        <v>0</v>
      </c>
      <c r="D789" s="88">
        <v>0</v>
      </c>
      <c r="E789" s="88">
        <v>89938.08</v>
      </c>
      <c r="F789" s="88">
        <v>0</v>
      </c>
      <c r="G789" s="866">
        <f t="shared" si="30"/>
        <v>89938.08</v>
      </c>
      <c r="H789" t="s">
        <v>2292</v>
      </c>
    </row>
    <row r="790" spans="1:11" hidden="1" outlineLevel="1">
      <c r="A790" s="867" t="s">
        <v>1021</v>
      </c>
      <c r="B790" s="406">
        <v>2773505.53</v>
      </c>
      <c r="C790" s="88">
        <v>0</v>
      </c>
      <c r="D790" s="88">
        <v>0</v>
      </c>
      <c r="E790" s="88">
        <v>2773505.53</v>
      </c>
      <c r="F790" s="88">
        <v>-4746.91</v>
      </c>
      <c r="G790" s="866">
        <f t="shared" si="30"/>
        <v>2768758.6199999996</v>
      </c>
      <c r="H790" t="s">
        <v>944</v>
      </c>
    </row>
    <row r="791" spans="1:11" hidden="1" outlineLevel="1">
      <c r="A791" s="867" t="s">
        <v>1835</v>
      </c>
      <c r="B791" s="406">
        <v>1072639.9099999999</v>
      </c>
      <c r="C791" s="88">
        <v>0</v>
      </c>
      <c r="D791" s="88">
        <v>0</v>
      </c>
      <c r="E791" s="88">
        <v>1072639.9099999999</v>
      </c>
      <c r="F791" s="88">
        <v>-1796.95</v>
      </c>
      <c r="G791" s="866">
        <f t="shared" si="30"/>
        <v>1070842.96</v>
      </c>
      <c r="H791" t="s">
        <v>1836</v>
      </c>
    </row>
    <row r="792" spans="1:11" hidden="1" outlineLevel="1">
      <c r="A792" s="867" t="s">
        <v>542</v>
      </c>
      <c r="B792" s="406">
        <v>21868.11</v>
      </c>
      <c r="C792" s="88">
        <v>0</v>
      </c>
      <c r="D792" s="88">
        <v>0</v>
      </c>
      <c r="E792" s="88">
        <v>21868.11</v>
      </c>
      <c r="F792" s="88">
        <v>-14.2</v>
      </c>
      <c r="G792" s="866">
        <f t="shared" si="30"/>
        <v>21853.91</v>
      </c>
      <c r="H792" t="s">
        <v>543</v>
      </c>
    </row>
    <row r="793" spans="1:11" hidden="1" outlineLevel="1">
      <c r="A793" s="867" t="s">
        <v>1837</v>
      </c>
      <c r="B793" s="406">
        <v>1223468.3400000001</v>
      </c>
      <c r="C793" s="88">
        <v>0</v>
      </c>
      <c r="D793" s="88">
        <v>0</v>
      </c>
      <c r="E793" s="88">
        <v>1223468.3400000001</v>
      </c>
      <c r="F793" s="88">
        <v>3572.3</v>
      </c>
      <c r="G793" s="866">
        <f t="shared" si="30"/>
        <v>1227040.6400000001</v>
      </c>
      <c r="H793" t="s">
        <v>1838</v>
      </c>
    </row>
    <row r="794" spans="1:11" hidden="1" outlineLevel="1">
      <c r="A794" s="867" t="s">
        <v>1839</v>
      </c>
      <c r="B794" s="406">
        <v>647858.6</v>
      </c>
      <c r="C794" s="88">
        <v>0</v>
      </c>
      <c r="D794" s="88">
        <v>0</v>
      </c>
      <c r="E794" s="88">
        <v>647858.6</v>
      </c>
      <c r="F794" s="88">
        <v>-347.82</v>
      </c>
      <c r="G794" s="866">
        <f t="shared" si="30"/>
        <v>647510.78</v>
      </c>
      <c r="H794" t="s">
        <v>1840</v>
      </c>
    </row>
    <row r="795" spans="1:11" hidden="1" outlineLevel="1">
      <c r="A795" s="867" t="s">
        <v>1841</v>
      </c>
      <c r="B795" s="406">
        <v>141200.76999999999</v>
      </c>
      <c r="C795" s="88">
        <v>0</v>
      </c>
      <c r="D795" s="88">
        <v>0</v>
      </c>
      <c r="E795" s="88">
        <v>141200.76999999999</v>
      </c>
      <c r="F795" s="88">
        <v>-862.91</v>
      </c>
      <c r="G795" s="866">
        <f t="shared" si="30"/>
        <v>140337.85999999999</v>
      </c>
      <c r="H795" t="s">
        <v>1842</v>
      </c>
    </row>
    <row r="796" spans="1:11" hidden="1" outlineLevel="1">
      <c r="A796" s="867" t="s">
        <v>1843</v>
      </c>
      <c r="B796" s="406">
        <v>207228.22</v>
      </c>
      <c r="C796" s="88">
        <v>0</v>
      </c>
      <c r="D796" s="88">
        <v>0</v>
      </c>
      <c r="E796" s="88">
        <v>207228.22</v>
      </c>
      <c r="F796" s="88">
        <v>-71781.679999999993</v>
      </c>
      <c r="G796" s="866">
        <f t="shared" si="30"/>
        <v>135446.54</v>
      </c>
      <c r="H796" t="s">
        <v>1844</v>
      </c>
    </row>
    <row r="797" spans="1:11" hidden="1" outlineLevel="1">
      <c r="A797" s="867" t="s">
        <v>1845</v>
      </c>
      <c r="B797" s="406">
        <v>1237066.58</v>
      </c>
      <c r="C797" s="88">
        <v>0</v>
      </c>
      <c r="D797" s="88">
        <v>0</v>
      </c>
      <c r="E797" s="88">
        <v>1237066.58</v>
      </c>
      <c r="F797" s="88">
        <v>5138.71</v>
      </c>
      <c r="G797" s="866">
        <f t="shared" si="30"/>
        <v>1242205.29</v>
      </c>
      <c r="H797" t="s">
        <v>1846</v>
      </c>
    </row>
    <row r="798" spans="1:11" hidden="1" outlineLevel="1">
      <c r="A798" s="867" t="s">
        <v>1847</v>
      </c>
      <c r="B798" s="406">
        <v>329665.12</v>
      </c>
      <c r="C798" s="88">
        <v>0</v>
      </c>
      <c r="D798" s="88">
        <v>0</v>
      </c>
      <c r="E798" s="88">
        <v>329665.12</v>
      </c>
      <c r="F798" s="88">
        <v>20934.310000000001</v>
      </c>
      <c r="G798" s="866">
        <f t="shared" si="30"/>
        <v>350599.43</v>
      </c>
      <c r="H798" t="s">
        <v>1848</v>
      </c>
    </row>
    <row r="799" spans="1:11" hidden="1" outlineLevel="1">
      <c r="A799" s="867" t="s">
        <v>2293</v>
      </c>
      <c r="B799" s="406">
        <v>81502.28</v>
      </c>
      <c r="C799" s="88">
        <v>0</v>
      </c>
      <c r="D799" s="88">
        <v>0</v>
      </c>
      <c r="E799" s="88">
        <v>81502.28</v>
      </c>
      <c r="F799" s="88">
        <v>-1201.53</v>
      </c>
      <c r="G799" s="866">
        <f t="shared" si="30"/>
        <v>80300.75</v>
      </c>
      <c r="H799" t="s">
        <v>2294</v>
      </c>
    </row>
    <row r="800" spans="1:11" hidden="1" outlineLevel="1">
      <c r="A800" s="867" t="s">
        <v>1849</v>
      </c>
      <c r="B800" s="406">
        <v>313621.09999999998</v>
      </c>
      <c r="C800" s="88">
        <v>0</v>
      </c>
      <c r="D800" s="88">
        <v>0</v>
      </c>
      <c r="E800" s="88">
        <v>313621.09999999998</v>
      </c>
      <c r="F800" s="88">
        <v>25.58</v>
      </c>
      <c r="G800" s="866">
        <f t="shared" si="30"/>
        <v>313646.68</v>
      </c>
      <c r="H800" t="s">
        <v>1850</v>
      </c>
    </row>
    <row r="801" spans="1:8" hidden="1" outlineLevel="1">
      <c r="A801" s="867" t="s">
        <v>1851</v>
      </c>
      <c r="B801" s="406">
        <v>296795.21999999997</v>
      </c>
      <c r="C801" s="88">
        <v>0</v>
      </c>
      <c r="D801" s="88">
        <v>0</v>
      </c>
      <c r="E801" s="88">
        <v>296795.21999999997</v>
      </c>
      <c r="F801" s="88">
        <v>0</v>
      </c>
      <c r="G801" s="866">
        <f t="shared" si="30"/>
        <v>296795.21999999997</v>
      </c>
      <c r="H801" t="s">
        <v>1852</v>
      </c>
    </row>
    <row r="802" spans="1:8" hidden="1" outlineLevel="1">
      <c r="A802" s="867" t="s">
        <v>1853</v>
      </c>
      <c r="B802" s="406">
        <v>507571.48</v>
      </c>
      <c r="C802" s="88">
        <v>0</v>
      </c>
      <c r="D802" s="88">
        <v>0</v>
      </c>
      <c r="E802" s="88">
        <v>507571.48</v>
      </c>
      <c r="F802" s="88">
        <v>13444.27</v>
      </c>
      <c r="G802" s="866">
        <f t="shared" si="30"/>
        <v>521015.75</v>
      </c>
      <c r="H802" t="s">
        <v>1854</v>
      </c>
    </row>
    <row r="803" spans="1:8" hidden="1" outlineLevel="1">
      <c r="A803" s="867" t="s">
        <v>1855</v>
      </c>
      <c r="B803" s="406">
        <v>1790274.68</v>
      </c>
      <c r="C803" s="88">
        <v>0</v>
      </c>
      <c r="D803" s="88">
        <v>0</v>
      </c>
      <c r="E803" s="88">
        <v>1790274.68</v>
      </c>
      <c r="F803" s="88">
        <v>-196912.91</v>
      </c>
      <c r="G803" s="866">
        <f t="shared" si="30"/>
        <v>1593361.77</v>
      </c>
      <c r="H803" t="s">
        <v>1856</v>
      </c>
    </row>
    <row r="804" spans="1:8" hidden="1" outlineLevel="1">
      <c r="A804" s="867" t="s">
        <v>1857</v>
      </c>
      <c r="B804" s="406">
        <v>200541.56</v>
      </c>
      <c r="C804" s="88">
        <v>0</v>
      </c>
      <c r="D804" s="88">
        <v>0</v>
      </c>
      <c r="E804" s="88">
        <v>200541.56</v>
      </c>
      <c r="F804" s="88">
        <v>0</v>
      </c>
      <c r="G804" s="866">
        <f t="shared" si="30"/>
        <v>200541.56</v>
      </c>
      <c r="H804" t="s">
        <v>1858</v>
      </c>
    </row>
    <row r="805" spans="1:8" hidden="1" outlineLevel="1">
      <c r="A805" s="867" t="s">
        <v>1859</v>
      </c>
      <c r="B805" s="406">
        <v>1733783.88</v>
      </c>
      <c r="C805" s="88">
        <v>0</v>
      </c>
      <c r="D805" s="88">
        <v>6646.23</v>
      </c>
      <c r="E805" s="88">
        <v>1740430.11</v>
      </c>
      <c r="F805" s="88">
        <v>8488.57</v>
      </c>
      <c r="G805" s="866">
        <f t="shared" si="30"/>
        <v>1748918.6800000002</v>
      </c>
      <c r="H805" t="s">
        <v>1860</v>
      </c>
    </row>
    <row r="806" spans="1:8" hidden="1" outlineLevel="1">
      <c r="A806" s="867" t="s">
        <v>1861</v>
      </c>
      <c r="B806" s="406">
        <v>516863.22</v>
      </c>
      <c r="C806" s="88">
        <v>0</v>
      </c>
      <c r="D806" s="88">
        <v>0</v>
      </c>
      <c r="E806" s="88">
        <v>516863.22</v>
      </c>
      <c r="F806" s="88">
        <v>27745.96</v>
      </c>
      <c r="G806" s="866">
        <f t="shared" si="30"/>
        <v>544609.17999999993</v>
      </c>
      <c r="H806" t="s">
        <v>1862</v>
      </c>
    </row>
    <row r="807" spans="1:8" hidden="1" outlineLevel="1">
      <c r="A807" s="867" t="s">
        <v>1863</v>
      </c>
      <c r="B807" s="406">
        <v>927956.98</v>
      </c>
      <c r="C807" s="88">
        <v>0</v>
      </c>
      <c r="D807" s="88">
        <v>0</v>
      </c>
      <c r="E807" s="88">
        <v>927956.98</v>
      </c>
      <c r="F807" s="88">
        <v>-42157.97</v>
      </c>
      <c r="G807" s="866">
        <f t="shared" si="30"/>
        <v>885799.01</v>
      </c>
      <c r="H807" t="s">
        <v>1864</v>
      </c>
    </row>
    <row r="808" spans="1:8" hidden="1" outlineLevel="1">
      <c r="A808" s="867" t="s">
        <v>1865</v>
      </c>
      <c r="B808" s="406">
        <v>967474.17</v>
      </c>
      <c r="C808" s="88">
        <v>0</v>
      </c>
      <c r="D808" s="88">
        <v>0</v>
      </c>
      <c r="E808" s="88">
        <v>967474.17</v>
      </c>
      <c r="F808" s="88">
        <v>61286.01</v>
      </c>
      <c r="G808" s="866">
        <f t="shared" si="30"/>
        <v>1028760.18</v>
      </c>
      <c r="H808" t="s">
        <v>1866</v>
      </c>
    </row>
    <row r="809" spans="1:8" hidden="1" outlineLevel="1">
      <c r="A809" s="867" t="s">
        <v>1867</v>
      </c>
      <c r="B809" s="406">
        <v>538803.84</v>
      </c>
      <c r="C809" s="88">
        <v>0</v>
      </c>
      <c r="D809" s="88">
        <v>0</v>
      </c>
      <c r="E809" s="88">
        <v>538803.84</v>
      </c>
      <c r="F809" s="88">
        <v>0</v>
      </c>
      <c r="G809" s="866">
        <f t="shared" si="30"/>
        <v>538803.84</v>
      </c>
      <c r="H809" t="s">
        <v>1868</v>
      </c>
    </row>
    <row r="810" spans="1:8" hidden="1" outlineLevel="1">
      <c r="A810" s="867" t="s">
        <v>1869</v>
      </c>
      <c r="B810" s="406">
        <v>1536578.39</v>
      </c>
      <c r="C810" s="88">
        <v>0</v>
      </c>
      <c r="D810" s="88">
        <v>0</v>
      </c>
      <c r="E810" s="88">
        <v>1536578.39</v>
      </c>
      <c r="F810" s="88">
        <v>-24717.54</v>
      </c>
      <c r="G810" s="866">
        <f t="shared" si="30"/>
        <v>1511860.8499999999</v>
      </c>
      <c r="H810" t="s">
        <v>1870</v>
      </c>
    </row>
    <row r="811" spans="1:8" hidden="1" outlineLevel="1">
      <c r="A811" s="867" t="s">
        <v>1871</v>
      </c>
      <c r="B811" s="406">
        <v>138166.48000000001</v>
      </c>
      <c r="C811" s="88">
        <v>0</v>
      </c>
      <c r="D811" s="88">
        <v>0</v>
      </c>
      <c r="E811" s="88">
        <v>138166.48000000001</v>
      </c>
      <c r="F811" s="88">
        <v>0</v>
      </c>
      <c r="G811" s="866">
        <f t="shared" si="30"/>
        <v>138166.48000000001</v>
      </c>
      <c r="H811" t="s">
        <v>1872</v>
      </c>
    </row>
    <row r="812" spans="1:8" hidden="1" outlineLevel="1">
      <c r="A812" s="867" t="s">
        <v>1873</v>
      </c>
      <c r="B812" s="406">
        <v>7504741.8200000003</v>
      </c>
      <c r="C812" s="88">
        <v>0</v>
      </c>
      <c r="D812" s="88">
        <v>0</v>
      </c>
      <c r="E812" s="88">
        <v>7504741.8200000003</v>
      </c>
      <c r="F812" s="88">
        <v>-74796.399999999994</v>
      </c>
      <c r="G812" s="866">
        <f t="shared" si="30"/>
        <v>7429945.4199999999</v>
      </c>
      <c r="H812" t="s">
        <v>1874</v>
      </c>
    </row>
    <row r="813" spans="1:8" hidden="1" outlineLevel="1">
      <c r="A813" s="867" t="s">
        <v>799</v>
      </c>
      <c r="B813" s="406">
        <v>45493.33</v>
      </c>
      <c r="C813" s="88">
        <v>0</v>
      </c>
      <c r="D813" s="88">
        <v>0</v>
      </c>
      <c r="E813" s="88">
        <v>45493.33</v>
      </c>
      <c r="F813" s="88">
        <v>0</v>
      </c>
      <c r="G813" s="866">
        <f t="shared" si="30"/>
        <v>45493.33</v>
      </c>
      <c r="H813" t="s">
        <v>800</v>
      </c>
    </row>
    <row r="814" spans="1:8" hidden="1" outlineLevel="1">
      <c r="A814" s="867" t="s">
        <v>2295</v>
      </c>
      <c r="B814" s="406">
        <v>420014.82</v>
      </c>
      <c r="C814" s="88">
        <v>0</v>
      </c>
      <c r="D814" s="88">
        <v>0</v>
      </c>
      <c r="E814" s="88">
        <v>420014.82</v>
      </c>
      <c r="F814" s="88">
        <v>0</v>
      </c>
      <c r="G814" s="866">
        <f t="shared" si="30"/>
        <v>420014.82</v>
      </c>
      <c r="H814" t="s">
        <v>2296</v>
      </c>
    </row>
    <row r="815" spans="1:8" hidden="1" outlineLevel="1">
      <c r="A815" s="867" t="s">
        <v>2297</v>
      </c>
      <c r="B815" s="406">
        <v>403639.34</v>
      </c>
      <c r="C815" s="88">
        <v>0</v>
      </c>
      <c r="D815" s="88">
        <v>0</v>
      </c>
      <c r="E815" s="88">
        <v>403639.34</v>
      </c>
      <c r="F815" s="88">
        <v>1138418.6200000001</v>
      </c>
      <c r="G815" s="866">
        <f t="shared" si="30"/>
        <v>1542057.9600000002</v>
      </c>
      <c r="H815" t="s">
        <v>2298</v>
      </c>
    </row>
    <row r="816" spans="1:8" hidden="1" outlineLevel="1">
      <c r="A816" s="867" t="s">
        <v>1875</v>
      </c>
      <c r="B816" s="406">
        <v>112465.4</v>
      </c>
      <c r="C816" s="88">
        <v>0</v>
      </c>
      <c r="D816" s="88">
        <v>0</v>
      </c>
      <c r="E816" s="88">
        <v>112465.4</v>
      </c>
      <c r="F816" s="88">
        <v>497.75</v>
      </c>
      <c r="G816" s="866">
        <f t="shared" si="30"/>
        <v>112963.15</v>
      </c>
      <c r="H816" t="s">
        <v>1876</v>
      </c>
    </row>
    <row r="817" spans="1:8" hidden="1" outlineLevel="1">
      <c r="A817" s="867" t="s">
        <v>1877</v>
      </c>
      <c r="B817" s="406">
        <v>89255.56</v>
      </c>
      <c r="C817" s="88">
        <v>0</v>
      </c>
      <c r="D817" s="88">
        <v>0</v>
      </c>
      <c r="E817" s="88">
        <v>89255.56</v>
      </c>
      <c r="F817" s="88">
        <v>0</v>
      </c>
      <c r="G817" s="866">
        <f t="shared" si="30"/>
        <v>89255.56</v>
      </c>
      <c r="H817" t="s">
        <v>1878</v>
      </c>
    </row>
    <row r="818" spans="1:8" hidden="1" outlineLevel="1">
      <c r="A818" s="867" t="s">
        <v>1879</v>
      </c>
      <c r="B818" s="406">
        <v>356173.6</v>
      </c>
      <c r="C818" s="88">
        <v>0</v>
      </c>
      <c r="D818" s="88">
        <v>0</v>
      </c>
      <c r="E818" s="88">
        <v>356173.6</v>
      </c>
      <c r="F818" s="88">
        <v>931.51</v>
      </c>
      <c r="G818" s="866">
        <f t="shared" si="30"/>
        <v>357105.11</v>
      </c>
      <c r="H818" t="s">
        <v>1880</v>
      </c>
    </row>
    <row r="819" spans="1:8" hidden="1" outlineLevel="1">
      <c r="A819" s="867" t="s">
        <v>1881</v>
      </c>
      <c r="B819" s="406">
        <v>206592.64000000001</v>
      </c>
      <c r="C819" s="88">
        <v>0</v>
      </c>
      <c r="D819" s="88">
        <v>0</v>
      </c>
      <c r="E819" s="88">
        <v>206592.64000000001</v>
      </c>
      <c r="F819" s="88">
        <v>0</v>
      </c>
      <c r="G819" s="866">
        <f t="shared" si="30"/>
        <v>206592.64000000001</v>
      </c>
      <c r="H819" t="s">
        <v>1882</v>
      </c>
    </row>
    <row r="820" spans="1:8" hidden="1" outlineLevel="1">
      <c r="A820" s="867" t="s">
        <v>1883</v>
      </c>
      <c r="B820" s="406">
        <v>406757.21</v>
      </c>
      <c r="C820" s="88">
        <v>0</v>
      </c>
      <c r="D820" s="88">
        <v>0</v>
      </c>
      <c r="E820" s="88">
        <v>406757.21</v>
      </c>
      <c r="F820" s="88">
        <v>0</v>
      </c>
      <c r="G820" s="866">
        <f t="shared" si="30"/>
        <v>406757.21</v>
      </c>
      <c r="H820" t="s">
        <v>1884</v>
      </c>
    </row>
    <row r="821" spans="1:8" hidden="1" outlineLevel="1">
      <c r="A821" s="867" t="s">
        <v>2299</v>
      </c>
      <c r="B821" s="406">
        <v>186409.7</v>
      </c>
      <c r="C821" s="88">
        <v>0</v>
      </c>
      <c r="D821" s="88">
        <v>0</v>
      </c>
      <c r="E821" s="88">
        <v>186409.7</v>
      </c>
      <c r="F821" s="88">
        <v>0</v>
      </c>
      <c r="G821" s="866">
        <f t="shared" si="30"/>
        <v>186409.7</v>
      </c>
      <c r="H821" t="s">
        <v>2300</v>
      </c>
    </row>
    <row r="822" spans="1:8" hidden="1" outlineLevel="1">
      <c r="A822" s="867" t="s">
        <v>1885</v>
      </c>
      <c r="B822" s="406">
        <v>148790.89000000001</v>
      </c>
      <c r="C822" s="88">
        <v>0</v>
      </c>
      <c r="D822" s="88">
        <v>0</v>
      </c>
      <c r="E822" s="88">
        <v>148790.89000000001</v>
      </c>
      <c r="F822" s="88">
        <v>0</v>
      </c>
      <c r="G822" s="866">
        <f t="shared" si="30"/>
        <v>148790.89000000001</v>
      </c>
      <c r="H822" t="s">
        <v>1886</v>
      </c>
    </row>
    <row r="823" spans="1:8" hidden="1" outlineLevel="1">
      <c r="A823" s="867" t="s">
        <v>768</v>
      </c>
      <c r="B823" s="406">
        <v>65024.11</v>
      </c>
      <c r="C823" s="88">
        <v>0</v>
      </c>
      <c r="D823" s="88">
        <v>0</v>
      </c>
      <c r="E823" s="88">
        <v>65024.11</v>
      </c>
      <c r="F823" s="88">
        <v>247.99</v>
      </c>
      <c r="G823" s="866">
        <f t="shared" si="30"/>
        <v>65272.1</v>
      </c>
      <c r="H823" t="s">
        <v>2301</v>
      </c>
    </row>
    <row r="824" spans="1:8" hidden="1" outlineLevel="1">
      <c r="A824" s="867" t="s">
        <v>456</v>
      </c>
      <c r="B824" s="406">
        <v>307705.53999999998</v>
      </c>
      <c r="C824" s="88">
        <v>0</v>
      </c>
      <c r="D824" s="88">
        <v>0</v>
      </c>
      <c r="E824" s="88">
        <v>307705.53999999998</v>
      </c>
      <c r="F824" s="88">
        <v>-1562.72</v>
      </c>
      <c r="G824" s="866">
        <f t="shared" si="30"/>
        <v>306142.82</v>
      </c>
      <c r="H824" t="s">
        <v>457</v>
      </c>
    </row>
    <row r="825" spans="1:8" hidden="1" outlineLevel="1">
      <c r="A825" s="867" t="s">
        <v>2077</v>
      </c>
      <c r="B825" s="406">
        <v>38850.31</v>
      </c>
      <c r="C825" s="88">
        <v>0</v>
      </c>
      <c r="D825" s="88">
        <v>0</v>
      </c>
      <c r="E825" s="88">
        <v>38850.31</v>
      </c>
      <c r="F825" s="88">
        <v>210.91</v>
      </c>
      <c r="G825" s="866">
        <f t="shared" si="30"/>
        <v>39061.22</v>
      </c>
      <c r="H825" t="s">
        <v>2078</v>
      </c>
    </row>
    <row r="826" spans="1:8" hidden="1" outlineLevel="1">
      <c r="A826" s="867" t="s">
        <v>2302</v>
      </c>
      <c r="B826" s="406">
        <v>227032.29</v>
      </c>
      <c r="C826" s="88">
        <v>0</v>
      </c>
      <c r="D826" s="88">
        <v>0</v>
      </c>
      <c r="E826" s="88">
        <v>227032.29</v>
      </c>
      <c r="F826" s="88">
        <v>0</v>
      </c>
      <c r="G826" s="866">
        <f t="shared" si="30"/>
        <v>227032.29</v>
      </c>
      <c r="H826" t="s">
        <v>2303</v>
      </c>
    </row>
    <row r="827" spans="1:8" hidden="1" outlineLevel="1">
      <c r="A827" s="867" t="s">
        <v>2304</v>
      </c>
      <c r="B827" s="406">
        <v>14413.86</v>
      </c>
      <c r="C827" s="88">
        <v>0</v>
      </c>
      <c r="D827" s="88">
        <v>0</v>
      </c>
      <c r="E827" s="88">
        <v>14413.86</v>
      </c>
      <c r="F827" s="88">
        <v>0</v>
      </c>
      <c r="G827" s="866">
        <f t="shared" si="30"/>
        <v>14413.86</v>
      </c>
      <c r="H827" t="s">
        <v>2305</v>
      </c>
    </row>
    <row r="828" spans="1:8" hidden="1" outlineLevel="1">
      <c r="A828" s="867" t="s">
        <v>1887</v>
      </c>
      <c r="B828" s="406">
        <v>1427681.6</v>
      </c>
      <c r="C828" s="88">
        <v>0</v>
      </c>
      <c r="D828" s="88">
        <v>0</v>
      </c>
      <c r="E828" s="88">
        <v>1427681.6</v>
      </c>
      <c r="F828" s="88">
        <v>0</v>
      </c>
      <c r="G828" s="866">
        <f t="shared" si="30"/>
        <v>1427681.6</v>
      </c>
      <c r="H828" t="s">
        <v>1888</v>
      </c>
    </row>
    <row r="829" spans="1:8" hidden="1" outlineLevel="1">
      <c r="A829" s="867" t="s">
        <v>2306</v>
      </c>
      <c r="B829" s="406">
        <v>0</v>
      </c>
      <c r="C829" s="88">
        <v>0</v>
      </c>
      <c r="D829" s="88">
        <v>0</v>
      </c>
      <c r="E829" s="88">
        <v>0</v>
      </c>
      <c r="F829" s="88">
        <v>0</v>
      </c>
      <c r="G829" s="866">
        <f t="shared" si="30"/>
        <v>0</v>
      </c>
      <c r="H829" t="s">
        <v>2307</v>
      </c>
    </row>
    <row r="830" spans="1:8" hidden="1" outlineLevel="1">
      <c r="A830" s="867" t="s">
        <v>2308</v>
      </c>
      <c r="B830" s="406">
        <v>15679.89</v>
      </c>
      <c r="C830" s="88">
        <v>-34.770000000000003</v>
      </c>
      <c r="D830" s="88">
        <v>0</v>
      </c>
      <c r="E830" s="88">
        <v>15645.12</v>
      </c>
      <c r="F830" s="88">
        <v>0</v>
      </c>
      <c r="G830" s="866">
        <f t="shared" si="30"/>
        <v>15645.12</v>
      </c>
      <c r="H830" t="s">
        <v>2309</v>
      </c>
    </row>
    <row r="831" spans="1:8" hidden="1" outlineLevel="1">
      <c r="A831" s="867" t="s">
        <v>1889</v>
      </c>
      <c r="B831" s="406">
        <v>955849.96</v>
      </c>
      <c r="C831" s="88">
        <v>0</v>
      </c>
      <c r="D831" s="88">
        <v>0</v>
      </c>
      <c r="E831" s="88">
        <v>955849.96</v>
      </c>
      <c r="F831" s="88">
        <v>47433.43</v>
      </c>
      <c r="G831" s="866">
        <f t="shared" si="30"/>
        <v>1003283.39</v>
      </c>
      <c r="H831" t="s">
        <v>1890</v>
      </c>
    </row>
    <row r="832" spans="1:8" hidden="1" outlineLevel="1">
      <c r="A832" s="867" t="s">
        <v>2310</v>
      </c>
      <c r="B832" s="406">
        <v>44705.78</v>
      </c>
      <c r="C832" s="88">
        <v>0</v>
      </c>
      <c r="D832" s="88">
        <v>0</v>
      </c>
      <c r="E832" s="88">
        <v>44705.78</v>
      </c>
      <c r="F832" s="88">
        <v>0</v>
      </c>
      <c r="G832" s="866">
        <f t="shared" si="30"/>
        <v>44705.78</v>
      </c>
      <c r="H832" t="s">
        <v>2311</v>
      </c>
    </row>
    <row r="833" spans="1:8" hidden="1" outlineLevel="1">
      <c r="A833" s="867" t="s">
        <v>1891</v>
      </c>
      <c r="B833" s="406">
        <v>9671.44</v>
      </c>
      <c r="C833" s="88">
        <v>0</v>
      </c>
      <c r="D833" s="88">
        <v>0</v>
      </c>
      <c r="E833" s="88">
        <v>9671.44</v>
      </c>
      <c r="F833" s="88">
        <v>0</v>
      </c>
      <c r="G833" s="866">
        <f t="shared" si="30"/>
        <v>9671.44</v>
      </c>
      <c r="H833" t="s">
        <v>1892</v>
      </c>
    </row>
    <row r="834" spans="1:8" hidden="1" outlineLevel="1">
      <c r="A834" s="867" t="s">
        <v>951</v>
      </c>
      <c r="B834" s="406">
        <v>3725.62</v>
      </c>
      <c r="C834" s="88">
        <v>0</v>
      </c>
      <c r="D834" s="88">
        <v>0</v>
      </c>
      <c r="E834" s="88">
        <v>3725.62</v>
      </c>
      <c r="F834" s="88">
        <v>0</v>
      </c>
      <c r="G834" s="866">
        <f t="shared" si="30"/>
        <v>3725.62</v>
      </c>
      <c r="H834" t="s">
        <v>2312</v>
      </c>
    </row>
    <row r="835" spans="1:8" hidden="1" outlineLevel="1">
      <c r="A835" s="867" t="s">
        <v>1893</v>
      </c>
      <c r="B835" s="406">
        <v>12506483.15</v>
      </c>
      <c r="C835" s="88">
        <v>0</v>
      </c>
      <c r="D835" s="88">
        <v>0</v>
      </c>
      <c r="E835" s="88">
        <v>12506483.15</v>
      </c>
      <c r="F835" s="88">
        <v>166339.87</v>
      </c>
      <c r="G835" s="866">
        <f t="shared" si="30"/>
        <v>12672823.02</v>
      </c>
      <c r="H835" t="s">
        <v>1894</v>
      </c>
    </row>
    <row r="836" spans="1:8" hidden="1" outlineLevel="1">
      <c r="A836" s="867" t="s">
        <v>1895</v>
      </c>
      <c r="B836" s="406">
        <v>13478730.890000001</v>
      </c>
      <c r="C836" s="88">
        <v>-67207.100000000006</v>
      </c>
      <c r="D836" s="88">
        <v>0</v>
      </c>
      <c r="E836" s="88">
        <v>13411523.789999999</v>
      </c>
      <c r="F836" s="88">
        <v>-54766.04</v>
      </c>
      <c r="G836" s="866">
        <f t="shared" si="30"/>
        <v>13356757.75</v>
      </c>
      <c r="H836" t="s">
        <v>1896</v>
      </c>
    </row>
    <row r="837" spans="1:8" hidden="1" outlineLevel="1">
      <c r="A837" s="867" t="s">
        <v>1683</v>
      </c>
      <c r="B837" s="406">
        <v>1298595.6599999999</v>
      </c>
      <c r="C837" s="88">
        <v>0</v>
      </c>
      <c r="D837" s="88">
        <v>0</v>
      </c>
      <c r="E837" s="88">
        <v>1298595.6599999999</v>
      </c>
      <c r="F837" s="88">
        <v>-152.53</v>
      </c>
      <c r="G837" s="866">
        <f t="shared" si="30"/>
        <v>1298443.1299999999</v>
      </c>
      <c r="H837" t="s">
        <v>1684</v>
      </c>
    </row>
    <row r="838" spans="1:8" hidden="1" outlineLevel="1">
      <c r="A838" s="867" t="s">
        <v>1897</v>
      </c>
      <c r="B838" s="406">
        <v>249164.87</v>
      </c>
      <c r="C838" s="88">
        <v>0</v>
      </c>
      <c r="D838" s="88">
        <v>0</v>
      </c>
      <c r="E838" s="88">
        <v>249164.87</v>
      </c>
      <c r="F838" s="88">
        <v>0</v>
      </c>
      <c r="G838" s="866">
        <f t="shared" si="30"/>
        <v>249164.87</v>
      </c>
      <c r="H838" t="s">
        <v>1898</v>
      </c>
    </row>
    <row r="839" spans="1:8" hidden="1" outlineLevel="1">
      <c r="A839" s="867" t="s">
        <v>977</v>
      </c>
      <c r="B839" s="406">
        <v>130497734.51000001</v>
      </c>
      <c r="C839" s="88">
        <v>-1312653.3</v>
      </c>
      <c r="D839" s="88">
        <v>0</v>
      </c>
      <c r="E839" s="88">
        <v>129185081.20999999</v>
      </c>
      <c r="F839" s="88">
        <v>463281.41</v>
      </c>
      <c r="G839" s="866">
        <f t="shared" si="30"/>
        <v>129648362.61999999</v>
      </c>
      <c r="H839" t="s">
        <v>978</v>
      </c>
    </row>
    <row r="840" spans="1:8" hidden="1" outlineLevel="1">
      <c r="A840" s="867" t="s">
        <v>1899</v>
      </c>
      <c r="B840" s="406">
        <v>715047.47</v>
      </c>
      <c r="C840" s="88">
        <v>0</v>
      </c>
      <c r="D840" s="88">
        <v>0</v>
      </c>
      <c r="E840" s="88">
        <v>715047.47</v>
      </c>
      <c r="F840" s="88">
        <v>0</v>
      </c>
      <c r="G840" s="866">
        <f t="shared" si="30"/>
        <v>715047.47</v>
      </c>
      <c r="H840" t="s">
        <v>1900</v>
      </c>
    </row>
    <row r="841" spans="1:8" hidden="1" outlineLevel="1">
      <c r="A841" s="867" t="s">
        <v>1901</v>
      </c>
      <c r="B841" s="406">
        <v>871694.66</v>
      </c>
      <c r="C841" s="88">
        <v>0</v>
      </c>
      <c r="D841" s="88">
        <v>0</v>
      </c>
      <c r="E841" s="88">
        <v>871694.66</v>
      </c>
      <c r="F841" s="88">
        <v>-44.47</v>
      </c>
      <c r="G841" s="866">
        <f t="shared" si="30"/>
        <v>871650.19000000006</v>
      </c>
      <c r="H841" t="s">
        <v>1902</v>
      </c>
    </row>
    <row r="842" spans="1:8" hidden="1" outlineLevel="1">
      <c r="A842" s="867" t="s">
        <v>1903</v>
      </c>
      <c r="B842" s="406">
        <v>15139128.33</v>
      </c>
      <c r="C842" s="88">
        <v>-27627.41</v>
      </c>
      <c r="D842" s="88">
        <v>0</v>
      </c>
      <c r="E842" s="88">
        <v>15111500.92</v>
      </c>
      <c r="F842" s="88">
        <v>397.29</v>
      </c>
      <c r="G842" s="866">
        <f t="shared" si="30"/>
        <v>15111898.209999999</v>
      </c>
      <c r="H842" t="s">
        <v>1904</v>
      </c>
    </row>
    <row r="843" spans="1:8" hidden="1" outlineLevel="1">
      <c r="A843" s="867" t="s">
        <v>1905</v>
      </c>
      <c r="B843" s="406">
        <v>5079982.88</v>
      </c>
      <c r="C843" s="88">
        <v>0</v>
      </c>
      <c r="D843" s="88">
        <v>0</v>
      </c>
      <c r="E843" s="88">
        <v>5079982.88</v>
      </c>
      <c r="F843" s="88">
        <v>0</v>
      </c>
      <c r="G843" s="866">
        <f t="shared" si="30"/>
        <v>5079982.88</v>
      </c>
      <c r="H843" t="s">
        <v>1906</v>
      </c>
    </row>
    <row r="844" spans="1:8" hidden="1" outlineLevel="1">
      <c r="A844" s="867" t="s">
        <v>1907</v>
      </c>
      <c r="B844" s="406">
        <v>119677.64</v>
      </c>
      <c r="C844" s="88">
        <v>0</v>
      </c>
      <c r="D844" s="88">
        <v>0</v>
      </c>
      <c r="E844" s="88">
        <v>119677.64</v>
      </c>
      <c r="F844" s="88">
        <v>0</v>
      </c>
      <c r="G844" s="866">
        <f t="shared" si="30"/>
        <v>119677.64</v>
      </c>
      <c r="H844" t="s">
        <v>1908</v>
      </c>
    </row>
    <row r="845" spans="1:8" hidden="1" outlineLevel="1">
      <c r="A845" s="867" t="s">
        <v>2313</v>
      </c>
      <c r="B845" s="406">
        <v>816616.47</v>
      </c>
      <c r="C845" s="88">
        <v>0</v>
      </c>
      <c r="D845" s="88">
        <v>0</v>
      </c>
      <c r="E845" s="88">
        <v>816616.47</v>
      </c>
      <c r="F845" s="88">
        <v>0</v>
      </c>
      <c r="G845" s="866">
        <f t="shared" si="30"/>
        <v>816616.47</v>
      </c>
      <c r="H845" t="s">
        <v>2314</v>
      </c>
    </row>
    <row r="846" spans="1:8" hidden="1" outlineLevel="1">
      <c r="A846" s="867" t="s">
        <v>1909</v>
      </c>
      <c r="B846" s="406">
        <v>625206.01</v>
      </c>
      <c r="C846" s="88">
        <v>0</v>
      </c>
      <c r="D846" s="88">
        <v>0</v>
      </c>
      <c r="E846" s="88">
        <v>625206.01</v>
      </c>
      <c r="F846" s="88">
        <v>0</v>
      </c>
      <c r="G846" s="866">
        <f t="shared" si="30"/>
        <v>625206.01</v>
      </c>
      <c r="H846" t="s">
        <v>1910</v>
      </c>
    </row>
    <row r="847" spans="1:8" hidden="1" outlineLevel="1">
      <c r="A847" s="867" t="s">
        <v>1911</v>
      </c>
      <c r="B847" s="406">
        <v>1754028.5</v>
      </c>
      <c r="C847" s="88">
        <v>0</v>
      </c>
      <c r="D847" s="88">
        <v>0</v>
      </c>
      <c r="E847" s="88">
        <v>1754028.5</v>
      </c>
      <c r="F847" s="88">
        <v>-11232.74</v>
      </c>
      <c r="G847" s="866">
        <f t="shared" si="30"/>
        <v>1742795.76</v>
      </c>
      <c r="H847" t="s">
        <v>1912</v>
      </c>
    </row>
    <row r="848" spans="1:8" hidden="1" outlineLevel="1">
      <c r="A848" s="867" t="s">
        <v>1913</v>
      </c>
      <c r="B848" s="406">
        <v>1253633.04</v>
      </c>
      <c r="C848" s="88">
        <v>0</v>
      </c>
      <c r="D848" s="88">
        <v>0</v>
      </c>
      <c r="E848" s="88">
        <v>1253633.04</v>
      </c>
      <c r="F848" s="88">
        <v>-5424.73</v>
      </c>
      <c r="G848" s="866">
        <f t="shared" si="30"/>
        <v>1248208.31</v>
      </c>
      <c r="H848" t="s">
        <v>1914</v>
      </c>
    </row>
    <row r="849" spans="1:8" hidden="1" outlineLevel="1">
      <c r="A849" s="867" t="s">
        <v>1915</v>
      </c>
      <c r="B849" s="406">
        <v>3489895.72</v>
      </c>
      <c r="C849" s="88">
        <v>0</v>
      </c>
      <c r="D849" s="88">
        <v>0</v>
      </c>
      <c r="E849" s="88">
        <v>3489895.72</v>
      </c>
      <c r="F849" s="88">
        <v>-2520.77</v>
      </c>
      <c r="G849" s="866">
        <f t="shared" si="30"/>
        <v>3487374.95</v>
      </c>
      <c r="H849" t="s">
        <v>1916</v>
      </c>
    </row>
    <row r="850" spans="1:8" hidden="1" outlineLevel="1">
      <c r="A850" s="867" t="s">
        <v>1917</v>
      </c>
      <c r="B850" s="406">
        <v>728904.43</v>
      </c>
      <c r="C850" s="88">
        <v>0</v>
      </c>
      <c r="D850" s="88">
        <v>0</v>
      </c>
      <c r="E850" s="88">
        <v>728904.43</v>
      </c>
      <c r="F850" s="88">
        <v>4994.54</v>
      </c>
      <c r="G850" s="866">
        <f t="shared" si="30"/>
        <v>733898.97000000009</v>
      </c>
      <c r="H850" t="s">
        <v>1918</v>
      </c>
    </row>
    <row r="851" spans="1:8" hidden="1" outlineLevel="1">
      <c r="A851" s="867" t="s">
        <v>1919</v>
      </c>
      <c r="B851" s="406">
        <v>1719158.93</v>
      </c>
      <c r="C851" s="88">
        <v>0</v>
      </c>
      <c r="D851" s="88">
        <v>0</v>
      </c>
      <c r="E851" s="88">
        <v>1719158.93</v>
      </c>
      <c r="F851" s="88">
        <v>446521.99</v>
      </c>
      <c r="G851" s="866">
        <f t="shared" ref="G851:G914" si="31">E851+F851</f>
        <v>2165680.92</v>
      </c>
      <c r="H851" t="s">
        <v>1920</v>
      </c>
    </row>
    <row r="852" spans="1:8" hidden="1" outlineLevel="1">
      <c r="A852" s="867" t="s">
        <v>1921</v>
      </c>
      <c r="B852" s="406">
        <v>332988.64</v>
      </c>
      <c r="C852" s="88">
        <v>0</v>
      </c>
      <c r="D852" s="88">
        <v>0</v>
      </c>
      <c r="E852" s="88">
        <v>332988.64</v>
      </c>
      <c r="F852" s="88">
        <v>1232.77</v>
      </c>
      <c r="G852" s="866">
        <f t="shared" si="31"/>
        <v>334221.41000000003</v>
      </c>
      <c r="H852" t="s">
        <v>1922</v>
      </c>
    </row>
    <row r="853" spans="1:8" hidden="1" outlineLevel="1">
      <c r="A853" s="867" t="s">
        <v>1923</v>
      </c>
      <c r="B853" s="406">
        <v>162884.97</v>
      </c>
      <c r="C853" s="88">
        <v>0</v>
      </c>
      <c r="D853" s="88">
        <v>0</v>
      </c>
      <c r="E853" s="88">
        <v>162884.97</v>
      </c>
      <c r="F853" s="88">
        <v>559.57000000000005</v>
      </c>
      <c r="G853" s="866">
        <f t="shared" si="31"/>
        <v>163444.54</v>
      </c>
      <c r="H853" t="s">
        <v>1924</v>
      </c>
    </row>
    <row r="854" spans="1:8" hidden="1" outlineLevel="1">
      <c r="A854" s="867" t="s">
        <v>1925</v>
      </c>
      <c r="B854" s="406">
        <v>628304.57999999996</v>
      </c>
      <c r="C854" s="88">
        <v>0</v>
      </c>
      <c r="D854" s="88">
        <v>0</v>
      </c>
      <c r="E854" s="88">
        <v>628304.57999999996</v>
      </c>
      <c r="F854" s="88">
        <v>0</v>
      </c>
      <c r="G854" s="866">
        <f t="shared" si="31"/>
        <v>628304.57999999996</v>
      </c>
      <c r="H854" t="s">
        <v>1926</v>
      </c>
    </row>
    <row r="855" spans="1:8" hidden="1" outlineLevel="1">
      <c r="A855" s="867" t="s">
        <v>1927</v>
      </c>
      <c r="B855" s="406">
        <v>428296.41</v>
      </c>
      <c r="C855" s="88">
        <v>0</v>
      </c>
      <c r="D855" s="88">
        <v>0</v>
      </c>
      <c r="E855" s="88">
        <v>428296.41</v>
      </c>
      <c r="F855" s="88">
        <v>1852.4</v>
      </c>
      <c r="G855" s="866">
        <f t="shared" si="31"/>
        <v>430148.81</v>
      </c>
      <c r="H855" t="s">
        <v>1928</v>
      </c>
    </row>
    <row r="856" spans="1:8" hidden="1" outlineLevel="1">
      <c r="A856" s="867" t="s">
        <v>1929</v>
      </c>
      <c r="B856" s="406">
        <v>303495.18</v>
      </c>
      <c r="C856" s="88">
        <v>0</v>
      </c>
      <c r="D856" s="88">
        <v>0</v>
      </c>
      <c r="E856" s="88">
        <v>303495.18</v>
      </c>
      <c r="F856" s="88">
        <v>0</v>
      </c>
      <c r="G856" s="866">
        <f t="shared" si="31"/>
        <v>303495.18</v>
      </c>
      <c r="H856" t="s">
        <v>1930</v>
      </c>
    </row>
    <row r="857" spans="1:8" hidden="1" outlineLevel="1">
      <c r="A857" s="867" t="s">
        <v>1931</v>
      </c>
      <c r="B857" s="406">
        <v>1780770.52</v>
      </c>
      <c r="C857" s="88">
        <v>0</v>
      </c>
      <c r="D857" s="88">
        <v>0</v>
      </c>
      <c r="E857" s="88">
        <v>1780770.52</v>
      </c>
      <c r="F857" s="88">
        <v>0</v>
      </c>
      <c r="G857" s="866">
        <f t="shared" si="31"/>
        <v>1780770.52</v>
      </c>
      <c r="H857" t="s">
        <v>1932</v>
      </c>
    </row>
    <row r="858" spans="1:8" hidden="1" outlineLevel="1">
      <c r="A858" s="867" t="s">
        <v>1933</v>
      </c>
      <c r="B858" s="406">
        <v>1041954.89</v>
      </c>
      <c r="C858" s="88">
        <v>0</v>
      </c>
      <c r="D858" s="88">
        <v>0</v>
      </c>
      <c r="E858" s="88">
        <v>1041954.89</v>
      </c>
      <c r="F858" s="88">
        <v>0</v>
      </c>
      <c r="G858" s="866">
        <f t="shared" si="31"/>
        <v>1041954.89</v>
      </c>
      <c r="H858" t="s">
        <v>1934</v>
      </c>
    </row>
    <row r="859" spans="1:8" hidden="1" outlineLevel="1">
      <c r="A859" s="867" t="s">
        <v>1935</v>
      </c>
      <c r="B859" s="406">
        <v>1542381.53</v>
      </c>
      <c r="C859" s="88">
        <v>0</v>
      </c>
      <c r="D859" s="88">
        <v>0</v>
      </c>
      <c r="E859" s="88">
        <v>1542381.53</v>
      </c>
      <c r="F859" s="88">
        <v>112224.63</v>
      </c>
      <c r="G859" s="866">
        <f t="shared" si="31"/>
        <v>1654606.1600000001</v>
      </c>
      <c r="H859" t="s">
        <v>1936</v>
      </c>
    </row>
    <row r="860" spans="1:8" hidden="1" outlineLevel="1">
      <c r="A860" s="867" t="s">
        <v>1937</v>
      </c>
      <c r="B860" s="406">
        <v>985729.32</v>
      </c>
      <c r="C860" s="88">
        <v>0</v>
      </c>
      <c r="D860" s="88">
        <v>0</v>
      </c>
      <c r="E860" s="88">
        <v>985729.32</v>
      </c>
      <c r="F860" s="88">
        <v>845875.88</v>
      </c>
      <c r="G860" s="866">
        <f t="shared" si="31"/>
        <v>1831605.2</v>
      </c>
      <c r="H860" t="s">
        <v>1938</v>
      </c>
    </row>
    <row r="861" spans="1:8" hidden="1" outlineLevel="1">
      <c r="A861" s="867" t="s">
        <v>1939</v>
      </c>
      <c r="B861" s="406">
        <v>413178.87</v>
      </c>
      <c r="C861" s="88">
        <v>0</v>
      </c>
      <c r="D861" s="88">
        <v>0</v>
      </c>
      <c r="E861" s="88">
        <v>413178.87</v>
      </c>
      <c r="F861" s="88">
        <v>487.49</v>
      </c>
      <c r="G861" s="866">
        <f t="shared" si="31"/>
        <v>413666.36</v>
      </c>
      <c r="H861" t="s">
        <v>1940</v>
      </c>
    </row>
    <row r="862" spans="1:8" hidden="1" outlineLevel="1">
      <c r="A862" s="867" t="s">
        <v>1941</v>
      </c>
      <c r="B862" s="406">
        <v>1020481.91</v>
      </c>
      <c r="C862" s="88">
        <v>0</v>
      </c>
      <c r="D862" s="88">
        <v>0</v>
      </c>
      <c r="E862" s="88">
        <v>1020481.91</v>
      </c>
      <c r="F862" s="88">
        <v>0</v>
      </c>
      <c r="G862" s="866">
        <f t="shared" si="31"/>
        <v>1020481.91</v>
      </c>
      <c r="H862" t="s">
        <v>1942</v>
      </c>
    </row>
    <row r="863" spans="1:8" hidden="1" outlineLevel="1">
      <c r="A863" s="867" t="s">
        <v>1943</v>
      </c>
      <c r="B863" s="406">
        <v>1653604.95</v>
      </c>
      <c r="C863" s="88">
        <v>0</v>
      </c>
      <c r="D863" s="88">
        <v>0</v>
      </c>
      <c r="E863" s="88">
        <v>1653604.95</v>
      </c>
      <c r="F863" s="88">
        <v>-1156.52</v>
      </c>
      <c r="G863" s="866">
        <f t="shared" si="31"/>
        <v>1652448.43</v>
      </c>
      <c r="H863" t="s">
        <v>1944</v>
      </c>
    </row>
    <row r="864" spans="1:8" hidden="1" outlineLevel="1">
      <c r="A864" s="867" t="s">
        <v>1945</v>
      </c>
      <c r="B864" s="406">
        <v>1109612.08</v>
      </c>
      <c r="C864" s="88">
        <v>0</v>
      </c>
      <c r="D864" s="88">
        <v>0</v>
      </c>
      <c r="E864" s="88">
        <v>1109612.08</v>
      </c>
      <c r="F864" s="88">
        <v>1252.03</v>
      </c>
      <c r="G864" s="866">
        <f t="shared" si="31"/>
        <v>1110864.1100000001</v>
      </c>
      <c r="H864" t="s">
        <v>1946</v>
      </c>
    </row>
    <row r="865" spans="1:8" hidden="1" outlineLevel="1">
      <c r="A865" s="867" t="s">
        <v>1947</v>
      </c>
      <c r="B865" s="406">
        <v>281898.88</v>
      </c>
      <c r="C865" s="88">
        <v>0</v>
      </c>
      <c r="D865" s="88">
        <v>0</v>
      </c>
      <c r="E865" s="88">
        <v>281898.88</v>
      </c>
      <c r="F865" s="88">
        <v>196.9</v>
      </c>
      <c r="G865" s="866">
        <f t="shared" si="31"/>
        <v>282095.78000000003</v>
      </c>
      <c r="H865" t="s">
        <v>1948</v>
      </c>
    </row>
    <row r="866" spans="1:8" hidden="1" outlineLevel="1">
      <c r="A866" s="867" t="s">
        <v>1949</v>
      </c>
      <c r="B866" s="406">
        <v>905312.15</v>
      </c>
      <c r="C866" s="88">
        <v>0</v>
      </c>
      <c r="D866" s="88">
        <v>0</v>
      </c>
      <c r="E866" s="88">
        <v>905312.15</v>
      </c>
      <c r="F866" s="88">
        <v>0</v>
      </c>
      <c r="G866" s="866">
        <f t="shared" si="31"/>
        <v>905312.15</v>
      </c>
      <c r="H866" t="s">
        <v>1950</v>
      </c>
    </row>
    <row r="867" spans="1:8" hidden="1" outlineLevel="1">
      <c r="A867" s="867" t="s">
        <v>1951</v>
      </c>
      <c r="B867" s="406">
        <v>275268.42</v>
      </c>
      <c r="C867" s="88">
        <v>0</v>
      </c>
      <c r="D867" s="88">
        <v>0</v>
      </c>
      <c r="E867" s="88">
        <v>275268.42</v>
      </c>
      <c r="F867" s="88">
        <v>0</v>
      </c>
      <c r="G867" s="866">
        <f t="shared" si="31"/>
        <v>275268.42</v>
      </c>
      <c r="H867" t="s">
        <v>1952</v>
      </c>
    </row>
    <row r="868" spans="1:8" hidden="1" outlineLevel="1">
      <c r="A868" s="867" t="s">
        <v>1953</v>
      </c>
      <c r="B868" s="406">
        <v>1288893.25</v>
      </c>
      <c r="C868" s="88">
        <v>0</v>
      </c>
      <c r="D868" s="88">
        <v>0</v>
      </c>
      <c r="E868" s="88">
        <v>1288893.25</v>
      </c>
      <c r="F868" s="88">
        <v>2088.2800000000002</v>
      </c>
      <c r="G868" s="866">
        <f t="shared" si="31"/>
        <v>1290981.53</v>
      </c>
      <c r="H868" t="s">
        <v>1954</v>
      </c>
    </row>
    <row r="869" spans="1:8" hidden="1" outlineLevel="1">
      <c r="A869" s="867" t="s">
        <v>1955</v>
      </c>
      <c r="B869" s="406">
        <v>1008343.07</v>
      </c>
      <c r="C869" s="88">
        <v>0</v>
      </c>
      <c r="D869" s="88">
        <v>0</v>
      </c>
      <c r="E869" s="88">
        <v>1008343.07</v>
      </c>
      <c r="F869" s="88">
        <v>-2690.79</v>
      </c>
      <c r="G869" s="866">
        <f t="shared" si="31"/>
        <v>1005652.2799999999</v>
      </c>
      <c r="H869" t="s">
        <v>1956</v>
      </c>
    </row>
    <row r="870" spans="1:8" hidden="1" outlineLevel="1">
      <c r="A870" s="867" t="s">
        <v>1957</v>
      </c>
      <c r="B870" s="406">
        <v>754598.82</v>
      </c>
      <c r="C870" s="88">
        <v>0</v>
      </c>
      <c r="D870" s="88">
        <v>0</v>
      </c>
      <c r="E870" s="88">
        <v>754598.82</v>
      </c>
      <c r="F870" s="88">
        <v>-4967.76</v>
      </c>
      <c r="G870" s="866">
        <f t="shared" si="31"/>
        <v>749631.05999999994</v>
      </c>
      <c r="H870" t="s">
        <v>1958</v>
      </c>
    </row>
    <row r="871" spans="1:8" hidden="1" outlineLevel="1">
      <c r="A871" s="867" t="s">
        <v>1959</v>
      </c>
      <c r="B871" s="406">
        <v>215503.37</v>
      </c>
      <c r="C871" s="88">
        <v>0</v>
      </c>
      <c r="D871" s="88">
        <v>0</v>
      </c>
      <c r="E871" s="88">
        <v>215503.37</v>
      </c>
      <c r="F871" s="88">
        <v>0</v>
      </c>
      <c r="G871" s="866">
        <f t="shared" si="31"/>
        <v>215503.37</v>
      </c>
      <c r="H871" t="s">
        <v>1960</v>
      </c>
    </row>
    <row r="872" spans="1:8" hidden="1" outlineLevel="1">
      <c r="A872" s="867" t="s">
        <v>1961</v>
      </c>
      <c r="B872" s="406">
        <v>281564.52</v>
      </c>
      <c r="C872" s="88">
        <v>0</v>
      </c>
      <c r="D872" s="88">
        <v>0</v>
      </c>
      <c r="E872" s="88">
        <v>281564.52</v>
      </c>
      <c r="F872" s="88">
        <v>-121.91</v>
      </c>
      <c r="G872" s="866">
        <f t="shared" si="31"/>
        <v>281442.61000000004</v>
      </c>
      <c r="H872" t="s">
        <v>1962</v>
      </c>
    </row>
    <row r="873" spans="1:8" hidden="1" outlineLevel="1">
      <c r="A873" s="867" t="s">
        <v>1963</v>
      </c>
      <c r="B873" s="406">
        <v>6076293.8399999999</v>
      </c>
      <c r="C873" s="88">
        <v>0</v>
      </c>
      <c r="D873" s="88">
        <v>0</v>
      </c>
      <c r="E873" s="88">
        <v>6076293.8399999999</v>
      </c>
      <c r="F873" s="88">
        <v>-51553.19</v>
      </c>
      <c r="G873" s="866">
        <f t="shared" si="31"/>
        <v>6024740.6499999994</v>
      </c>
      <c r="H873" t="s">
        <v>1964</v>
      </c>
    </row>
    <row r="874" spans="1:8" hidden="1" outlineLevel="1">
      <c r="A874" s="867" t="s">
        <v>1965</v>
      </c>
      <c r="B874" s="406">
        <v>662072.15</v>
      </c>
      <c r="C874" s="88">
        <v>0</v>
      </c>
      <c r="D874" s="88">
        <v>0</v>
      </c>
      <c r="E874" s="88">
        <v>662072.15</v>
      </c>
      <c r="F874" s="88">
        <v>894.14</v>
      </c>
      <c r="G874" s="866">
        <f t="shared" si="31"/>
        <v>662966.29</v>
      </c>
      <c r="H874" t="s">
        <v>1966</v>
      </c>
    </row>
    <row r="875" spans="1:8" hidden="1" outlineLevel="1">
      <c r="A875" s="867" t="s">
        <v>1967</v>
      </c>
      <c r="B875" s="406">
        <v>9992283.6400000006</v>
      </c>
      <c r="C875" s="88">
        <v>0</v>
      </c>
      <c r="D875" s="88">
        <v>0</v>
      </c>
      <c r="E875" s="88">
        <v>9992283.6400000006</v>
      </c>
      <c r="F875" s="88">
        <v>-45632.26</v>
      </c>
      <c r="G875" s="866">
        <f t="shared" si="31"/>
        <v>9946651.3800000008</v>
      </c>
      <c r="H875" t="s">
        <v>1968</v>
      </c>
    </row>
    <row r="876" spans="1:8" hidden="1" outlineLevel="1">
      <c r="A876" s="867" t="s">
        <v>1969</v>
      </c>
      <c r="B876" s="406">
        <v>2099423.4900000002</v>
      </c>
      <c r="C876" s="88">
        <v>0</v>
      </c>
      <c r="D876" s="88">
        <v>0</v>
      </c>
      <c r="E876" s="88">
        <v>2099423.4900000002</v>
      </c>
      <c r="F876" s="88">
        <v>3382.62</v>
      </c>
      <c r="G876" s="866">
        <f t="shared" si="31"/>
        <v>2102806.1100000003</v>
      </c>
      <c r="H876" t="s">
        <v>1970</v>
      </c>
    </row>
    <row r="877" spans="1:8" hidden="1" outlineLevel="1">
      <c r="A877" s="867" t="s">
        <v>1971</v>
      </c>
      <c r="B877" s="406">
        <v>1132547.01</v>
      </c>
      <c r="C877" s="88">
        <v>0</v>
      </c>
      <c r="D877" s="88">
        <v>0</v>
      </c>
      <c r="E877" s="88">
        <v>1132547.01</v>
      </c>
      <c r="F877" s="88">
        <v>-1802.42</v>
      </c>
      <c r="G877" s="866">
        <f t="shared" si="31"/>
        <v>1130744.5900000001</v>
      </c>
      <c r="H877" t="s">
        <v>1972</v>
      </c>
    </row>
    <row r="878" spans="1:8" hidden="1" outlineLevel="1">
      <c r="A878" s="867" t="s">
        <v>1132</v>
      </c>
      <c r="B878" s="406">
        <v>2968777.84</v>
      </c>
      <c r="C878" s="88">
        <v>0</v>
      </c>
      <c r="D878" s="88">
        <v>0</v>
      </c>
      <c r="E878" s="88">
        <v>2968777.84</v>
      </c>
      <c r="F878" s="88">
        <v>0</v>
      </c>
      <c r="G878" s="866">
        <f t="shared" si="31"/>
        <v>2968777.84</v>
      </c>
      <c r="H878" t="s">
        <v>1133</v>
      </c>
    </row>
    <row r="879" spans="1:8" hidden="1" outlineLevel="1">
      <c r="A879" s="867" t="s">
        <v>1973</v>
      </c>
      <c r="B879" s="406">
        <v>300798.05</v>
      </c>
      <c r="C879" s="88">
        <v>0</v>
      </c>
      <c r="D879" s="88">
        <v>0</v>
      </c>
      <c r="E879" s="88">
        <v>300798.05</v>
      </c>
      <c r="F879" s="88">
        <v>21034.92</v>
      </c>
      <c r="G879" s="866">
        <f t="shared" si="31"/>
        <v>321832.96999999997</v>
      </c>
      <c r="H879" t="s">
        <v>1974</v>
      </c>
    </row>
    <row r="880" spans="1:8" hidden="1" outlineLevel="1">
      <c r="A880" s="867" t="s">
        <v>1975</v>
      </c>
      <c r="B880" s="406">
        <v>687438.65</v>
      </c>
      <c r="C880" s="88">
        <v>0</v>
      </c>
      <c r="D880" s="88">
        <v>0</v>
      </c>
      <c r="E880" s="88">
        <v>687438.65</v>
      </c>
      <c r="F880" s="88">
        <v>0</v>
      </c>
      <c r="G880" s="866">
        <f t="shared" si="31"/>
        <v>687438.65</v>
      </c>
      <c r="H880" t="s">
        <v>1976</v>
      </c>
    </row>
    <row r="881" spans="1:8" hidden="1" outlineLevel="1">
      <c r="A881" s="867" t="s">
        <v>1977</v>
      </c>
      <c r="B881" s="406">
        <v>921286.33</v>
      </c>
      <c r="C881" s="88">
        <v>0</v>
      </c>
      <c r="D881" s="88">
        <v>0</v>
      </c>
      <c r="E881" s="88">
        <v>921286.33</v>
      </c>
      <c r="F881" s="88">
        <v>0</v>
      </c>
      <c r="G881" s="866">
        <f t="shared" si="31"/>
        <v>921286.33</v>
      </c>
      <c r="H881" t="s">
        <v>1978</v>
      </c>
    </row>
    <row r="882" spans="1:8" hidden="1" outlineLevel="1">
      <c r="A882" s="867" t="s">
        <v>1979</v>
      </c>
      <c r="B882" s="406">
        <v>418553.39</v>
      </c>
      <c r="C882" s="88">
        <v>0</v>
      </c>
      <c r="D882" s="88">
        <v>0</v>
      </c>
      <c r="E882" s="88">
        <v>418553.39</v>
      </c>
      <c r="F882" s="88">
        <v>1294.69</v>
      </c>
      <c r="G882" s="866">
        <f t="shared" si="31"/>
        <v>419848.08</v>
      </c>
      <c r="H882" t="s">
        <v>1980</v>
      </c>
    </row>
    <row r="883" spans="1:8" hidden="1" outlineLevel="1">
      <c r="A883" s="867" t="s">
        <v>1981</v>
      </c>
      <c r="B883" s="406">
        <v>622931.62</v>
      </c>
      <c r="C883" s="88">
        <v>0</v>
      </c>
      <c r="D883" s="88">
        <v>0</v>
      </c>
      <c r="E883" s="88">
        <v>622931.62</v>
      </c>
      <c r="F883" s="88">
        <v>3687.1</v>
      </c>
      <c r="G883" s="866">
        <f t="shared" si="31"/>
        <v>626618.72</v>
      </c>
      <c r="H883" t="s">
        <v>1982</v>
      </c>
    </row>
    <row r="884" spans="1:8" hidden="1" outlineLevel="1">
      <c r="A884" s="867" t="s">
        <v>1983</v>
      </c>
      <c r="B884" s="406">
        <v>210878.42</v>
      </c>
      <c r="C884" s="88">
        <v>0</v>
      </c>
      <c r="D884" s="88">
        <v>0</v>
      </c>
      <c r="E884" s="88">
        <v>210878.42</v>
      </c>
      <c r="F884" s="88">
        <v>-726.48</v>
      </c>
      <c r="G884" s="866">
        <f t="shared" si="31"/>
        <v>210151.94</v>
      </c>
      <c r="H884" t="s">
        <v>1984</v>
      </c>
    </row>
    <row r="885" spans="1:8" hidden="1" outlineLevel="1">
      <c r="A885" s="867" t="s">
        <v>1985</v>
      </c>
      <c r="B885" s="406">
        <v>978322.03</v>
      </c>
      <c r="C885" s="88">
        <v>0</v>
      </c>
      <c r="D885" s="88">
        <v>0</v>
      </c>
      <c r="E885" s="88">
        <v>978322.03</v>
      </c>
      <c r="F885" s="88">
        <v>24068.26</v>
      </c>
      <c r="G885" s="866">
        <f t="shared" si="31"/>
        <v>1002390.29</v>
      </c>
      <c r="H885" t="s">
        <v>1986</v>
      </c>
    </row>
    <row r="886" spans="1:8" hidden="1" outlineLevel="1">
      <c r="A886" s="867" t="s">
        <v>1987</v>
      </c>
      <c r="B886" s="406">
        <v>448894.53</v>
      </c>
      <c r="C886" s="88">
        <v>0</v>
      </c>
      <c r="D886" s="88">
        <v>0</v>
      </c>
      <c r="E886" s="88">
        <v>448894.53</v>
      </c>
      <c r="F886" s="88">
        <v>0</v>
      </c>
      <c r="G886" s="866">
        <f t="shared" si="31"/>
        <v>448894.53</v>
      </c>
      <c r="H886" t="s">
        <v>1988</v>
      </c>
    </row>
    <row r="887" spans="1:8" hidden="1" outlineLevel="1">
      <c r="A887" s="867" t="s">
        <v>1989</v>
      </c>
      <c r="B887" s="406">
        <v>816285.73</v>
      </c>
      <c r="C887" s="88">
        <v>0</v>
      </c>
      <c r="D887" s="88">
        <v>0</v>
      </c>
      <c r="E887" s="88">
        <v>816285.73</v>
      </c>
      <c r="F887" s="88">
        <v>1370.86</v>
      </c>
      <c r="G887" s="866">
        <f t="shared" si="31"/>
        <v>817656.59</v>
      </c>
      <c r="H887" t="s">
        <v>1990</v>
      </c>
    </row>
    <row r="888" spans="1:8" hidden="1" outlineLevel="1">
      <c r="A888" s="867" t="s">
        <v>1991</v>
      </c>
      <c r="B888" s="406">
        <v>1200221.23</v>
      </c>
      <c r="C888" s="88">
        <v>0</v>
      </c>
      <c r="D888" s="88">
        <v>0</v>
      </c>
      <c r="E888" s="88">
        <v>1200221.23</v>
      </c>
      <c r="F888" s="88">
        <v>16451.04</v>
      </c>
      <c r="G888" s="866">
        <f t="shared" si="31"/>
        <v>1216672.27</v>
      </c>
      <c r="H888" t="s">
        <v>1992</v>
      </c>
    </row>
    <row r="889" spans="1:8" hidden="1" outlineLevel="1">
      <c r="A889" s="867" t="s">
        <v>1993</v>
      </c>
      <c r="B889" s="406">
        <v>879718.89</v>
      </c>
      <c r="C889" s="88">
        <v>0</v>
      </c>
      <c r="D889" s="88">
        <v>0</v>
      </c>
      <c r="E889" s="88">
        <v>879718.89</v>
      </c>
      <c r="F889" s="88">
        <v>210762.98</v>
      </c>
      <c r="G889" s="866">
        <f t="shared" si="31"/>
        <v>1090481.8700000001</v>
      </c>
      <c r="H889" t="s">
        <v>1994</v>
      </c>
    </row>
    <row r="890" spans="1:8" hidden="1" outlineLevel="1">
      <c r="A890" s="867" t="s">
        <v>1995</v>
      </c>
      <c r="B890" s="406">
        <v>800885.61</v>
      </c>
      <c r="C890" s="88">
        <v>0</v>
      </c>
      <c r="D890" s="88">
        <v>0</v>
      </c>
      <c r="E890" s="88">
        <v>800885.61</v>
      </c>
      <c r="F890" s="88">
        <v>-285927.34000000003</v>
      </c>
      <c r="G890" s="866">
        <f t="shared" si="31"/>
        <v>514958.26999999996</v>
      </c>
      <c r="H890" t="s">
        <v>1996</v>
      </c>
    </row>
    <row r="891" spans="1:8" hidden="1" outlineLevel="1">
      <c r="A891" s="867" t="s">
        <v>2315</v>
      </c>
      <c r="B891" s="406">
        <v>1537158.98</v>
      </c>
      <c r="C891" s="88">
        <v>0</v>
      </c>
      <c r="D891" s="88">
        <v>0</v>
      </c>
      <c r="E891" s="88">
        <v>1537158.98</v>
      </c>
      <c r="F891" s="88">
        <v>0</v>
      </c>
      <c r="G891" s="866">
        <f t="shared" si="31"/>
        <v>1537158.98</v>
      </c>
      <c r="H891" t="s">
        <v>2316</v>
      </c>
    </row>
    <row r="892" spans="1:8" hidden="1" outlineLevel="1">
      <c r="A892" s="867" t="s">
        <v>1154</v>
      </c>
      <c r="B892" s="406">
        <v>2018973.25</v>
      </c>
      <c r="C892" s="88">
        <v>0</v>
      </c>
      <c r="D892" s="88">
        <v>30035.35</v>
      </c>
      <c r="E892" s="88">
        <v>2049008.6</v>
      </c>
      <c r="F892" s="88">
        <v>18016.89</v>
      </c>
      <c r="G892" s="866">
        <f t="shared" si="31"/>
        <v>2067025.49</v>
      </c>
      <c r="H892" t="s">
        <v>1155</v>
      </c>
    </row>
    <row r="893" spans="1:8" hidden="1" outlineLevel="1">
      <c r="A893" s="867" t="s">
        <v>1997</v>
      </c>
      <c r="B893" s="406">
        <v>581570.72</v>
      </c>
      <c r="C893" s="88">
        <v>0</v>
      </c>
      <c r="D893" s="88">
        <v>7604.24</v>
      </c>
      <c r="E893" s="88">
        <v>589174.96</v>
      </c>
      <c r="F893" s="88">
        <v>0</v>
      </c>
      <c r="G893" s="866">
        <f t="shared" si="31"/>
        <v>589174.96</v>
      </c>
      <c r="H893" t="s">
        <v>1998</v>
      </c>
    </row>
    <row r="894" spans="1:8" hidden="1" outlineLevel="1">
      <c r="A894" s="867" t="s">
        <v>1999</v>
      </c>
      <c r="B894" s="406">
        <v>1735638.73</v>
      </c>
      <c r="C894" s="88">
        <v>0</v>
      </c>
      <c r="D894" s="88">
        <v>0</v>
      </c>
      <c r="E894" s="88">
        <v>1735638.73</v>
      </c>
      <c r="F894" s="88">
        <v>0</v>
      </c>
      <c r="G894" s="866">
        <f t="shared" si="31"/>
        <v>1735638.73</v>
      </c>
      <c r="H894" t="s">
        <v>2000</v>
      </c>
    </row>
    <row r="895" spans="1:8" hidden="1" outlineLevel="1">
      <c r="A895" s="867" t="s">
        <v>2001</v>
      </c>
      <c r="B895" s="406">
        <v>402035.68</v>
      </c>
      <c r="C895" s="88">
        <v>0</v>
      </c>
      <c r="D895" s="88">
        <v>0</v>
      </c>
      <c r="E895" s="88">
        <v>402035.68</v>
      </c>
      <c r="F895" s="88">
        <v>0</v>
      </c>
      <c r="G895" s="866">
        <f t="shared" si="31"/>
        <v>402035.68</v>
      </c>
      <c r="H895" t="s">
        <v>2002</v>
      </c>
    </row>
    <row r="896" spans="1:8" hidden="1" outlineLevel="1">
      <c r="A896" s="867" t="s">
        <v>2003</v>
      </c>
      <c r="B896" s="406">
        <v>3540332.3</v>
      </c>
      <c r="C896" s="88">
        <v>0</v>
      </c>
      <c r="D896" s="88">
        <v>0</v>
      </c>
      <c r="E896" s="88">
        <v>3540332.3</v>
      </c>
      <c r="F896" s="88">
        <v>-48511.12</v>
      </c>
      <c r="G896" s="866">
        <f t="shared" si="31"/>
        <v>3491821.1799999997</v>
      </c>
      <c r="H896" t="s">
        <v>2004</v>
      </c>
    </row>
    <row r="897" spans="1:8" hidden="1" outlineLevel="1">
      <c r="A897" s="867" t="s">
        <v>2005</v>
      </c>
      <c r="B897" s="406">
        <v>1714970.5</v>
      </c>
      <c r="C897" s="88">
        <v>0</v>
      </c>
      <c r="D897" s="88">
        <v>0</v>
      </c>
      <c r="E897" s="88">
        <v>1714970.5</v>
      </c>
      <c r="F897" s="88">
        <v>3500.34</v>
      </c>
      <c r="G897" s="866">
        <f t="shared" si="31"/>
        <v>1718470.84</v>
      </c>
      <c r="H897" t="s">
        <v>2006</v>
      </c>
    </row>
    <row r="898" spans="1:8" hidden="1" outlineLevel="1">
      <c r="A898" s="867" t="s">
        <v>911</v>
      </c>
      <c r="B898" s="406">
        <v>6683228.0999999996</v>
      </c>
      <c r="C898" s="88">
        <v>0</v>
      </c>
      <c r="D898" s="88">
        <v>0</v>
      </c>
      <c r="E898" s="88">
        <v>6683228.0999999996</v>
      </c>
      <c r="F898" s="88">
        <v>0</v>
      </c>
      <c r="G898" s="866">
        <f t="shared" si="31"/>
        <v>6683228.0999999996</v>
      </c>
      <c r="H898" t="s">
        <v>912</v>
      </c>
    </row>
    <row r="899" spans="1:8" hidden="1" outlineLevel="1">
      <c r="A899" s="867" t="s">
        <v>2007</v>
      </c>
      <c r="B899" s="406">
        <v>807420.37</v>
      </c>
      <c r="C899" s="88">
        <v>0</v>
      </c>
      <c r="D899" s="88">
        <v>0</v>
      </c>
      <c r="E899" s="88">
        <v>807420.37</v>
      </c>
      <c r="F899" s="88">
        <v>0</v>
      </c>
      <c r="G899" s="866">
        <f t="shared" si="31"/>
        <v>807420.37</v>
      </c>
      <c r="H899" t="s">
        <v>2008</v>
      </c>
    </row>
    <row r="900" spans="1:8" hidden="1" outlineLevel="1">
      <c r="A900" s="867" t="s">
        <v>2009</v>
      </c>
      <c r="B900" s="406">
        <v>2786179.91</v>
      </c>
      <c r="C900" s="88">
        <v>0</v>
      </c>
      <c r="D900" s="88">
        <v>0</v>
      </c>
      <c r="E900" s="88">
        <v>2786179.91</v>
      </c>
      <c r="F900" s="88">
        <v>9031.76</v>
      </c>
      <c r="G900" s="866">
        <f t="shared" si="31"/>
        <v>2795211.67</v>
      </c>
      <c r="H900" t="s">
        <v>2010</v>
      </c>
    </row>
    <row r="901" spans="1:8" hidden="1" outlineLevel="1">
      <c r="A901" s="867" t="s">
        <v>2011</v>
      </c>
      <c r="B901" s="406">
        <v>724696.98</v>
      </c>
      <c r="C901" s="88">
        <v>0</v>
      </c>
      <c r="D901" s="88">
        <v>0</v>
      </c>
      <c r="E901" s="88">
        <v>724696.98</v>
      </c>
      <c r="F901" s="88">
        <v>0</v>
      </c>
      <c r="G901" s="866">
        <f t="shared" si="31"/>
        <v>724696.98</v>
      </c>
      <c r="H901" t="s">
        <v>2012</v>
      </c>
    </row>
    <row r="902" spans="1:8" hidden="1" outlineLevel="1">
      <c r="A902" s="867" t="s">
        <v>2013</v>
      </c>
      <c r="B902" s="406">
        <v>746240.65</v>
      </c>
      <c r="C902" s="88">
        <v>0</v>
      </c>
      <c r="D902" s="88">
        <v>0</v>
      </c>
      <c r="E902" s="88">
        <v>746240.65</v>
      </c>
      <c r="F902" s="88">
        <v>0</v>
      </c>
      <c r="G902" s="866">
        <f t="shared" si="31"/>
        <v>746240.65</v>
      </c>
      <c r="H902" t="s">
        <v>2014</v>
      </c>
    </row>
    <row r="903" spans="1:8" hidden="1" outlineLevel="1">
      <c r="A903" s="867" t="s">
        <v>2015</v>
      </c>
      <c r="B903" s="406">
        <v>481835.03</v>
      </c>
      <c r="C903" s="88">
        <v>0</v>
      </c>
      <c r="D903" s="88">
        <v>0</v>
      </c>
      <c r="E903" s="88">
        <v>481835.03</v>
      </c>
      <c r="F903" s="88">
        <v>3445.34</v>
      </c>
      <c r="G903" s="866">
        <f t="shared" si="31"/>
        <v>485280.37000000005</v>
      </c>
      <c r="H903" t="s">
        <v>2016</v>
      </c>
    </row>
    <row r="904" spans="1:8" hidden="1" outlineLevel="1">
      <c r="A904" s="867" t="s">
        <v>2017</v>
      </c>
      <c r="B904" s="406">
        <v>470360.74</v>
      </c>
      <c r="C904" s="88">
        <v>0</v>
      </c>
      <c r="D904" s="88">
        <v>0</v>
      </c>
      <c r="E904" s="88">
        <v>470360.74</v>
      </c>
      <c r="F904" s="88">
        <v>0</v>
      </c>
      <c r="G904" s="866">
        <f t="shared" si="31"/>
        <v>470360.74</v>
      </c>
      <c r="H904" t="s">
        <v>2018</v>
      </c>
    </row>
    <row r="905" spans="1:8" hidden="1" outlineLevel="1">
      <c r="A905" s="867" t="s">
        <v>2019</v>
      </c>
      <c r="B905" s="406">
        <v>1432383.41</v>
      </c>
      <c r="C905" s="88">
        <v>0</v>
      </c>
      <c r="D905" s="88">
        <v>0</v>
      </c>
      <c r="E905" s="88">
        <v>1432383.41</v>
      </c>
      <c r="F905" s="88">
        <v>-6733.55</v>
      </c>
      <c r="G905" s="866">
        <f t="shared" si="31"/>
        <v>1425649.8599999999</v>
      </c>
      <c r="H905" t="s">
        <v>2020</v>
      </c>
    </row>
    <row r="906" spans="1:8" hidden="1" outlineLevel="1">
      <c r="A906" s="867" t="s">
        <v>1314</v>
      </c>
      <c r="B906" s="406">
        <v>1060531.94</v>
      </c>
      <c r="C906" s="88">
        <v>0</v>
      </c>
      <c r="D906" s="88">
        <v>0</v>
      </c>
      <c r="E906" s="88">
        <v>1060531.94</v>
      </c>
      <c r="F906" s="88">
        <v>14181.01</v>
      </c>
      <c r="G906" s="866">
        <f t="shared" si="31"/>
        <v>1074712.95</v>
      </c>
      <c r="H906" t="s">
        <v>1315</v>
      </c>
    </row>
    <row r="907" spans="1:8" hidden="1" outlineLevel="1">
      <c r="A907" s="867" t="s">
        <v>2021</v>
      </c>
      <c r="B907" s="406">
        <v>759349.84</v>
      </c>
      <c r="C907" s="88">
        <v>0</v>
      </c>
      <c r="D907" s="88">
        <v>0</v>
      </c>
      <c r="E907" s="88">
        <v>759349.84</v>
      </c>
      <c r="F907" s="88">
        <v>-11725.84</v>
      </c>
      <c r="G907" s="866">
        <f t="shared" si="31"/>
        <v>747624</v>
      </c>
      <c r="H907" t="s">
        <v>2022</v>
      </c>
    </row>
    <row r="908" spans="1:8" hidden="1" outlineLevel="1">
      <c r="A908" s="867" t="s">
        <v>2023</v>
      </c>
      <c r="B908" s="406">
        <v>832328.55</v>
      </c>
      <c r="C908" s="88">
        <v>0</v>
      </c>
      <c r="D908" s="88">
        <v>0</v>
      </c>
      <c r="E908" s="88">
        <v>832328.55</v>
      </c>
      <c r="F908" s="88">
        <v>3772.45</v>
      </c>
      <c r="G908" s="866">
        <f t="shared" si="31"/>
        <v>836101</v>
      </c>
      <c r="H908" t="s">
        <v>2024</v>
      </c>
    </row>
    <row r="909" spans="1:8" hidden="1" outlineLevel="1">
      <c r="A909" s="867" t="s">
        <v>2025</v>
      </c>
      <c r="B909" s="406">
        <v>299329.14</v>
      </c>
      <c r="C909" s="88">
        <v>0</v>
      </c>
      <c r="D909" s="88">
        <v>0</v>
      </c>
      <c r="E909" s="88">
        <v>299329.14</v>
      </c>
      <c r="F909" s="88">
        <v>0</v>
      </c>
      <c r="G909" s="866">
        <f t="shared" si="31"/>
        <v>299329.14</v>
      </c>
      <c r="H909" t="s">
        <v>2026</v>
      </c>
    </row>
    <row r="910" spans="1:8" hidden="1" outlineLevel="1">
      <c r="A910" s="867" t="s">
        <v>2027</v>
      </c>
      <c r="B910" s="406">
        <v>22523337.789999999</v>
      </c>
      <c r="C910" s="88">
        <v>0</v>
      </c>
      <c r="D910" s="88">
        <v>0</v>
      </c>
      <c r="E910" s="88">
        <v>22523337.789999999</v>
      </c>
      <c r="F910" s="88">
        <v>17860.939999999999</v>
      </c>
      <c r="G910" s="866">
        <f t="shared" si="31"/>
        <v>22541198.73</v>
      </c>
      <c r="H910" t="s">
        <v>2028</v>
      </c>
    </row>
    <row r="911" spans="1:8" hidden="1" outlineLevel="1">
      <c r="A911" s="867" t="s">
        <v>2029</v>
      </c>
      <c r="B911" s="406">
        <v>1107699.9099999999</v>
      </c>
      <c r="C911" s="88">
        <v>0</v>
      </c>
      <c r="D911" s="88">
        <v>0</v>
      </c>
      <c r="E911" s="88">
        <v>1107699.9099999999</v>
      </c>
      <c r="F911" s="88">
        <v>4515.58</v>
      </c>
      <c r="G911" s="866">
        <f t="shared" si="31"/>
        <v>1112215.49</v>
      </c>
      <c r="H911" t="s">
        <v>2030</v>
      </c>
    </row>
    <row r="912" spans="1:8" hidden="1" outlineLevel="1">
      <c r="A912" s="867" t="s">
        <v>2031</v>
      </c>
      <c r="B912" s="406">
        <v>4554246.45</v>
      </c>
      <c r="C912" s="88">
        <v>0</v>
      </c>
      <c r="D912" s="88">
        <v>0</v>
      </c>
      <c r="E912" s="88">
        <v>4554246.45</v>
      </c>
      <c r="F912" s="88">
        <v>-15457.47</v>
      </c>
      <c r="G912" s="866">
        <f t="shared" si="31"/>
        <v>4538788.9800000004</v>
      </c>
      <c r="H912" t="s">
        <v>2032</v>
      </c>
    </row>
    <row r="913" spans="1:8" hidden="1" outlineLevel="1">
      <c r="A913" s="867" t="s">
        <v>819</v>
      </c>
      <c r="B913" s="406">
        <v>2282019.5</v>
      </c>
      <c r="C913" s="88">
        <v>0</v>
      </c>
      <c r="D913" s="88">
        <v>0</v>
      </c>
      <c r="E913" s="88">
        <v>2282019.5</v>
      </c>
      <c r="F913" s="88">
        <v>17187.740000000002</v>
      </c>
      <c r="G913" s="866">
        <f t="shared" si="31"/>
        <v>2299207.2400000002</v>
      </c>
      <c r="H913" t="s">
        <v>820</v>
      </c>
    </row>
    <row r="914" spans="1:8" hidden="1" outlineLevel="1">
      <c r="A914" s="867" t="s">
        <v>2033</v>
      </c>
      <c r="B914" s="406">
        <v>34832.89</v>
      </c>
      <c r="C914" s="88">
        <v>0</v>
      </c>
      <c r="D914" s="88">
        <v>0</v>
      </c>
      <c r="E914" s="88">
        <v>34832.89</v>
      </c>
      <c r="F914" s="88">
        <v>0</v>
      </c>
      <c r="G914" s="866">
        <f t="shared" si="31"/>
        <v>34832.89</v>
      </c>
      <c r="H914" t="s">
        <v>2034</v>
      </c>
    </row>
    <row r="915" spans="1:8" hidden="1" outlineLevel="1">
      <c r="A915" s="867" t="s">
        <v>1202</v>
      </c>
      <c r="B915" s="406">
        <v>1681499.33</v>
      </c>
      <c r="C915" s="88">
        <v>0</v>
      </c>
      <c r="D915" s="88">
        <v>0</v>
      </c>
      <c r="E915" s="88">
        <v>1681499.33</v>
      </c>
      <c r="F915" s="88">
        <v>0</v>
      </c>
      <c r="G915" s="866">
        <f t="shared" ref="G915:G923" si="32">E915+F915</f>
        <v>1681499.33</v>
      </c>
      <c r="H915" t="s">
        <v>1203</v>
      </c>
    </row>
    <row r="916" spans="1:8" hidden="1" outlineLevel="1">
      <c r="A916" s="867" t="s">
        <v>2035</v>
      </c>
      <c r="B916" s="406">
        <v>9142571.6300000008</v>
      </c>
      <c r="C916" s="88">
        <v>-7916015.2800000003</v>
      </c>
      <c r="D916" s="88">
        <v>0</v>
      </c>
      <c r="E916" s="88">
        <v>1226556.3500000001</v>
      </c>
      <c r="F916" s="88">
        <v>-520730.43</v>
      </c>
      <c r="G916" s="866">
        <f t="shared" si="32"/>
        <v>705825.92000000016</v>
      </c>
      <c r="H916" t="s">
        <v>2036</v>
      </c>
    </row>
    <row r="917" spans="1:8" hidden="1" outlineLevel="1">
      <c r="A917" s="867" t="s">
        <v>2037</v>
      </c>
      <c r="B917" s="406">
        <v>2603817.2999999998</v>
      </c>
      <c r="C917" s="88">
        <v>0</v>
      </c>
      <c r="D917" s="88">
        <v>0</v>
      </c>
      <c r="E917" s="88">
        <v>2603817.2999999998</v>
      </c>
      <c r="F917" s="88">
        <v>47461.31</v>
      </c>
      <c r="G917" s="866">
        <f t="shared" si="32"/>
        <v>2651278.61</v>
      </c>
      <c r="H917" t="s">
        <v>2038</v>
      </c>
    </row>
    <row r="918" spans="1:8" hidden="1" outlineLevel="1">
      <c r="A918" s="867" t="s">
        <v>2039</v>
      </c>
      <c r="B918" s="406">
        <v>238471.63</v>
      </c>
      <c r="C918" s="88">
        <v>0</v>
      </c>
      <c r="D918" s="88">
        <v>0</v>
      </c>
      <c r="E918" s="88">
        <v>238471.63</v>
      </c>
      <c r="F918" s="88">
        <v>0</v>
      </c>
      <c r="G918" s="866">
        <f t="shared" si="32"/>
        <v>238471.63</v>
      </c>
      <c r="H918" t="s">
        <v>2040</v>
      </c>
    </row>
    <row r="919" spans="1:8" hidden="1" outlineLevel="1">
      <c r="A919" s="867" t="s">
        <v>2041</v>
      </c>
      <c r="B919" s="406">
        <v>12494054.84</v>
      </c>
      <c r="C919" s="88">
        <v>0</v>
      </c>
      <c r="D919" s="88">
        <v>0</v>
      </c>
      <c r="E919" s="88">
        <v>12494054.84</v>
      </c>
      <c r="F919" s="88">
        <v>-121227.72</v>
      </c>
      <c r="G919" s="866">
        <f t="shared" si="32"/>
        <v>12372827.119999999</v>
      </c>
      <c r="H919" t="s">
        <v>2042</v>
      </c>
    </row>
    <row r="920" spans="1:8" hidden="1" outlineLevel="1">
      <c r="A920" s="867" t="s">
        <v>2317</v>
      </c>
      <c r="B920" s="406">
        <v>34974.07</v>
      </c>
      <c r="C920" s="88">
        <v>0</v>
      </c>
      <c r="D920" s="88">
        <v>0</v>
      </c>
      <c r="E920" s="88">
        <v>34974.07</v>
      </c>
      <c r="F920" s="88">
        <v>0</v>
      </c>
      <c r="G920" s="866">
        <f t="shared" si="32"/>
        <v>34974.07</v>
      </c>
      <c r="H920" t="s">
        <v>2318</v>
      </c>
    </row>
    <row r="921" spans="1:8" hidden="1" outlineLevel="1">
      <c r="A921" s="867" t="s">
        <v>2043</v>
      </c>
      <c r="B921" s="406">
        <v>343440.01</v>
      </c>
      <c r="C921" s="88">
        <v>0</v>
      </c>
      <c r="D921" s="88">
        <v>0</v>
      </c>
      <c r="E921" s="88">
        <v>343440.01</v>
      </c>
      <c r="F921" s="88">
        <v>0</v>
      </c>
      <c r="G921" s="866">
        <f t="shared" si="32"/>
        <v>343440.01</v>
      </c>
      <c r="H921" t="s">
        <v>2044</v>
      </c>
    </row>
    <row r="922" spans="1:8" hidden="1" outlineLevel="1">
      <c r="A922" s="867" t="s">
        <v>2045</v>
      </c>
      <c r="B922" s="406">
        <v>34956.839999999997</v>
      </c>
      <c r="C922" s="88">
        <v>0</v>
      </c>
      <c r="D922" s="88">
        <v>0</v>
      </c>
      <c r="E922" s="88">
        <v>34956.839999999997</v>
      </c>
      <c r="F922" s="88">
        <v>0.79</v>
      </c>
      <c r="G922" s="866">
        <f t="shared" si="32"/>
        <v>34957.629999999997</v>
      </c>
      <c r="H922" t="s">
        <v>2046</v>
      </c>
    </row>
    <row r="923" spans="1:8" hidden="1" outlineLevel="1">
      <c r="A923" s="867"/>
      <c r="B923" s="406"/>
      <c r="C923" s="88"/>
      <c r="D923" s="88"/>
      <c r="E923" s="88"/>
      <c r="F923" s="88"/>
      <c r="G923" s="866">
        <f t="shared" si="32"/>
        <v>0</v>
      </c>
    </row>
    <row r="924" spans="1:8" ht="13.5" collapsed="1" thickBot="1">
      <c r="A924" s="861" t="s">
        <v>2047</v>
      </c>
      <c r="B924" s="868">
        <f t="shared" ref="B924:G924" si="33">B8+B180+B415+B785</f>
        <v>2579857260.3932323</v>
      </c>
      <c r="C924" s="869">
        <f t="shared" si="33"/>
        <v>-86642250.266239986</v>
      </c>
      <c r="D924" s="869">
        <f t="shared" si="33"/>
        <v>51066.7</v>
      </c>
      <c r="E924" s="869">
        <f t="shared" si="33"/>
        <v>2493266076.8269925</v>
      </c>
      <c r="F924" s="869">
        <f t="shared" si="33"/>
        <v>4221485.301834479</v>
      </c>
      <c r="G924" s="870">
        <f t="shared" si="33"/>
        <v>2497487562.1288271</v>
      </c>
    </row>
    <row r="926" spans="1:8">
      <c r="A926" s="1733" t="s">
        <v>2478</v>
      </c>
      <c r="B926" s="89"/>
      <c r="C926" s="89"/>
      <c r="D926" s="89"/>
    </row>
    <row r="927" spans="1:8" ht="13.5" thickBot="1">
      <c r="B927" s="89"/>
      <c r="C927" s="89"/>
      <c r="D927" s="89"/>
    </row>
    <row r="928" spans="1:8" ht="70.5" customHeight="1">
      <c r="A928" s="847"/>
      <c r="B928" s="836" t="s">
        <v>2479</v>
      </c>
      <c r="C928" s="848" t="s">
        <v>2456</v>
      </c>
      <c r="D928" s="849" t="s">
        <v>2457</v>
      </c>
    </row>
    <row r="929" spans="1:8" s="8" customFormat="1" ht="13.5" thickBot="1">
      <c r="A929" s="850"/>
      <c r="B929" s="526" t="s">
        <v>454</v>
      </c>
      <c r="C929" s="528" t="s">
        <v>454</v>
      </c>
      <c r="D929" s="813" t="s">
        <v>454</v>
      </c>
      <c r="E929" s="18"/>
      <c r="F929" s="18"/>
      <c r="G929" s="18"/>
      <c r="H929" s="18"/>
    </row>
    <row r="930" spans="1:8">
      <c r="A930" s="851" t="str">
        <f>'Anlage 3a_Zusammenfassung_KWKG'!A2667</f>
        <v>Regelzone 50Hertz (gesamt)</v>
      </c>
      <c r="B930" s="1722">
        <f>SUM(B931:B1101)</f>
        <v>68192599533</v>
      </c>
      <c r="C930" s="1722">
        <f>SUM(C931:C1101)</f>
        <v>319679737</v>
      </c>
      <c r="D930" s="852">
        <f>SUM(B930:C930)</f>
        <v>68512279270</v>
      </c>
    </row>
    <row r="931" spans="1:8" hidden="1" outlineLevel="2">
      <c r="A931" s="853" t="str">
        <f>+'Anlage 3a_Zusammenfassung_KWKG'!A2668</f>
        <v>SNB982046657236</v>
      </c>
      <c r="B931" s="754">
        <f>+'Anlage 3a_Zusammenfassung_KWKG'!B2668</f>
        <v>4817489645</v>
      </c>
      <c r="C931" s="1723">
        <f>+'Anlage 3a_Zusammenfassung_KWKG'!C2668</f>
        <v>-108286012</v>
      </c>
      <c r="D931" s="854">
        <f t="shared" ref="D931:D994" si="34">SUM(B931:C931)</f>
        <v>4709203633</v>
      </c>
    </row>
    <row r="932" spans="1:8" hidden="1" outlineLevel="2">
      <c r="A932" s="853" t="str">
        <f>+'Anlage 3a_Zusammenfassung_KWKG'!A2669</f>
        <v>SNB990362338043</v>
      </c>
      <c r="B932" s="754">
        <f>+'Anlage 3a_Zusammenfassung_KWKG'!B2669</f>
        <v>1828460552</v>
      </c>
      <c r="C932" s="1723">
        <f>+'Anlage 3a_Zusammenfassung_KWKG'!C2669</f>
        <v>-5695148</v>
      </c>
      <c r="D932" s="854">
        <f t="shared" si="34"/>
        <v>1822765404</v>
      </c>
    </row>
    <row r="933" spans="1:8" hidden="1" outlineLevel="2">
      <c r="A933" s="853" t="str">
        <f>+'Anlage 3a_Zusammenfassung_KWKG'!A2670</f>
        <v>SNB911159111601</v>
      </c>
      <c r="B933" s="754">
        <f>+'Anlage 3a_Zusammenfassung_KWKG'!B2670</f>
        <v>36918727</v>
      </c>
      <c r="C933" s="1723">
        <f>+'Anlage 3a_Zusammenfassung_KWKG'!C2670</f>
        <v>0</v>
      </c>
      <c r="D933" s="854">
        <f t="shared" si="34"/>
        <v>36918727</v>
      </c>
    </row>
    <row r="934" spans="1:8" hidden="1" outlineLevel="2">
      <c r="A934" s="853" t="str">
        <f>+'Anlage 3a_Zusammenfassung_KWKG'!A2671</f>
        <v>SNB917314328846</v>
      </c>
      <c r="B934" s="754">
        <f>+'Anlage 3a_Zusammenfassung_KWKG'!B2671</f>
        <v>101352570</v>
      </c>
      <c r="C934" s="1723">
        <f>+'Anlage 3a_Zusammenfassung_KWKG'!C2671</f>
        <v>0</v>
      </c>
      <c r="D934" s="854">
        <f t="shared" si="34"/>
        <v>101352570</v>
      </c>
    </row>
    <row r="935" spans="1:8" hidden="1" outlineLevel="2">
      <c r="A935" s="853" t="str">
        <f>+'Anlage 3a_Zusammenfassung_KWKG'!A2672</f>
        <v>SNB942182027607</v>
      </c>
      <c r="B935" s="754">
        <f>+'Anlage 3a_Zusammenfassung_KWKG'!B2672</f>
        <v>2343273787</v>
      </c>
      <c r="C935" s="1723">
        <f>+'Anlage 3a_Zusammenfassung_KWKG'!C2672</f>
        <v>-1602697</v>
      </c>
      <c r="D935" s="854">
        <f t="shared" si="34"/>
        <v>2341671090</v>
      </c>
    </row>
    <row r="936" spans="1:8" hidden="1" outlineLevel="2">
      <c r="A936" s="853" t="str">
        <f>+'Anlage 3a_Zusammenfassung_KWKG'!A2673</f>
        <v>SNB942182027607</v>
      </c>
      <c r="B936" s="754">
        <f>+'Anlage 3a_Zusammenfassung_KWKG'!B2673</f>
        <v>450855380</v>
      </c>
      <c r="C936" s="1723">
        <f>+'Anlage 3a_Zusammenfassung_KWKG'!C2673</f>
        <v>0</v>
      </c>
      <c r="D936" s="854">
        <f t="shared" si="34"/>
        <v>450855380</v>
      </c>
    </row>
    <row r="937" spans="1:8" hidden="1" outlineLevel="2">
      <c r="A937" s="853" t="str">
        <f>+'Anlage 3a_Zusammenfassung_KWKG'!A2674</f>
        <v>SNB980808485264</v>
      </c>
      <c r="B937" s="754">
        <f>+'Anlage 3a_Zusammenfassung_KWKG'!B2674</f>
        <v>1996030355</v>
      </c>
      <c r="C937" s="1723">
        <f>+'Anlage 3a_Zusammenfassung_KWKG'!C2674</f>
        <v>3222712</v>
      </c>
      <c r="D937" s="854">
        <f t="shared" si="34"/>
        <v>1999253067</v>
      </c>
    </row>
    <row r="938" spans="1:8" hidden="1" outlineLevel="2">
      <c r="A938" s="853" t="str">
        <f>+'Anlage 3a_Zusammenfassung_KWKG'!A2675</f>
        <v>SNB941690671609</v>
      </c>
      <c r="B938" s="754">
        <f>+'Anlage 3a_Zusammenfassung_KWKG'!B2675</f>
        <v>6985468241</v>
      </c>
      <c r="C938" s="1723">
        <f>+'Anlage 3a_Zusammenfassung_KWKG'!C2675</f>
        <v>-13754409</v>
      </c>
      <c r="D938" s="854">
        <f t="shared" si="34"/>
        <v>6971713832</v>
      </c>
    </row>
    <row r="939" spans="1:8" hidden="1" outlineLevel="2">
      <c r="A939" s="853" t="str">
        <f>+'Anlage 3a_Zusammenfassung_KWKG'!A2676</f>
        <v>SNB913768089142</v>
      </c>
      <c r="B939" s="754">
        <f>+'Anlage 3a_Zusammenfassung_KWKG'!B2676</f>
        <v>6422739</v>
      </c>
      <c r="C939" s="1723">
        <f>+'Anlage 3a_Zusammenfassung_KWKG'!C2676</f>
        <v>0</v>
      </c>
      <c r="D939" s="854">
        <f t="shared" si="34"/>
        <v>6422739</v>
      </c>
    </row>
    <row r="940" spans="1:8" hidden="1" outlineLevel="2">
      <c r="A940" s="853" t="str">
        <f>+'Anlage 3a_Zusammenfassung_KWKG'!A2677</f>
        <v>SNB930525911119</v>
      </c>
      <c r="B940" s="754">
        <f>+'Anlage 3a_Zusammenfassung_KWKG'!B2677</f>
        <v>2208621</v>
      </c>
      <c r="C940" s="1723">
        <f>+'Anlage 3a_Zusammenfassung_KWKG'!C2677</f>
        <v>78503</v>
      </c>
      <c r="D940" s="854">
        <f t="shared" si="34"/>
        <v>2287124</v>
      </c>
    </row>
    <row r="941" spans="1:8" hidden="1" outlineLevel="2">
      <c r="A941" s="853" t="str">
        <f>+'Anlage 3a_Zusammenfassung_KWKG'!A2678</f>
        <v>SNB959492463384</v>
      </c>
      <c r="B941" s="754">
        <f>+'Anlage 3a_Zusammenfassung_KWKG'!B2678</f>
        <v>32084128</v>
      </c>
      <c r="C941" s="1723">
        <f>+'Anlage 3a_Zusammenfassung_KWKG'!C2678</f>
        <v>0</v>
      </c>
      <c r="D941" s="854">
        <f t="shared" si="34"/>
        <v>32084128</v>
      </c>
    </row>
    <row r="942" spans="1:8" hidden="1" outlineLevel="2">
      <c r="A942" s="853" t="str">
        <f>+'Anlage 3a_Zusammenfassung_KWKG'!A2679</f>
        <v>SNB921629791202</v>
      </c>
      <c r="B942" s="754">
        <f>+'Anlage 3a_Zusammenfassung_KWKG'!B2679</f>
        <v>5838851</v>
      </c>
      <c r="C942" s="1723">
        <f>+'Anlage 3a_Zusammenfassung_KWKG'!C2679</f>
        <v>0</v>
      </c>
      <c r="D942" s="854">
        <f t="shared" si="34"/>
        <v>5838851</v>
      </c>
    </row>
    <row r="943" spans="1:8" hidden="1" outlineLevel="2">
      <c r="A943" s="853" t="str">
        <f>+'Anlage 3a_Zusammenfassung_KWKG'!A2680</f>
        <v>SNB964092397892</v>
      </c>
      <c r="B943" s="754">
        <f>+'Anlage 3a_Zusammenfassung_KWKG'!B2680</f>
        <v>40892822</v>
      </c>
      <c r="C943" s="1723">
        <f>+'Anlage 3a_Zusammenfassung_KWKG'!C2680</f>
        <v>0</v>
      </c>
      <c r="D943" s="854">
        <f t="shared" si="34"/>
        <v>40892822</v>
      </c>
    </row>
    <row r="944" spans="1:8" hidden="1" outlineLevel="2">
      <c r="A944" s="853" t="str">
        <f>+'Anlage 3a_Zusammenfassung_KWKG'!A2681</f>
        <v>SNB974693983233</v>
      </c>
      <c r="B944" s="754">
        <f>+'Anlage 3a_Zusammenfassung_KWKG'!B2681</f>
        <v>183907622</v>
      </c>
      <c r="C944" s="1723">
        <f>+'Anlage 3a_Zusammenfassung_KWKG'!C2681</f>
        <v>0</v>
      </c>
      <c r="D944" s="854">
        <f t="shared" si="34"/>
        <v>183907622</v>
      </c>
    </row>
    <row r="945" spans="1:4" hidden="1" outlineLevel="2">
      <c r="A945" s="853" t="str">
        <f>+'Anlage 3a_Zusammenfassung_KWKG'!A2682</f>
        <v>SNB939548785561</v>
      </c>
      <c r="B945" s="754">
        <f>+'Anlage 3a_Zusammenfassung_KWKG'!B2682</f>
        <v>99226648</v>
      </c>
      <c r="C945" s="1723">
        <f>+'Anlage 3a_Zusammenfassung_KWKG'!C2682</f>
        <v>0</v>
      </c>
      <c r="D945" s="854">
        <f t="shared" si="34"/>
        <v>99226648</v>
      </c>
    </row>
    <row r="946" spans="1:4" hidden="1" outlineLevel="2">
      <c r="A946" s="853" t="str">
        <f>+'Anlage 3a_Zusammenfassung_KWKG'!A2683</f>
        <v>SNB990792528632</v>
      </c>
      <c r="B946" s="754">
        <f>+'Anlage 3a_Zusammenfassung_KWKG'!B2683</f>
        <v>61422406</v>
      </c>
      <c r="C946" s="1723">
        <f>+'Anlage 3a_Zusammenfassung_KWKG'!C2683</f>
        <v>0</v>
      </c>
      <c r="D946" s="854">
        <f t="shared" si="34"/>
        <v>61422406</v>
      </c>
    </row>
    <row r="947" spans="1:4" hidden="1" outlineLevel="2">
      <c r="A947" s="853" t="str">
        <f>+'Anlage 3a_Zusammenfassung_KWKG'!A2684</f>
        <v>SNB901665585874</v>
      </c>
      <c r="B947" s="754">
        <f>+'Anlage 3a_Zusammenfassung_KWKG'!B2684</f>
        <v>69747252</v>
      </c>
      <c r="C947" s="1723">
        <f>+'Anlage 3a_Zusammenfassung_KWKG'!C2684</f>
        <v>1081158</v>
      </c>
      <c r="D947" s="854">
        <f t="shared" si="34"/>
        <v>70828410</v>
      </c>
    </row>
    <row r="948" spans="1:4" hidden="1" outlineLevel="2">
      <c r="A948" s="853" t="str">
        <f>+'Anlage 3a_Zusammenfassung_KWKG'!A2685</f>
        <v>SNB995332374861</v>
      </c>
      <c r="B948" s="754">
        <f>+'Anlage 3a_Zusammenfassung_KWKG'!B2685</f>
        <v>72380185</v>
      </c>
      <c r="C948" s="1723">
        <f>+'Anlage 3a_Zusammenfassung_KWKG'!C2685</f>
        <v>1358317</v>
      </c>
      <c r="D948" s="854">
        <f t="shared" si="34"/>
        <v>73738502</v>
      </c>
    </row>
    <row r="949" spans="1:4" hidden="1" outlineLevel="2">
      <c r="A949" s="853" t="str">
        <f>+'Anlage 3a_Zusammenfassung_KWKG'!A2686</f>
        <v>SNB918100919279</v>
      </c>
      <c r="B949" s="754">
        <f>+'Anlage 3a_Zusammenfassung_KWKG'!B2686</f>
        <v>16904066</v>
      </c>
      <c r="C949" s="1723">
        <f>+'Anlage 3a_Zusammenfassung_KWKG'!C2686</f>
        <v>0</v>
      </c>
      <c r="D949" s="854">
        <f t="shared" si="34"/>
        <v>16904066</v>
      </c>
    </row>
    <row r="950" spans="1:4" hidden="1" outlineLevel="2">
      <c r="A950" s="853" t="str">
        <f>+'Anlage 3a_Zusammenfassung_KWKG'!A2687</f>
        <v>SNB982722829230</v>
      </c>
      <c r="B950" s="754">
        <f>+'Anlage 3a_Zusammenfassung_KWKG'!B2687</f>
        <v>283741893</v>
      </c>
      <c r="C950" s="1723">
        <f>+'Anlage 3a_Zusammenfassung_KWKG'!C2687</f>
        <v>0</v>
      </c>
      <c r="D950" s="854">
        <f t="shared" si="34"/>
        <v>283741893</v>
      </c>
    </row>
    <row r="951" spans="1:4" hidden="1" outlineLevel="2">
      <c r="A951" s="853" t="str">
        <f>+'Anlage 3a_Zusammenfassung_KWKG'!A2688</f>
        <v>SNB916269213931</v>
      </c>
      <c r="B951" s="754">
        <f>+'Anlage 3a_Zusammenfassung_KWKG'!B2688</f>
        <v>7766008777</v>
      </c>
      <c r="C951" s="1723">
        <f>+'Anlage 3a_Zusammenfassung_KWKG'!C2688</f>
        <v>105114074</v>
      </c>
      <c r="D951" s="854">
        <f t="shared" si="34"/>
        <v>7871122851</v>
      </c>
    </row>
    <row r="952" spans="1:4" hidden="1" outlineLevel="2">
      <c r="A952" s="853" t="str">
        <f>+'Anlage 3a_Zusammenfassung_KWKG'!A2689</f>
        <v>SNB934071779865</v>
      </c>
      <c r="B952" s="754">
        <f>+'Anlage 3a_Zusammenfassung_KWKG'!B2689</f>
        <v>17781143</v>
      </c>
      <c r="C952" s="1723">
        <f>+'Anlage 3a_Zusammenfassung_KWKG'!C2689</f>
        <v>0</v>
      </c>
      <c r="D952" s="854">
        <f t="shared" si="34"/>
        <v>17781143</v>
      </c>
    </row>
    <row r="953" spans="1:4" hidden="1" outlineLevel="2">
      <c r="A953" s="853" t="str">
        <f>+'Anlage 3a_Zusammenfassung_KWKG'!A2690</f>
        <v>SNB968914838013</v>
      </c>
      <c r="B953" s="754">
        <f>+'Anlage 3a_Zusammenfassung_KWKG'!B2690</f>
        <v>2087362857</v>
      </c>
      <c r="C953" s="1723">
        <f>+'Anlage 3a_Zusammenfassung_KWKG'!C2690</f>
        <v>40699001</v>
      </c>
      <c r="D953" s="854">
        <f t="shared" si="34"/>
        <v>2128061858</v>
      </c>
    </row>
    <row r="954" spans="1:4" hidden="1" outlineLevel="2">
      <c r="A954" s="853" t="str">
        <f>+'Anlage 3a_Zusammenfassung_KWKG'!A2691</f>
        <v>SNB979269087643</v>
      </c>
      <c r="B954" s="754">
        <f>+'Anlage 3a_Zusammenfassung_KWKG'!B2691</f>
        <v>11317433062</v>
      </c>
      <c r="C954" s="1723">
        <f>+'Anlage 3a_Zusammenfassung_KWKG'!C2691</f>
        <v>62441948</v>
      </c>
      <c r="D954" s="854">
        <f t="shared" si="34"/>
        <v>11379875010</v>
      </c>
    </row>
    <row r="955" spans="1:4" hidden="1" outlineLevel="2">
      <c r="A955" s="853" t="str">
        <f>+'Anlage 3a_Zusammenfassung_KWKG'!A2692</f>
        <v>SNB968295079586</v>
      </c>
      <c r="B955" s="754">
        <f>+'Anlage 3a_Zusammenfassung_KWKG'!B2692</f>
        <v>6869186398</v>
      </c>
      <c r="C955" s="1723">
        <f>+'Anlage 3a_Zusammenfassung_KWKG'!C2692</f>
        <v>-402078</v>
      </c>
      <c r="D955" s="854">
        <f t="shared" si="34"/>
        <v>6868784320</v>
      </c>
    </row>
    <row r="956" spans="1:4" hidden="1" outlineLevel="2">
      <c r="A956" s="853" t="str">
        <f>+'Anlage 3a_Zusammenfassung_KWKG'!A2693</f>
        <v>SNB980362940834</v>
      </c>
      <c r="B956" s="754">
        <f>+'Anlage 3a_Zusammenfassung_KWKG'!B2693</f>
        <v>8979835</v>
      </c>
      <c r="C956" s="1723">
        <f>+'Anlage 3a_Zusammenfassung_KWKG'!C2693</f>
        <v>-379450</v>
      </c>
      <c r="D956" s="854">
        <f t="shared" si="34"/>
        <v>8600385</v>
      </c>
    </row>
    <row r="957" spans="1:4" hidden="1" outlineLevel="2">
      <c r="A957" s="853" t="str">
        <f>+'Anlage 3a_Zusammenfassung_KWKG'!A2694</f>
        <v>SNB934514392514</v>
      </c>
      <c r="B957" s="754">
        <f>+'Anlage 3a_Zusammenfassung_KWKG'!B2694</f>
        <v>83889784</v>
      </c>
      <c r="C957" s="1723">
        <f>+'Anlage 3a_Zusammenfassung_KWKG'!C2694</f>
        <v>0</v>
      </c>
      <c r="D957" s="854">
        <f t="shared" si="34"/>
        <v>83889784</v>
      </c>
    </row>
    <row r="958" spans="1:4" hidden="1" outlineLevel="2">
      <c r="A958" s="853" t="str">
        <f>+'Anlage 3a_Zusammenfassung_KWKG'!A2695</f>
        <v>SNB981460842488</v>
      </c>
      <c r="B958" s="754">
        <f>+'Anlage 3a_Zusammenfassung_KWKG'!B2695</f>
        <v>23476201</v>
      </c>
      <c r="C958" s="1723">
        <f>+'Anlage 3a_Zusammenfassung_KWKG'!C2695</f>
        <v>-119692</v>
      </c>
      <c r="D958" s="854">
        <f t="shared" si="34"/>
        <v>23356509</v>
      </c>
    </row>
    <row r="959" spans="1:4" hidden="1" outlineLevel="2">
      <c r="A959" s="853" t="str">
        <f>+'Anlage 3a_Zusammenfassung_KWKG'!A2696</f>
        <v>SNB936769439815</v>
      </c>
      <c r="B959" s="754">
        <f>+'Anlage 3a_Zusammenfassung_KWKG'!B2696</f>
        <v>91525954</v>
      </c>
      <c r="C959" s="1723">
        <f>+'Anlage 3a_Zusammenfassung_KWKG'!C2696</f>
        <v>0</v>
      </c>
      <c r="D959" s="854">
        <f t="shared" si="34"/>
        <v>91525954</v>
      </c>
    </row>
    <row r="960" spans="1:4" hidden="1" outlineLevel="2">
      <c r="A960" s="853" t="str">
        <f>+'Anlage 3a_Zusammenfassung_KWKG'!A2697</f>
        <v>SNB913563830420</v>
      </c>
      <c r="B960" s="754">
        <f>+'Anlage 3a_Zusammenfassung_KWKG'!B2697</f>
        <v>95724946</v>
      </c>
      <c r="C960" s="1723">
        <f>+'Anlage 3a_Zusammenfassung_KWKG'!C2697</f>
        <v>106609</v>
      </c>
      <c r="D960" s="854">
        <f t="shared" si="34"/>
        <v>95831555</v>
      </c>
    </row>
    <row r="961" spans="1:4" hidden="1" outlineLevel="2">
      <c r="A961" s="853" t="str">
        <f>+'Anlage 3a_Zusammenfassung_KWKG'!A2698</f>
        <v>SNB971962135690</v>
      </c>
      <c r="B961" s="754">
        <f>+'Anlage 3a_Zusammenfassung_KWKG'!B2698</f>
        <v>73695370</v>
      </c>
      <c r="C961" s="1723">
        <f>+'Anlage 3a_Zusammenfassung_KWKG'!C2698</f>
        <v>0</v>
      </c>
      <c r="D961" s="854">
        <f t="shared" si="34"/>
        <v>73695370</v>
      </c>
    </row>
    <row r="962" spans="1:4" hidden="1" outlineLevel="2">
      <c r="A962" s="853" t="str">
        <f>+'Anlage 3a_Zusammenfassung_KWKG'!A2699</f>
        <v>SNB985993443181</v>
      </c>
      <c r="B962" s="754">
        <f>+'Anlage 3a_Zusammenfassung_KWKG'!B2699</f>
        <v>109915354</v>
      </c>
      <c r="C962" s="1723">
        <f>+'Anlage 3a_Zusammenfassung_KWKG'!C2699</f>
        <v>646</v>
      </c>
      <c r="D962" s="854">
        <f t="shared" si="34"/>
        <v>109916000</v>
      </c>
    </row>
    <row r="963" spans="1:4" hidden="1" outlineLevel="2">
      <c r="A963" s="853" t="str">
        <f>+'Anlage 3a_Zusammenfassung_KWKG'!A2700</f>
        <v>SNB918620072652</v>
      </c>
      <c r="B963" s="754">
        <f>+'Anlage 3a_Zusammenfassung_KWKG'!B2700</f>
        <v>60835031</v>
      </c>
      <c r="C963" s="1723">
        <f>+'Anlage 3a_Zusammenfassung_KWKG'!C2700</f>
        <v>-146966</v>
      </c>
      <c r="D963" s="854">
        <f t="shared" si="34"/>
        <v>60688065</v>
      </c>
    </row>
    <row r="964" spans="1:4" hidden="1" outlineLevel="2">
      <c r="A964" s="853" t="str">
        <f>+'Anlage 3a_Zusammenfassung_KWKG'!A2701</f>
        <v>SNB957591716776</v>
      </c>
      <c r="B964" s="754">
        <f>+'Anlage 3a_Zusammenfassung_KWKG'!B2701</f>
        <v>49487829</v>
      </c>
      <c r="C964" s="1723">
        <f>+'Anlage 3a_Zusammenfassung_KWKG'!C2701</f>
        <v>0</v>
      </c>
      <c r="D964" s="854">
        <f t="shared" si="34"/>
        <v>49487829</v>
      </c>
    </row>
    <row r="965" spans="1:4" hidden="1" outlineLevel="2">
      <c r="A965" s="853" t="str">
        <f>+'Anlage 3a_Zusammenfassung_KWKG'!A2702</f>
        <v>SNB939517994215</v>
      </c>
      <c r="B965" s="754">
        <f>+'Anlage 3a_Zusammenfassung_KWKG'!B2702</f>
        <v>51744202</v>
      </c>
      <c r="C965" s="1723">
        <f>+'Anlage 3a_Zusammenfassung_KWKG'!C2702</f>
        <v>-34767</v>
      </c>
      <c r="D965" s="854">
        <f t="shared" si="34"/>
        <v>51709435</v>
      </c>
    </row>
    <row r="966" spans="1:4" hidden="1" outlineLevel="2">
      <c r="A966" s="853" t="str">
        <f>+'Anlage 3a_Zusammenfassung_KWKG'!A2703</f>
        <v>SNB943962034624</v>
      </c>
      <c r="B966" s="754">
        <f>+'Anlage 3a_Zusammenfassung_KWKG'!B2703</f>
        <v>119651176</v>
      </c>
      <c r="C966" s="1723">
        <f>+'Anlage 3a_Zusammenfassung_KWKG'!C2703</f>
        <v>895879</v>
      </c>
      <c r="D966" s="854">
        <f t="shared" si="34"/>
        <v>120547055</v>
      </c>
    </row>
    <row r="967" spans="1:4" hidden="1" outlineLevel="2">
      <c r="A967" s="853" t="str">
        <f>+'Anlage 3a_Zusammenfassung_KWKG'!A2704</f>
        <v>SNB962890977544</v>
      </c>
      <c r="B967" s="754">
        <f>+'Anlage 3a_Zusammenfassung_KWKG'!B2704</f>
        <v>94731576</v>
      </c>
      <c r="C967" s="1723">
        <f>+'Anlage 3a_Zusammenfassung_KWKG'!C2704</f>
        <v>218215</v>
      </c>
      <c r="D967" s="854">
        <f t="shared" si="34"/>
        <v>94949791</v>
      </c>
    </row>
    <row r="968" spans="1:4" hidden="1" outlineLevel="2">
      <c r="A968" s="853" t="str">
        <f>+'Anlage 3a_Zusammenfassung_KWKG'!A2705</f>
        <v>SNB953669866350</v>
      </c>
      <c r="B968" s="754">
        <f>+'Anlage 3a_Zusammenfassung_KWKG'!B2705</f>
        <v>95825245</v>
      </c>
      <c r="C968" s="1723">
        <f>+'Anlage 3a_Zusammenfassung_KWKG'!C2705</f>
        <v>13015</v>
      </c>
      <c r="D968" s="854">
        <f t="shared" si="34"/>
        <v>95838260</v>
      </c>
    </row>
    <row r="969" spans="1:4" hidden="1" outlineLevel="2">
      <c r="A969" s="853" t="str">
        <f>+'Anlage 3a_Zusammenfassung_KWKG'!A2706</f>
        <v>SNB919654931526</v>
      </c>
      <c r="B969" s="754">
        <f>+'Anlage 3a_Zusammenfassung_KWKG'!B2706</f>
        <v>30079622</v>
      </c>
      <c r="C969" s="1723">
        <f>+'Anlage 3a_Zusammenfassung_KWKG'!C2706</f>
        <v>0</v>
      </c>
      <c r="D969" s="854">
        <f t="shared" si="34"/>
        <v>30079622</v>
      </c>
    </row>
    <row r="970" spans="1:4" hidden="1" outlineLevel="2">
      <c r="A970" s="853" t="str">
        <f>+'Anlage 3a_Zusammenfassung_KWKG'!A2707</f>
        <v>SNB946013720880</v>
      </c>
      <c r="B970" s="754">
        <f>+'Anlage 3a_Zusammenfassung_KWKG'!B2707</f>
        <v>40675220</v>
      </c>
      <c r="C970" s="1723">
        <f>+'Anlage 3a_Zusammenfassung_KWKG'!C2707</f>
        <v>-76464</v>
      </c>
      <c r="D970" s="854">
        <f t="shared" si="34"/>
        <v>40598756</v>
      </c>
    </row>
    <row r="971" spans="1:4" hidden="1" outlineLevel="2">
      <c r="A971" s="853" t="str">
        <f>+'Anlage 3a_Zusammenfassung_KWKG'!A2708</f>
        <v>SNB971199523673</v>
      </c>
      <c r="B971" s="754">
        <f>+'Anlage 3a_Zusammenfassung_KWKG'!B2708</f>
        <v>217202847</v>
      </c>
      <c r="C971" s="1723">
        <f>+'Anlage 3a_Zusammenfassung_KWKG'!C2708</f>
        <v>6134236</v>
      </c>
      <c r="D971" s="854">
        <f t="shared" si="34"/>
        <v>223337083</v>
      </c>
    </row>
    <row r="972" spans="1:4" hidden="1" outlineLevel="2">
      <c r="A972" s="853" t="str">
        <f>+'Anlage 3a_Zusammenfassung_KWKG'!A2709</f>
        <v>SNB927160517950</v>
      </c>
      <c r="B972" s="754">
        <f>+'Anlage 3a_Zusammenfassung_KWKG'!B2709</f>
        <v>73340321</v>
      </c>
      <c r="C972" s="1723">
        <f>+'Anlage 3a_Zusammenfassung_KWKG'!C2709</f>
        <v>3440445</v>
      </c>
      <c r="D972" s="854">
        <f t="shared" si="34"/>
        <v>76780766</v>
      </c>
    </row>
    <row r="973" spans="1:4" hidden="1" outlineLevel="2">
      <c r="A973" s="853" t="str">
        <f>+'Anlage 3a_Zusammenfassung_KWKG'!A2710</f>
        <v>SNB916663914472</v>
      </c>
      <c r="B973" s="754">
        <f>+'Anlage 3a_Zusammenfassung_KWKG'!B2710</f>
        <v>675850905</v>
      </c>
      <c r="C973" s="1723">
        <f>+'Anlage 3a_Zusammenfassung_KWKG'!C2710</f>
        <v>0</v>
      </c>
      <c r="D973" s="854">
        <f t="shared" si="34"/>
        <v>675850905</v>
      </c>
    </row>
    <row r="974" spans="1:4" hidden="1" outlineLevel="2">
      <c r="A974" s="853" t="str">
        <f>+'Anlage 3a_Zusammenfassung_KWKG'!A2711</f>
        <v>SNB931431136771</v>
      </c>
      <c r="B974" s="754">
        <f>+'Anlage 3a_Zusammenfassung_KWKG'!B2711</f>
        <v>218558873</v>
      </c>
      <c r="C974" s="1723">
        <f>+'Anlage 3a_Zusammenfassung_KWKG'!C2711</f>
        <v>0</v>
      </c>
      <c r="D974" s="854">
        <f t="shared" si="34"/>
        <v>218558873</v>
      </c>
    </row>
    <row r="975" spans="1:4" hidden="1" outlineLevel="2">
      <c r="A975" s="853" t="str">
        <f>+'Anlage 3a_Zusammenfassung_KWKG'!A2712</f>
        <v>SNB937001443546</v>
      </c>
      <c r="B975" s="754">
        <f>+'Anlage 3a_Zusammenfassung_KWKG'!B2712</f>
        <v>59248459</v>
      </c>
      <c r="C975" s="1723">
        <f>+'Anlage 3a_Zusammenfassung_KWKG'!C2712</f>
        <v>-193172</v>
      </c>
      <c r="D975" s="854">
        <f t="shared" si="34"/>
        <v>59055287</v>
      </c>
    </row>
    <row r="976" spans="1:4" hidden="1" outlineLevel="2">
      <c r="A976" s="853" t="str">
        <f>+'Anlage 3a_Zusammenfassung_KWKG'!A2713</f>
        <v>SNB954281375657</v>
      </c>
      <c r="B976" s="754">
        <f>+'Anlage 3a_Zusammenfassung_KWKG'!B2713</f>
        <v>252554657</v>
      </c>
      <c r="C976" s="1723">
        <f>+'Anlage 3a_Zusammenfassung_KWKG'!C2713</f>
        <v>747041</v>
      </c>
      <c r="D976" s="854">
        <f t="shared" si="34"/>
        <v>253301698</v>
      </c>
    </row>
    <row r="977" spans="1:4" hidden="1" outlineLevel="2">
      <c r="A977" s="853" t="str">
        <f>+'Anlage 3a_Zusammenfassung_KWKG'!A2714</f>
        <v>SNB976679550309</v>
      </c>
      <c r="B977" s="754">
        <f>+'Anlage 3a_Zusammenfassung_KWKG'!B2714</f>
        <v>84290158</v>
      </c>
      <c r="C977" s="1723">
        <f>+'Anlage 3a_Zusammenfassung_KWKG'!C2714</f>
        <v>0</v>
      </c>
      <c r="D977" s="854">
        <f t="shared" si="34"/>
        <v>84290158</v>
      </c>
    </row>
    <row r="978" spans="1:4" hidden="1" outlineLevel="2">
      <c r="A978" s="853" t="str">
        <f>+'Anlage 3a_Zusammenfassung_KWKG'!A2715</f>
        <v>SNB936480897581</v>
      </c>
      <c r="B978" s="754">
        <f>+'Anlage 3a_Zusammenfassung_KWKG'!B2715</f>
        <v>773068</v>
      </c>
      <c r="C978" s="1723">
        <f>+'Anlage 3a_Zusammenfassung_KWKG'!C2715</f>
        <v>0</v>
      </c>
      <c r="D978" s="854">
        <f t="shared" si="34"/>
        <v>773068</v>
      </c>
    </row>
    <row r="979" spans="1:4" hidden="1" outlineLevel="2">
      <c r="A979" s="853" t="str">
        <f>+'Anlage 3a_Zusammenfassung_KWKG'!A2716</f>
        <v>SNB977174706994</v>
      </c>
      <c r="B979" s="754">
        <f>+'Anlage 3a_Zusammenfassung_KWKG'!B2716</f>
        <v>38379409</v>
      </c>
      <c r="C979" s="1723">
        <f>+'Anlage 3a_Zusammenfassung_KWKG'!C2716</f>
        <v>879840</v>
      </c>
      <c r="D979" s="854">
        <f t="shared" si="34"/>
        <v>39259249</v>
      </c>
    </row>
    <row r="980" spans="1:4" hidden="1" outlineLevel="2">
      <c r="A980" s="853" t="str">
        <f>+'Anlage 3a_Zusammenfassung_KWKG'!A2717</f>
        <v>SNB989700422711</v>
      </c>
      <c r="B980" s="754">
        <f>+'Anlage 3a_Zusammenfassung_KWKG'!B2717</f>
        <v>152244378</v>
      </c>
      <c r="C980" s="1723">
        <f>+'Anlage 3a_Zusammenfassung_KWKG'!C2717</f>
        <v>-80207</v>
      </c>
      <c r="D980" s="854">
        <f t="shared" si="34"/>
        <v>152164171</v>
      </c>
    </row>
    <row r="981" spans="1:4" hidden="1" outlineLevel="2">
      <c r="A981" s="853" t="str">
        <f>+'Anlage 3a_Zusammenfassung_KWKG'!A2718</f>
        <v>SNB917432806905</v>
      </c>
      <c r="B981" s="754">
        <f>+'Anlage 3a_Zusammenfassung_KWKG'!B2718</f>
        <v>32691959</v>
      </c>
      <c r="C981" s="1723">
        <f>+'Anlage 3a_Zusammenfassung_KWKG'!C2718</f>
        <v>371880</v>
      </c>
      <c r="D981" s="854">
        <f t="shared" si="34"/>
        <v>33063839</v>
      </c>
    </row>
    <row r="982" spans="1:4" hidden="1" outlineLevel="2">
      <c r="A982" s="853" t="str">
        <f>+'Anlage 3a_Zusammenfassung_KWKG'!A2719</f>
        <v>SNB912218404412</v>
      </c>
      <c r="B982" s="754">
        <f>+'Anlage 3a_Zusammenfassung_KWKG'!B2719</f>
        <v>58122570</v>
      </c>
      <c r="C982" s="1723">
        <f>+'Anlage 3a_Zusammenfassung_KWKG'!C2719</f>
        <v>-86106</v>
      </c>
      <c r="D982" s="854">
        <f t="shared" si="34"/>
        <v>58036464</v>
      </c>
    </row>
    <row r="983" spans="1:4" hidden="1" outlineLevel="2">
      <c r="A983" s="853" t="str">
        <f>+'Anlage 3a_Zusammenfassung_KWKG'!A2720</f>
        <v>SNB971770548286</v>
      </c>
      <c r="B983" s="754">
        <f>+'Anlage 3a_Zusammenfassung_KWKG'!B2720</f>
        <v>26365763</v>
      </c>
      <c r="C983" s="1723">
        <f>+'Anlage 3a_Zusammenfassung_KWKG'!C2720</f>
        <v>-51099</v>
      </c>
      <c r="D983" s="854">
        <f t="shared" si="34"/>
        <v>26314664</v>
      </c>
    </row>
    <row r="984" spans="1:4" hidden="1" outlineLevel="2">
      <c r="A984" s="853" t="str">
        <f>+'Anlage 3a_Zusammenfassung_KWKG'!A2721</f>
        <v>SNB920699937404</v>
      </c>
      <c r="B984" s="754">
        <f>+'Anlage 3a_Zusammenfassung_KWKG'!B2721</f>
        <v>159438368</v>
      </c>
      <c r="C984" s="1723">
        <f>+'Anlage 3a_Zusammenfassung_KWKG'!C2721</f>
        <v>992276</v>
      </c>
      <c r="D984" s="854">
        <f t="shared" si="34"/>
        <v>160430644</v>
      </c>
    </row>
    <row r="985" spans="1:4" hidden="1" outlineLevel="2">
      <c r="A985" s="853" t="str">
        <f>+'Anlage 3a_Zusammenfassung_KWKG'!A2722</f>
        <v>SNB950262883869</v>
      </c>
      <c r="B985" s="754">
        <f>+'Anlage 3a_Zusammenfassung_KWKG'!B2722</f>
        <v>628992369</v>
      </c>
      <c r="C985" s="1723">
        <f>+'Anlage 3a_Zusammenfassung_KWKG'!C2722</f>
        <v>568829</v>
      </c>
      <c r="D985" s="854">
        <f t="shared" si="34"/>
        <v>629561198</v>
      </c>
    </row>
    <row r="986" spans="1:4" hidden="1" outlineLevel="2">
      <c r="A986" s="853" t="str">
        <f>+'Anlage 3a_Zusammenfassung_KWKG'!A2723</f>
        <v>SNB957549782006</v>
      </c>
      <c r="B986" s="754">
        <f>+'Anlage 3a_Zusammenfassung_KWKG'!B2723</f>
        <v>38372691</v>
      </c>
      <c r="C986" s="1723">
        <f>+'Anlage 3a_Zusammenfassung_KWKG'!C2723</f>
        <v>0</v>
      </c>
      <c r="D986" s="854">
        <f t="shared" si="34"/>
        <v>38372691</v>
      </c>
    </row>
    <row r="987" spans="1:4" hidden="1" outlineLevel="2">
      <c r="A987" s="853" t="str">
        <f>+'Anlage 3a_Zusammenfassung_KWKG'!A2724</f>
        <v>SNB922055731633</v>
      </c>
      <c r="B987" s="754">
        <f>+'Anlage 3a_Zusammenfassung_KWKG'!B2724</f>
        <v>45627953</v>
      </c>
      <c r="C987" s="1723">
        <f>+'Anlage 3a_Zusammenfassung_KWKG'!C2724</f>
        <v>6449227</v>
      </c>
      <c r="D987" s="854">
        <f t="shared" si="34"/>
        <v>52077180</v>
      </c>
    </row>
    <row r="988" spans="1:4" hidden="1" outlineLevel="2">
      <c r="A988" s="853" t="str">
        <f>+'Anlage 3a_Zusammenfassung_KWKG'!A2725</f>
        <v>SNB954814647626</v>
      </c>
      <c r="B988" s="754">
        <f>+'Anlage 3a_Zusammenfassung_KWKG'!B2725</f>
        <v>198545685</v>
      </c>
      <c r="C988" s="1723">
        <f>+'Anlage 3a_Zusammenfassung_KWKG'!C2725</f>
        <v>0</v>
      </c>
      <c r="D988" s="854">
        <f t="shared" si="34"/>
        <v>198545685</v>
      </c>
    </row>
    <row r="989" spans="1:4" hidden="1" outlineLevel="2">
      <c r="A989" s="853" t="str">
        <f>+'Anlage 3a_Zusammenfassung_KWKG'!A2726</f>
        <v>SNB990971435621</v>
      </c>
      <c r="B989" s="754">
        <f>+'Anlage 3a_Zusammenfassung_KWKG'!B2726</f>
        <v>141706942</v>
      </c>
      <c r="C989" s="1723">
        <f>+'Anlage 3a_Zusammenfassung_KWKG'!C2726</f>
        <v>1852056</v>
      </c>
      <c r="D989" s="854">
        <f t="shared" si="34"/>
        <v>143558998</v>
      </c>
    </row>
    <row r="990" spans="1:4" hidden="1" outlineLevel="2">
      <c r="A990" s="853" t="str">
        <f>+'Anlage 3a_Zusammenfassung_KWKG'!A2727</f>
        <v>SNB982241851170</v>
      </c>
      <c r="B990" s="754">
        <f>+'Anlage 3a_Zusammenfassung_KWKG'!B2727</f>
        <v>76135451</v>
      </c>
      <c r="C990" s="1723">
        <f>+'Anlage 3a_Zusammenfassung_KWKG'!C2727</f>
        <v>0</v>
      </c>
      <c r="D990" s="854">
        <f t="shared" si="34"/>
        <v>76135451</v>
      </c>
    </row>
    <row r="991" spans="1:4" hidden="1" outlineLevel="2">
      <c r="A991" s="853" t="str">
        <f>+'Anlage 3a_Zusammenfassung_KWKG'!A2728</f>
        <v>SNB948816192529</v>
      </c>
      <c r="B991" s="754">
        <f>+'Anlage 3a_Zusammenfassung_KWKG'!B2728</f>
        <v>271033142</v>
      </c>
      <c r="C991" s="1723">
        <f>+'Anlage 3a_Zusammenfassung_KWKG'!C2728</f>
        <v>3179420</v>
      </c>
      <c r="D991" s="854">
        <f t="shared" si="34"/>
        <v>274212562</v>
      </c>
    </row>
    <row r="992" spans="1:4" hidden="1" outlineLevel="2">
      <c r="A992" s="853" t="str">
        <f>+'Anlage 3a_Zusammenfassung_KWKG'!A2729</f>
        <v>SNB975176329548</v>
      </c>
      <c r="B992" s="754">
        <f>+'Anlage 3a_Zusammenfassung_KWKG'!B2729</f>
        <v>1655887</v>
      </c>
      <c r="C992" s="1723">
        <f>+'Anlage 3a_Zusammenfassung_KWKG'!C2729</f>
        <v>0</v>
      </c>
      <c r="D992" s="854">
        <f t="shared" si="34"/>
        <v>1655887</v>
      </c>
    </row>
    <row r="993" spans="1:4" hidden="1" outlineLevel="2">
      <c r="A993" s="853" t="str">
        <f>+'Anlage 3a_Zusammenfassung_KWKG'!A2730</f>
        <v>SNB963070917732</v>
      </c>
      <c r="B993" s="754">
        <f>+'Anlage 3a_Zusammenfassung_KWKG'!B2730</f>
        <v>60865637</v>
      </c>
      <c r="C993" s="1723">
        <f>+'Anlage 3a_Zusammenfassung_KWKG'!C2730</f>
        <v>0</v>
      </c>
      <c r="D993" s="854">
        <f t="shared" si="34"/>
        <v>60865637</v>
      </c>
    </row>
    <row r="994" spans="1:4" hidden="1" outlineLevel="2">
      <c r="A994" s="853" t="str">
        <f>+'Anlage 3a_Zusammenfassung_KWKG'!A2731</f>
        <v>SNB938672757734</v>
      </c>
      <c r="B994" s="754">
        <f>+'Anlage 3a_Zusammenfassung_KWKG'!B2731</f>
        <v>115080178</v>
      </c>
      <c r="C994" s="1723">
        <f>+'Anlage 3a_Zusammenfassung_KWKG'!C2731</f>
        <v>0</v>
      </c>
      <c r="D994" s="854">
        <f t="shared" si="34"/>
        <v>115080178</v>
      </c>
    </row>
    <row r="995" spans="1:4" hidden="1" outlineLevel="2">
      <c r="A995" s="853" t="str">
        <f>+'Anlage 3a_Zusammenfassung_KWKG'!A2732</f>
        <v>SNB961316124487</v>
      </c>
      <c r="B995" s="754">
        <f>+'Anlage 3a_Zusammenfassung_KWKG'!B2732</f>
        <v>144226178</v>
      </c>
      <c r="C995" s="1723">
        <f>+'Anlage 3a_Zusammenfassung_KWKG'!C2732</f>
        <v>0</v>
      </c>
      <c r="D995" s="854">
        <f t="shared" ref="D995:D1058" si="35">SUM(B995:C995)</f>
        <v>144226178</v>
      </c>
    </row>
    <row r="996" spans="1:4" hidden="1" outlineLevel="2">
      <c r="A996" s="853" t="str">
        <f>+'Anlage 3a_Zusammenfassung_KWKG'!A2733</f>
        <v>SNB926442995943</v>
      </c>
      <c r="B996" s="754">
        <f>+'Anlage 3a_Zusammenfassung_KWKG'!B2733</f>
        <v>188720788</v>
      </c>
      <c r="C996" s="1723">
        <f>+'Anlage 3a_Zusammenfassung_KWKG'!C2733</f>
        <v>2141015</v>
      </c>
      <c r="D996" s="854">
        <f t="shared" si="35"/>
        <v>190861803</v>
      </c>
    </row>
    <row r="997" spans="1:4" hidden="1" outlineLevel="2">
      <c r="A997" s="853" t="str">
        <f>+'Anlage 3a_Zusammenfassung_KWKG'!A2734</f>
        <v>SNB930067626847</v>
      </c>
      <c r="B997" s="754">
        <f>+'Anlage 3a_Zusammenfassung_KWKG'!B2734</f>
        <v>50344950</v>
      </c>
      <c r="C997" s="1723">
        <f>+'Anlage 3a_Zusammenfassung_KWKG'!C2734</f>
        <v>-195940</v>
      </c>
      <c r="D997" s="854">
        <f t="shared" si="35"/>
        <v>50149010</v>
      </c>
    </row>
    <row r="998" spans="1:4" hidden="1" outlineLevel="2">
      <c r="A998" s="853" t="str">
        <f>+'Anlage 3a_Zusammenfassung_KWKG'!A2735</f>
        <v>SNB991689251534</v>
      </c>
      <c r="B998" s="754">
        <f>+'Anlage 3a_Zusammenfassung_KWKG'!B2735</f>
        <v>26297759</v>
      </c>
      <c r="C998" s="1723">
        <f>+'Anlage 3a_Zusammenfassung_KWKG'!C2735</f>
        <v>0</v>
      </c>
      <c r="D998" s="854">
        <f t="shared" si="35"/>
        <v>26297759</v>
      </c>
    </row>
    <row r="999" spans="1:4" hidden="1" outlineLevel="2">
      <c r="A999" s="853" t="str">
        <f>+'Anlage 3a_Zusammenfassung_KWKG'!A2736</f>
        <v>SNB915186313908</v>
      </c>
      <c r="B999" s="754">
        <f>+'Anlage 3a_Zusammenfassung_KWKG'!B2736</f>
        <v>41990970</v>
      </c>
      <c r="C999" s="1723">
        <f>+'Anlage 3a_Zusammenfassung_KWKG'!C2736</f>
        <v>0</v>
      </c>
      <c r="D999" s="854">
        <f t="shared" si="35"/>
        <v>41990970</v>
      </c>
    </row>
    <row r="1000" spans="1:4" hidden="1" outlineLevel="2">
      <c r="A1000" s="853" t="str">
        <f>+'Anlage 3a_Zusammenfassung_KWKG'!A2737</f>
        <v>SNB983029590205</v>
      </c>
      <c r="B1000" s="754">
        <f>+'Anlage 3a_Zusammenfassung_KWKG'!B2737</f>
        <v>77248927</v>
      </c>
      <c r="C1000" s="1723">
        <f>+'Anlage 3a_Zusammenfassung_KWKG'!C2737</f>
        <v>0</v>
      </c>
      <c r="D1000" s="854">
        <f t="shared" si="35"/>
        <v>77248927</v>
      </c>
    </row>
    <row r="1001" spans="1:4" hidden="1" outlineLevel="2">
      <c r="A1001" s="853" t="str">
        <f>+'Anlage 3a_Zusammenfassung_KWKG'!A2738</f>
        <v>SNB928602915495</v>
      </c>
      <c r="B1001" s="754">
        <f>+'Anlage 3a_Zusammenfassung_KWKG'!B2738</f>
        <v>42085946</v>
      </c>
      <c r="C1001" s="1723">
        <f>+'Anlage 3a_Zusammenfassung_KWKG'!C2738</f>
        <v>0</v>
      </c>
      <c r="D1001" s="854">
        <f t="shared" si="35"/>
        <v>42085946</v>
      </c>
    </row>
    <row r="1002" spans="1:4" hidden="1" outlineLevel="2">
      <c r="A1002" s="853" t="str">
        <f>+'Anlage 3a_Zusammenfassung_KWKG'!A2739</f>
        <v>SNB977374861035</v>
      </c>
      <c r="B1002" s="754">
        <f>+'Anlage 3a_Zusammenfassung_KWKG'!B2739</f>
        <v>126407141</v>
      </c>
      <c r="C1002" s="1723">
        <f>+'Anlage 3a_Zusammenfassung_KWKG'!C2739</f>
        <v>0</v>
      </c>
      <c r="D1002" s="854">
        <f t="shared" si="35"/>
        <v>126407141</v>
      </c>
    </row>
    <row r="1003" spans="1:4" hidden="1" outlineLevel="2">
      <c r="A1003" s="853" t="str">
        <f>+'Anlage 3a_Zusammenfassung_KWKG'!A2740</f>
        <v>SNB959120377328</v>
      </c>
      <c r="B1003" s="754">
        <f>+'Anlage 3a_Zusammenfassung_KWKG'!B2740</f>
        <v>112099076</v>
      </c>
      <c r="C1003" s="1723">
        <f>+'Anlage 3a_Zusammenfassung_KWKG'!C2740</f>
        <v>-123611</v>
      </c>
      <c r="D1003" s="854">
        <f t="shared" si="35"/>
        <v>111975465</v>
      </c>
    </row>
    <row r="1004" spans="1:4" hidden="1" outlineLevel="2">
      <c r="A1004" s="853" t="str">
        <f>+'Anlage 3a_Zusammenfassung_KWKG'!A2741</f>
        <v>SNB982934611074</v>
      </c>
      <c r="B1004" s="754">
        <f>+'Anlage 3a_Zusammenfassung_KWKG'!B2741</f>
        <v>655542674</v>
      </c>
      <c r="C1004" s="1723">
        <f>+'Anlage 3a_Zusammenfassung_KWKG'!C2741</f>
        <v>0</v>
      </c>
      <c r="D1004" s="854">
        <f t="shared" si="35"/>
        <v>655542674</v>
      </c>
    </row>
    <row r="1005" spans="1:4" hidden="1" outlineLevel="2">
      <c r="A1005" s="853" t="str">
        <f>+'Anlage 3a_Zusammenfassung_KWKG'!A2742</f>
        <v>SNB960729432592</v>
      </c>
      <c r="B1005" s="754">
        <f>+'Anlage 3a_Zusammenfassung_KWKG'!B2742</f>
        <v>14333442</v>
      </c>
      <c r="C1005" s="1723">
        <f>+'Anlage 3a_Zusammenfassung_KWKG'!C2742</f>
        <v>1202929</v>
      </c>
      <c r="D1005" s="854">
        <f t="shared" si="35"/>
        <v>15536371</v>
      </c>
    </row>
    <row r="1006" spans="1:4" hidden="1" outlineLevel="2">
      <c r="A1006" s="853" t="str">
        <f>+'Anlage 3a_Zusammenfassung_KWKG'!A2743</f>
        <v>SNB952677840789</v>
      </c>
      <c r="B1006" s="754">
        <f>+'Anlage 3a_Zusammenfassung_KWKG'!B2743</f>
        <v>86046827</v>
      </c>
      <c r="C1006" s="1723">
        <f>+'Anlage 3a_Zusammenfassung_KWKG'!C2743</f>
        <v>268189</v>
      </c>
      <c r="D1006" s="854">
        <f t="shared" si="35"/>
        <v>86315016</v>
      </c>
    </row>
    <row r="1007" spans="1:4" hidden="1" outlineLevel="2">
      <c r="A1007" s="853" t="str">
        <f>+'Anlage 3a_Zusammenfassung_KWKG'!A2744</f>
        <v>SNB944962954653</v>
      </c>
      <c r="B1007" s="754">
        <f>+'Anlage 3a_Zusammenfassung_KWKG'!B2744</f>
        <v>28027359</v>
      </c>
      <c r="C1007" s="1723">
        <f>+'Anlage 3a_Zusammenfassung_KWKG'!C2744</f>
        <v>-252945</v>
      </c>
      <c r="D1007" s="854">
        <f t="shared" si="35"/>
        <v>27774414</v>
      </c>
    </row>
    <row r="1008" spans="1:4" hidden="1" outlineLevel="2">
      <c r="A1008" s="853" t="str">
        <f>+'Anlage 3a_Zusammenfassung_KWKG'!A2745</f>
        <v>SNB946612539746</v>
      </c>
      <c r="B1008" s="754">
        <f>+'Anlage 3a_Zusammenfassung_KWKG'!B2745</f>
        <v>75733200</v>
      </c>
      <c r="C1008" s="1723">
        <f>+'Anlage 3a_Zusammenfassung_KWKG'!C2745</f>
        <v>-1534867</v>
      </c>
      <c r="D1008" s="854">
        <f t="shared" si="35"/>
        <v>74198333</v>
      </c>
    </row>
    <row r="1009" spans="1:4" hidden="1" outlineLevel="2">
      <c r="A1009" s="853" t="str">
        <f>+'Anlage 3a_Zusammenfassung_KWKG'!A2746</f>
        <v>SNB964659661008</v>
      </c>
      <c r="B1009" s="754">
        <f>+'Anlage 3a_Zusammenfassung_KWKG'!B2746</f>
        <v>80729128</v>
      </c>
      <c r="C1009" s="1723">
        <f>+'Anlage 3a_Zusammenfassung_KWKG'!C2746</f>
        <v>0</v>
      </c>
      <c r="D1009" s="854">
        <f t="shared" si="35"/>
        <v>80729128</v>
      </c>
    </row>
    <row r="1010" spans="1:4" hidden="1" outlineLevel="2">
      <c r="A1010" s="853" t="str">
        <f>+'Anlage 3a_Zusammenfassung_KWKG'!A2747</f>
        <v>SNB974763887737</v>
      </c>
      <c r="B1010" s="754">
        <f>+'Anlage 3a_Zusammenfassung_KWKG'!B2747</f>
        <v>34430773</v>
      </c>
      <c r="C1010" s="1723">
        <f>+'Anlage 3a_Zusammenfassung_KWKG'!C2747</f>
        <v>0</v>
      </c>
      <c r="D1010" s="854">
        <f t="shared" si="35"/>
        <v>34430773</v>
      </c>
    </row>
    <row r="1011" spans="1:4" hidden="1" outlineLevel="2">
      <c r="A1011" s="853" t="str">
        <f>+'Anlage 3a_Zusammenfassung_KWKG'!A2748</f>
        <v>SNB945861817537</v>
      </c>
      <c r="B1011" s="754">
        <f>+'Anlage 3a_Zusammenfassung_KWKG'!B2748</f>
        <v>607487115</v>
      </c>
      <c r="C1011" s="1723">
        <f>+'Anlage 3a_Zusammenfassung_KWKG'!C2748</f>
        <v>438779</v>
      </c>
      <c r="D1011" s="854">
        <f t="shared" si="35"/>
        <v>607925894</v>
      </c>
    </row>
    <row r="1012" spans="1:4" hidden="1" outlineLevel="2">
      <c r="A1012" s="853" t="str">
        <f>+'Anlage 3a_Zusammenfassung_KWKG'!A2749</f>
        <v>SNB934984130722</v>
      </c>
      <c r="B1012" s="754">
        <f>+'Anlage 3a_Zusammenfassung_KWKG'!B2749</f>
        <v>39787951</v>
      </c>
      <c r="C1012" s="1723">
        <f>+'Anlage 3a_Zusammenfassung_KWKG'!C2749</f>
        <v>-324358</v>
      </c>
      <c r="D1012" s="854">
        <f t="shared" si="35"/>
        <v>39463593</v>
      </c>
    </row>
    <row r="1013" spans="1:4" hidden="1" outlineLevel="2">
      <c r="A1013" s="853" t="str">
        <f>+'Anlage 3a_Zusammenfassung_KWKG'!A2750</f>
        <v>SNB948859455841</v>
      </c>
      <c r="B1013" s="754">
        <f>+'Anlage 3a_Zusammenfassung_KWKG'!B2750</f>
        <v>1654597390</v>
      </c>
      <c r="C1013" s="1723">
        <f>+'Anlage 3a_Zusammenfassung_KWKG'!C2750</f>
        <v>0</v>
      </c>
      <c r="D1013" s="854">
        <f t="shared" si="35"/>
        <v>1654597390</v>
      </c>
    </row>
    <row r="1014" spans="1:4" hidden="1" outlineLevel="2">
      <c r="A1014" s="853" t="str">
        <f>+'Anlage 3a_Zusammenfassung_KWKG'!A2751</f>
        <v>SNB926470799582</v>
      </c>
      <c r="B1014" s="754">
        <f>+'Anlage 3a_Zusammenfassung_KWKG'!B2751</f>
        <v>40347109</v>
      </c>
      <c r="C1014" s="1723">
        <f>+'Anlage 3a_Zusammenfassung_KWKG'!C2751</f>
        <v>417668</v>
      </c>
      <c r="D1014" s="854">
        <f t="shared" si="35"/>
        <v>40764777</v>
      </c>
    </row>
    <row r="1015" spans="1:4" hidden="1" outlineLevel="2">
      <c r="A1015" s="853" t="str">
        <f>+'Anlage 3a_Zusammenfassung_KWKG'!A2752</f>
        <v>SNB915358347793</v>
      </c>
      <c r="B1015" s="754">
        <f>+'Anlage 3a_Zusammenfassung_KWKG'!B2752</f>
        <v>24145351</v>
      </c>
      <c r="C1015" s="1723">
        <f>+'Anlage 3a_Zusammenfassung_KWKG'!C2752</f>
        <v>0</v>
      </c>
      <c r="D1015" s="854">
        <f t="shared" si="35"/>
        <v>24145351</v>
      </c>
    </row>
    <row r="1016" spans="1:4" hidden="1" outlineLevel="2">
      <c r="A1016" s="853" t="str">
        <f>+'Anlage 3a_Zusammenfassung_KWKG'!A2753</f>
        <v>SNB922689183730</v>
      </c>
      <c r="B1016" s="754">
        <f>+'Anlage 3a_Zusammenfassung_KWKG'!B2753</f>
        <v>98488346</v>
      </c>
      <c r="C1016" s="1723">
        <f>+'Anlage 3a_Zusammenfassung_KWKG'!C2753</f>
        <v>315210</v>
      </c>
      <c r="D1016" s="854">
        <f t="shared" si="35"/>
        <v>98803556</v>
      </c>
    </row>
    <row r="1017" spans="1:4" hidden="1" outlineLevel="2">
      <c r="A1017" s="853" t="str">
        <f>+'Anlage 3a_Zusammenfassung_KWKG'!A2754</f>
        <v>SNB943531720705</v>
      </c>
      <c r="B1017" s="754">
        <f>+'Anlage 3a_Zusammenfassung_KWKG'!B2754</f>
        <v>61584327</v>
      </c>
      <c r="C1017" s="1723">
        <f>+'Anlage 3a_Zusammenfassung_KWKG'!C2754</f>
        <v>0</v>
      </c>
      <c r="D1017" s="854">
        <f t="shared" si="35"/>
        <v>61584327</v>
      </c>
    </row>
    <row r="1018" spans="1:4" hidden="1" outlineLevel="2">
      <c r="A1018" s="853" t="str">
        <f>+'Anlage 3a_Zusammenfassung_KWKG'!A2755</f>
        <v>SNB983765888505</v>
      </c>
      <c r="B1018" s="754">
        <f>+'Anlage 3a_Zusammenfassung_KWKG'!B2755</f>
        <v>52568727</v>
      </c>
      <c r="C1018" s="1723">
        <f>+'Anlage 3a_Zusammenfassung_KWKG'!C2755</f>
        <v>0</v>
      </c>
      <c r="D1018" s="854">
        <f t="shared" si="35"/>
        <v>52568727</v>
      </c>
    </row>
    <row r="1019" spans="1:4" hidden="1" outlineLevel="2">
      <c r="A1019" s="853" t="str">
        <f>+'Anlage 3a_Zusammenfassung_KWKG'!A2756</f>
        <v>SNB928200943784</v>
      </c>
      <c r="B1019" s="754">
        <f>+'Anlage 3a_Zusammenfassung_KWKG'!B2756</f>
        <v>36665277</v>
      </c>
      <c r="C1019" s="1723">
        <f>+'Anlage 3a_Zusammenfassung_KWKG'!C2756</f>
        <v>-122577</v>
      </c>
      <c r="D1019" s="854">
        <f t="shared" si="35"/>
        <v>36542700</v>
      </c>
    </row>
    <row r="1020" spans="1:4" hidden="1" outlineLevel="2">
      <c r="A1020" s="853" t="str">
        <f>+'Anlage 3a_Zusammenfassung_KWKG'!A2757</f>
        <v>SNB946425570127</v>
      </c>
      <c r="B1020" s="754">
        <f>+'Anlage 3a_Zusammenfassung_KWKG'!B2757</f>
        <v>125556018</v>
      </c>
      <c r="C1020" s="1723">
        <f>+'Anlage 3a_Zusammenfassung_KWKG'!C2757</f>
        <v>-96081</v>
      </c>
      <c r="D1020" s="854">
        <f t="shared" si="35"/>
        <v>125459937</v>
      </c>
    </row>
    <row r="1021" spans="1:4" hidden="1" outlineLevel="2">
      <c r="A1021" s="853" t="str">
        <f>+'Anlage 3a_Zusammenfassung_KWKG'!A2758</f>
        <v>SNB932107297727</v>
      </c>
      <c r="B1021" s="754">
        <f>+'Anlage 3a_Zusammenfassung_KWKG'!B2758</f>
        <v>248164151</v>
      </c>
      <c r="C1021" s="1723">
        <f>+'Anlage 3a_Zusammenfassung_KWKG'!C2758</f>
        <v>-892583</v>
      </c>
      <c r="D1021" s="854">
        <f t="shared" si="35"/>
        <v>247271568</v>
      </c>
    </row>
    <row r="1022" spans="1:4" hidden="1" outlineLevel="2">
      <c r="A1022" s="853" t="str">
        <f>+'Anlage 3a_Zusammenfassung_KWKG'!A2759</f>
        <v>SNB933459598975</v>
      </c>
      <c r="B1022" s="754">
        <f>+'Anlage 3a_Zusammenfassung_KWKG'!B2759</f>
        <v>750584196</v>
      </c>
      <c r="C1022" s="1723">
        <f>+'Anlage 3a_Zusammenfassung_KWKG'!C2759</f>
        <v>0</v>
      </c>
      <c r="D1022" s="854">
        <f t="shared" si="35"/>
        <v>750584196</v>
      </c>
    </row>
    <row r="1023" spans="1:4" hidden="1" outlineLevel="2">
      <c r="A1023" s="853" t="str">
        <f>+'Anlage 3a_Zusammenfassung_KWKG'!A2760</f>
        <v>SNB948470226516</v>
      </c>
      <c r="B1023" s="754">
        <f>+'Anlage 3a_Zusammenfassung_KWKG'!B2760</f>
        <v>19359716</v>
      </c>
      <c r="C1023" s="1723">
        <f>+'Anlage 3a_Zusammenfassung_KWKG'!C2760</f>
        <v>0</v>
      </c>
      <c r="D1023" s="854">
        <f t="shared" si="35"/>
        <v>19359716</v>
      </c>
    </row>
    <row r="1024" spans="1:4" hidden="1" outlineLevel="2">
      <c r="A1024" s="853" t="str">
        <f>+'Anlage 3a_Zusammenfassung_KWKG'!A2761</f>
        <v>SNB918070278383</v>
      </c>
      <c r="B1024" s="754">
        <f>+'Anlage 3a_Zusammenfassung_KWKG'!B2761</f>
        <v>64460140</v>
      </c>
      <c r="C1024" s="1723">
        <f>+'Anlage 3a_Zusammenfassung_KWKG'!C2761</f>
        <v>0</v>
      </c>
      <c r="D1024" s="854">
        <f t="shared" si="35"/>
        <v>64460140</v>
      </c>
    </row>
    <row r="1025" spans="1:4" hidden="1" outlineLevel="2">
      <c r="A1025" s="853" t="str">
        <f>+'Anlage 3a_Zusammenfassung_KWKG'!A2762</f>
        <v>SNB925883927308</v>
      </c>
      <c r="B1025" s="754">
        <f>+'Anlage 3a_Zusammenfassung_KWKG'!B2762</f>
        <v>80908456</v>
      </c>
      <c r="C1025" s="1723">
        <f>+'Anlage 3a_Zusammenfassung_KWKG'!C2762</f>
        <v>1504858.9999999998</v>
      </c>
      <c r="D1025" s="854">
        <f t="shared" si="35"/>
        <v>82413315</v>
      </c>
    </row>
    <row r="1026" spans="1:4" hidden="1" outlineLevel="2">
      <c r="A1026" s="853" t="str">
        <f>+'Anlage 3a_Zusammenfassung_KWKG'!A2763</f>
        <v>SNB914103081760</v>
      </c>
      <c r="B1026" s="754">
        <f>+'Anlage 3a_Zusammenfassung_KWKG'!B2763</f>
        <v>87652868</v>
      </c>
      <c r="C1026" s="1723">
        <f>+'Anlage 3a_Zusammenfassung_KWKG'!C2763</f>
        <v>1777457</v>
      </c>
      <c r="D1026" s="854">
        <f t="shared" si="35"/>
        <v>89430325</v>
      </c>
    </row>
    <row r="1027" spans="1:4" hidden="1" outlineLevel="2">
      <c r="A1027" s="853" t="str">
        <f>+'Anlage 3a_Zusammenfassung_KWKG'!A2764</f>
        <v>SNB913006238462</v>
      </c>
      <c r="B1027" s="754">
        <f>+'Anlage 3a_Zusammenfassung_KWKG'!B2764</f>
        <v>82844273</v>
      </c>
      <c r="C1027" s="1723">
        <f>+'Anlage 3a_Zusammenfassung_KWKG'!C2764</f>
        <v>894371</v>
      </c>
      <c r="D1027" s="854">
        <f t="shared" si="35"/>
        <v>83738644</v>
      </c>
    </row>
    <row r="1028" spans="1:4" hidden="1" outlineLevel="2">
      <c r="A1028" s="853" t="str">
        <f>+'Anlage 3a_Zusammenfassung_KWKG'!A2765</f>
        <v>SNB931986174853</v>
      </c>
      <c r="B1028" s="754">
        <f>+'Anlage 3a_Zusammenfassung_KWKG'!B2765</f>
        <v>95502809</v>
      </c>
      <c r="C1028" s="1723">
        <f>+'Anlage 3a_Zusammenfassung_KWKG'!C2765</f>
        <v>0</v>
      </c>
      <c r="D1028" s="854">
        <f t="shared" si="35"/>
        <v>95502809</v>
      </c>
    </row>
    <row r="1029" spans="1:4" hidden="1" outlineLevel="2">
      <c r="A1029" s="853" t="str">
        <f>+'Anlage 3a_Zusammenfassung_KWKG'!A2766</f>
        <v>SNB978071940108</v>
      </c>
      <c r="B1029" s="754">
        <f>+'Anlage 3a_Zusammenfassung_KWKG'!B2766</f>
        <v>67403540</v>
      </c>
      <c r="C1029" s="1723">
        <f>+'Anlage 3a_Zusammenfassung_KWKG'!C2766</f>
        <v>175475</v>
      </c>
      <c r="D1029" s="854">
        <f t="shared" si="35"/>
        <v>67579015</v>
      </c>
    </row>
    <row r="1030" spans="1:4" hidden="1" outlineLevel="2">
      <c r="A1030" s="853" t="str">
        <f>+'Anlage 3a_Zusammenfassung_KWKG'!A2767</f>
        <v>SNB939624707241</v>
      </c>
      <c r="B1030" s="754">
        <f>+'Anlage 3a_Zusammenfassung_KWKG'!B2767</f>
        <v>176531176</v>
      </c>
      <c r="C1030" s="1723">
        <f>+'Anlage 3a_Zusammenfassung_KWKG'!C2767</f>
        <v>0</v>
      </c>
      <c r="D1030" s="854">
        <f t="shared" si="35"/>
        <v>176531176</v>
      </c>
    </row>
    <row r="1031" spans="1:4" hidden="1" outlineLevel="2">
      <c r="A1031" s="853" t="str">
        <f>+'Anlage 3a_Zusammenfassung_KWKG'!A2768</f>
        <v>SNB920348005966</v>
      </c>
      <c r="B1031" s="754">
        <f>+'Anlage 3a_Zusammenfassung_KWKG'!B2768</f>
        <v>113605189</v>
      </c>
      <c r="C1031" s="1723">
        <f>+'Anlage 3a_Zusammenfassung_KWKG'!C2768</f>
        <v>-48799</v>
      </c>
      <c r="D1031" s="854">
        <f t="shared" si="35"/>
        <v>113556390</v>
      </c>
    </row>
    <row r="1032" spans="1:4" hidden="1" outlineLevel="2">
      <c r="A1032" s="853" t="str">
        <f>+'Anlage 3a_Zusammenfassung_KWKG'!A2769</f>
        <v>SNB931294328658</v>
      </c>
      <c r="B1032" s="754">
        <f>+'Anlage 3a_Zusammenfassung_KWKG'!B2769</f>
        <v>27628523</v>
      </c>
      <c r="C1032" s="1723">
        <f>+'Anlage 3a_Zusammenfassung_KWKG'!C2769</f>
        <v>-25170</v>
      </c>
      <c r="D1032" s="854">
        <f t="shared" si="35"/>
        <v>27603353</v>
      </c>
    </row>
    <row r="1033" spans="1:4" hidden="1" outlineLevel="2">
      <c r="A1033" s="853" t="str">
        <f>+'Anlage 3a_Zusammenfassung_KWKG'!A2770</f>
        <v>SNB914630088973</v>
      </c>
      <c r="B1033" s="754">
        <f>+'Anlage 3a_Zusammenfassung_KWKG'!B2770</f>
        <v>53625067</v>
      </c>
      <c r="C1033" s="1723">
        <f>+'Anlage 3a_Zusammenfassung_KWKG'!C2770</f>
        <v>0</v>
      </c>
      <c r="D1033" s="854">
        <f t="shared" si="35"/>
        <v>53625067</v>
      </c>
    </row>
    <row r="1034" spans="1:4" hidden="1" outlineLevel="2">
      <c r="A1034" s="853" t="str">
        <f>+'Anlage 3a_Zusammenfassung_KWKG'!A2771</f>
        <v>SNB961943991735</v>
      </c>
      <c r="B1034" s="754">
        <f>+'Anlage 3a_Zusammenfassung_KWKG'!B2771</f>
        <v>34217532</v>
      </c>
      <c r="C1034" s="1723">
        <f>+'Anlage 3a_Zusammenfassung_KWKG'!C2771</f>
        <v>0</v>
      </c>
      <c r="D1034" s="854">
        <f t="shared" si="35"/>
        <v>34217532</v>
      </c>
    </row>
    <row r="1035" spans="1:4" hidden="1" outlineLevel="2">
      <c r="A1035" s="853" t="str">
        <f>+'Anlage 3a_Zusammenfassung_KWKG'!A2772</f>
        <v>SNB959176447266</v>
      </c>
      <c r="B1035" s="754">
        <f>+'Anlage 3a_Zusammenfassung_KWKG'!B2772</f>
        <v>143282027</v>
      </c>
      <c r="C1035" s="1723">
        <f>+'Anlage 3a_Zusammenfassung_KWKG'!C2772</f>
        <v>0</v>
      </c>
      <c r="D1035" s="854">
        <f t="shared" si="35"/>
        <v>143282027</v>
      </c>
    </row>
    <row r="1036" spans="1:4" hidden="1" outlineLevel="2">
      <c r="A1036" s="853" t="str">
        <f>+'Anlage 3a_Zusammenfassung_KWKG'!A2773</f>
        <v>SNB941314694489</v>
      </c>
      <c r="B1036" s="754">
        <f>+'Anlage 3a_Zusammenfassung_KWKG'!B2773</f>
        <v>33122230</v>
      </c>
      <c r="C1036" s="1723">
        <f>+'Anlage 3a_Zusammenfassung_KWKG'!C2773</f>
        <v>-48265</v>
      </c>
      <c r="D1036" s="854">
        <f t="shared" si="35"/>
        <v>33073965</v>
      </c>
    </row>
    <row r="1037" spans="1:4" hidden="1" outlineLevel="2">
      <c r="A1037" s="853" t="str">
        <f>+'Anlage 3a_Zusammenfassung_KWKG'!A2774</f>
        <v>SNB991836941189</v>
      </c>
      <c r="B1037" s="754">
        <f>+'Anlage 3a_Zusammenfassung_KWKG'!B2774</f>
        <v>36540915</v>
      </c>
      <c r="C1037" s="1723">
        <f>+'Anlage 3a_Zusammenfassung_KWKG'!C2774</f>
        <v>0</v>
      </c>
      <c r="D1037" s="854">
        <f t="shared" si="35"/>
        <v>36540915</v>
      </c>
    </row>
    <row r="1038" spans="1:4" hidden="1" outlineLevel="2">
      <c r="A1038" s="853" t="str">
        <f>+'Anlage 3a_Zusammenfassung_KWKG'!A2775</f>
        <v>SNB951105240061</v>
      </c>
      <c r="B1038" s="754">
        <f>+'Anlage 3a_Zusammenfassung_KWKG'!B2775</f>
        <v>196451747</v>
      </c>
      <c r="C1038" s="1723">
        <f>+'Anlage 3a_Zusammenfassung_KWKG'!C2775</f>
        <v>872409</v>
      </c>
      <c r="D1038" s="854">
        <f t="shared" si="35"/>
        <v>197324156</v>
      </c>
    </row>
    <row r="1039" spans="1:4" hidden="1" outlineLevel="2">
      <c r="A1039" s="853" t="str">
        <f>+'Anlage 3a_Zusammenfassung_KWKG'!A2776</f>
        <v>SNB987317008403</v>
      </c>
      <c r="B1039" s="754">
        <f>+'Anlage 3a_Zusammenfassung_KWKG'!B2776</f>
        <v>40175114</v>
      </c>
      <c r="C1039" s="1723">
        <f>+'Anlage 3a_Zusammenfassung_KWKG'!C2776</f>
        <v>-967678</v>
      </c>
      <c r="D1039" s="854">
        <f t="shared" si="35"/>
        <v>39207436</v>
      </c>
    </row>
    <row r="1040" spans="1:4" hidden="1" outlineLevel="2">
      <c r="A1040" s="853" t="str">
        <f>+'Anlage 3a_Zusammenfassung_KWKG'!A2777</f>
        <v>SNB999125588145</v>
      </c>
      <c r="B1040" s="754">
        <f>+'Anlage 3a_Zusammenfassung_KWKG'!B2777</f>
        <v>52820352</v>
      </c>
      <c r="C1040" s="1723">
        <f>+'Anlage 3a_Zusammenfassung_KWKG'!C2777</f>
        <v>245316</v>
      </c>
      <c r="D1040" s="854">
        <f t="shared" si="35"/>
        <v>53065668</v>
      </c>
    </row>
    <row r="1041" spans="1:4" hidden="1" outlineLevel="2">
      <c r="A1041" s="853" t="str">
        <f>+'Anlage 3a_Zusammenfassung_KWKG'!A2778</f>
        <v>SNB961833910969</v>
      </c>
      <c r="B1041" s="754">
        <f>+'Anlage 3a_Zusammenfassung_KWKG'!B2778</f>
        <v>36383903</v>
      </c>
      <c r="C1041" s="1723">
        <f>+'Anlage 3a_Zusammenfassung_KWKG'!C2778</f>
        <v>0</v>
      </c>
      <c r="D1041" s="854">
        <f t="shared" si="35"/>
        <v>36383903</v>
      </c>
    </row>
    <row r="1042" spans="1:4" hidden="1" outlineLevel="2">
      <c r="A1042" s="853" t="str">
        <f>+'Anlage 3a_Zusammenfassung_KWKG'!A2779</f>
        <v>SNB927925826730</v>
      </c>
      <c r="B1042" s="754">
        <f>+'Anlage 3a_Zusammenfassung_KWKG'!B2779</f>
        <v>113794298</v>
      </c>
      <c r="C1042" s="1723">
        <f>+'Anlage 3a_Zusammenfassung_KWKG'!C2779</f>
        <v>339909</v>
      </c>
      <c r="D1042" s="854">
        <f t="shared" si="35"/>
        <v>114134207</v>
      </c>
    </row>
    <row r="1043" spans="1:4" hidden="1" outlineLevel="2">
      <c r="A1043" s="853" t="str">
        <f>+'Anlage 3a_Zusammenfassung_KWKG'!A2780</f>
        <v>SNB977641826996</v>
      </c>
      <c r="B1043" s="754">
        <f>+'Anlage 3a_Zusammenfassung_KWKG'!B2780</f>
        <v>188529715</v>
      </c>
      <c r="C1043" s="1723">
        <f>+'Anlage 3a_Zusammenfassung_KWKG'!C2780</f>
        <v>-1217412</v>
      </c>
      <c r="D1043" s="854">
        <f t="shared" si="35"/>
        <v>187312303</v>
      </c>
    </row>
    <row r="1044" spans="1:4" hidden="1" outlineLevel="2">
      <c r="A1044" s="853" t="str">
        <f>+'Anlage 3a_Zusammenfassung_KWKG'!A2781</f>
        <v>SNB929027950139</v>
      </c>
      <c r="B1044" s="754">
        <f>+'Anlage 3a_Zusammenfassung_KWKG'!B2781</f>
        <v>531207532</v>
      </c>
      <c r="C1044" s="1723">
        <f>+'Anlage 3a_Zusammenfassung_KWKG'!C2781</f>
        <v>5446098</v>
      </c>
      <c r="D1044" s="854">
        <f t="shared" si="35"/>
        <v>536653630</v>
      </c>
    </row>
    <row r="1045" spans="1:4" hidden="1" outlineLevel="2">
      <c r="A1045" s="853" t="str">
        <f>+'Anlage 3a_Zusammenfassung_KWKG'!A2782</f>
        <v>SNB941283828373</v>
      </c>
      <c r="B1045" s="754">
        <f>+'Anlage 3a_Zusammenfassung_KWKG'!B2782</f>
        <v>60013088</v>
      </c>
      <c r="C1045" s="1723">
        <f>+'Anlage 3a_Zusammenfassung_KWKG'!C2782</f>
        <v>0</v>
      </c>
      <c r="D1045" s="854">
        <f t="shared" si="35"/>
        <v>60013088</v>
      </c>
    </row>
    <row r="1046" spans="1:4" hidden="1" outlineLevel="2">
      <c r="A1046" s="853" t="str">
        <f>+'Anlage 3a_Zusammenfassung_KWKG'!A2783</f>
        <v>SNB988532040636</v>
      </c>
      <c r="B1046" s="754">
        <f>+'Anlage 3a_Zusammenfassung_KWKG'!B2783</f>
        <v>29526968</v>
      </c>
      <c r="C1046" s="1723">
        <f>+'Anlage 3a_Zusammenfassung_KWKG'!C2783</f>
        <v>0</v>
      </c>
      <c r="D1046" s="854">
        <f t="shared" si="35"/>
        <v>29526968</v>
      </c>
    </row>
    <row r="1047" spans="1:4" hidden="1" outlineLevel="2">
      <c r="A1047" s="853" t="str">
        <f>+'Anlage 3a_Zusammenfassung_KWKG'!A2784</f>
        <v>SNB922354559020</v>
      </c>
      <c r="B1047" s="754">
        <f>+'Anlage 3a_Zusammenfassung_KWKG'!B2784</f>
        <v>27740280</v>
      </c>
      <c r="C1047" s="1723">
        <f>+'Anlage 3a_Zusammenfassung_KWKG'!C2784</f>
        <v>0</v>
      </c>
      <c r="D1047" s="854">
        <f t="shared" si="35"/>
        <v>27740280</v>
      </c>
    </row>
    <row r="1048" spans="1:4" hidden="1" outlineLevel="2">
      <c r="A1048" s="853" t="str">
        <f>+'Anlage 3a_Zusammenfassung_KWKG'!A2785</f>
        <v>SNB970223838288</v>
      </c>
      <c r="B1048" s="754">
        <f>+'Anlage 3a_Zusammenfassung_KWKG'!B2785</f>
        <v>83857348</v>
      </c>
      <c r="C1048" s="1723">
        <f>+'Anlage 3a_Zusammenfassung_KWKG'!C2785</f>
        <v>0</v>
      </c>
      <c r="D1048" s="854">
        <f t="shared" si="35"/>
        <v>83857348</v>
      </c>
    </row>
    <row r="1049" spans="1:4" hidden="1" outlineLevel="2">
      <c r="A1049" s="853" t="str">
        <f>+'Anlage 3a_Zusammenfassung_KWKG'!A2786</f>
        <v>SNB959567240391</v>
      </c>
      <c r="B1049" s="754">
        <f>+'Anlage 3a_Zusammenfassung_KWKG'!B2786</f>
        <v>52884536</v>
      </c>
      <c r="C1049" s="1723">
        <f>+'Anlage 3a_Zusammenfassung_KWKG'!C2786</f>
        <v>0</v>
      </c>
      <c r="D1049" s="854">
        <f t="shared" si="35"/>
        <v>52884536</v>
      </c>
    </row>
    <row r="1050" spans="1:4" hidden="1" outlineLevel="2">
      <c r="A1050" s="853" t="str">
        <f>+'Anlage 3a_Zusammenfassung_KWKG'!A2787</f>
        <v>SNB936940951426</v>
      </c>
      <c r="B1050" s="754">
        <f>+'Anlage 3a_Zusammenfassung_KWKG'!B2787</f>
        <v>57182478</v>
      </c>
      <c r="C1050" s="1723">
        <f>+'Anlage 3a_Zusammenfassung_KWKG'!C2787</f>
        <v>-63080</v>
      </c>
      <c r="D1050" s="854">
        <f t="shared" si="35"/>
        <v>57119398</v>
      </c>
    </row>
    <row r="1051" spans="1:4" hidden="1" outlineLevel="2">
      <c r="A1051" s="853" t="str">
        <f>+'Anlage 3a_Zusammenfassung_KWKG'!A2788</f>
        <v>SNB951305396193</v>
      </c>
      <c r="B1051" s="754">
        <f>+'Anlage 3a_Zusammenfassung_KWKG'!B2788</f>
        <v>81641762</v>
      </c>
      <c r="C1051" s="1723">
        <f>+'Anlage 3a_Zusammenfassung_KWKG'!C2788</f>
        <v>131427</v>
      </c>
      <c r="D1051" s="854">
        <f t="shared" si="35"/>
        <v>81773189</v>
      </c>
    </row>
    <row r="1052" spans="1:4" hidden="1" outlineLevel="2">
      <c r="A1052" s="853" t="str">
        <f>+'Anlage 3a_Zusammenfassung_KWKG'!A2789</f>
        <v>SNB939724292715</v>
      </c>
      <c r="B1052" s="754">
        <f>+'Anlage 3a_Zusammenfassung_KWKG'!B2789</f>
        <v>658283552</v>
      </c>
      <c r="C1052" s="1723">
        <f>+'Anlage 3a_Zusammenfassung_KWKG'!C2789</f>
        <v>2716298</v>
      </c>
      <c r="D1052" s="854">
        <f t="shared" si="35"/>
        <v>660999850</v>
      </c>
    </row>
    <row r="1053" spans="1:4" hidden="1" outlineLevel="2">
      <c r="A1053" s="853" t="str">
        <f>+'Anlage 3a_Zusammenfassung_KWKG'!A2790</f>
        <v>SNB953495670831</v>
      </c>
      <c r="B1053" s="754">
        <f>+'Anlage 3a_Zusammenfassung_KWKG'!B2790</f>
        <v>75202859</v>
      </c>
      <c r="C1053" s="1723">
        <f>+'Anlage 3a_Zusammenfassung_KWKG'!C2790</f>
        <v>0</v>
      </c>
      <c r="D1053" s="854">
        <f t="shared" si="35"/>
        <v>75202859</v>
      </c>
    </row>
    <row r="1054" spans="1:4" hidden="1" outlineLevel="2">
      <c r="A1054" s="853" t="str">
        <f>+'Anlage 3a_Zusammenfassung_KWKG'!A2791</f>
        <v>SNB958237843443</v>
      </c>
      <c r="B1054" s="754">
        <f>+'Anlage 3a_Zusammenfassung_KWKG'!B2791</f>
        <v>73439969</v>
      </c>
      <c r="C1054" s="1723">
        <f>+'Anlage 3a_Zusammenfassung_KWKG'!C2791</f>
        <v>-342890</v>
      </c>
      <c r="D1054" s="854">
        <f t="shared" si="35"/>
        <v>73097079</v>
      </c>
    </row>
    <row r="1055" spans="1:4" hidden="1" outlineLevel="2">
      <c r="A1055" s="853" t="str">
        <f>+'Anlage 3a_Zusammenfassung_KWKG'!A2792</f>
        <v>SNB922861338965</v>
      </c>
      <c r="B1055" s="754">
        <f>+'Anlage 3a_Zusammenfassung_KWKG'!B2792</f>
        <v>78677451</v>
      </c>
      <c r="C1055" s="1723">
        <f>+'Anlage 3a_Zusammenfassung_KWKG'!C2792</f>
        <v>0</v>
      </c>
      <c r="D1055" s="854">
        <f t="shared" si="35"/>
        <v>78677451</v>
      </c>
    </row>
    <row r="1056" spans="1:4" hidden="1" outlineLevel="2">
      <c r="A1056" s="853" t="str">
        <f>+'Anlage 3a_Zusammenfassung_KWKG'!A2793</f>
        <v>SNB981597332487</v>
      </c>
      <c r="B1056" s="754">
        <f>+'Anlage 3a_Zusammenfassung_KWKG'!B2793</f>
        <v>4456331</v>
      </c>
      <c r="C1056" s="1723">
        <f>+'Anlage 3a_Zusammenfassung_KWKG'!C2793</f>
        <v>0</v>
      </c>
      <c r="D1056" s="854">
        <f t="shared" si="35"/>
        <v>4456331</v>
      </c>
    </row>
    <row r="1057" spans="1:4" hidden="1" outlineLevel="2">
      <c r="A1057" s="853" t="str">
        <f>+'Anlage 3a_Zusammenfassung_KWKG'!A2794</f>
        <v>SNB942159258331</v>
      </c>
      <c r="B1057" s="754">
        <f>+'Anlage 3a_Zusammenfassung_KWKG'!B2794</f>
        <v>86422412</v>
      </c>
      <c r="C1057" s="1723">
        <f>+'Anlage 3a_Zusammenfassung_KWKG'!C2794</f>
        <v>-194875</v>
      </c>
      <c r="D1057" s="854">
        <f t="shared" si="35"/>
        <v>86227537</v>
      </c>
    </row>
    <row r="1058" spans="1:4" hidden="1" outlineLevel="2">
      <c r="A1058" s="853" t="str">
        <f>+'Anlage 3a_Zusammenfassung_KWKG'!A2795</f>
        <v>SNB919985327685</v>
      </c>
      <c r="B1058" s="754">
        <f>+'Anlage 3a_Zusammenfassung_KWKG'!B2795</f>
        <v>22926723</v>
      </c>
      <c r="C1058" s="1723">
        <f>+'Anlage 3a_Zusammenfassung_KWKG'!C2795</f>
        <v>0</v>
      </c>
      <c r="D1058" s="854">
        <f t="shared" si="35"/>
        <v>22926723</v>
      </c>
    </row>
    <row r="1059" spans="1:4" hidden="1" outlineLevel="2">
      <c r="A1059" s="853" t="str">
        <f>+'Anlage 3a_Zusammenfassung_KWKG'!A2796</f>
        <v>SNB979429791342</v>
      </c>
      <c r="B1059" s="754">
        <f>+'Anlage 3a_Zusammenfassung_KWKG'!B2796</f>
        <v>59695915</v>
      </c>
      <c r="C1059" s="1723">
        <f>+'Anlage 3a_Zusammenfassung_KWKG'!C2796</f>
        <v>0</v>
      </c>
      <c r="D1059" s="854">
        <f t="shared" ref="D1059:D1096" si="36">SUM(B1059:C1059)</f>
        <v>59695915</v>
      </c>
    </row>
    <row r="1060" spans="1:4" hidden="1" outlineLevel="2">
      <c r="A1060" s="853" t="str">
        <f>+'Anlage 3a_Zusammenfassung_KWKG'!A2797</f>
        <v>SNB936461984224</v>
      </c>
      <c r="B1060" s="754">
        <f>+'Anlage 3a_Zusammenfassung_KWKG'!B2797</f>
        <v>119422640</v>
      </c>
      <c r="C1060" s="1723">
        <f>+'Anlage 3a_Zusammenfassung_KWKG'!C2797</f>
        <v>-244902</v>
      </c>
      <c r="D1060" s="854">
        <f t="shared" si="36"/>
        <v>119177738</v>
      </c>
    </row>
    <row r="1061" spans="1:4" hidden="1" outlineLevel="2">
      <c r="A1061" s="853" t="str">
        <f>+'Anlage 3a_Zusammenfassung_KWKG'!A2798</f>
        <v>SNB985072256732</v>
      </c>
      <c r="B1061" s="754">
        <f>+'Anlage 3a_Zusammenfassung_KWKG'!B2798</f>
        <v>41230192</v>
      </c>
      <c r="C1061" s="1723">
        <f>+'Anlage 3a_Zusammenfassung_KWKG'!C2798</f>
        <v>0</v>
      </c>
      <c r="D1061" s="854">
        <f t="shared" si="36"/>
        <v>41230192</v>
      </c>
    </row>
    <row r="1062" spans="1:4" hidden="1" outlineLevel="2">
      <c r="A1062" s="853" t="str">
        <f>+'Anlage 3a_Zusammenfassung_KWKG'!A2799</f>
        <v>SNB913280322543</v>
      </c>
      <c r="B1062" s="754">
        <f>+'Anlage 3a_Zusammenfassung_KWKG'!B2799</f>
        <v>85398962</v>
      </c>
      <c r="C1062" s="1723">
        <f>+'Anlage 3a_Zusammenfassung_KWKG'!C2799</f>
        <v>0</v>
      </c>
      <c r="D1062" s="854">
        <f t="shared" si="36"/>
        <v>85398962</v>
      </c>
    </row>
    <row r="1063" spans="1:4" hidden="1" outlineLevel="2">
      <c r="A1063" s="853" t="str">
        <f>+'Anlage 3a_Zusammenfassung_KWKG'!A2800</f>
        <v>SNB913130054136</v>
      </c>
      <c r="B1063" s="754">
        <f>+'Anlage 3a_Zusammenfassung_KWKG'!B2800</f>
        <v>310270780</v>
      </c>
      <c r="C1063" s="1723">
        <f>+'Anlage 3a_Zusammenfassung_KWKG'!C2800</f>
        <v>0</v>
      </c>
      <c r="D1063" s="854">
        <f t="shared" si="36"/>
        <v>310270780</v>
      </c>
    </row>
    <row r="1064" spans="1:4" hidden="1" outlineLevel="2">
      <c r="A1064" s="853" t="str">
        <f>+'Anlage 3a_Zusammenfassung_KWKG'!A2801</f>
        <v>SNB995034381532</v>
      </c>
      <c r="B1064" s="754">
        <f>+'Anlage 3a_Zusammenfassung_KWKG'!B2801</f>
        <v>69151265</v>
      </c>
      <c r="C1064" s="1723">
        <f>+'Anlage 3a_Zusammenfassung_KWKG'!C2801</f>
        <v>0</v>
      </c>
      <c r="D1064" s="854">
        <f t="shared" si="36"/>
        <v>69151265</v>
      </c>
    </row>
    <row r="1065" spans="1:4" hidden="1" outlineLevel="2">
      <c r="A1065" s="853" t="str">
        <f>+'Anlage 3a_Zusammenfassung_KWKG'!A2802</f>
        <v>SNB932006596143</v>
      </c>
      <c r="B1065" s="754">
        <f>+'Anlage 3a_Zusammenfassung_KWKG'!B2802</f>
        <v>45375283</v>
      </c>
      <c r="C1065" s="1723">
        <f>+'Anlage 3a_Zusammenfassung_KWKG'!C2802</f>
        <v>0</v>
      </c>
      <c r="D1065" s="854">
        <f t="shared" si="36"/>
        <v>45375283</v>
      </c>
    </row>
    <row r="1066" spans="1:4" hidden="1" outlineLevel="2">
      <c r="A1066" s="853" t="str">
        <f>+'Anlage 3a_Zusammenfassung_KWKG'!A2803</f>
        <v>SNB987483520273</v>
      </c>
      <c r="B1066" s="754">
        <f>+'Anlage 3a_Zusammenfassung_KWKG'!B2803</f>
        <v>71180783</v>
      </c>
      <c r="C1066" s="1723">
        <f>+'Anlage 3a_Zusammenfassung_KWKG'!C2803</f>
        <v>0</v>
      </c>
      <c r="D1066" s="854">
        <f t="shared" si="36"/>
        <v>71180783</v>
      </c>
    </row>
    <row r="1067" spans="1:4" hidden="1" outlineLevel="2">
      <c r="A1067" s="853" t="str">
        <f>+'Anlage 3a_Zusammenfassung_KWKG'!A2804</f>
        <v>SNB919657321775</v>
      </c>
      <c r="B1067" s="754">
        <f>+'Anlage 3a_Zusammenfassung_KWKG'!B2804</f>
        <v>85930181</v>
      </c>
      <c r="C1067" s="1723">
        <f>+'Anlage 3a_Zusammenfassung_KWKG'!C2804</f>
        <v>-126429</v>
      </c>
      <c r="D1067" s="854">
        <f t="shared" si="36"/>
        <v>85803752</v>
      </c>
    </row>
    <row r="1068" spans="1:4" hidden="1" outlineLevel="2">
      <c r="A1068" s="853" t="str">
        <f>+'Anlage 3a_Zusammenfassung_KWKG'!A2805</f>
        <v>SNB926394976090</v>
      </c>
      <c r="B1068" s="754">
        <f>+'Anlage 3a_Zusammenfassung_KWKG'!B2805</f>
        <v>59323776</v>
      </c>
      <c r="C1068" s="1723">
        <f>+'Anlage 3a_Zusammenfassung_KWKG'!C2805</f>
        <v>0</v>
      </c>
      <c r="D1068" s="854">
        <f t="shared" si="36"/>
        <v>59323776</v>
      </c>
    </row>
    <row r="1069" spans="1:4" hidden="1" outlineLevel="2">
      <c r="A1069" s="853" t="str">
        <f>+'Anlage 3a_Zusammenfassung_KWKG'!A2806</f>
        <v>SNB976240506834</v>
      </c>
      <c r="B1069" s="754">
        <f>+'Anlage 3a_Zusammenfassung_KWKG'!B2806</f>
        <v>18787933</v>
      </c>
      <c r="C1069" s="1723">
        <f>+'Anlage 3a_Zusammenfassung_KWKG'!C2806</f>
        <v>0</v>
      </c>
      <c r="D1069" s="854">
        <f t="shared" si="36"/>
        <v>18787933</v>
      </c>
    </row>
    <row r="1070" spans="1:4" hidden="1" outlineLevel="2">
      <c r="A1070" s="853" t="str">
        <f>+'Anlage 3a_Zusammenfassung_KWKG'!A2807</f>
        <v>SNB910474681448</v>
      </c>
      <c r="B1070" s="754">
        <f>+'Anlage 3a_Zusammenfassung_KWKG'!B2807</f>
        <v>80019002</v>
      </c>
      <c r="C1070" s="1723">
        <f>+'Anlage 3a_Zusammenfassung_KWKG'!C2807</f>
        <v>-312629</v>
      </c>
      <c r="D1070" s="854">
        <f t="shared" si="36"/>
        <v>79706373</v>
      </c>
    </row>
    <row r="1071" spans="1:4" hidden="1" outlineLevel="2">
      <c r="A1071" s="853" t="str">
        <f>+'Anlage 3a_Zusammenfassung_KWKG'!A2808</f>
        <v>SNB957404386462</v>
      </c>
      <c r="B1071" s="754">
        <f>+'Anlage 3a_Zusammenfassung_KWKG'!B2808</f>
        <v>88344016</v>
      </c>
      <c r="C1071" s="1723">
        <f>+'Anlage 3a_Zusammenfassung_KWKG'!C2808</f>
        <v>0</v>
      </c>
      <c r="D1071" s="854">
        <f t="shared" si="36"/>
        <v>88344016</v>
      </c>
    </row>
    <row r="1072" spans="1:4" hidden="1" outlineLevel="2">
      <c r="A1072" s="853" t="str">
        <f>+'Anlage 3a_Zusammenfassung_KWKG'!A2809</f>
        <v>SNB915638224585</v>
      </c>
      <c r="B1072" s="754">
        <f>+'Anlage 3a_Zusammenfassung_KWKG'!B2809</f>
        <v>21060367</v>
      </c>
      <c r="C1072" s="1723">
        <f>+'Anlage 3a_Zusammenfassung_KWKG'!C2809</f>
        <v>0</v>
      </c>
      <c r="D1072" s="854">
        <f t="shared" si="36"/>
        <v>21060367</v>
      </c>
    </row>
    <row r="1073" spans="1:4" hidden="1" outlineLevel="2">
      <c r="A1073" s="853" t="str">
        <f>+'Anlage 3a_Zusammenfassung_KWKG'!A2810</f>
        <v>SNB915638224585</v>
      </c>
      <c r="B1073" s="754">
        <f>+'Anlage 3a_Zusammenfassung_KWKG'!B2810</f>
        <v>154928899</v>
      </c>
      <c r="C1073" s="1723">
        <f>+'Anlage 3a_Zusammenfassung_KWKG'!C2810</f>
        <v>0</v>
      </c>
      <c r="D1073" s="854">
        <f t="shared" si="36"/>
        <v>154928899</v>
      </c>
    </row>
    <row r="1074" spans="1:4" hidden="1" outlineLevel="2">
      <c r="A1074" s="853" t="str">
        <f>+'Anlage 3a_Zusammenfassung_KWKG'!A2811</f>
        <v>SNB975846871759</v>
      </c>
      <c r="B1074" s="754">
        <f>+'Anlage 3a_Zusammenfassung_KWKG'!B2811</f>
        <v>68391427</v>
      </c>
      <c r="C1074" s="1723">
        <f>+'Anlage 3a_Zusammenfassung_KWKG'!C2811</f>
        <v>0</v>
      </c>
      <c r="D1074" s="854">
        <f t="shared" si="36"/>
        <v>68391427</v>
      </c>
    </row>
    <row r="1075" spans="1:4" hidden="1" outlineLevel="2">
      <c r="A1075" s="853" t="str">
        <f>+'Anlage 3a_Zusammenfassung_KWKG'!A2812</f>
        <v>SNB981122608278</v>
      </c>
      <c r="B1075" s="754">
        <f>+'Anlage 3a_Zusammenfassung_KWKG'!B2812</f>
        <v>884273</v>
      </c>
      <c r="C1075" s="1723">
        <f>+'Anlage 3a_Zusammenfassung_KWKG'!C2812</f>
        <v>19450</v>
      </c>
      <c r="D1075" s="854">
        <f t="shared" si="36"/>
        <v>903723</v>
      </c>
    </row>
    <row r="1076" spans="1:4" hidden="1" outlineLevel="2">
      <c r="A1076" s="853" t="str">
        <f>+'Anlage 3a_Zusammenfassung_KWKG'!A2813</f>
        <v>SNB933869654360</v>
      </c>
      <c r="B1076" s="754">
        <f>+'Anlage 3a_Zusammenfassung_KWKG'!B2813</f>
        <v>53142934</v>
      </c>
      <c r="C1076" s="1723">
        <f>+'Anlage 3a_Zusammenfassung_KWKG'!C2813</f>
        <v>226177</v>
      </c>
      <c r="D1076" s="854">
        <f t="shared" si="36"/>
        <v>53369111</v>
      </c>
    </row>
    <row r="1077" spans="1:4" hidden="1" outlineLevel="2">
      <c r="A1077" s="853" t="str">
        <f>+'Anlage 3a_Zusammenfassung_KWKG'!A2814</f>
        <v>SNB935760057516</v>
      </c>
      <c r="B1077" s="754">
        <f>+'Anlage 3a_Zusammenfassung_KWKG'!B2814</f>
        <v>153869106</v>
      </c>
      <c r="C1077" s="1723">
        <f>+'Anlage 3a_Zusammenfassung_KWKG'!C2814</f>
        <v>0</v>
      </c>
      <c r="D1077" s="854">
        <f t="shared" si="36"/>
        <v>153869106</v>
      </c>
    </row>
    <row r="1078" spans="1:4" hidden="1" outlineLevel="2">
      <c r="A1078" s="853" t="str">
        <f>+'Anlage 3a_Zusammenfassung_KWKG'!A2815</f>
        <v>SNB932509765411</v>
      </c>
      <c r="B1078" s="754">
        <f>+'Anlage 3a_Zusammenfassung_KWKG'!B2815</f>
        <v>37548590</v>
      </c>
      <c r="C1078" s="1723">
        <f>+'Anlage 3a_Zusammenfassung_KWKG'!C2815</f>
        <v>0</v>
      </c>
      <c r="D1078" s="854">
        <f t="shared" si="36"/>
        <v>37548590</v>
      </c>
    </row>
    <row r="1079" spans="1:4" hidden="1" outlineLevel="2">
      <c r="A1079" s="853" t="str">
        <f>+'Anlage 3a_Zusammenfassung_KWKG'!A2816</f>
        <v>SNB933235634552</v>
      </c>
      <c r="B1079" s="754">
        <f>+'Anlage 3a_Zusammenfassung_KWKG'!B2816</f>
        <v>131243351</v>
      </c>
      <c r="C1079" s="1723">
        <f>+'Anlage 3a_Zusammenfassung_KWKG'!C2816</f>
        <v>63711</v>
      </c>
      <c r="D1079" s="854">
        <f t="shared" si="36"/>
        <v>131307062</v>
      </c>
    </row>
    <row r="1080" spans="1:4" hidden="1" outlineLevel="2">
      <c r="A1080" s="853" t="str">
        <f>+'Anlage 3a_Zusammenfassung_KWKG'!A2817</f>
        <v>SNB957440824454</v>
      </c>
      <c r="B1080" s="754">
        <f>+'Anlage 3a_Zusammenfassung_KWKG'!B2817</f>
        <v>45468994</v>
      </c>
      <c r="C1080" s="1723">
        <f>+'Anlage 3a_Zusammenfassung_KWKG'!C2817</f>
        <v>0</v>
      </c>
      <c r="D1080" s="854">
        <f t="shared" si="36"/>
        <v>45468994</v>
      </c>
    </row>
    <row r="1081" spans="1:4" hidden="1" outlineLevel="2">
      <c r="A1081" s="853" t="str">
        <f>+'Anlage 3a_Zusammenfassung_KWKG'!A2818</f>
        <v>SNB973505068113</v>
      </c>
      <c r="B1081" s="754">
        <f>+'Anlage 3a_Zusammenfassung_KWKG'!B2818</f>
        <v>68677909</v>
      </c>
      <c r="C1081" s="1723">
        <f>+'Anlage 3a_Zusammenfassung_KWKG'!C2818</f>
        <v>0</v>
      </c>
      <c r="D1081" s="854">
        <f t="shared" si="36"/>
        <v>68677909</v>
      </c>
    </row>
    <row r="1082" spans="1:4" hidden="1" outlineLevel="2">
      <c r="A1082" s="853" t="str">
        <f>+'Anlage 3a_Zusammenfassung_KWKG'!A2819</f>
        <v>SNB963792700889</v>
      </c>
      <c r="B1082" s="754">
        <f>+'Anlage 3a_Zusammenfassung_KWKG'!B2819</f>
        <v>173839476</v>
      </c>
      <c r="C1082" s="1723">
        <f>+'Anlage 3a_Zusammenfassung_KWKG'!C2819</f>
        <v>77334</v>
      </c>
      <c r="D1082" s="854">
        <f t="shared" si="36"/>
        <v>173916810</v>
      </c>
    </row>
    <row r="1083" spans="1:4" hidden="1" outlineLevel="2">
      <c r="A1083" s="853" t="str">
        <f>+'Anlage 3a_Zusammenfassung_KWKG'!A2820</f>
        <v>SNB933274941888</v>
      </c>
      <c r="B1083" s="754">
        <f>+'Anlage 3a_Zusammenfassung_KWKG'!B2820</f>
        <v>92565380</v>
      </c>
      <c r="C1083" s="1723">
        <f>+'Anlage 3a_Zusammenfassung_KWKG'!C2820</f>
        <v>51749</v>
      </c>
      <c r="D1083" s="854">
        <f t="shared" si="36"/>
        <v>92617129</v>
      </c>
    </row>
    <row r="1084" spans="1:4" hidden="1" outlineLevel="2">
      <c r="A1084" s="853" t="str">
        <f>+'Anlage 3a_Zusammenfassung_KWKG'!A2821</f>
        <v>SNB918084816830</v>
      </c>
      <c r="B1084" s="754">
        <f>+'Anlage 3a_Zusammenfassung_KWKG'!B2821</f>
        <v>34475808</v>
      </c>
      <c r="C1084" s="1723">
        <f>+'Anlage 3a_Zusammenfassung_KWKG'!C2821</f>
        <v>0</v>
      </c>
      <c r="D1084" s="854">
        <f t="shared" si="36"/>
        <v>34475808</v>
      </c>
    </row>
    <row r="1085" spans="1:4" hidden="1" outlineLevel="2">
      <c r="A1085" s="853" t="str">
        <f>+'Anlage 3a_Zusammenfassung_KWKG'!A2822</f>
        <v>SNB962389410347</v>
      </c>
      <c r="B1085" s="754">
        <f>+'Anlage 3a_Zusammenfassung_KWKG'!B2822</f>
        <v>51794355</v>
      </c>
      <c r="C1085" s="1723">
        <f>+'Anlage 3a_Zusammenfassung_KWKG'!C2822</f>
        <v>-458649</v>
      </c>
      <c r="D1085" s="854">
        <f t="shared" si="36"/>
        <v>51335706</v>
      </c>
    </row>
    <row r="1086" spans="1:4" hidden="1" outlineLevel="2">
      <c r="A1086" s="853" t="str">
        <f>+'Anlage 3a_Zusammenfassung_KWKG'!A2823</f>
        <v>SNB914879260819</v>
      </c>
      <c r="B1086" s="754">
        <f>+'Anlage 3a_Zusammenfassung_KWKG'!B2823</f>
        <v>135674991</v>
      </c>
      <c r="C1086" s="1723">
        <f>+'Anlage 3a_Zusammenfassung_KWKG'!C2823</f>
        <v>-258213</v>
      </c>
      <c r="D1086" s="854">
        <f t="shared" si="36"/>
        <v>135416778</v>
      </c>
    </row>
    <row r="1087" spans="1:4" hidden="1" outlineLevel="2">
      <c r="A1087" s="853" t="str">
        <f>+'Anlage 3a_Zusammenfassung_KWKG'!A2824</f>
        <v>SNB973501936539</v>
      </c>
      <c r="B1087" s="754">
        <f>+'Anlage 3a_Zusammenfassung_KWKG'!B2824</f>
        <v>92513110</v>
      </c>
      <c r="C1087" s="1723">
        <f>+'Anlage 3a_Zusammenfassung_KWKG'!C2824</f>
        <v>0</v>
      </c>
      <c r="D1087" s="854">
        <f t="shared" si="36"/>
        <v>92513110</v>
      </c>
    </row>
    <row r="1088" spans="1:4" hidden="1" outlineLevel="2">
      <c r="A1088" s="853" t="str">
        <f>+'Anlage 3a_Zusammenfassung_KWKG'!A2825</f>
        <v>SNB964045995373</v>
      </c>
      <c r="B1088" s="754">
        <f>+'Anlage 3a_Zusammenfassung_KWKG'!B2825</f>
        <v>137264347</v>
      </c>
      <c r="C1088" s="1723">
        <f>+'Anlage 3a_Zusammenfassung_KWKG'!C2825</f>
        <v>1592395</v>
      </c>
      <c r="D1088" s="854">
        <f t="shared" si="36"/>
        <v>138856742</v>
      </c>
    </row>
    <row r="1089" spans="1:9" hidden="1" outlineLevel="2">
      <c r="A1089" s="853" t="str">
        <f>+'Anlage 3a_Zusammenfassung_KWKG'!A2826</f>
        <v>SNB941081544895</v>
      </c>
      <c r="B1089" s="754">
        <f>+'Anlage 3a_Zusammenfassung_KWKG'!B2826</f>
        <v>54368993</v>
      </c>
      <c r="C1089" s="1723">
        <f>+'Anlage 3a_Zusammenfassung_KWKG'!C2826</f>
        <v>0</v>
      </c>
      <c r="D1089" s="854">
        <f t="shared" si="36"/>
        <v>54368993</v>
      </c>
    </row>
    <row r="1090" spans="1:9" hidden="1" outlineLevel="2">
      <c r="A1090" s="853" t="str">
        <f>+'Anlage 3a_Zusammenfassung_KWKG'!A2827</f>
        <v>SNB978051166283</v>
      </c>
      <c r="B1090" s="754">
        <f>+'Anlage 3a_Zusammenfassung_KWKG'!B2827</f>
        <v>27014063</v>
      </c>
      <c r="C1090" s="1723">
        <f>+'Anlage 3a_Zusammenfassung_KWKG'!C2827</f>
        <v>526132</v>
      </c>
      <c r="D1090" s="854">
        <f t="shared" si="36"/>
        <v>27540195</v>
      </c>
    </row>
    <row r="1091" spans="1:9" hidden="1" outlineLevel="2">
      <c r="A1091" s="853" t="str">
        <f>+'Anlage 3a_Zusammenfassung_KWKG'!A2828</f>
        <v>SNB971345683381</v>
      </c>
      <c r="B1091" s="754">
        <f>+'Anlage 3a_Zusammenfassung_KWKG'!B2828</f>
        <v>35304019</v>
      </c>
      <c r="C1091" s="1723">
        <f>+'Anlage 3a_Zusammenfassung_KWKG'!C2828</f>
        <v>0</v>
      </c>
      <c r="D1091" s="854">
        <f t="shared" si="36"/>
        <v>35304019</v>
      </c>
    </row>
    <row r="1092" spans="1:9" hidden="1" outlineLevel="2">
      <c r="A1092" s="853" t="str">
        <f>+'Anlage 3a_Zusammenfassung_KWKG'!A2829</f>
        <v>SNB934355412402</v>
      </c>
      <c r="B1092" s="754">
        <f>+'Anlage 3a_Zusammenfassung_KWKG'!B2829</f>
        <v>24535492</v>
      </c>
      <c r="C1092" s="1723">
        <f>+'Anlage 3a_Zusammenfassung_KWKG'!C2829</f>
        <v>-814763</v>
      </c>
      <c r="D1092" s="854">
        <f t="shared" si="36"/>
        <v>23720729</v>
      </c>
    </row>
    <row r="1093" spans="1:9" hidden="1" outlineLevel="2">
      <c r="A1093" s="853" t="str">
        <f>+'Anlage 3a_Zusammenfassung_KWKG'!A2830</f>
        <v>SNB963995572245</v>
      </c>
      <c r="B1093" s="754">
        <f>+'Anlage 3a_Zusammenfassung_KWKG'!B2830</f>
        <v>57443264</v>
      </c>
      <c r="C1093" s="1723">
        <f>+'Anlage 3a_Zusammenfassung_KWKG'!C2830</f>
        <v>-271730</v>
      </c>
      <c r="D1093" s="854">
        <f t="shared" si="36"/>
        <v>57171534</v>
      </c>
    </row>
    <row r="1094" spans="1:9" hidden="1" outlineLevel="2">
      <c r="A1094" s="853" t="str">
        <f>+'Anlage 3a_Zusammenfassung_KWKG'!A2831</f>
        <v>SNB918539636471</v>
      </c>
      <c r="B1094" s="754">
        <f>+'Anlage 3a_Zusammenfassung_KWKG'!B2831</f>
        <v>63684536</v>
      </c>
      <c r="C1094" s="1723">
        <f>+'Anlage 3a_Zusammenfassung_KWKG'!C2831</f>
        <v>0</v>
      </c>
      <c r="D1094" s="854">
        <f t="shared" si="36"/>
        <v>63684536</v>
      </c>
    </row>
    <row r="1095" spans="1:9" hidden="1" outlineLevel="2">
      <c r="A1095" s="853" t="str">
        <f>+'Anlage 3a_Zusammenfassung_KWKG'!A2832</f>
        <v>SNB974684403535</v>
      </c>
      <c r="B1095" s="754">
        <f>+'Anlage 3a_Zusammenfassung_KWKG'!B2832</f>
        <v>44497779</v>
      </c>
      <c r="C1095" s="1723">
        <f>+'Anlage 3a_Zusammenfassung_KWKG'!C2832</f>
        <v>0</v>
      </c>
      <c r="D1095" s="854">
        <f t="shared" si="36"/>
        <v>44497779</v>
      </c>
    </row>
    <row r="1096" spans="1:9" hidden="1" outlineLevel="2">
      <c r="A1096" s="853" t="str">
        <f>+'Anlage 3a_Zusammenfassung_KWKG'!A2833</f>
        <v>SNB959966681252</v>
      </c>
      <c r="B1096" s="754">
        <f>+'Anlage 3a_Zusammenfassung_KWKG'!B2833</f>
        <v>63360158</v>
      </c>
      <c r="C1096" s="1723">
        <f>+'Anlage 3a_Zusammenfassung_KWKG'!C2833</f>
        <v>-1171509</v>
      </c>
      <c r="D1096" s="854">
        <f t="shared" si="36"/>
        <v>62188649</v>
      </c>
    </row>
    <row r="1097" spans="1:9" hidden="1" outlineLevel="2">
      <c r="A1097" s="853" t="str">
        <f>+'Anlage 3a_Zusammenfassung_KWKG'!A2834</f>
        <v>SNB925823629552</v>
      </c>
      <c r="B1097" s="754">
        <f>+'Anlage 3a_Zusammenfassung_KWKG'!B2834</f>
        <v>247383596</v>
      </c>
      <c r="C1097" s="1723">
        <f>+'Anlage 3a_Zusammenfassung_KWKG'!C2834</f>
        <v>0</v>
      </c>
      <c r="D1097" s="854">
        <f t="shared" ref="D1097:D1102" si="37">SUM(B1097:C1097)</f>
        <v>247383596</v>
      </c>
    </row>
    <row r="1098" spans="1:9" hidden="1" outlineLevel="2">
      <c r="A1098" s="853" t="str">
        <f>+'Anlage 3a_Zusammenfassung_KWKG'!A2835</f>
        <v>SNB970821959712</v>
      </c>
      <c r="B1098" s="754">
        <f>+'Anlage 3a_Zusammenfassung_KWKG'!B2835</f>
        <v>2798124917</v>
      </c>
      <c r="C1098" s="1723">
        <f>+'Anlage 3a_Zusammenfassung_KWKG'!C2835</f>
        <v>203281042</v>
      </c>
      <c r="D1098" s="854">
        <f t="shared" si="37"/>
        <v>3001405959</v>
      </c>
    </row>
    <row r="1099" spans="1:9" hidden="1" outlineLevel="2">
      <c r="A1099" s="853" t="str">
        <f>+'Anlage 3a_Zusammenfassung_KWKG'!A2836</f>
        <v>SNB985414225433</v>
      </c>
      <c r="B1099" s="754">
        <f>+'Anlage 3a_Zusammenfassung_KWKG'!B2836</f>
        <v>7893140</v>
      </c>
      <c r="C1099" s="1723">
        <f>+'Anlage 3a_Zusammenfassung_KWKG'!C2836</f>
        <v>0</v>
      </c>
      <c r="D1099" s="854">
        <f t="shared" si="37"/>
        <v>7893140</v>
      </c>
    </row>
    <row r="1100" spans="1:9" hidden="1" outlineLevel="2">
      <c r="A1100" s="853" t="str">
        <f>+'Anlage 3a_Zusammenfassung_KWKG'!A2837</f>
        <v>SNB928759560869</v>
      </c>
      <c r="B1100" s="754">
        <f>+'Anlage 3a_Zusammenfassung_KWKG'!B2837</f>
        <v>803671276</v>
      </c>
      <c r="C1100" s="1723">
        <f>+'Anlage 3a_Zusammenfassung_KWKG'!C2837</f>
        <v>-3872767</v>
      </c>
      <c r="D1100" s="854">
        <f t="shared" si="37"/>
        <v>799798509</v>
      </c>
    </row>
    <row r="1101" spans="1:9" hidden="1" outlineLevel="2">
      <c r="A1101" s="853" t="str">
        <f>+'Anlage 3a_Zusammenfassung_KWKG'!A2838</f>
        <v>SNB988556835096</v>
      </c>
      <c r="B1101" s="754">
        <f>+'Anlage 3a_Zusammenfassung_KWKG'!B2838</f>
        <v>35586538</v>
      </c>
      <c r="C1101" s="1723">
        <f>+'Anlage 3a_Zusammenfassung_KWKG'!C2838</f>
        <v>0</v>
      </c>
      <c r="D1101" s="854">
        <f t="shared" si="37"/>
        <v>35586538</v>
      </c>
    </row>
    <row r="1102" spans="1:9" collapsed="1">
      <c r="A1102" s="853" t="str">
        <f>'Anlage 3a_Zusammenfassung_KWKG'!A2839</f>
        <v>Regelzone Amprion (gesamt)</v>
      </c>
      <c r="B1102" s="754">
        <f>SUM(B1103:B1336)</f>
        <v>108968934379</v>
      </c>
      <c r="C1102" s="754">
        <f>SUM(C1103:C1336)</f>
        <v>45538625</v>
      </c>
      <c r="D1102" s="855">
        <f t="shared" si="37"/>
        <v>109014473004</v>
      </c>
    </row>
    <row r="1103" spans="1:9" hidden="1" outlineLevel="1">
      <c r="A1103" s="853" t="s">
        <v>775</v>
      </c>
      <c r="B1103" s="422">
        <f>'Anlage 3a_Zusammenfassung_KWKG'!B2840</f>
        <v>91100022</v>
      </c>
      <c r="C1103" s="422">
        <f>'Anlage 3a_Zusammenfassung_KWKG'!C2840</f>
        <v>-3291707</v>
      </c>
      <c r="D1103" s="854">
        <f t="shared" ref="D1103:D1166" si="38">SUM(B1103:C1103)</f>
        <v>87808315</v>
      </c>
      <c r="I1103" s="89" t="str">
        <f>'Anlage 3a_Zusammenfassung_KWKG'!J2840</f>
        <v>Stadtwerke Steinfurt GmbH</v>
      </c>
    </row>
    <row r="1104" spans="1:9" hidden="1" outlineLevel="1">
      <c r="A1104" s="853" t="s">
        <v>456</v>
      </c>
      <c r="B1104" s="422">
        <f>'Anlage 3a_Zusammenfassung_KWKG'!B2841</f>
        <v>103801309</v>
      </c>
      <c r="C1104" s="422">
        <f>'Anlage 3a_Zusammenfassung_KWKG'!C2841</f>
        <v>5686630</v>
      </c>
      <c r="D1104" s="854">
        <f t="shared" si="38"/>
        <v>109487939</v>
      </c>
      <c r="I1104" s="89" t="str">
        <f>'Anlage 3a_Zusammenfassung_KWKG'!J2841</f>
        <v>GETEC net GmbH</v>
      </c>
    </row>
    <row r="1105" spans="1:9" hidden="1" outlineLevel="1">
      <c r="A1105" s="853" t="s">
        <v>777</v>
      </c>
      <c r="B1105" s="422">
        <f>'Anlage 3a_Zusammenfassung_KWKG'!B2842</f>
        <v>120272069</v>
      </c>
      <c r="C1105" s="422">
        <f>'Anlage 3a_Zusammenfassung_KWKG'!C2842</f>
        <v>149176</v>
      </c>
      <c r="D1105" s="854">
        <f t="shared" si="38"/>
        <v>120421245</v>
      </c>
      <c r="I1105" s="89" t="str">
        <f>'Anlage 3a_Zusammenfassung_KWKG'!J2842</f>
        <v>Teutoburger Energie Netzwerk eG</v>
      </c>
    </row>
    <row r="1106" spans="1:9" hidden="1" outlineLevel="1">
      <c r="A1106" s="853" t="s">
        <v>779</v>
      </c>
      <c r="B1106" s="422">
        <f>'Anlage 3a_Zusammenfassung_KWKG'!B2843</f>
        <v>300870709</v>
      </c>
      <c r="C1106" s="422">
        <f>'Anlage 3a_Zusammenfassung_KWKG'!C2843</f>
        <v>0</v>
      </c>
      <c r="D1106" s="854">
        <f t="shared" si="38"/>
        <v>300870709</v>
      </c>
      <c r="I1106" s="89" t="str">
        <f>'Anlage 3a_Zusammenfassung_KWKG'!J2843</f>
        <v>Aschaffenburger Versorgungs-GmbH</v>
      </c>
    </row>
    <row r="1107" spans="1:9" hidden="1" outlineLevel="1">
      <c r="A1107" s="853" t="s">
        <v>781</v>
      </c>
      <c r="B1107" s="422">
        <f>'Anlage 3a_Zusammenfassung_KWKG'!B2844</f>
        <v>931023912</v>
      </c>
      <c r="C1107" s="422">
        <f>'Anlage 3a_Zusammenfassung_KWKG'!C2844</f>
        <v>-930240</v>
      </c>
      <c r="D1107" s="854">
        <f t="shared" si="38"/>
        <v>930093672</v>
      </c>
      <c r="I1107" s="89" t="str">
        <f>'Anlage 3a_Zusammenfassung_KWKG'!J2844</f>
        <v>NGN NETZGESELLSCHAFT NIEDERRHEIN MBH</v>
      </c>
    </row>
    <row r="1108" spans="1:9" hidden="1" outlineLevel="1">
      <c r="A1108" s="853" t="s">
        <v>783</v>
      </c>
      <c r="B1108" s="422">
        <f>'Anlage 3a_Zusammenfassung_KWKG'!B2845</f>
        <v>167777320</v>
      </c>
      <c r="C1108" s="422">
        <f>'Anlage 3a_Zusammenfassung_KWKG'!C2845</f>
        <v>1430331</v>
      </c>
      <c r="D1108" s="854">
        <f t="shared" si="38"/>
        <v>169207651</v>
      </c>
      <c r="I1108" s="89" t="str">
        <f>'Anlage 3a_Zusammenfassung_KWKG'!J2845</f>
        <v>EnergieSüdwest Netz GmbH</v>
      </c>
    </row>
    <row r="1109" spans="1:9" hidden="1" outlineLevel="1">
      <c r="A1109" s="853" t="s">
        <v>785</v>
      </c>
      <c r="B1109" s="422">
        <f>'Anlage 3a_Zusammenfassung_KWKG'!B2846</f>
        <v>123932105</v>
      </c>
      <c r="C1109" s="422">
        <f>'Anlage 3a_Zusammenfassung_KWKG'!C2846</f>
        <v>0</v>
      </c>
      <c r="D1109" s="854">
        <f t="shared" si="38"/>
        <v>123932105</v>
      </c>
      <c r="I1109" s="89" t="str">
        <f>'Anlage 3a_Zusammenfassung_KWKG'!J2846</f>
        <v>Stadtwerke Backnang GmbH</v>
      </c>
    </row>
    <row r="1110" spans="1:9" hidden="1" outlineLevel="1">
      <c r="A1110" s="853" t="s">
        <v>787</v>
      </c>
      <c r="B1110" s="422">
        <f>'Anlage 3a_Zusammenfassung_KWKG'!B2847</f>
        <v>2387903944</v>
      </c>
      <c r="C1110" s="422">
        <f>'Anlage 3a_Zusammenfassung_KWKG'!C2847</f>
        <v>-5733684</v>
      </c>
      <c r="D1110" s="854">
        <f t="shared" si="38"/>
        <v>2382170260</v>
      </c>
      <c r="I1110" s="89" t="str">
        <f>'Anlage 3a_Zusammenfassung_KWKG'!J2847</f>
        <v>Regionetz GmbH</v>
      </c>
    </row>
    <row r="1111" spans="1:9" hidden="1" outlineLevel="1">
      <c r="A1111" s="853" t="s">
        <v>789</v>
      </c>
      <c r="B1111" s="422">
        <f>'Anlage 3a_Zusammenfassung_KWKG'!B2848</f>
        <v>3568343269</v>
      </c>
      <c r="C1111" s="422">
        <f>'Anlage 3a_Zusammenfassung_KWKG'!C2848</f>
        <v>51605356</v>
      </c>
      <c r="D1111" s="854">
        <f t="shared" si="38"/>
        <v>3619948625</v>
      </c>
      <c r="I1111" s="89" t="str">
        <f>'Anlage 3a_Zusammenfassung_KWKG'!J2848</f>
        <v>LEW Verteilnetz GmbH</v>
      </c>
    </row>
    <row r="1112" spans="1:9" hidden="1" outlineLevel="1">
      <c r="A1112" s="853" t="s">
        <v>791</v>
      </c>
      <c r="B1112" s="422">
        <f>'Anlage 3a_Zusammenfassung_KWKG'!B2849</f>
        <v>122943665</v>
      </c>
      <c r="C1112" s="422">
        <f>'Anlage 3a_Zusammenfassung_KWKG'!C2849</f>
        <v>2618238</v>
      </c>
      <c r="D1112" s="854">
        <f t="shared" si="38"/>
        <v>125561903</v>
      </c>
      <c r="I1112" s="89" t="str">
        <f>'Anlage 3a_Zusammenfassung_KWKG'!J2849</f>
        <v>Stadtwerke Fröndenberg Wickede GmbH</v>
      </c>
    </row>
    <row r="1113" spans="1:9" hidden="1" outlineLevel="1">
      <c r="A1113" s="853" t="s">
        <v>793</v>
      </c>
      <c r="B1113" s="422">
        <f>'Anlage 3a_Zusammenfassung_KWKG'!B2850</f>
        <v>148475583</v>
      </c>
      <c r="C1113" s="422">
        <f>'Anlage 3a_Zusammenfassung_KWKG'!C2850</f>
        <v>-428937</v>
      </c>
      <c r="D1113" s="854">
        <f t="shared" si="38"/>
        <v>148046646</v>
      </c>
      <c r="I1113" s="89" t="str">
        <f>'Anlage 3a_Zusammenfassung_KWKG'!J2850</f>
        <v>Rheinhessische Energie- und Wasserversorgungs-GmbH</v>
      </c>
    </row>
    <row r="1114" spans="1:9" hidden="1" outlineLevel="1">
      <c r="A1114" s="853" t="s">
        <v>795</v>
      </c>
      <c r="B1114" s="422">
        <f>'Anlage 3a_Zusammenfassung_KWKG'!B2851</f>
        <v>573988146</v>
      </c>
      <c r="C1114" s="422">
        <f>'Anlage 3a_Zusammenfassung_KWKG'!C2851</f>
        <v>866926</v>
      </c>
      <c r="D1114" s="854">
        <f t="shared" si="38"/>
        <v>574855072</v>
      </c>
      <c r="I1114" s="89" t="str">
        <f>'Anlage 3a_Zusammenfassung_KWKG'!J2851</f>
        <v>Energie- und Wasserversorgung Hamm GmbH</v>
      </c>
    </row>
    <row r="1115" spans="1:9" hidden="1" outlineLevel="1">
      <c r="A1115" s="853" t="s">
        <v>797</v>
      </c>
      <c r="B1115" s="422">
        <f>'Anlage 3a_Zusammenfassung_KWKG'!B2852</f>
        <v>352546810</v>
      </c>
      <c r="C1115" s="422">
        <f>'Anlage 3a_Zusammenfassung_KWKG'!C2852</f>
        <v>-1819031</v>
      </c>
      <c r="D1115" s="854">
        <f t="shared" si="38"/>
        <v>350727779</v>
      </c>
      <c r="I1115" s="89" t="str">
        <f>'Anlage 3a_Zusammenfassung_KWKG'!J2852</f>
        <v>Stadtwerke Iserlohn GmbH</v>
      </c>
    </row>
    <row r="1116" spans="1:9" hidden="1" outlineLevel="1">
      <c r="A1116" s="853" t="s">
        <v>799</v>
      </c>
      <c r="B1116" s="422">
        <f>'Anlage 3a_Zusammenfassung_KWKG'!B2853</f>
        <v>50803789</v>
      </c>
      <c r="C1116" s="422">
        <f>'Anlage 3a_Zusammenfassung_KWKG'!C2853</f>
        <v>-1500555</v>
      </c>
      <c r="D1116" s="854">
        <f t="shared" si="38"/>
        <v>49303234</v>
      </c>
      <c r="I1116" s="89" t="str">
        <f>'Anlage 3a_Zusammenfassung_KWKG'!J2853</f>
        <v>FASTR GmbH</v>
      </c>
    </row>
    <row r="1117" spans="1:9" hidden="1" outlineLevel="2">
      <c r="A1117" s="853" t="s">
        <v>801</v>
      </c>
      <c r="B1117" s="422">
        <f>'Anlage 3a_Zusammenfassung_KWKG'!B2854</f>
        <v>32727327</v>
      </c>
      <c r="C1117" s="422">
        <f>'Anlage 3a_Zusammenfassung_KWKG'!C2854</f>
        <v>1129883</v>
      </c>
      <c r="D1117" s="854">
        <f t="shared" si="38"/>
        <v>33857210</v>
      </c>
      <c r="I1117" s="89" t="str">
        <f>'Anlage 3a_Zusammenfassung_KWKG'!J2854</f>
        <v>SWL Energienetz- und Entsorgungsgesellschaft mbH</v>
      </c>
    </row>
    <row r="1118" spans="1:9" hidden="1" outlineLevel="2">
      <c r="A1118" s="853" t="s">
        <v>803</v>
      </c>
      <c r="B1118" s="422">
        <f>'Anlage 3a_Zusammenfassung_KWKG'!B2855</f>
        <v>1228525178</v>
      </c>
      <c r="C1118" s="422">
        <f>'Anlage 3a_Zusammenfassung_KWKG'!C2855</f>
        <v>0</v>
      </c>
      <c r="D1118" s="854">
        <f t="shared" si="38"/>
        <v>1228525178</v>
      </c>
      <c r="I1118" s="89" t="str">
        <f>'Anlage 3a_Zusammenfassung_KWKG'!J2855</f>
        <v>WSW Netz GmbH</v>
      </c>
    </row>
    <row r="1119" spans="1:9" hidden="1" outlineLevel="2">
      <c r="A1119" s="853" t="s">
        <v>805</v>
      </c>
      <c r="B1119" s="422">
        <f>'Anlage 3a_Zusammenfassung_KWKG'!B2856</f>
        <v>122818731</v>
      </c>
      <c r="C1119" s="422">
        <f>'Anlage 3a_Zusammenfassung_KWKG'!C2856</f>
        <v>-617083</v>
      </c>
      <c r="D1119" s="854">
        <f t="shared" si="38"/>
        <v>122201648</v>
      </c>
      <c r="I1119" s="89" t="str">
        <f>'Anlage 3a_Zusammenfassung_KWKG'!J2856</f>
        <v>MEGA Monheimer Elektrizitäts- und Gasversorgung GmbH</v>
      </c>
    </row>
    <row r="1120" spans="1:9" hidden="1" outlineLevel="2">
      <c r="A1120" s="853" t="s">
        <v>807</v>
      </c>
      <c r="B1120" s="422">
        <f>'Anlage 3a_Zusammenfassung_KWKG'!B2857</f>
        <v>958304774</v>
      </c>
      <c r="C1120" s="422">
        <f>'Anlage 3a_Zusammenfassung_KWKG'!C2857</f>
        <v>1934802</v>
      </c>
      <c r="D1120" s="854">
        <f t="shared" si="38"/>
        <v>960239576</v>
      </c>
      <c r="I1120" s="89" t="str">
        <f>'Anlage 3a_Zusammenfassung_KWKG'!J2857</f>
        <v>Energienetze Offenbach GmbH</v>
      </c>
    </row>
    <row r="1121" spans="1:9" hidden="1" outlineLevel="2">
      <c r="A1121" s="853" t="s">
        <v>809</v>
      </c>
      <c r="B1121" s="422">
        <f>'Anlage 3a_Zusammenfassung_KWKG'!B2858</f>
        <v>181447356</v>
      </c>
      <c r="C1121" s="422">
        <f>'Anlage 3a_Zusammenfassung_KWKG'!C2858</f>
        <v>-690746</v>
      </c>
      <c r="D1121" s="854">
        <f t="shared" si="38"/>
        <v>180756610</v>
      </c>
      <c r="I1121" s="89" t="str">
        <f>'Anlage 3a_Zusammenfassung_KWKG'!J2858</f>
        <v>Netzwerke Saarlouis GmbH</v>
      </c>
    </row>
    <row r="1122" spans="1:9" hidden="1" outlineLevel="2">
      <c r="A1122" s="853" t="s">
        <v>811</v>
      </c>
      <c r="B1122" s="422">
        <f>'Anlage 3a_Zusammenfassung_KWKG'!B2859</f>
        <v>1398419792</v>
      </c>
      <c r="C1122" s="422">
        <f>'Anlage 3a_Zusammenfassung_KWKG'!C2859</f>
        <v>-28034187</v>
      </c>
      <c r="D1122" s="854">
        <f t="shared" si="38"/>
        <v>1370385605</v>
      </c>
      <c r="I1122" s="89" t="str">
        <f>'Anlage 3a_Zusammenfassung_KWKG'!J2859</f>
        <v>Netze Duisburg GmbH</v>
      </c>
    </row>
    <row r="1123" spans="1:9" hidden="1" outlineLevel="2">
      <c r="A1123" s="853" t="s">
        <v>813</v>
      </c>
      <c r="B1123" s="422">
        <f>'Anlage 3a_Zusammenfassung_KWKG'!B2860</f>
        <v>10047151</v>
      </c>
      <c r="C1123" s="422">
        <f>'Anlage 3a_Zusammenfassung_KWKG'!C2860</f>
        <v>-45513</v>
      </c>
      <c r="D1123" s="854">
        <f t="shared" si="38"/>
        <v>10001638</v>
      </c>
      <c r="I1123" s="89" t="str">
        <f>'Anlage 3a_Zusammenfassung_KWKG'!J2860</f>
        <v>Gemeindewerke Rheinzabern</v>
      </c>
    </row>
    <row r="1124" spans="1:9" hidden="1" outlineLevel="2">
      <c r="A1124" s="853" t="s">
        <v>815</v>
      </c>
      <c r="B1124" s="422">
        <f>'Anlage 3a_Zusammenfassung_KWKG'!B2861</f>
        <v>224061887</v>
      </c>
      <c r="C1124" s="422">
        <f>'Anlage 3a_Zusammenfassung_KWKG'!C2861</f>
        <v>0</v>
      </c>
      <c r="D1124" s="854">
        <f t="shared" si="38"/>
        <v>224061887</v>
      </c>
      <c r="I1124" s="89" t="str">
        <f>'Anlage 3a_Zusammenfassung_KWKG'!J2861</f>
        <v>Stadtwerke Speyer GmbH</v>
      </c>
    </row>
    <row r="1125" spans="1:9" hidden="1" outlineLevel="2">
      <c r="A1125" s="853" t="s">
        <v>817</v>
      </c>
      <c r="B1125" s="422">
        <f>'Anlage 3a_Zusammenfassung_KWKG'!B2862</f>
        <v>107370965</v>
      </c>
      <c r="C1125" s="422">
        <f>'Anlage 3a_Zusammenfassung_KWKG'!C2862</f>
        <v>-18881</v>
      </c>
      <c r="D1125" s="854">
        <f t="shared" si="38"/>
        <v>107352084</v>
      </c>
      <c r="I1125" s="89" t="str">
        <f>'Anlage 3a_Zusammenfassung_KWKG'!J2862</f>
        <v>Stadtwerke Erkrath GmbH</v>
      </c>
    </row>
    <row r="1126" spans="1:9" hidden="1" outlineLevel="2">
      <c r="A1126" s="853" t="s">
        <v>819</v>
      </c>
      <c r="B1126" s="422">
        <f>'Anlage 3a_Zusammenfassung_KWKG'!B2863</f>
        <v>5445232238</v>
      </c>
      <c r="C1126" s="422">
        <f>'Anlage 3a_Zusammenfassung_KWKG'!C2863</f>
        <v>51059146</v>
      </c>
      <c r="D1126" s="854">
        <f t="shared" si="38"/>
        <v>5496291384</v>
      </c>
      <c r="I1126" s="89" t="str">
        <f>'Anlage 3a_Zusammenfassung_KWKG'!J2863</f>
        <v>Syna GmbH</v>
      </c>
    </row>
    <row r="1127" spans="1:9" hidden="1" outlineLevel="2">
      <c r="A1127" s="853" t="s">
        <v>821</v>
      </c>
      <c r="B1127" s="422">
        <f>'Anlage 3a_Zusammenfassung_KWKG'!B2864</f>
        <v>70761900</v>
      </c>
      <c r="C1127" s="422">
        <f>'Anlage 3a_Zusammenfassung_KWKG'!C2864</f>
        <v>134284</v>
      </c>
      <c r="D1127" s="854">
        <f t="shared" si="38"/>
        <v>70896184</v>
      </c>
      <c r="I1127" s="89" t="str">
        <f>'Anlage 3a_Zusammenfassung_KWKG'!J2864</f>
        <v>Stadtwerke Bad Dürkheim GmbH</v>
      </c>
    </row>
    <row r="1128" spans="1:9" hidden="1" outlineLevel="2">
      <c r="A1128" s="853" t="s">
        <v>823</v>
      </c>
      <c r="B1128" s="422">
        <f>'Anlage 3a_Zusammenfassung_KWKG'!B2865</f>
        <v>256033564</v>
      </c>
      <c r="C1128" s="422">
        <f>'Anlage 3a_Zusammenfassung_KWKG'!C2865</f>
        <v>519140</v>
      </c>
      <c r="D1128" s="854">
        <f t="shared" si="38"/>
        <v>256552704</v>
      </c>
      <c r="I1128" s="89" t="str">
        <f>'Anlage 3a_Zusammenfassung_KWKG'!J2865</f>
        <v>stadtwerker GmbH</v>
      </c>
    </row>
    <row r="1129" spans="1:9" hidden="1" outlineLevel="2">
      <c r="A1129" s="853" t="s">
        <v>825</v>
      </c>
      <c r="B1129" s="422">
        <f>'Anlage 3a_Zusammenfassung_KWKG'!B2866</f>
        <v>28477480</v>
      </c>
      <c r="C1129" s="422">
        <f>'Anlage 3a_Zusammenfassung_KWKG'!C2866</f>
        <v>-112941</v>
      </c>
      <c r="D1129" s="854">
        <f t="shared" si="38"/>
        <v>28364539</v>
      </c>
      <c r="I1129" s="89" t="str">
        <f>'Anlage 3a_Zusammenfassung_KWKG'!J2866</f>
        <v>EVU Dahn</v>
      </c>
    </row>
    <row r="1130" spans="1:9" hidden="1" outlineLevel="2">
      <c r="A1130" s="853" t="s">
        <v>827</v>
      </c>
      <c r="B1130" s="422">
        <f>'Anlage 3a_Zusammenfassung_KWKG'!B2867</f>
        <v>4768230</v>
      </c>
      <c r="C1130" s="422">
        <f>'Anlage 3a_Zusammenfassung_KWKG'!C2867</f>
        <v>233465</v>
      </c>
      <c r="D1130" s="854">
        <f t="shared" si="38"/>
        <v>5001695</v>
      </c>
      <c r="I1130" s="89" t="str">
        <f>'Anlage 3a_Zusammenfassung_KWKG'!J2867</f>
        <v>Gemeindewerke Hütschenhausen</v>
      </c>
    </row>
    <row r="1131" spans="1:9" hidden="1" outlineLevel="2">
      <c r="A1131" s="853" t="s">
        <v>829</v>
      </c>
      <c r="B1131" s="422">
        <f>'Anlage 3a_Zusammenfassung_KWKG'!B2868</f>
        <v>293965329</v>
      </c>
      <c r="C1131" s="422">
        <f>'Anlage 3a_Zusammenfassung_KWKG'!C2868</f>
        <v>-1032211</v>
      </c>
      <c r="D1131" s="854">
        <f t="shared" si="38"/>
        <v>292933118</v>
      </c>
      <c r="I1131" s="89" t="str">
        <f>'Anlage 3a_Zusammenfassung_KWKG'!J2868</f>
        <v>Leitungspartner GmbH</v>
      </c>
    </row>
    <row r="1132" spans="1:9" hidden="1" outlineLevel="2">
      <c r="A1132" s="853" t="s">
        <v>831</v>
      </c>
      <c r="B1132" s="422">
        <f>'Anlage 3a_Zusammenfassung_KWKG'!B2869</f>
        <v>30104096</v>
      </c>
      <c r="C1132" s="422">
        <f>'Anlage 3a_Zusammenfassung_KWKG'!C2869</f>
        <v>-64755</v>
      </c>
      <c r="D1132" s="854">
        <f t="shared" si="38"/>
        <v>30039341</v>
      </c>
      <c r="I1132" s="89" t="str">
        <f>'Anlage 3a_Zusammenfassung_KWKG'!J2869</f>
        <v>Stadtwerke Bad Bergzabern GmbH</v>
      </c>
    </row>
    <row r="1133" spans="1:9" hidden="1" outlineLevel="2">
      <c r="A1133" s="853" t="s">
        <v>833</v>
      </c>
      <c r="B1133" s="422">
        <f>'Anlage 3a_Zusammenfassung_KWKG'!B2870</f>
        <v>2081204201</v>
      </c>
      <c r="C1133" s="422">
        <f>'Anlage 3a_Zusammenfassung_KWKG'!C2870</f>
        <v>-8494098</v>
      </c>
      <c r="D1133" s="854">
        <f t="shared" si="38"/>
        <v>2072710103</v>
      </c>
      <c r="I1133" s="89" t="str">
        <f>'Anlage 3a_Zusammenfassung_KWKG'!J2870</f>
        <v>Enervie Vernetzt GmbH</v>
      </c>
    </row>
    <row r="1134" spans="1:9" hidden="1" outlineLevel="2">
      <c r="A1134" s="853" t="s">
        <v>835</v>
      </c>
      <c r="B1134" s="422">
        <f>'Anlage 3a_Zusammenfassung_KWKG'!B2871</f>
        <v>5908079</v>
      </c>
      <c r="C1134" s="422">
        <f>'Anlage 3a_Zusammenfassung_KWKG'!C2871</f>
        <v>-9135</v>
      </c>
      <c r="D1134" s="854">
        <f t="shared" si="38"/>
        <v>5898944</v>
      </c>
      <c r="I1134" s="89" t="str">
        <f>'Anlage 3a_Zusammenfassung_KWKG'!J2871</f>
        <v>E-Werk Meckenheim/Pfalz</v>
      </c>
    </row>
    <row r="1135" spans="1:9" hidden="1" outlineLevel="2">
      <c r="A1135" s="853" t="s">
        <v>837</v>
      </c>
      <c r="B1135" s="422">
        <f>'Anlage 3a_Zusammenfassung_KWKG'!B2872</f>
        <v>107375610</v>
      </c>
      <c r="C1135" s="422">
        <f>'Anlage 3a_Zusammenfassung_KWKG'!C2872</f>
        <v>0</v>
      </c>
      <c r="D1135" s="854">
        <f t="shared" si="38"/>
        <v>107375610</v>
      </c>
      <c r="I1135" s="89" t="str">
        <f>'Anlage 3a_Zusammenfassung_KWKG'!J2872</f>
        <v>Stadtwerke Haltern am See GmbH</v>
      </c>
    </row>
    <row r="1136" spans="1:9" hidden="1" outlineLevel="2">
      <c r="A1136" s="853" t="s">
        <v>839</v>
      </c>
      <c r="B1136" s="422">
        <f>'Anlage 3a_Zusammenfassung_KWKG'!B2873</f>
        <v>22315560645</v>
      </c>
      <c r="C1136" s="422">
        <f>'Anlage 3a_Zusammenfassung_KWKG'!C2873</f>
        <v>15826846</v>
      </c>
      <c r="D1136" s="854">
        <f t="shared" si="38"/>
        <v>22331387491</v>
      </c>
      <c r="I1136" s="89" t="str">
        <f>'Anlage 3a_Zusammenfassung_KWKG'!J2873</f>
        <v>WESTNETZ GmbH</v>
      </c>
    </row>
    <row r="1137" spans="1:9" hidden="1" outlineLevel="2">
      <c r="A1137" s="853" t="s">
        <v>841</v>
      </c>
      <c r="B1137" s="422">
        <f>'Anlage 3a_Zusammenfassung_KWKG'!B2874</f>
        <v>136821001</v>
      </c>
      <c r="C1137" s="422">
        <f>'Anlage 3a_Zusammenfassung_KWKG'!C2874</f>
        <v>-8763871</v>
      </c>
      <c r="D1137" s="854">
        <f t="shared" si="38"/>
        <v>128057130</v>
      </c>
      <c r="I1137" s="89" t="str">
        <f>'Anlage 3a_Zusammenfassung_KWKG'!J2874</f>
        <v>Stadtwerke EVB Huntetal Netz GmbH</v>
      </c>
    </row>
    <row r="1138" spans="1:9" hidden="1" outlineLevel="2">
      <c r="A1138" s="853" t="s">
        <v>843</v>
      </c>
      <c r="B1138" s="422">
        <f>'Anlage 3a_Zusammenfassung_KWKG'!B2875</f>
        <v>16566245</v>
      </c>
      <c r="C1138" s="422">
        <f>'Anlage 3a_Zusammenfassung_KWKG'!C2875</f>
        <v>0</v>
      </c>
      <c r="D1138" s="854">
        <f t="shared" si="38"/>
        <v>16566245</v>
      </c>
      <c r="I1138" s="89" t="str">
        <f>'Anlage 3a_Zusammenfassung_KWKG'!J2875</f>
        <v>Gemeindewerke Budenheim AöR</v>
      </c>
    </row>
    <row r="1139" spans="1:9" hidden="1" outlineLevel="2">
      <c r="A1139" s="853" t="s">
        <v>845</v>
      </c>
      <c r="B1139" s="422">
        <f>'Anlage 3a_Zusammenfassung_KWKG'!B2876</f>
        <v>59223674</v>
      </c>
      <c r="C1139" s="422">
        <f>'Anlage 3a_Zusammenfassung_KWKG'!C2876</f>
        <v>225037</v>
      </c>
      <c r="D1139" s="854">
        <f t="shared" si="38"/>
        <v>59448711</v>
      </c>
      <c r="I1139" s="89" t="str">
        <f>'Anlage 3a_Zusammenfassung_KWKG'!J2876</f>
        <v>Stadtwerke Bliestal GmbH</v>
      </c>
    </row>
    <row r="1140" spans="1:9" hidden="1" outlineLevel="2">
      <c r="A1140" s="853" t="s">
        <v>847</v>
      </c>
      <c r="B1140" s="422">
        <f>'Anlage 3a_Zusammenfassung_KWKG'!B2877</f>
        <v>1251838647</v>
      </c>
      <c r="C1140" s="422">
        <f>'Anlage 3a_Zusammenfassung_KWKG'!C2877</f>
        <v>-1728775</v>
      </c>
      <c r="D1140" s="854">
        <f t="shared" si="38"/>
        <v>1250109872</v>
      </c>
      <c r="I1140" s="89" t="str">
        <f>'Anlage 3a_Zusammenfassung_KWKG'!J2877</f>
        <v>Stadtwerke Bochum Netz GmbH</v>
      </c>
    </row>
    <row r="1141" spans="1:9" hidden="1" outlineLevel="2">
      <c r="A1141" s="853" t="s">
        <v>849</v>
      </c>
      <c r="B1141" s="422">
        <f>'Anlage 3a_Zusammenfassung_KWKG'!B2878</f>
        <v>180772100</v>
      </c>
      <c r="C1141" s="422">
        <f>'Anlage 3a_Zusammenfassung_KWKG'!C2878</f>
        <v>-746065</v>
      </c>
      <c r="D1141" s="854">
        <f t="shared" si="38"/>
        <v>180026035</v>
      </c>
      <c r="I1141" s="89" t="str">
        <f>'Anlage 3a_Zusammenfassung_KWKG'!J2878</f>
        <v>Stadtwerke Menden GmbH</v>
      </c>
    </row>
    <row r="1142" spans="1:9" hidden="1" outlineLevel="2">
      <c r="A1142" s="853" t="s">
        <v>851</v>
      </c>
      <c r="B1142" s="422">
        <f>'Anlage 3a_Zusammenfassung_KWKG'!B2879</f>
        <v>117592283</v>
      </c>
      <c r="C1142" s="422">
        <f>'Anlage 3a_Zusammenfassung_KWKG'!C2879</f>
        <v>0</v>
      </c>
      <c r="D1142" s="854">
        <f t="shared" si="38"/>
        <v>117592283</v>
      </c>
      <c r="I1142" s="89" t="str">
        <f>'Anlage 3a_Zusammenfassung_KWKG'!J2879</f>
        <v>Stadtwerke Zweibrücken GmbH</v>
      </c>
    </row>
    <row r="1143" spans="1:9" hidden="1" outlineLevel="2">
      <c r="A1143" s="853" t="s">
        <v>853</v>
      </c>
      <c r="B1143" s="422">
        <f>'Anlage 3a_Zusammenfassung_KWKG'!B2880</f>
        <v>6599538977</v>
      </c>
      <c r="C1143" s="422">
        <f>'Anlage 3a_Zusammenfassung_KWKG'!C2880</f>
        <v>-143510820</v>
      </c>
      <c r="D1143" s="854">
        <f t="shared" si="38"/>
        <v>6456028157</v>
      </c>
      <c r="I1143" s="89" t="str">
        <f>'Anlage 3a_Zusammenfassung_KWKG'!J2880</f>
        <v>RheinNetz GmbH</v>
      </c>
    </row>
    <row r="1144" spans="1:9" hidden="1" outlineLevel="2">
      <c r="A1144" s="853" t="s">
        <v>855</v>
      </c>
      <c r="B1144" s="422">
        <f>'Anlage 3a_Zusammenfassung_KWKG'!B2881</f>
        <v>339535898</v>
      </c>
      <c r="C1144" s="422">
        <f>'Anlage 3a_Zusammenfassung_KWKG'!C2881</f>
        <v>2635233</v>
      </c>
      <c r="D1144" s="854">
        <f t="shared" si="38"/>
        <v>342171131</v>
      </c>
      <c r="I1144" s="89" t="str">
        <f>'Anlage 3a_Zusammenfassung_KWKG'!J2881</f>
        <v>Stadtwerke Troisdorf GmbH</v>
      </c>
    </row>
    <row r="1145" spans="1:9" hidden="1" outlineLevel="2">
      <c r="A1145" s="853" t="s">
        <v>857</v>
      </c>
      <c r="B1145" s="422">
        <f>'Anlage 3a_Zusammenfassung_KWKG'!B2882</f>
        <v>68624135</v>
      </c>
      <c r="C1145" s="422">
        <f>'Anlage 3a_Zusammenfassung_KWKG'!C2882</f>
        <v>132880</v>
      </c>
      <c r="D1145" s="854">
        <f t="shared" si="38"/>
        <v>68757015</v>
      </c>
      <c r="I1145" s="89" t="str">
        <f>'Anlage 3a_Zusammenfassung_KWKG'!J2882</f>
        <v>Stadtwerke Schifferstadt</v>
      </c>
    </row>
    <row r="1146" spans="1:9" hidden="1" outlineLevel="2">
      <c r="A1146" s="853" t="s">
        <v>859</v>
      </c>
      <c r="B1146" s="422">
        <f>'Anlage 3a_Zusammenfassung_KWKG'!B2883</f>
        <v>438956779</v>
      </c>
      <c r="C1146" s="422">
        <f>'Anlage 3a_Zusammenfassung_KWKG'!C2883</f>
        <v>640583</v>
      </c>
      <c r="D1146" s="854">
        <f t="shared" si="38"/>
        <v>439597362</v>
      </c>
      <c r="I1146" s="89" t="str">
        <f>'Anlage 3a_Zusammenfassung_KWKG'!J2883</f>
        <v>EWR GmbH</v>
      </c>
    </row>
    <row r="1147" spans="1:9" hidden="1" outlineLevel="2">
      <c r="A1147" s="853" t="s">
        <v>861</v>
      </c>
      <c r="B1147" s="422">
        <f>'Anlage 3a_Zusammenfassung_KWKG'!B2884</f>
        <v>18931554</v>
      </c>
      <c r="C1147" s="422">
        <f>'Anlage 3a_Zusammenfassung_KWKG'!C2884</f>
        <v>0</v>
      </c>
      <c r="D1147" s="854">
        <f t="shared" si="38"/>
        <v>18931554</v>
      </c>
      <c r="I1147" s="89" t="str">
        <f>'Anlage 3a_Zusammenfassung_KWKG'!J2884</f>
        <v>Elektrizitätswerk Hindelang eG</v>
      </c>
    </row>
    <row r="1148" spans="1:9" hidden="1" outlineLevel="2">
      <c r="A1148" s="853" t="s">
        <v>863</v>
      </c>
      <c r="B1148" s="422">
        <f>'Anlage 3a_Zusammenfassung_KWKG'!B2885</f>
        <v>211346278</v>
      </c>
      <c r="C1148" s="422">
        <f>'Anlage 3a_Zusammenfassung_KWKG'!C2885</f>
        <v>0</v>
      </c>
      <c r="D1148" s="854">
        <f t="shared" si="38"/>
        <v>211346278</v>
      </c>
      <c r="I1148" s="89" t="str">
        <f>'Anlage 3a_Zusammenfassung_KWKG'!J2885</f>
        <v>Stadtwerke Neuwied GmbH</v>
      </c>
    </row>
    <row r="1149" spans="1:9" hidden="1" outlineLevel="2">
      <c r="A1149" s="853" t="s">
        <v>865</v>
      </c>
      <c r="B1149" s="422">
        <f>'Anlage 3a_Zusammenfassung_KWKG'!B2886</f>
        <v>758012306</v>
      </c>
      <c r="C1149" s="422">
        <f>'Anlage 3a_Zusammenfassung_KWKG'!C2886</f>
        <v>0</v>
      </c>
      <c r="D1149" s="854">
        <f t="shared" si="38"/>
        <v>758012306</v>
      </c>
      <c r="I1149" s="89" t="str">
        <f>'Anlage 3a_Zusammenfassung_KWKG'!J2886</f>
        <v>AllgäuNetz GmbH &amp; Co. KG</v>
      </c>
    </row>
    <row r="1150" spans="1:9" hidden="1" outlineLevel="2">
      <c r="A1150" s="853" t="s">
        <v>867</v>
      </c>
      <c r="B1150" s="422">
        <f>'Anlage 3a_Zusammenfassung_KWKG'!B2887</f>
        <v>169759629</v>
      </c>
      <c r="C1150" s="422">
        <f>'Anlage 3a_Zusammenfassung_KWKG'!C2887</f>
        <v>67805</v>
      </c>
      <c r="D1150" s="854">
        <f t="shared" si="38"/>
        <v>169827434</v>
      </c>
      <c r="I1150" s="89" t="str">
        <f>'Anlage 3a_Zusammenfassung_KWKG'!J2887</f>
        <v>Stadtwerke St. Ingbert GmbH</v>
      </c>
    </row>
    <row r="1151" spans="1:9" hidden="1" outlineLevel="2">
      <c r="A1151" s="853" t="s">
        <v>869</v>
      </c>
      <c r="B1151" s="422">
        <f>'Anlage 3a_Zusammenfassung_KWKG'!B2888</f>
        <v>14637249</v>
      </c>
      <c r="C1151" s="422">
        <f>'Anlage 3a_Zusammenfassung_KWKG'!C2888</f>
        <v>723</v>
      </c>
      <c r="D1151" s="854">
        <f t="shared" si="38"/>
        <v>14637972</v>
      </c>
      <c r="I1151" s="89" t="str">
        <f>'Anlage 3a_Zusammenfassung_KWKG'!J2888</f>
        <v>Stadtwerke Weilburg GmbH</v>
      </c>
    </row>
    <row r="1152" spans="1:9" hidden="1" outlineLevel="2">
      <c r="A1152" s="853" t="s">
        <v>871</v>
      </c>
      <c r="B1152" s="422">
        <f>'Anlage 3a_Zusammenfassung_KWKG'!B2889</f>
        <v>141357783</v>
      </c>
      <c r="C1152" s="422">
        <f>'Anlage 3a_Zusammenfassung_KWKG'!C2889</f>
        <v>-1115964</v>
      </c>
      <c r="D1152" s="854">
        <f t="shared" si="38"/>
        <v>140241819</v>
      </c>
      <c r="I1152" s="89" t="str">
        <f>'Anlage 3a_Zusammenfassung_KWKG'!J2889</f>
        <v>Stadtwerke Dülmen GmbH</v>
      </c>
    </row>
    <row r="1153" spans="1:9" hidden="1" outlineLevel="2">
      <c r="A1153" s="853" t="s">
        <v>873</v>
      </c>
      <c r="B1153" s="422">
        <f>'Anlage 3a_Zusammenfassung_KWKG'!B2890</f>
        <v>1245815130</v>
      </c>
      <c r="C1153" s="422">
        <f>'Anlage 3a_Zusammenfassung_KWKG'!C2890</f>
        <v>1019947</v>
      </c>
      <c r="D1153" s="854">
        <f t="shared" si="38"/>
        <v>1246835077</v>
      </c>
      <c r="I1153" s="89" t="str">
        <f>'Anlage 3a_Zusammenfassung_KWKG'!J2890</f>
        <v>Bonn-Netz GmbH</v>
      </c>
    </row>
    <row r="1154" spans="1:9" hidden="1" outlineLevel="2">
      <c r="A1154" s="853" t="s">
        <v>875</v>
      </c>
      <c r="B1154" s="422">
        <f>'Anlage 3a_Zusammenfassung_KWKG'!B2891</f>
        <v>107138317</v>
      </c>
      <c r="C1154" s="422">
        <f>'Anlage 3a_Zusammenfassung_KWKG'!C2891</f>
        <v>1416085</v>
      </c>
      <c r="D1154" s="854">
        <f t="shared" si="38"/>
        <v>108554402</v>
      </c>
      <c r="I1154" s="89" t="str">
        <f>'Anlage 3a_Zusammenfassung_KWKG'!J2891</f>
        <v>Netzwerke Merzig GmbH</v>
      </c>
    </row>
    <row r="1155" spans="1:9" hidden="1" outlineLevel="2">
      <c r="A1155" s="853" t="s">
        <v>877</v>
      </c>
      <c r="B1155" s="422">
        <f>'Anlage 3a_Zusammenfassung_KWKG'!B2892</f>
        <v>122889507</v>
      </c>
      <c r="C1155" s="422">
        <f>'Anlage 3a_Zusammenfassung_KWKG'!C2892</f>
        <v>-129734</v>
      </c>
      <c r="D1155" s="854">
        <f t="shared" si="38"/>
        <v>122759773</v>
      </c>
      <c r="I1155" s="89" t="str">
        <f>'Anlage 3a_Zusammenfassung_KWKG'!J2892</f>
        <v>Stadtwerke Landsberg KU</v>
      </c>
    </row>
    <row r="1156" spans="1:9" hidden="1" outlineLevel="2">
      <c r="A1156" s="853" t="s">
        <v>879</v>
      </c>
      <c r="B1156" s="422">
        <f>'Anlage 3a_Zusammenfassung_KWKG'!B2893</f>
        <v>119293769</v>
      </c>
      <c r="C1156" s="422">
        <f>'Anlage 3a_Zusammenfassung_KWKG'!C2893</f>
        <v>1249975</v>
      </c>
      <c r="D1156" s="854">
        <f t="shared" si="38"/>
        <v>120543744</v>
      </c>
      <c r="I1156" s="89" t="str">
        <f>'Anlage 3a_Zusammenfassung_KWKG'!J2893</f>
        <v>Westfalen Weser Netz GmbH</v>
      </c>
    </row>
    <row r="1157" spans="1:9" hidden="1" outlineLevel="2">
      <c r="A1157" s="853" t="s">
        <v>881</v>
      </c>
      <c r="B1157" s="422">
        <f>'Anlage 3a_Zusammenfassung_KWKG'!B2894</f>
        <v>69082</v>
      </c>
      <c r="C1157" s="422">
        <f>'Anlage 3a_Zusammenfassung_KWKG'!C2894</f>
        <v>0</v>
      </c>
      <c r="D1157" s="854">
        <f t="shared" si="38"/>
        <v>69082</v>
      </c>
      <c r="I1157" s="89" t="str">
        <f>'Anlage 3a_Zusammenfassung_KWKG'!J2894</f>
        <v>SWL Übertragungsnetzgesellschaft mbH</v>
      </c>
    </row>
    <row r="1158" spans="1:9" hidden="1" outlineLevel="2">
      <c r="A1158" s="853" t="s">
        <v>542</v>
      </c>
      <c r="B1158" s="422">
        <f>'Anlage 3a_Zusammenfassung_KWKG'!B2895</f>
        <v>10818390</v>
      </c>
      <c r="C1158" s="422">
        <f>'Anlage 3a_Zusammenfassung_KWKG'!C2895</f>
        <v>-403141</v>
      </c>
      <c r="D1158" s="854">
        <f t="shared" si="38"/>
        <v>10415249</v>
      </c>
      <c r="I1158" s="89" t="str">
        <f>'Anlage 3a_Zusammenfassung_KWKG'!J2895</f>
        <v>EGC Infrastruktur und Netz GmbH</v>
      </c>
    </row>
    <row r="1159" spans="1:9" hidden="1" outlineLevel="2">
      <c r="A1159" s="853" t="s">
        <v>883</v>
      </c>
      <c r="B1159" s="422">
        <f>'Anlage 3a_Zusammenfassung_KWKG'!B2896</f>
        <v>81126185</v>
      </c>
      <c r="C1159" s="422">
        <f>'Anlage 3a_Zusammenfassung_KWKG'!C2896</f>
        <v>975709</v>
      </c>
      <c r="D1159" s="854">
        <f t="shared" si="38"/>
        <v>82101894</v>
      </c>
      <c r="I1159" s="89" t="str">
        <f>'Anlage 3a_Zusammenfassung_KWKG'!J2896</f>
        <v>Stadtwerke Versmold GmbH</v>
      </c>
    </row>
    <row r="1160" spans="1:9" hidden="1" outlineLevel="2">
      <c r="A1160" s="853" t="s">
        <v>885</v>
      </c>
      <c r="B1160" s="422">
        <f>'Anlage 3a_Zusammenfassung_KWKG'!B2897</f>
        <v>3592600</v>
      </c>
      <c r="C1160" s="422">
        <f>'Anlage 3a_Zusammenfassung_KWKG'!C2897</f>
        <v>0</v>
      </c>
      <c r="D1160" s="854">
        <f t="shared" si="38"/>
        <v>3592600</v>
      </c>
      <c r="I1160" s="89" t="str">
        <f>'Anlage 3a_Zusammenfassung_KWKG'!J2897</f>
        <v>Elektrizitätsgenossenschaft Oesterweg eG</v>
      </c>
    </row>
    <row r="1161" spans="1:9" hidden="1" outlineLevel="2">
      <c r="A1161" s="853" t="s">
        <v>887</v>
      </c>
      <c r="B1161" s="422">
        <f>'Anlage 3a_Zusammenfassung_KWKG'!B2898</f>
        <v>138392239</v>
      </c>
      <c r="C1161" s="422">
        <f>'Anlage 3a_Zusammenfassung_KWKG'!C2898</f>
        <v>0</v>
      </c>
      <c r="D1161" s="854">
        <f t="shared" si="38"/>
        <v>138392239</v>
      </c>
      <c r="I1161" s="89" t="str">
        <f>'Anlage 3a_Zusammenfassung_KWKG'!J2898</f>
        <v>Alliander Netz Heinsberg GmbH</v>
      </c>
    </row>
    <row r="1162" spans="1:9" hidden="1" outlineLevel="2">
      <c r="A1162" s="853" t="s">
        <v>889</v>
      </c>
      <c r="B1162" s="422">
        <f>'Anlage 3a_Zusammenfassung_KWKG'!B2899</f>
        <v>92967568</v>
      </c>
      <c r="C1162" s="422">
        <f>'Anlage 3a_Zusammenfassung_KWKG'!C2899</f>
        <v>777794</v>
      </c>
      <c r="D1162" s="854">
        <f t="shared" si="38"/>
        <v>93745362</v>
      </c>
      <c r="I1162" s="89" t="str">
        <f>'Anlage 3a_Zusammenfassung_KWKG'!J2899</f>
        <v>SWV Regional GmbH</v>
      </c>
    </row>
    <row r="1163" spans="1:9" hidden="1" outlineLevel="2">
      <c r="A1163" s="853" t="s">
        <v>891</v>
      </c>
      <c r="B1163" s="422">
        <f>'Anlage 3a_Zusammenfassung_KWKG'!B2900</f>
        <v>304195675</v>
      </c>
      <c r="C1163" s="422">
        <f>'Anlage 3a_Zusammenfassung_KWKG'!C2900</f>
        <v>0</v>
      </c>
      <c r="D1163" s="854">
        <f t="shared" si="38"/>
        <v>304195675</v>
      </c>
      <c r="I1163" s="89" t="str">
        <f>'Anlage 3a_Zusammenfassung_KWKG'!J2900</f>
        <v>Netzgesellschaft Gütersloh mbH</v>
      </c>
    </row>
    <row r="1164" spans="1:9" hidden="1" outlineLevel="2">
      <c r="A1164" s="853" t="s">
        <v>2074</v>
      </c>
      <c r="B1164" s="422">
        <f>'Anlage 3a_Zusammenfassung_KWKG'!B2901</f>
        <v>19253498</v>
      </c>
      <c r="C1164" s="422">
        <f>'Anlage 3a_Zusammenfassung_KWKG'!C2901</f>
        <v>0</v>
      </c>
      <c r="D1164" s="854">
        <f t="shared" si="38"/>
        <v>19253498</v>
      </c>
      <c r="I1164" s="89" t="str">
        <f>'Anlage 3a_Zusammenfassung_KWKG'!J2901</f>
        <v>Gemeindewerke Stockstadt Eigenbetrieb Stockstadt am Main</v>
      </c>
    </row>
    <row r="1165" spans="1:9" hidden="1" outlineLevel="2">
      <c r="A1165" s="853" t="s">
        <v>893</v>
      </c>
      <c r="B1165" s="422">
        <f>'Anlage 3a_Zusammenfassung_KWKG'!B2902</f>
        <v>178803943</v>
      </c>
      <c r="C1165" s="422">
        <f>'Anlage 3a_Zusammenfassung_KWKG'!C2902</f>
        <v>-570912</v>
      </c>
      <c r="D1165" s="854">
        <f t="shared" si="38"/>
        <v>178233031</v>
      </c>
      <c r="I1165" s="89" t="str">
        <f>'Anlage 3a_Zusammenfassung_KWKG'!J2902</f>
        <v>Energieversorgung Rüsselsheim GmbH</v>
      </c>
    </row>
    <row r="1166" spans="1:9" hidden="1" outlineLevel="2">
      <c r="A1166" s="853" t="s">
        <v>895</v>
      </c>
      <c r="B1166" s="422">
        <f>'Anlage 3a_Zusammenfassung_KWKG'!B2903</f>
        <v>11082353</v>
      </c>
      <c r="C1166" s="422">
        <f>'Anlage 3a_Zusammenfassung_KWKG'!C2903</f>
        <v>156310</v>
      </c>
      <c r="D1166" s="854">
        <f t="shared" si="38"/>
        <v>11238663</v>
      </c>
      <c r="I1166" s="89" t="str">
        <f>'Anlage 3a_Zusammenfassung_KWKG'!J2903</f>
        <v>Verbandsgemeindewerke Enkenbach-Alsenborn</v>
      </c>
    </row>
    <row r="1167" spans="1:9" hidden="1" outlineLevel="2">
      <c r="A1167" s="853" t="s">
        <v>897</v>
      </c>
      <c r="B1167" s="422">
        <f>'Anlage 3a_Zusammenfassung_KWKG'!B2904</f>
        <v>335573197</v>
      </c>
      <c r="C1167" s="422">
        <f>'Anlage 3a_Zusammenfassung_KWKG'!C2904</f>
        <v>0</v>
      </c>
      <c r="D1167" s="854">
        <f t="shared" ref="D1167:D1230" si="39">SUM(B1167:C1167)</f>
        <v>335573197</v>
      </c>
      <c r="I1167" s="89" t="str">
        <f>'Anlage 3a_Zusammenfassung_KWKG'!J2904</f>
        <v>Stadtwerke Ostmünsterland GmbH &amp; Co. KG</v>
      </c>
    </row>
    <row r="1168" spans="1:9" hidden="1" outlineLevel="2">
      <c r="A1168" s="853" t="s">
        <v>899</v>
      </c>
      <c r="B1168" s="422">
        <f>'Anlage 3a_Zusammenfassung_KWKG'!B2905</f>
        <v>246294688</v>
      </c>
      <c r="C1168" s="422">
        <f>'Anlage 3a_Zusammenfassung_KWKG'!C2905</f>
        <v>0</v>
      </c>
      <c r="D1168" s="854">
        <f t="shared" si="39"/>
        <v>246294688</v>
      </c>
      <c r="I1168" s="89" t="str">
        <f>'Anlage 3a_Zusammenfassung_KWKG'!J2905</f>
        <v>Energie- und Wasserversorgung Rheine GmbH</v>
      </c>
    </row>
    <row r="1169" spans="1:9" hidden="1" outlineLevel="2">
      <c r="A1169" s="853" t="s">
        <v>901</v>
      </c>
      <c r="B1169" s="422">
        <f>'Anlage 3a_Zusammenfassung_KWKG'!B2906</f>
        <v>135401359</v>
      </c>
      <c r="C1169" s="422">
        <f>'Anlage 3a_Zusammenfassung_KWKG'!C2906</f>
        <v>1404132</v>
      </c>
      <c r="D1169" s="854">
        <f t="shared" si="39"/>
        <v>136805491</v>
      </c>
      <c r="I1169" s="89" t="str">
        <f>'Anlage 3a_Zusammenfassung_KWKG'!J2906</f>
        <v>Stadtwerke Schwerte GmbH</v>
      </c>
    </row>
    <row r="1170" spans="1:9" hidden="1" outlineLevel="2">
      <c r="A1170" s="853" t="s">
        <v>903</v>
      </c>
      <c r="B1170" s="422">
        <f>'Anlage 3a_Zusammenfassung_KWKG'!B2907</f>
        <v>30526791</v>
      </c>
      <c r="C1170" s="422">
        <f>'Anlage 3a_Zusammenfassung_KWKG'!C2907</f>
        <v>0</v>
      </c>
      <c r="D1170" s="854">
        <f t="shared" si="39"/>
        <v>30526791</v>
      </c>
      <c r="I1170" s="89" t="str">
        <f>'Anlage 3a_Zusammenfassung_KWKG'!J2907</f>
        <v>Veolia Industriepark Deutschland GmbH</v>
      </c>
    </row>
    <row r="1171" spans="1:9" hidden="1" outlineLevel="2">
      <c r="A1171" s="853" t="s">
        <v>905</v>
      </c>
      <c r="B1171" s="422">
        <f>'Anlage 3a_Zusammenfassung_KWKG'!B2908</f>
        <v>132416577</v>
      </c>
      <c r="C1171" s="422">
        <f>'Anlage 3a_Zusammenfassung_KWKG'!C2908</f>
        <v>-3653994</v>
      </c>
      <c r="D1171" s="854">
        <f t="shared" si="39"/>
        <v>128762583</v>
      </c>
      <c r="I1171" s="89" t="str">
        <f>'Anlage 3a_Zusammenfassung_KWKG'!J2908</f>
        <v>Netzgesellschaft Ahlen mbH</v>
      </c>
    </row>
    <row r="1172" spans="1:9" hidden="1" outlineLevel="2">
      <c r="A1172" s="853" t="s">
        <v>907</v>
      </c>
      <c r="B1172" s="422">
        <f>'Anlage 3a_Zusammenfassung_KWKG'!B2909</f>
        <v>2591975272</v>
      </c>
      <c r="C1172" s="422">
        <f>'Anlage 3a_Zusammenfassung_KWKG'!C2909</f>
        <v>5612193</v>
      </c>
      <c r="D1172" s="854">
        <f t="shared" si="39"/>
        <v>2597587465</v>
      </c>
      <c r="I1172" s="89" t="str">
        <f>'Anlage 3a_Zusammenfassung_KWKG'!J2909</f>
        <v>Netzgesellschaft Düsseldorf mbH</v>
      </c>
    </row>
    <row r="1173" spans="1:9" hidden="1" outlineLevel="2">
      <c r="A1173" s="853" t="s">
        <v>909</v>
      </c>
      <c r="B1173" s="422">
        <f>'Anlage 3a_Zusammenfassung_KWKG'!B2910</f>
        <v>285032111</v>
      </c>
      <c r="C1173" s="422">
        <f>'Anlage 3a_Zusammenfassung_KWKG'!C2910</f>
        <v>0</v>
      </c>
      <c r="D1173" s="854">
        <f t="shared" si="39"/>
        <v>285032111</v>
      </c>
      <c r="I1173" s="89" t="str">
        <f>'Anlage 3a_Zusammenfassung_KWKG'!J2910</f>
        <v>Stadtwerke Ulm/Neu-Ulm Netze GmbH</v>
      </c>
    </row>
    <row r="1174" spans="1:9" hidden="1" outlineLevel="2">
      <c r="A1174" s="853" t="s">
        <v>911</v>
      </c>
      <c r="B1174" s="422">
        <f>'Anlage 3a_Zusammenfassung_KWKG'!B2911</f>
        <v>83776931</v>
      </c>
      <c r="C1174" s="422">
        <f>'Anlage 3a_Zusammenfassung_KWKG'!C2911</f>
        <v>-145629</v>
      </c>
      <c r="D1174" s="854">
        <f t="shared" si="39"/>
        <v>83631302</v>
      </c>
      <c r="I1174" s="89" t="str">
        <f>'Anlage 3a_Zusammenfassung_KWKG'!J2911</f>
        <v>Netzgesellschaft Lübbecke mbH</v>
      </c>
    </row>
    <row r="1175" spans="1:9" hidden="1" outlineLevel="2">
      <c r="A1175" s="853" t="s">
        <v>913</v>
      </c>
      <c r="B1175" s="422">
        <f>'Anlage 3a_Zusammenfassung_KWKG'!B2912</f>
        <v>156502824</v>
      </c>
      <c r="C1175" s="422">
        <f>'Anlage 3a_Zusammenfassung_KWKG'!C2912</f>
        <v>6354514</v>
      </c>
      <c r="D1175" s="854">
        <f t="shared" si="39"/>
        <v>162857338</v>
      </c>
      <c r="I1175" s="89" t="str">
        <f>'Anlage 3a_Zusammenfassung_KWKG'!J2912</f>
        <v>Stadtwerke Gronau GmbH</v>
      </c>
    </row>
    <row r="1176" spans="1:9" hidden="1" outlineLevel="2">
      <c r="A1176" s="853" t="s">
        <v>915</v>
      </c>
      <c r="B1176" s="422">
        <f>'Anlage 3a_Zusammenfassung_KWKG'!B2913</f>
        <v>76157058</v>
      </c>
      <c r="C1176" s="422">
        <f>'Anlage 3a_Zusammenfassung_KWKG'!C2913</f>
        <v>-48112</v>
      </c>
      <c r="D1176" s="854">
        <f t="shared" si="39"/>
        <v>76108946</v>
      </c>
      <c r="I1176" s="89" t="str">
        <f>'Anlage 3a_Zusammenfassung_KWKG'!J2913</f>
        <v>Stadtwerke Ochtrup</v>
      </c>
    </row>
    <row r="1177" spans="1:9" hidden="1" outlineLevel="2">
      <c r="A1177" s="853" t="s">
        <v>917</v>
      </c>
      <c r="B1177" s="422">
        <f>'Anlage 3a_Zusammenfassung_KWKG'!B2914</f>
        <v>460440746</v>
      </c>
      <c r="C1177" s="422">
        <f>'Anlage 3a_Zusammenfassung_KWKG'!C2914</f>
        <v>-1733491</v>
      </c>
      <c r="D1177" s="854">
        <f t="shared" si="39"/>
        <v>458707255</v>
      </c>
      <c r="I1177" s="89" t="str">
        <f>'Anlage 3a_Zusammenfassung_KWKG'!J2914</f>
        <v>TWL Netze GmbH</v>
      </c>
    </row>
    <row r="1178" spans="1:9" hidden="1" outlineLevel="2">
      <c r="A1178" s="853" t="s">
        <v>919</v>
      </c>
      <c r="B1178" s="422">
        <f>'Anlage 3a_Zusammenfassung_KWKG'!B2915</f>
        <v>338424560</v>
      </c>
      <c r="C1178" s="422">
        <f>'Anlage 3a_Zusammenfassung_KWKG'!C2915</f>
        <v>4794312</v>
      </c>
      <c r="D1178" s="854">
        <f t="shared" si="39"/>
        <v>343218872</v>
      </c>
      <c r="I1178" s="89" t="str">
        <f>'Anlage 3a_Zusammenfassung_KWKG'!J2915</f>
        <v>GSW Gemeinschaftsstadtwerke GmbH Kamen, Bönen, Bergkamen</v>
      </c>
    </row>
    <row r="1179" spans="1:9" hidden="1" outlineLevel="2">
      <c r="A1179" s="853" t="s">
        <v>921</v>
      </c>
      <c r="B1179" s="422">
        <f>'Anlage 3a_Zusammenfassung_KWKG'!B2916</f>
        <v>172549686</v>
      </c>
      <c r="C1179" s="422">
        <f>'Anlage 3a_Zusammenfassung_KWKG'!C2916</f>
        <v>713938</v>
      </c>
      <c r="D1179" s="854">
        <f t="shared" si="39"/>
        <v>173263624</v>
      </c>
      <c r="I1179" s="89" t="str">
        <f>'Anlage 3a_Zusammenfassung_KWKG'!J2916</f>
        <v>Stadtwerke Kleve GmbH</v>
      </c>
    </row>
    <row r="1180" spans="1:9" hidden="1" outlineLevel="2">
      <c r="A1180" s="853" t="s">
        <v>923</v>
      </c>
      <c r="B1180" s="422">
        <f>'Anlage 3a_Zusammenfassung_KWKG'!B2917</f>
        <v>14295751</v>
      </c>
      <c r="C1180" s="422">
        <f>'Anlage 3a_Zusammenfassung_KWKG'!C2917</f>
        <v>0</v>
      </c>
      <c r="D1180" s="854">
        <f t="shared" si="39"/>
        <v>14295751</v>
      </c>
      <c r="I1180" s="89" t="str">
        <f>'Anlage 3a_Zusammenfassung_KWKG'!J2917</f>
        <v>Gelsenkirchen Raffinerie Netz GmbH</v>
      </c>
    </row>
    <row r="1181" spans="1:9" hidden="1" outlineLevel="2">
      <c r="A1181" s="853" t="s">
        <v>927</v>
      </c>
      <c r="B1181" s="422">
        <f>'Anlage 3a_Zusammenfassung_KWKG'!B2918</f>
        <v>10557323</v>
      </c>
      <c r="C1181" s="422">
        <f>'Anlage 3a_Zusammenfassung_KWKG'!C2918</f>
        <v>-102351</v>
      </c>
      <c r="D1181" s="854">
        <f t="shared" si="39"/>
        <v>10454972</v>
      </c>
      <c r="I1181" s="89" t="str">
        <f>'Anlage 3a_Zusammenfassung_KWKG'!J2918</f>
        <v>Abita Energie Otterberg GmbH</v>
      </c>
    </row>
    <row r="1182" spans="1:9" hidden="1" outlineLevel="2">
      <c r="A1182" s="853" t="s">
        <v>2480</v>
      </c>
      <c r="B1182" s="422">
        <f>'Anlage 3a_Zusammenfassung_KWKG'!B2919</f>
        <v>74723488</v>
      </c>
      <c r="C1182" s="422">
        <f>'Anlage 3a_Zusammenfassung_KWKG'!C2919</f>
        <v>-19658</v>
      </c>
      <c r="D1182" s="854">
        <f t="shared" si="39"/>
        <v>74703830</v>
      </c>
      <c r="I1182" s="89" t="str">
        <f>'Anlage 3a_Zusammenfassung_KWKG'!J2919</f>
        <v>Verteilnetze Energie Weißenhorn GmbH &amp; Co. KG</v>
      </c>
    </row>
    <row r="1183" spans="1:9" hidden="1" outlineLevel="2">
      <c r="A1183" s="853" t="s">
        <v>929</v>
      </c>
      <c r="B1183" s="422">
        <f>'Anlage 3a_Zusammenfassung_KWKG'!B2920</f>
        <v>101288285</v>
      </c>
      <c r="C1183" s="422">
        <f>'Anlage 3a_Zusammenfassung_KWKG'!C2920</f>
        <v>0</v>
      </c>
      <c r="D1183" s="854">
        <f t="shared" si="39"/>
        <v>101288285</v>
      </c>
      <c r="I1183" s="89" t="str">
        <f>'Anlage 3a_Zusammenfassung_KWKG'!J2920</f>
        <v>Creos Deutschland GmbH</v>
      </c>
    </row>
    <row r="1184" spans="1:9" hidden="1" outlineLevel="2">
      <c r="A1184" s="853" t="s">
        <v>931</v>
      </c>
      <c r="B1184" s="422">
        <f>'Anlage 3a_Zusammenfassung_KWKG'!B2921</f>
        <v>2324900725</v>
      </c>
      <c r="C1184" s="422">
        <f>'Anlage 3a_Zusammenfassung_KWKG'!C2921</f>
        <v>-27201810</v>
      </c>
      <c r="D1184" s="854">
        <f t="shared" si="39"/>
        <v>2297698915</v>
      </c>
      <c r="I1184" s="89" t="str">
        <f>'Anlage 3a_Zusammenfassung_KWKG'!J2921</f>
        <v>NEW Netz GmbH</v>
      </c>
    </row>
    <row r="1185" spans="1:9" hidden="1" outlineLevel="2">
      <c r="A1185" s="853" t="s">
        <v>933</v>
      </c>
      <c r="B1185" s="422">
        <f>'Anlage 3a_Zusammenfassung_KWKG'!B2922</f>
        <v>46459398</v>
      </c>
      <c r="C1185" s="422">
        <f>'Anlage 3a_Zusammenfassung_KWKG'!C2922</f>
        <v>0</v>
      </c>
      <c r="D1185" s="854">
        <f t="shared" si="39"/>
        <v>46459398</v>
      </c>
      <c r="I1185" s="89" t="str">
        <f>'Anlage 3a_Zusammenfassung_KWKG'!J2922</f>
        <v>Stadtwerke Goch GmbH</v>
      </c>
    </row>
    <row r="1186" spans="1:9" hidden="1" outlineLevel="2">
      <c r="A1186" s="853" t="s">
        <v>935</v>
      </c>
      <c r="B1186" s="422">
        <f>'Anlage 3a_Zusammenfassung_KWKG'!B2923</f>
        <v>40101433</v>
      </c>
      <c r="C1186" s="422">
        <f>'Anlage 3a_Zusammenfassung_KWKG'!C2923</f>
        <v>-16629044</v>
      </c>
      <c r="D1186" s="854">
        <f t="shared" si="39"/>
        <v>23472389</v>
      </c>
      <c r="I1186" s="89" t="str">
        <f>'Anlage 3a_Zusammenfassung_KWKG'!J2923</f>
        <v>VSE Verteilnetz GmbH</v>
      </c>
    </row>
    <row r="1187" spans="1:9" hidden="1" outlineLevel="2">
      <c r="A1187" s="853" t="s">
        <v>937</v>
      </c>
      <c r="B1187" s="422">
        <f>'Anlage 3a_Zusammenfassung_KWKG'!B2924</f>
        <v>253911010</v>
      </c>
      <c r="C1187" s="422">
        <f>'Anlage 3a_Zusammenfassung_KWKG'!C2924</f>
        <v>3701616</v>
      </c>
      <c r="D1187" s="854">
        <f t="shared" si="39"/>
        <v>257612626</v>
      </c>
      <c r="I1187" s="89" t="str">
        <f>'Anlage 3a_Zusammenfassung_KWKG'!J2924</f>
        <v>Stadtwerke Lünen GmbH</v>
      </c>
    </row>
    <row r="1188" spans="1:9" hidden="1" outlineLevel="2">
      <c r="A1188" s="853" t="s">
        <v>939</v>
      </c>
      <c r="B1188" s="422">
        <f>'Anlage 3a_Zusammenfassung_KWKG'!B2925</f>
        <v>103334201</v>
      </c>
      <c r="C1188" s="422">
        <f>'Anlage 3a_Zusammenfassung_KWKG'!C2925</f>
        <v>1136219</v>
      </c>
      <c r="D1188" s="854">
        <f t="shared" si="39"/>
        <v>104470420</v>
      </c>
      <c r="I1188" s="89" t="str">
        <f>'Anlage 3a_Zusammenfassung_KWKG'!J2925</f>
        <v>Energieversorgung Beckum GmbH &amp; Co. KG</v>
      </c>
    </row>
    <row r="1189" spans="1:9" hidden="1" outlineLevel="2">
      <c r="A1189" s="853" t="s">
        <v>941</v>
      </c>
      <c r="B1189" s="422">
        <f>'Anlage 3a_Zusammenfassung_KWKG'!B2926</f>
        <v>3713815216</v>
      </c>
      <c r="C1189" s="422">
        <f>'Anlage 3a_Zusammenfassung_KWKG'!C2926</f>
        <v>-2854554</v>
      </c>
      <c r="D1189" s="854">
        <f t="shared" si="39"/>
        <v>3710960662</v>
      </c>
      <c r="I1189" s="89" t="str">
        <f>'Anlage 3a_Zusammenfassung_KWKG'!J2926</f>
        <v>DB Energie GmbH</v>
      </c>
    </row>
    <row r="1190" spans="1:9" hidden="1" outlineLevel="2">
      <c r="A1190" s="853" t="s">
        <v>943</v>
      </c>
      <c r="B1190" s="422">
        <f>'Anlage 3a_Zusammenfassung_KWKG'!B2927</f>
        <v>138394395</v>
      </c>
      <c r="C1190" s="422">
        <f>'Anlage 3a_Zusammenfassung_KWKG'!C2927</f>
        <v>1536110</v>
      </c>
      <c r="D1190" s="854">
        <f t="shared" si="39"/>
        <v>139930505</v>
      </c>
      <c r="I1190" s="89" t="str">
        <f>'Anlage 3a_Zusammenfassung_KWKG'!J2927</f>
        <v>Stadtwerke Neustadt an der Weinstraße GmbH</v>
      </c>
    </row>
    <row r="1191" spans="1:9" hidden="1" outlineLevel="2">
      <c r="A1191" s="853" t="s">
        <v>945</v>
      </c>
      <c r="B1191" s="422">
        <f>'Anlage 3a_Zusammenfassung_KWKG'!B2928</f>
        <v>30544472</v>
      </c>
      <c r="C1191" s="422">
        <f>'Anlage 3a_Zusammenfassung_KWKG'!C2928</f>
        <v>-649676</v>
      </c>
      <c r="D1191" s="854">
        <f t="shared" si="39"/>
        <v>29894796</v>
      </c>
      <c r="I1191" s="89" t="str">
        <f>'Anlage 3a_Zusammenfassung_KWKG'!J2928</f>
        <v>Queichtal Energie Offenbach Netz GmbH</v>
      </c>
    </row>
    <row r="1192" spans="1:9" hidden="1" outlineLevel="2">
      <c r="A1192" s="853" t="s">
        <v>947</v>
      </c>
      <c r="B1192" s="422">
        <f>'Anlage 3a_Zusammenfassung_KWKG'!B2929</f>
        <v>115478152</v>
      </c>
      <c r="C1192" s="422">
        <f>'Anlage 3a_Zusammenfassung_KWKG'!C2929</f>
        <v>4113917</v>
      </c>
      <c r="D1192" s="854">
        <f t="shared" si="39"/>
        <v>119592069</v>
      </c>
      <c r="I1192" s="89" t="str">
        <f>'Anlage 3a_Zusammenfassung_KWKG'!J2929</f>
        <v>Stadtwerke Kempen GmbH</v>
      </c>
    </row>
    <row r="1193" spans="1:9" hidden="1" outlineLevel="2">
      <c r="A1193" s="853" t="s">
        <v>949</v>
      </c>
      <c r="B1193" s="422">
        <f>'Anlage 3a_Zusammenfassung_KWKG'!B2930</f>
        <v>2075239</v>
      </c>
      <c r="C1193" s="422">
        <f>'Anlage 3a_Zusammenfassung_KWKG'!C2930</f>
        <v>0</v>
      </c>
      <c r="D1193" s="854">
        <f t="shared" si="39"/>
        <v>2075239</v>
      </c>
      <c r="I1193" s="89" t="str">
        <f>'Anlage 3a_Zusammenfassung_KWKG'!J2930</f>
        <v>mve eurokom GmbH</v>
      </c>
    </row>
    <row r="1194" spans="1:9" hidden="1" outlineLevel="2">
      <c r="A1194" s="853" t="s">
        <v>951</v>
      </c>
      <c r="B1194" s="422">
        <f>'Anlage 3a_Zusammenfassung_KWKG'!B2931</f>
        <v>37961239</v>
      </c>
      <c r="C1194" s="422">
        <f>'Anlage 3a_Zusammenfassung_KWKG'!C2931</f>
        <v>0</v>
      </c>
      <c r="D1194" s="854">
        <f t="shared" si="39"/>
        <v>37961239</v>
      </c>
      <c r="I1194" s="89" t="str">
        <f>'Anlage 3a_Zusammenfassung_KWKG'!J2931</f>
        <v>mve eurokom GmbH</v>
      </c>
    </row>
    <row r="1195" spans="1:9" hidden="1" outlineLevel="2">
      <c r="A1195" s="853" t="s">
        <v>951</v>
      </c>
      <c r="B1195" s="422">
        <f>'Anlage 3a_Zusammenfassung_KWKG'!B2932</f>
        <v>68654271</v>
      </c>
      <c r="C1195" s="422">
        <f>'Anlage 3a_Zusammenfassung_KWKG'!C2932</f>
        <v>-76070</v>
      </c>
      <c r="D1195" s="854">
        <f t="shared" si="39"/>
        <v>68578201</v>
      </c>
      <c r="I1195" s="89" t="str">
        <f>'Anlage 3a_Zusammenfassung_KWKG'!J2932</f>
        <v>Stadtwerke Sulzbach/Saar GmbH</v>
      </c>
    </row>
    <row r="1196" spans="1:9" hidden="1" outlineLevel="2">
      <c r="A1196" s="853" t="s">
        <v>953</v>
      </c>
      <c r="B1196" s="422">
        <f>'Anlage 3a_Zusammenfassung_KWKG'!B2933</f>
        <v>142837881</v>
      </c>
      <c r="C1196" s="422">
        <f>'Anlage 3a_Zusammenfassung_KWKG'!C2933</f>
        <v>41428</v>
      </c>
      <c r="D1196" s="854">
        <f t="shared" si="39"/>
        <v>142879309</v>
      </c>
      <c r="I1196" s="89" t="str">
        <f>'Anlage 3a_Zusammenfassung_KWKG'!J2933</f>
        <v>Stadtwerke Coesfeld GmbH</v>
      </c>
    </row>
    <row r="1197" spans="1:9" hidden="1" outlineLevel="2">
      <c r="A1197" s="853" t="s">
        <v>955</v>
      </c>
      <c r="B1197" s="422">
        <f>'Anlage 3a_Zusammenfassung_KWKG'!B2934</f>
        <v>606750785</v>
      </c>
      <c r="C1197" s="422">
        <f>'Anlage 3a_Zusammenfassung_KWKG'!C2934</f>
        <v>-1406175</v>
      </c>
      <c r="D1197" s="854">
        <f t="shared" si="39"/>
        <v>605344610</v>
      </c>
      <c r="I1197" s="89" t="str">
        <f>'Anlage 3a_Zusammenfassung_KWKG'!J2934</f>
        <v>SWO Netz GmbH</v>
      </c>
    </row>
    <row r="1198" spans="1:9" hidden="1" outlineLevel="2">
      <c r="A1198" s="853" t="s">
        <v>957</v>
      </c>
      <c r="B1198" s="422">
        <f>'Anlage 3a_Zusammenfassung_KWKG'!B2935</f>
        <v>267897709</v>
      </c>
      <c r="C1198" s="422">
        <f>'Anlage 3a_Zusammenfassung_KWKG'!C2935</f>
        <v>11521</v>
      </c>
      <c r="D1198" s="854">
        <f t="shared" si="39"/>
        <v>267909230</v>
      </c>
      <c r="I1198" s="89" t="str">
        <f>'Anlage 3a_Zusammenfassung_KWKG'!J2935</f>
        <v>KEW Kommunale Energie- und Wasserversorgung AG</v>
      </c>
    </row>
    <row r="1199" spans="1:9" hidden="1" outlineLevel="2">
      <c r="A1199" s="853" t="s">
        <v>959</v>
      </c>
      <c r="B1199" s="422">
        <f>'Anlage 3a_Zusammenfassung_KWKG'!B2936</f>
        <v>275268211</v>
      </c>
      <c r="C1199" s="422">
        <f>'Anlage 3a_Zusammenfassung_KWKG'!C2936</f>
        <v>0</v>
      </c>
      <c r="D1199" s="854">
        <f t="shared" si="39"/>
        <v>275268211</v>
      </c>
      <c r="I1199" s="89" t="str">
        <f>'Anlage 3a_Zusammenfassung_KWKG'!J2936</f>
        <v>BEW Netze GmbH</v>
      </c>
    </row>
    <row r="1200" spans="1:9" hidden="1" outlineLevel="2">
      <c r="A1200" s="853" t="s">
        <v>961</v>
      </c>
      <c r="B1200" s="422">
        <f>'Anlage 3a_Zusammenfassung_KWKG'!B2937</f>
        <v>163992006</v>
      </c>
      <c r="C1200" s="422">
        <f>'Anlage 3a_Zusammenfassung_KWKG'!C2937</f>
        <v>1094829</v>
      </c>
      <c r="D1200" s="854">
        <f t="shared" si="39"/>
        <v>165086835</v>
      </c>
      <c r="I1200" s="89" t="str">
        <f>'Anlage 3a_Zusammenfassung_KWKG'!J2937</f>
        <v>Stadtwerke Unna GmbH</v>
      </c>
    </row>
    <row r="1201" spans="1:9" hidden="1" outlineLevel="2">
      <c r="A1201" s="853" t="s">
        <v>963</v>
      </c>
      <c r="B1201" s="422">
        <f>'Anlage 3a_Zusammenfassung_KWKG'!B2938</f>
        <v>97926420</v>
      </c>
      <c r="C1201" s="422">
        <f>'Anlage 3a_Zusammenfassung_KWKG'!C2938</f>
        <v>1426406</v>
      </c>
      <c r="D1201" s="854">
        <f t="shared" si="39"/>
        <v>99352826</v>
      </c>
      <c r="I1201" s="89" t="str">
        <f>'Anlage 3a_Zusammenfassung_KWKG'!J2938</f>
        <v>Stadtwerke Schüttorf-Emsbüren GmbH</v>
      </c>
    </row>
    <row r="1202" spans="1:9" hidden="1" outlineLevel="2">
      <c r="A1202" s="853" t="s">
        <v>965</v>
      </c>
      <c r="B1202" s="422">
        <f>'Anlage 3a_Zusammenfassung_KWKG'!B2939</f>
        <v>15256127</v>
      </c>
      <c r="C1202" s="422">
        <f>'Anlage 3a_Zusammenfassung_KWKG'!C2939</f>
        <v>0</v>
      </c>
      <c r="D1202" s="854">
        <f t="shared" si="39"/>
        <v>15256127</v>
      </c>
      <c r="I1202" s="89" t="str">
        <f>'Anlage 3a_Zusammenfassung_KWKG'!J2939</f>
        <v>Stadtwerke Kusel GmbH</v>
      </c>
    </row>
    <row r="1203" spans="1:9" hidden="1" outlineLevel="2">
      <c r="A1203" s="853" t="s">
        <v>967</v>
      </c>
      <c r="B1203" s="422">
        <f>'Anlage 3a_Zusammenfassung_KWKG'!B2940</f>
        <v>118942175</v>
      </c>
      <c r="C1203" s="422">
        <f>'Anlage 3a_Zusammenfassung_KWKG'!C2940</f>
        <v>11492</v>
      </c>
      <c r="D1203" s="854">
        <f t="shared" si="39"/>
        <v>118953667</v>
      </c>
      <c r="I1203" s="89" t="str">
        <f>'Anlage 3a_Zusammenfassung_KWKG'!J2940</f>
        <v>Stadtwerke Völklingen Netz GmbH</v>
      </c>
    </row>
    <row r="1204" spans="1:9" hidden="1" outlineLevel="2">
      <c r="A1204" s="853" t="s">
        <v>969</v>
      </c>
      <c r="B1204" s="422">
        <f>'Anlage 3a_Zusammenfassung_KWKG'!B2941</f>
        <v>269828343</v>
      </c>
      <c r="C1204" s="422">
        <f>'Anlage 3a_Zusammenfassung_KWKG'!C2941</f>
        <v>0</v>
      </c>
      <c r="D1204" s="854">
        <f t="shared" si="39"/>
        <v>269828343</v>
      </c>
      <c r="I1204" s="89" t="str">
        <f>'Anlage 3a_Zusammenfassung_KWKG'!J2941</f>
        <v>nvb Nordhorner Versorgungsbetriebe GmbH</v>
      </c>
    </row>
    <row r="1205" spans="1:9" hidden="1" outlineLevel="2">
      <c r="A1205" s="853" t="s">
        <v>971</v>
      </c>
      <c r="B1205" s="422">
        <f>'Anlage 3a_Zusammenfassung_KWKG'!B2942</f>
        <v>17034811</v>
      </c>
      <c r="C1205" s="422">
        <f>'Anlage 3a_Zusammenfassung_KWKG'!C2942</f>
        <v>-93888</v>
      </c>
      <c r="D1205" s="854">
        <f t="shared" si="39"/>
        <v>16940923</v>
      </c>
      <c r="I1205" s="89" t="str">
        <f>'Anlage 3a_Zusammenfassung_KWKG'!J2942</f>
        <v>EVU Weilerbach</v>
      </c>
    </row>
    <row r="1206" spans="1:9" hidden="1" outlineLevel="2">
      <c r="A1206" s="853" t="s">
        <v>973</v>
      </c>
      <c r="B1206" s="422">
        <f>'Anlage 3a_Zusammenfassung_KWKG'!B2943</f>
        <v>169248099</v>
      </c>
      <c r="C1206" s="422">
        <f>'Anlage 3a_Zusammenfassung_KWKG'!C2943</f>
        <v>1418496</v>
      </c>
      <c r="D1206" s="854">
        <f t="shared" si="39"/>
        <v>170666595</v>
      </c>
      <c r="I1206" s="89" t="str">
        <f>'Anlage 3a_Zusammenfassung_KWKG'!J2943</f>
        <v>Stadtwerke Dreieich GmbH</v>
      </c>
    </row>
    <row r="1207" spans="1:9" hidden="1" outlineLevel="2">
      <c r="A1207" s="853" t="s">
        <v>2481</v>
      </c>
      <c r="B1207" s="422">
        <f>'Anlage 3a_Zusammenfassung_KWKG'!B2944</f>
        <v>5910304</v>
      </c>
      <c r="C1207" s="422">
        <f>'Anlage 3a_Zusammenfassung_KWKG'!C2944</f>
        <v>-1091</v>
      </c>
      <c r="D1207" s="854">
        <f t="shared" si="39"/>
        <v>5909213</v>
      </c>
      <c r="I1207" s="89" t="str">
        <f>'Anlage 3a_Zusammenfassung_KWKG'!J2944</f>
        <v>Netze BW GmbH</v>
      </c>
    </row>
    <row r="1208" spans="1:9" hidden="1" outlineLevel="2">
      <c r="A1208" s="853" t="s">
        <v>975</v>
      </c>
      <c r="B1208" s="422">
        <f>'Anlage 3a_Zusammenfassung_KWKG'!B2945</f>
        <v>92039737</v>
      </c>
      <c r="C1208" s="422">
        <f>'Anlage 3a_Zusammenfassung_KWKG'!C2945</f>
        <v>9117</v>
      </c>
      <c r="D1208" s="854">
        <f t="shared" si="39"/>
        <v>92048854</v>
      </c>
      <c r="I1208" s="89" t="str">
        <f>'Anlage 3a_Zusammenfassung_KWKG'!J2945</f>
        <v>YNCORIS GmbH &amp; Co. KG</v>
      </c>
    </row>
    <row r="1209" spans="1:9" hidden="1" outlineLevel="2">
      <c r="A1209" s="853" t="s">
        <v>977</v>
      </c>
      <c r="B1209" s="422">
        <f>'Anlage 3a_Zusammenfassung_KWKG'!B2946</f>
        <v>59677939</v>
      </c>
      <c r="C1209" s="422">
        <f>'Anlage 3a_Zusammenfassung_KWKG'!C2946</f>
        <v>0</v>
      </c>
      <c r="D1209" s="854">
        <f t="shared" si="39"/>
        <v>59677939</v>
      </c>
      <c r="I1209" s="89" t="str">
        <f>'Anlage 3a_Zusammenfassung_KWKG'!J2946</f>
        <v>Stadtwerke Bad Wörishofen</v>
      </c>
    </row>
    <row r="1210" spans="1:9" hidden="1" outlineLevel="2">
      <c r="A1210" s="853" t="s">
        <v>979</v>
      </c>
      <c r="B1210" s="422">
        <f>'Anlage 3a_Zusammenfassung_KWKG'!B2947</f>
        <v>397072547</v>
      </c>
      <c r="C1210" s="422">
        <f>'Anlage 3a_Zusammenfassung_KWKG'!C2947</f>
        <v>0</v>
      </c>
      <c r="D1210" s="854">
        <f t="shared" si="39"/>
        <v>397072547</v>
      </c>
      <c r="I1210" s="89" t="str">
        <f>'Anlage 3a_Zusammenfassung_KWKG'!J2947</f>
        <v>SWTE Netz GmbH &amp; Co. KG</v>
      </c>
    </row>
    <row r="1211" spans="1:9" hidden="1" outlineLevel="2">
      <c r="A1211" s="853" t="s">
        <v>981</v>
      </c>
      <c r="B1211" s="422">
        <f>'Anlage 3a_Zusammenfassung_KWKG'!B2948</f>
        <v>976127122</v>
      </c>
      <c r="C1211" s="422">
        <f>'Anlage 3a_Zusammenfassung_KWKG'!C2948</f>
        <v>14914304</v>
      </c>
      <c r="D1211" s="854">
        <f t="shared" si="39"/>
        <v>991041426</v>
      </c>
      <c r="I1211" s="89" t="str">
        <f>'Anlage 3a_Zusammenfassung_KWKG'!J2948</f>
        <v>Stadtwerke Wiesbaden Netz GmbH</v>
      </c>
    </row>
    <row r="1212" spans="1:9" hidden="1" outlineLevel="2">
      <c r="A1212" s="853" t="s">
        <v>983</v>
      </c>
      <c r="B1212" s="422">
        <f>'Anlage 3a_Zusammenfassung_KWKG'!B2949</f>
        <v>10257029</v>
      </c>
      <c r="C1212" s="422">
        <f>'Anlage 3a_Zusammenfassung_KWKG'!C2949</f>
        <v>118461</v>
      </c>
      <c r="D1212" s="854">
        <f t="shared" si="39"/>
        <v>10375490</v>
      </c>
      <c r="I1212" s="89" t="str">
        <f>'Anlage 3a_Zusammenfassung_KWKG'!J2949</f>
        <v>Gemeindewerke Dudenhofen</v>
      </c>
    </row>
    <row r="1213" spans="1:9" hidden="1" outlineLevel="2">
      <c r="A1213" s="853" t="s">
        <v>985</v>
      </c>
      <c r="B1213" s="422">
        <f>'Anlage 3a_Zusammenfassung_KWKG'!B2950</f>
        <v>7234661</v>
      </c>
      <c r="C1213" s="422">
        <f>'Anlage 3a_Zusammenfassung_KWKG'!C2950</f>
        <v>6244357</v>
      </c>
      <c r="D1213" s="854">
        <f t="shared" si="39"/>
        <v>13479018</v>
      </c>
      <c r="I1213" s="89" t="str">
        <f>'Anlage 3a_Zusammenfassung_KWKG'!J2950</f>
        <v>TCA Sustainable Energy Solutions GmbH</v>
      </c>
    </row>
    <row r="1214" spans="1:9" hidden="1" outlineLevel="2">
      <c r="A1214" s="853" t="s">
        <v>987</v>
      </c>
      <c r="B1214" s="422">
        <f>'Anlage 3a_Zusammenfassung_KWKG'!B2951</f>
        <v>47339227</v>
      </c>
      <c r="C1214" s="422">
        <f>'Anlage 3a_Zusammenfassung_KWKG'!C2951</f>
        <v>62346</v>
      </c>
      <c r="D1214" s="854">
        <f t="shared" si="39"/>
        <v>47401573</v>
      </c>
      <c r="I1214" s="89" t="str">
        <f>'Anlage 3a_Zusammenfassung_KWKG'!J2951</f>
        <v>KEEP - Kommunale Eisenberger Energiepartner GmbH</v>
      </c>
    </row>
    <row r="1215" spans="1:9" hidden="1" outlineLevel="2">
      <c r="A1215" s="853" t="s">
        <v>991</v>
      </c>
      <c r="B1215" s="422">
        <f>'Anlage 3a_Zusammenfassung_KWKG'!B2952</f>
        <v>355953902</v>
      </c>
      <c r="C1215" s="422">
        <f>'Anlage 3a_Zusammenfassung_KWKG'!C2952</f>
        <v>0</v>
      </c>
      <c r="D1215" s="854">
        <f t="shared" si="39"/>
        <v>355953902</v>
      </c>
      <c r="I1215" s="89" t="str">
        <f>'Anlage 3a_Zusammenfassung_KWKG'!J2952</f>
        <v>Stadtwerke Ratingen GmbH</v>
      </c>
    </row>
    <row r="1216" spans="1:9" hidden="1" outlineLevel="2">
      <c r="A1216" s="853" t="s">
        <v>993</v>
      </c>
      <c r="B1216" s="422">
        <f>'Anlage 3a_Zusammenfassung_KWKG'!B2953</f>
        <v>110028526</v>
      </c>
      <c r="C1216" s="422">
        <f>'Anlage 3a_Zusammenfassung_KWKG'!C2953</f>
        <v>0</v>
      </c>
      <c r="D1216" s="854">
        <f t="shared" si="39"/>
        <v>110028526</v>
      </c>
      <c r="I1216" s="89" t="str">
        <f>'Anlage 3a_Zusammenfassung_KWKG'!J2953</f>
        <v>Stadtwerke Homburg GmbH</v>
      </c>
    </row>
    <row r="1217" spans="1:9" hidden="1" outlineLevel="2">
      <c r="A1217" s="853" t="s">
        <v>995</v>
      </c>
      <c r="B1217" s="422">
        <f>'Anlage 3a_Zusammenfassung_KWKG'!B2954</f>
        <v>142988841</v>
      </c>
      <c r="C1217" s="422">
        <f>'Anlage 3a_Zusammenfassung_KWKG'!C2954</f>
        <v>-199638</v>
      </c>
      <c r="D1217" s="854">
        <f t="shared" si="39"/>
        <v>142789203</v>
      </c>
      <c r="I1217" s="89" t="str">
        <f>'Anlage 3a_Zusammenfassung_KWKG'!J2954</f>
        <v>Stadtwerke Pirmasens Versorgungs GmbH</v>
      </c>
    </row>
    <row r="1218" spans="1:9" hidden="1" outlineLevel="2">
      <c r="A1218" s="853" t="s">
        <v>997</v>
      </c>
      <c r="B1218" s="422">
        <f>'Anlage 3a_Zusammenfassung_KWKG'!B2955</f>
        <v>30152323</v>
      </c>
      <c r="C1218" s="422">
        <f>'Anlage 3a_Zusammenfassung_KWKG'!C2955</f>
        <v>0</v>
      </c>
      <c r="D1218" s="854">
        <f t="shared" si="39"/>
        <v>30152323</v>
      </c>
      <c r="I1218" s="89" t="str">
        <f>'Anlage 3a_Zusammenfassung_KWKG'!J2955</f>
        <v>Stadtwerke Bramsche GmbH</v>
      </c>
    </row>
    <row r="1219" spans="1:9" hidden="1" outlineLevel="2">
      <c r="A1219" s="853" t="s">
        <v>999</v>
      </c>
      <c r="B1219" s="422">
        <f>'Anlage 3a_Zusammenfassung_KWKG'!B2956</f>
        <v>53214318</v>
      </c>
      <c r="C1219" s="422">
        <f>'Anlage 3a_Zusammenfassung_KWKG'!C2956</f>
        <v>0</v>
      </c>
      <c r="D1219" s="854">
        <f t="shared" si="39"/>
        <v>53214318</v>
      </c>
      <c r="I1219" s="89" t="str">
        <f>'Anlage 3a_Zusammenfassung_KWKG'!J2956</f>
        <v>Stadtwerke Bexbach GmbH</v>
      </c>
    </row>
    <row r="1220" spans="1:9" hidden="1" outlineLevel="2">
      <c r="A1220" s="853" t="s">
        <v>1001</v>
      </c>
      <c r="B1220" s="422">
        <f>'Anlage 3a_Zusammenfassung_KWKG'!B2957</f>
        <v>55226272</v>
      </c>
      <c r="C1220" s="422">
        <f>'Anlage 3a_Zusammenfassung_KWKG'!C2957</f>
        <v>0</v>
      </c>
      <c r="D1220" s="854">
        <f t="shared" si="39"/>
        <v>55226272</v>
      </c>
      <c r="I1220" s="89" t="str">
        <f>'Anlage 3a_Zusammenfassung_KWKG'!J2957</f>
        <v>CPM Netz GmbH</v>
      </c>
    </row>
    <row r="1221" spans="1:9" hidden="1" outlineLevel="2">
      <c r="A1221" s="853" t="s">
        <v>1003</v>
      </c>
      <c r="B1221" s="422">
        <f>'Anlage 3a_Zusammenfassung_KWKG'!B2958</f>
        <v>2379493806</v>
      </c>
      <c r="C1221" s="422">
        <f>'Anlage 3a_Zusammenfassung_KWKG'!C2958</f>
        <v>122680722</v>
      </c>
      <c r="D1221" s="854">
        <f t="shared" si="39"/>
        <v>2502174528</v>
      </c>
      <c r="I1221" s="89" t="str">
        <f>'Anlage 3a_Zusammenfassung_KWKG'!J2958</f>
        <v>e-netz Südhessen AG</v>
      </c>
    </row>
    <row r="1222" spans="1:9" hidden="1" outlineLevel="2">
      <c r="A1222" s="853" t="s">
        <v>1005</v>
      </c>
      <c r="B1222" s="422">
        <f>'Anlage 3a_Zusammenfassung_KWKG'!B2959</f>
        <v>26073385</v>
      </c>
      <c r="C1222" s="422">
        <f>'Anlage 3a_Zusammenfassung_KWKG'!C2959</f>
        <v>215327</v>
      </c>
      <c r="D1222" s="854">
        <f t="shared" si="39"/>
        <v>26288712</v>
      </c>
      <c r="I1222" s="89" t="str">
        <f>'Anlage 3a_Zusammenfassung_KWKG'!J2959</f>
        <v>Saerbecker Ver- und Entsorgungsnetzgesellschaft mbH</v>
      </c>
    </row>
    <row r="1223" spans="1:9" hidden="1" outlineLevel="2">
      <c r="A1223" s="853" t="s">
        <v>1007</v>
      </c>
      <c r="B1223" s="422">
        <f>'Anlage 3a_Zusammenfassung_KWKG'!B2960</f>
        <v>91159976</v>
      </c>
      <c r="C1223" s="422">
        <f>'Anlage 3a_Zusammenfassung_KWKG'!C2960</f>
        <v>-77064</v>
      </c>
      <c r="D1223" s="854">
        <f t="shared" si="39"/>
        <v>91082912</v>
      </c>
      <c r="I1223" s="89" t="str">
        <f>'Anlage 3a_Zusammenfassung_KWKG'!J2960</f>
        <v>Stadtwerke Grünstadt GmbH</v>
      </c>
    </row>
    <row r="1224" spans="1:9" hidden="1" outlineLevel="2">
      <c r="A1224" s="853" t="s">
        <v>1009</v>
      </c>
      <c r="B1224" s="422">
        <f>'Anlage 3a_Zusammenfassung_KWKG'!B2961</f>
        <v>1009015999</v>
      </c>
      <c r="C1224" s="422">
        <f>'Anlage 3a_Zusammenfassung_KWKG'!C2961</f>
        <v>-2119682</v>
      </c>
      <c r="D1224" s="854">
        <f t="shared" si="39"/>
        <v>1006896317</v>
      </c>
      <c r="I1224" s="89" t="str">
        <f>'Anlage 3a_Zusammenfassung_KWKG'!J2961</f>
        <v>swa Netze GmbH</v>
      </c>
    </row>
    <row r="1225" spans="1:9" hidden="1" outlineLevel="2">
      <c r="A1225" s="853" t="s">
        <v>1011</v>
      </c>
      <c r="B1225" s="422">
        <f>'Anlage 3a_Zusammenfassung_KWKG'!B2962</f>
        <v>89052886</v>
      </c>
      <c r="C1225" s="422">
        <f>'Anlage 3a_Zusammenfassung_KWKG'!C2962</f>
        <v>0</v>
      </c>
      <c r="D1225" s="854">
        <f t="shared" si="39"/>
        <v>89052886</v>
      </c>
      <c r="I1225" s="89" t="str">
        <f>'Anlage 3a_Zusammenfassung_KWKG'!J2962</f>
        <v>Flughafen Düsseldorf GmbH</v>
      </c>
    </row>
    <row r="1226" spans="1:9" hidden="1" outlineLevel="2">
      <c r="A1226" s="853" t="s">
        <v>1013</v>
      </c>
      <c r="B1226" s="422">
        <f>'Anlage 3a_Zusammenfassung_KWKG'!B2963</f>
        <v>116022297</v>
      </c>
      <c r="C1226" s="422">
        <f>'Anlage 3a_Zusammenfassung_KWKG'!C2963</f>
        <v>148701</v>
      </c>
      <c r="D1226" s="854">
        <f t="shared" si="39"/>
        <v>116170998</v>
      </c>
      <c r="I1226" s="89" t="str">
        <f>'Anlage 3a_Zusammenfassung_KWKG'!J2963</f>
        <v>Stadtwerke Emsdetten GmbH</v>
      </c>
    </row>
    <row r="1227" spans="1:9" hidden="1" outlineLevel="2">
      <c r="A1227" s="853" t="s">
        <v>1015</v>
      </c>
      <c r="B1227" s="422">
        <f>'Anlage 3a_Zusammenfassung_KWKG'!B2964</f>
        <v>1312017590</v>
      </c>
      <c r="C1227" s="422">
        <f>'Anlage 3a_Zusammenfassung_KWKG'!C2964</f>
        <v>-34418423</v>
      </c>
      <c r="D1227" s="854">
        <f t="shared" si="39"/>
        <v>1277599167</v>
      </c>
      <c r="I1227" s="89" t="str">
        <f>'Anlage 3a_Zusammenfassung_KWKG'!J2964</f>
        <v>Mainzer Netze GmbH</v>
      </c>
    </row>
    <row r="1228" spans="1:9" hidden="1" outlineLevel="2">
      <c r="A1228" s="853" t="s">
        <v>1017</v>
      </c>
      <c r="B1228" s="422">
        <f>'Anlage 3a_Zusammenfassung_KWKG'!B2965</f>
        <v>11606467</v>
      </c>
      <c r="C1228" s="422">
        <f>'Anlage 3a_Zusammenfassung_KWKG'!C2965</f>
        <v>-26522</v>
      </c>
      <c r="D1228" s="854">
        <f t="shared" si="39"/>
        <v>11579945</v>
      </c>
      <c r="I1228" s="89" t="str">
        <f>'Anlage 3a_Zusammenfassung_KWKG'!J2965</f>
        <v>Stadtwerke Lambrecht (Pfalz) GmbH</v>
      </c>
    </row>
    <row r="1229" spans="1:9" hidden="1" outlineLevel="2">
      <c r="A1229" s="853" t="s">
        <v>1019</v>
      </c>
      <c r="B1229" s="422">
        <f>'Anlage 3a_Zusammenfassung_KWKG'!B2966</f>
        <v>171589164</v>
      </c>
      <c r="C1229" s="422">
        <f>'Anlage 3a_Zusammenfassung_KWKG'!C2966</f>
        <v>-1144441</v>
      </c>
      <c r="D1229" s="854">
        <f t="shared" si="39"/>
        <v>170444723</v>
      </c>
      <c r="I1229" s="89" t="str">
        <f>'Anlage 3a_Zusammenfassung_KWKG'!J2966</f>
        <v>DB Energie GmbH</v>
      </c>
    </row>
    <row r="1230" spans="1:9" hidden="1" outlineLevel="2">
      <c r="A1230" s="853" t="s">
        <v>1021</v>
      </c>
      <c r="B1230" s="422">
        <f>'Anlage 3a_Zusammenfassung_KWKG'!B2967</f>
        <v>129824478</v>
      </c>
      <c r="C1230" s="422">
        <f>'Anlage 3a_Zusammenfassung_KWKG'!C2967</f>
        <v>0</v>
      </c>
      <c r="D1230" s="854">
        <f t="shared" si="39"/>
        <v>129824478</v>
      </c>
      <c r="I1230" s="89" t="str">
        <f>'Anlage 3a_Zusammenfassung_KWKG'!J2967</f>
        <v>Stadtwerke Neu-Isenburg GmbH</v>
      </c>
    </row>
    <row r="1231" spans="1:9" hidden="1" outlineLevel="2">
      <c r="A1231" s="853" t="s">
        <v>1022</v>
      </c>
      <c r="B1231" s="422">
        <f>'Anlage 3a_Zusammenfassung_KWKG'!B2968</f>
        <v>86540861</v>
      </c>
      <c r="C1231" s="422">
        <f>'Anlage 3a_Zusammenfassung_KWKG'!C2968</f>
        <v>0</v>
      </c>
      <c r="D1231" s="854">
        <f t="shared" ref="D1231:D1294" si="40">SUM(B1231:C1231)</f>
        <v>86540861</v>
      </c>
      <c r="I1231" s="89" t="str">
        <f>'Anlage 3a_Zusammenfassung_KWKG'!J2968</f>
        <v>InfraServ GmbH &amp; Co. Wiesbaden KG</v>
      </c>
    </row>
    <row r="1232" spans="1:9" hidden="1" outlineLevel="2">
      <c r="A1232" s="853" t="s">
        <v>1024</v>
      </c>
      <c r="B1232" s="422">
        <f>'Anlage 3a_Zusammenfassung_KWKG'!B2969</f>
        <v>29621081</v>
      </c>
      <c r="C1232" s="422">
        <f>'Anlage 3a_Zusammenfassung_KWKG'!C2969</f>
        <v>-116321</v>
      </c>
      <c r="D1232" s="854">
        <f t="shared" si="40"/>
        <v>29504760</v>
      </c>
      <c r="I1232" s="89" t="str">
        <f>'Anlage 3a_Zusammenfassung_KWKG'!J2969</f>
        <v>Gemeindewerke Herxheim - Elektrizitätswerk -</v>
      </c>
    </row>
    <row r="1233" spans="1:9" hidden="1" outlineLevel="2">
      <c r="A1233" s="853" t="s">
        <v>1026</v>
      </c>
      <c r="B1233" s="422">
        <f>'Anlage 3a_Zusammenfassung_KWKG'!B2970</f>
        <v>1812784782</v>
      </c>
      <c r="C1233" s="422">
        <f>'Anlage 3a_Zusammenfassung_KWKG'!C2970</f>
        <v>0</v>
      </c>
      <c r="D1233" s="854">
        <f t="shared" si="40"/>
        <v>1812784782</v>
      </c>
      <c r="I1233" s="89" t="str">
        <f>'Anlage 3a_Zusammenfassung_KWKG'!J2970</f>
        <v>Pfalzwerke Netz AG</v>
      </c>
    </row>
    <row r="1234" spans="1:9" hidden="1" outlineLevel="2">
      <c r="A1234" s="853" t="s">
        <v>1028</v>
      </c>
      <c r="B1234" s="422">
        <f>'Anlage 3a_Zusammenfassung_KWKG'!B2971</f>
        <v>394969917</v>
      </c>
      <c r="C1234" s="422">
        <f>'Anlage 3a_Zusammenfassung_KWKG'!C2971</f>
        <v>-9194450</v>
      </c>
      <c r="D1234" s="854">
        <f t="shared" si="40"/>
        <v>385775467</v>
      </c>
      <c r="I1234" s="89" t="str">
        <f>'Anlage 3a_Zusammenfassung_KWKG'!J2971</f>
        <v>GELSENWASSER Energienetze GmbH</v>
      </c>
    </row>
    <row r="1235" spans="1:9" hidden="1" outlineLevel="2">
      <c r="A1235" s="853" t="s">
        <v>1030</v>
      </c>
      <c r="B1235" s="422">
        <f>'Anlage 3a_Zusammenfassung_KWKG'!B2972</f>
        <v>217661630</v>
      </c>
      <c r="C1235" s="422">
        <f>'Anlage 3a_Zusammenfassung_KWKG'!C2972</f>
        <v>463854</v>
      </c>
      <c r="D1235" s="854">
        <f t="shared" si="40"/>
        <v>218125484</v>
      </c>
      <c r="I1235" s="89" t="str">
        <f>'Anlage 3a_Zusammenfassung_KWKG'!J2972</f>
        <v>Stadtwerke Frankenthal GmbH</v>
      </c>
    </row>
    <row r="1236" spans="1:9" hidden="1" outlineLevel="2">
      <c r="A1236" s="853" t="s">
        <v>1032</v>
      </c>
      <c r="B1236" s="422">
        <f>'Anlage 3a_Zusammenfassung_KWKG'!B2973</f>
        <v>15205087</v>
      </c>
      <c r="C1236" s="422">
        <f>'Anlage 3a_Zusammenfassung_KWKG'!C2973</f>
        <v>-156274</v>
      </c>
      <c r="D1236" s="854">
        <f t="shared" si="40"/>
        <v>15048813</v>
      </c>
      <c r="I1236" s="89" t="str">
        <f>'Anlage 3a_Zusammenfassung_KWKG'!J2973</f>
        <v>Nahwerk-Energie GmbH &amp; Co. KG</v>
      </c>
    </row>
    <row r="1237" spans="1:9" hidden="1" outlineLevel="2">
      <c r="A1237" s="853" t="s">
        <v>1034</v>
      </c>
      <c r="B1237" s="422">
        <f>'Anlage 3a_Zusammenfassung_KWKG'!B2974</f>
        <v>427510570</v>
      </c>
      <c r="C1237" s="422">
        <f>'Anlage 3a_Zusammenfassung_KWKG'!C2974</f>
        <v>-5966259</v>
      </c>
      <c r="D1237" s="854">
        <f t="shared" si="40"/>
        <v>421544311</v>
      </c>
      <c r="I1237" s="89" t="str">
        <f>'Anlage 3a_Zusammenfassung_KWKG'!J2974</f>
        <v>Stadtwerke Herne AG</v>
      </c>
    </row>
    <row r="1238" spans="1:9" hidden="1" outlineLevel="2">
      <c r="A1238" s="853" t="s">
        <v>1036</v>
      </c>
      <c r="B1238" s="422">
        <f>'Anlage 3a_Zusammenfassung_KWKG'!B2975</f>
        <v>89345297</v>
      </c>
      <c r="C1238" s="422">
        <f>'Anlage 3a_Zusammenfassung_KWKG'!C2975</f>
        <v>0</v>
      </c>
      <c r="D1238" s="854">
        <f t="shared" si="40"/>
        <v>89345297</v>
      </c>
      <c r="I1238" s="89" t="str">
        <f>'Anlage 3a_Zusammenfassung_KWKG'!J2975</f>
        <v>Stadtwerke Radevormwald GmbH</v>
      </c>
    </row>
    <row r="1239" spans="1:9" hidden="1" outlineLevel="2">
      <c r="A1239" s="853" t="s">
        <v>1038</v>
      </c>
      <c r="B1239" s="422">
        <f>'Anlage 3a_Zusammenfassung_KWKG'!B2976</f>
        <v>173355701</v>
      </c>
      <c r="C1239" s="422">
        <f>'Anlage 3a_Zusammenfassung_KWKG'!C2976</f>
        <v>53241</v>
      </c>
      <c r="D1239" s="854">
        <f t="shared" si="40"/>
        <v>173408942</v>
      </c>
      <c r="I1239" s="89" t="str">
        <f>'Anlage 3a_Zusammenfassung_KWKG'!J2976</f>
        <v>Hertener Stadtwerke GmbH</v>
      </c>
    </row>
    <row r="1240" spans="1:9" hidden="1" outlineLevel="2">
      <c r="A1240" s="853" t="s">
        <v>1040</v>
      </c>
      <c r="B1240" s="422">
        <f>'Anlage 3a_Zusammenfassung_KWKG'!B2977</f>
        <v>119445183</v>
      </c>
      <c r="C1240" s="422">
        <f>'Anlage 3a_Zusammenfassung_KWKG'!C2977</f>
        <v>81790</v>
      </c>
      <c r="D1240" s="854">
        <f t="shared" si="40"/>
        <v>119526973</v>
      </c>
      <c r="I1240" s="89" t="str">
        <f>'Anlage 3a_Zusammenfassung_KWKG'!J2977</f>
        <v>Stadtwerke Geldern Netz GmbH</v>
      </c>
    </row>
    <row r="1241" spans="1:9" hidden="1" outlineLevel="2">
      <c r="A1241" s="853" t="s">
        <v>1042</v>
      </c>
      <c r="B1241" s="422">
        <f>'Anlage 3a_Zusammenfassung_KWKG'!B2978</f>
        <v>162126286</v>
      </c>
      <c r="C1241" s="422">
        <f>'Anlage 3a_Zusammenfassung_KWKG'!C2978</f>
        <v>421765</v>
      </c>
      <c r="D1241" s="854">
        <f t="shared" si="40"/>
        <v>162548051</v>
      </c>
      <c r="I1241" s="89" t="str">
        <f>'Anlage 3a_Zusammenfassung_KWKG'!J2978</f>
        <v>Stadtwerke Soest GmbH</v>
      </c>
    </row>
    <row r="1242" spans="1:9" hidden="1" outlineLevel="2">
      <c r="A1242" s="853" t="s">
        <v>1044</v>
      </c>
      <c r="B1242" s="422">
        <f>'Anlage 3a_Zusammenfassung_KWKG'!B2979</f>
        <v>264015871</v>
      </c>
      <c r="C1242" s="422">
        <f>'Anlage 3a_Zusammenfassung_KWKG'!C2979</f>
        <v>0</v>
      </c>
      <c r="D1242" s="854">
        <f t="shared" si="40"/>
        <v>264015871</v>
      </c>
      <c r="I1242" s="89" t="str">
        <f>'Anlage 3a_Zusammenfassung_KWKG'!J2979</f>
        <v>Fraport AG</v>
      </c>
    </row>
    <row r="1243" spans="1:9" hidden="1" outlineLevel="2">
      <c r="A1243" s="853" t="s">
        <v>1046</v>
      </c>
      <c r="B1243" s="422">
        <f>'Anlage 3a_Zusammenfassung_KWKG'!B2980</f>
        <v>232774554</v>
      </c>
      <c r="C1243" s="422">
        <f>'Anlage 3a_Zusammenfassung_KWKG'!C2980</f>
        <v>-13888841</v>
      </c>
      <c r="D1243" s="854">
        <f t="shared" si="40"/>
        <v>218885713</v>
      </c>
      <c r="I1243" s="89" t="str">
        <f>'Anlage 3a_Zusammenfassung_KWKG'!J2980</f>
        <v>Energieversorgung Limburg GmbH</v>
      </c>
    </row>
    <row r="1244" spans="1:9" hidden="1" outlineLevel="2">
      <c r="A1244" s="853" t="s">
        <v>1048</v>
      </c>
      <c r="B1244" s="422">
        <f>'Anlage 3a_Zusammenfassung_KWKG'!B2981</f>
        <v>139043207</v>
      </c>
      <c r="C1244" s="422">
        <f>'Anlage 3a_Zusammenfassung_KWKG'!C2981</f>
        <v>0</v>
      </c>
      <c r="D1244" s="854">
        <f t="shared" si="40"/>
        <v>139043207</v>
      </c>
      <c r="I1244" s="89" t="str">
        <f>'Anlage 3a_Zusammenfassung_KWKG'!J2981</f>
        <v>Stadtwerke Langen GmbH</v>
      </c>
    </row>
    <row r="1245" spans="1:9" hidden="1" outlineLevel="2">
      <c r="A1245" s="853" t="s">
        <v>1050</v>
      </c>
      <c r="B1245" s="422">
        <f>'Anlage 3a_Zusammenfassung_KWKG'!B2982</f>
        <v>347740306</v>
      </c>
      <c r="C1245" s="422">
        <f>'Anlage 3a_Zusammenfassung_KWKG'!C2982</f>
        <v>0</v>
      </c>
      <c r="D1245" s="854">
        <f t="shared" si="40"/>
        <v>347740306</v>
      </c>
      <c r="I1245" s="89" t="str">
        <f>'Anlage 3a_Zusammenfassung_KWKG'!J2982</f>
        <v>Vereinigte Wertach-Elektrizitätswerke GmbH</v>
      </c>
    </row>
    <row r="1246" spans="1:9" hidden="1" outlineLevel="2">
      <c r="A1246" s="853" t="s">
        <v>1054</v>
      </c>
      <c r="B1246" s="422">
        <f>'Anlage 3a_Zusammenfassung_KWKG'!B2983</f>
        <v>105988231</v>
      </c>
      <c r="C1246" s="422">
        <f>'Anlage 3a_Zusammenfassung_KWKG'!C2983</f>
        <v>0</v>
      </c>
      <c r="D1246" s="854">
        <f t="shared" si="40"/>
        <v>105988231</v>
      </c>
      <c r="I1246" s="89" t="str">
        <f>'Anlage 3a_Zusammenfassung_KWKG'!J2983</f>
        <v>Stadtwerke Groß-Gerau Versorgungs GmbH</v>
      </c>
    </row>
    <row r="1247" spans="1:9" hidden="1" outlineLevel="2">
      <c r="A1247" s="853" t="s">
        <v>1056</v>
      </c>
      <c r="B1247" s="422">
        <f>'Anlage 3a_Zusammenfassung_KWKG'!B2984</f>
        <v>446270674</v>
      </c>
      <c r="C1247" s="422">
        <f>'Anlage 3a_Zusammenfassung_KWKG'!C2984</f>
        <v>-4127660</v>
      </c>
      <c r="D1247" s="854">
        <f t="shared" si="40"/>
        <v>442143014</v>
      </c>
      <c r="I1247" s="89" t="str">
        <f>'Anlage 3a_Zusammenfassung_KWKG'!J2984</f>
        <v>SWT Stadtwerke Trier Versorgungs-GmbH</v>
      </c>
    </row>
    <row r="1248" spans="1:9" hidden="1" outlineLevel="2">
      <c r="A1248" s="853" t="s">
        <v>1058</v>
      </c>
      <c r="B1248" s="422">
        <f>'Anlage 3a_Zusammenfassung_KWKG'!B2985</f>
        <v>3025603</v>
      </c>
      <c r="C1248" s="422">
        <f>'Anlage 3a_Zusammenfassung_KWKG'!C2985</f>
        <v>43709</v>
      </c>
      <c r="D1248" s="854">
        <f t="shared" si="40"/>
        <v>3069312</v>
      </c>
      <c r="I1248" s="89" t="str">
        <f>'Anlage 3a_Zusammenfassung_KWKG'!J2985</f>
        <v>Talwerk GmbH</v>
      </c>
    </row>
    <row r="1249" spans="1:9" hidden="1" outlineLevel="2">
      <c r="A1249" s="853" t="s">
        <v>1060</v>
      </c>
      <c r="B1249" s="422">
        <f>'Anlage 3a_Zusammenfassung_KWKG'!B2986</f>
        <v>117102884</v>
      </c>
      <c r="C1249" s="422">
        <f>'Anlage 3a_Zusammenfassung_KWKG'!C2986</f>
        <v>4658334</v>
      </c>
      <c r="D1249" s="854">
        <f t="shared" si="40"/>
        <v>121761218</v>
      </c>
      <c r="I1249" s="89" t="str">
        <f>'Anlage 3a_Zusammenfassung_KWKG'!J2986</f>
        <v>SWL Verteilungsnetzgesellschaft mbH</v>
      </c>
    </row>
    <row r="1250" spans="1:9" hidden="1" outlineLevel="2">
      <c r="A1250" s="853" t="s">
        <v>1062</v>
      </c>
      <c r="B1250" s="422">
        <f>'Anlage 3a_Zusammenfassung_KWKG'!B2987</f>
        <v>693611943</v>
      </c>
      <c r="C1250" s="422">
        <f>'Anlage 3a_Zusammenfassung_KWKG'!C2987</f>
        <v>6562347</v>
      </c>
      <c r="D1250" s="854">
        <f t="shared" si="40"/>
        <v>700174290</v>
      </c>
      <c r="I1250" s="89" t="str">
        <f>'Anlage 3a_Zusammenfassung_KWKG'!J2987</f>
        <v>AVU Netz GmbH</v>
      </c>
    </row>
    <row r="1251" spans="1:9" hidden="1" outlineLevel="2">
      <c r="A1251" s="853" t="s">
        <v>1064</v>
      </c>
      <c r="B1251" s="422">
        <f>'Anlage 3a_Zusammenfassung_KWKG'!B2988</f>
        <v>10742421</v>
      </c>
      <c r="C1251" s="422">
        <f>'Anlage 3a_Zusammenfassung_KWKG'!C2988</f>
        <v>-16113</v>
      </c>
      <c r="D1251" s="854">
        <f t="shared" si="40"/>
        <v>10726308</v>
      </c>
      <c r="I1251" s="89" t="str">
        <f>'Anlage 3a_Zusammenfassung_KWKG'!J2988</f>
        <v>Stadtwerke Wachenheim</v>
      </c>
    </row>
    <row r="1252" spans="1:9" hidden="1" outlineLevel="2">
      <c r="A1252" s="853" t="s">
        <v>1066</v>
      </c>
      <c r="B1252" s="422">
        <f>'Anlage 3a_Zusammenfassung_KWKG'!B2989</f>
        <v>489979982</v>
      </c>
      <c r="C1252" s="422">
        <f>'Anlage 3a_Zusammenfassung_KWKG'!C2989</f>
        <v>4312765</v>
      </c>
      <c r="D1252" s="854">
        <f t="shared" si="40"/>
        <v>494292747</v>
      </c>
      <c r="I1252" s="89" t="str">
        <f>'Anlage 3a_Zusammenfassung_KWKG'!J2989</f>
        <v>GGEW, Gruppen-Gas- und Elektrizitätswerk Bergstraße AG</v>
      </c>
    </row>
    <row r="1253" spans="1:9" hidden="1" outlineLevel="2">
      <c r="A1253" s="853" t="s">
        <v>1068</v>
      </c>
      <c r="B1253" s="422">
        <f>'Anlage 3a_Zusammenfassung_KWKG'!B2990</f>
        <v>91100480</v>
      </c>
      <c r="C1253" s="422">
        <f>'Anlage 3a_Zusammenfassung_KWKG'!C2990</f>
        <v>0</v>
      </c>
      <c r="D1253" s="854">
        <f t="shared" si="40"/>
        <v>91100480</v>
      </c>
      <c r="I1253" s="89" t="str">
        <f>'Anlage 3a_Zusammenfassung_KWKG'!J2990</f>
        <v>Stadtwerke Heiligenhaus GmbH</v>
      </c>
    </row>
    <row r="1254" spans="1:9" hidden="1" outlineLevel="2">
      <c r="A1254" s="853" t="s">
        <v>1070</v>
      </c>
      <c r="B1254" s="422">
        <f>'Anlage 3a_Zusammenfassung_KWKG'!B2991</f>
        <v>248457752</v>
      </c>
      <c r="C1254" s="422">
        <f>'Anlage 3a_Zusammenfassung_KWKG'!C2991</f>
        <v>-13994582</v>
      </c>
      <c r="D1254" s="854">
        <f t="shared" si="40"/>
        <v>234463170</v>
      </c>
      <c r="I1254" s="89" t="str">
        <f>'Anlage 3a_Zusammenfassung_KWKG'!J2991</f>
        <v>Stadtwerke Waiblingen GmbH</v>
      </c>
    </row>
    <row r="1255" spans="1:9" hidden="1" outlineLevel="2">
      <c r="A1255" s="853" t="s">
        <v>1072</v>
      </c>
      <c r="B1255" s="422">
        <f>'Anlage 3a_Zusammenfassung_KWKG'!B2992</f>
        <v>1240078623</v>
      </c>
      <c r="C1255" s="422">
        <f>'Anlage 3a_Zusammenfassung_KWKG'!C2992</f>
        <v>-10500181</v>
      </c>
      <c r="D1255" s="854">
        <f t="shared" si="40"/>
        <v>1229578442</v>
      </c>
      <c r="I1255" s="89" t="str">
        <f>'Anlage 3a_Zusammenfassung_KWKG'!J2992</f>
        <v>EWR Netz GmbH</v>
      </c>
    </row>
    <row r="1256" spans="1:9" hidden="1" outlineLevel="2">
      <c r="A1256" s="853" t="s">
        <v>1074</v>
      </c>
      <c r="B1256" s="422">
        <f>'Anlage 3a_Zusammenfassung_KWKG'!B2993</f>
        <v>117888175</v>
      </c>
      <c r="C1256" s="422">
        <f>'Anlage 3a_Zusammenfassung_KWKG'!C2993</f>
        <v>-89725</v>
      </c>
      <c r="D1256" s="854">
        <f t="shared" si="40"/>
        <v>117798450</v>
      </c>
      <c r="I1256" s="89" t="str">
        <f>'Anlage 3a_Zusammenfassung_KWKG'!J2993</f>
        <v>Stadtwerke Warendorf GmbH</v>
      </c>
    </row>
    <row r="1257" spans="1:9" hidden="1" outlineLevel="2">
      <c r="A1257" s="853" t="s">
        <v>1076</v>
      </c>
      <c r="B1257" s="422">
        <f>'Anlage 3a_Zusammenfassung_KWKG'!B2994</f>
        <v>510095750</v>
      </c>
      <c r="C1257" s="422">
        <f>'Anlage 3a_Zusammenfassung_KWKG'!C2994</f>
        <v>0</v>
      </c>
      <c r="D1257" s="854">
        <f t="shared" si="40"/>
        <v>510095750</v>
      </c>
      <c r="I1257" s="89" t="str">
        <f>'Anlage 3a_Zusammenfassung_KWKG'!J2994</f>
        <v>SWS Netze Solingen GmbH</v>
      </c>
    </row>
    <row r="1258" spans="1:9" hidden="1" outlineLevel="2">
      <c r="A1258" s="853" t="s">
        <v>1078</v>
      </c>
      <c r="B1258" s="422">
        <f>'Anlage 3a_Zusammenfassung_KWKG'!B2995</f>
        <v>30970705</v>
      </c>
      <c r="C1258" s="422">
        <f>'Anlage 3a_Zusammenfassung_KWKG'!C2995</f>
        <v>129934</v>
      </c>
      <c r="D1258" s="854">
        <f t="shared" si="40"/>
        <v>31100639</v>
      </c>
      <c r="I1258" s="89" t="str">
        <f>'Anlage 3a_Zusammenfassung_KWKG'!J2995</f>
        <v>Gemeindewerke Kirkel GmbH</v>
      </c>
    </row>
    <row r="1259" spans="1:9" hidden="1" outlineLevel="2">
      <c r="A1259" s="853" t="s">
        <v>1080</v>
      </c>
      <c r="B1259" s="422">
        <f>'Anlage 3a_Zusammenfassung_KWKG'!B2996</f>
        <v>213204511</v>
      </c>
      <c r="C1259" s="422">
        <f>'Anlage 3a_Zusammenfassung_KWKG'!C2996</f>
        <v>3539643</v>
      </c>
      <c r="D1259" s="854">
        <f t="shared" si="40"/>
        <v>216744154</v>
      </c>
      <c r="I1259" s="89" t="str">
        <f>'Anlage 3a_Zusammenfassung_KWKG'!J2996</f>
        <v>Stadtwerke Hilden GmbH</v>
      </c>
    </row>
    <row r="1260" spans="1:9" hidden="1" outlineLevel="2">
      <c r="A1260" s="853" t="s">
        <v>1082</v>
      </c>
      <c r="B1260" s="422">
        <f>'Anlage 3a_Zusammenfassung_KWKG'!B2997</f>
        <v>170690422</v>
      </c>
      <c r="C1260" s="422">
        <f>'Anlage 3a_Zusammenfassung_KWKG'!C2997</f>
        <v>0</v>
      </c>
      <c r="D1260" s="854">
        <f t="shared" si="40"/>
        <v>170690422</v>
      </c>
      <c r="I1260" s="89" t="str">
        <f>'Anlage 3a_Zusammenfassung_KWKG'!J2997</f>
        <v>Stadtwerke Witten GmbH</v>
      </c>
    </row>
    <row r="1261" spans="1:9" hidden="1" outlineLevel="2">
      <c r="A1261" s="853" t="s">
        <v>1084</v>
      </c>
      <c r="B1261" s="422">
        <f>'Anlage 3a_Zusammenfassung_KWKG'!B2998</f>
        <v>82040711</v>
      </c>
      <c r="C1261" s="422">
        <f>'Anlage 3a_Zusammenfassung_KWKG'!C2998</f>
        <v>0</v>
      </c>
      <c r="D1261" s="854">
        <f t="shared" si="40"/>
        <v>82040711</v>
      </c>
      <c r="I1261" s="89" t="str">
        <f>'Anlage 3a_Zusammenfassung_KWKG'!J2998</f>
        <v>Flughafen Köln/Bonn GmbH</v>
      </c>
    </row>
    <row r="1262" spans="1:9" hidden="1" outlineLevel="2">
      <c r="A1262" s="853" t="s">
        <v>1086</v>
      </c>
      <c r="B1262" s="422">
        <f>'Anlage 3a_Zusammenfassung_KWKG'!B2999</f>
        <v>45152831</v>
      </c>
      <c r="C1262" s="422">
        <f>'Anlage 3a_Zusammenfassung_KWKG'!C2999</f>
        <v>0</v>
      </c>
      <c r="D1262" s="854">
        <f t="shared" si="40"/>
        <v>45152831</v>
      </c>
      <c r="I1262" s="89" t="str">
        <f>'Anlage 3a_Zusammenfassung_KWKG'!J2999</f>
        <v>Weißachtal-Kraftwerke eG</v>
      </c>
    </row>
    <row r="1263" spans="1:9" hidden="1" outlineLevel="2">
      <c r="A1263" s="853" t="s">
        <v>1088</v>
      </c>
      <c r="B1263" s="422">
        <f>'Anlage 3a_Zusammenfassung_KWKG'!B3000</f>
        <v>289570799</v>
      </c>
      <c r="C1263" s="422">
        <f>'Anlage 3a_Zusammenfassung_KWKG'!C3000</f>
        <v>-1052536</v>
      </c>
      <c r="D1263" s="854">
        <f t="shared" si="40"/>
        <v>288518263</v>
      </c>
      <c r="I1263" s="89" t="str">
        <f>'Anlage 3a_Zusammenfassung_KWKG'!J3000</f>
        <v>EAM Netz GmbH</v>
      </c>
    </row>
    <row r="1264" spans="1:9" hidden="1" outlineLevel="2">
      <c r="A1264" s="853" t="s">
        <v>1090</v>
      </c>
      <c r="B1264" s="422">
        <f>'Anlage 3a_Zusammenfassung_KWKG'!B3001</f>
        <v>377835265</v>
      </c>
      <c r="C1264" s="422">
        <f>'Anlage 3a_Zusammenfassung_KWKG'!C3001</f>
        <v>-4710751</v>
      </c>
      <c r="D1264" s="854">
        <f t="shared" si="40"/>
        <v>373124514</v>
      </c>
      <c r="I1264" s="89" t="str">
        <f>'Anlage 3a_Zusammenfassung_KWKG'!J3001</f>
        <v>Stadtwerke Service Meerbusch Willich GmbH &amp; Co. KG</v>
      </c>
    </row>
    <row r="1265" spans="1:9" hidden="1" outlineLevel="2">
      <c r="A1265" s="853" t="s">
        <v>1092</v>
      </c>
      <c r="B1265" s="422">
        <f>'Anlage 3a_Zusammenfassung_KWKG'!B3002</f>
        <v>28926493</v>
      </c>
      <c r="C1265" s="422">
        <f>'Anlage 3a_Zusammenfassung_KWKG'!C3002</f>
        <v>-554688</v>
      </c>
      <c r="D1265" s="854">
        <f t="shared" si="40"/>
        <v>28371805</v>
      </c>
      <c r="I1265" s="89" t="str">
        <f>'Anlage 3a_Zusammenfassung_KWKG'!J3002</f>
        <v>Stadtwerke Annweiler</v>
      </c>
    </row>
    <row r="1266" spans="1:9" hidden="1" outlineLevel="2">
      <c r="A1266" s="853" t="s">
        <v>1094</v>
      </c>
      <c r="B1266" s="422">
        <f>'Anlage 3a_Zusammenfassung_KWKG'!B3003</f>
        <v>114003563</v>
      </c>
      <c r="C1266" s="422">
        <f>'Anlage 3a_Zusammenfassung_KWKG'!C3003</f>
        <v>4925650</v>
      </c>
      <c r="D1266" s="854">
        <f t="shared" si="40"/>
        <v>118929213</v>
      </c>
      <c r="I1266" s="89" t="str">
        <f>'Anlage 3a_Zusammenfassung_KWKG'!J3003</f>
        <v>Stadtwerke Harsewinkel GmbH</v>
      </c>
    </row>
    <row r="1267" spans="1:9" hidden="1" outlineLevel="2">
      <c r="A1267" s="853" t="s">
        <v>1096</v>
      </c>
      <c r="B1267" s="422">
        <f>'Anlage 3a_Zusammenfassung_KWKG'!B3004</f>
        <v>9641637</v>
      </c>
      <c r="C1267" s="422">
        <f>'Anlage 3a_Zusammenfassung_KWKG'!C3004</f>
        <v>104973</v>
      </c>
      <c r="D1267" s="854">
        <f t="shared" si="40"/>
        <v>9746610</v>
      </c>
      <c r="I1267" s="89" t="str">
        <f>'Anlage 3a_Zusammenfassung_KWKG'!J3004</f>
        <v>Gemeindewerke Münchweiler a.d. Rodalb AöR</v>
      </c>
    </row>
    <row r="1268" spans="1:9" hidden="1" outlineLevel="2">
      <c r="A1268" s="853" t="s">
        <v>1098</v>
      </c>
      <c r="B1268" s="422">
        <f>'Anlage 3a_Zusammenfassung_KWKG'!B3005</f>
        <v>1207604664</v>
      </c>
      <c r="C1268" s="422">
        <f>'Anlage 3a_Zusammenfassung_KWKG'!C3005</f>
        <v>25956797</v>
      </c>
      <c r="D1268" s="854">
        <f t="shared" si="40"/>
        <v>1233561461</v>
      </c>
      <c r="I1268" s="89" t="str">
        <f>'Anlage 3a_Zusammenfassung_KWKG'!J3005</f>
        <v>ELE Verteilnetz GmbH</v>
      </c>
    </row>
    <row r="1269" spans="1:9" hidden="1" outlineLevel="2">
      <c r="A1269" s="853" t="s">
        <v>1100</v>
      </c>
      <c r="B1269" s="422">
        <f>'Anlage 3a_Zusammenfassung_KWKG'!B3006</f>
        <v>68985915</v>
      </c>
      <c r="C1269" s="422">
        <f>'Anlage 3a_Zusammenfassung_KWKG'!C3006</f>
        <v>794104</v>
      </c>
      <c r="D1269" s="854">
        <f t="shared" si="40"/>
        <v>69780019</v>
      </c>
      <c r="I1269" s="89" t="str">
        <f>'Anlage 3a_Zusammenfassung_KWKG'!J3006</f>
        <v>Bad Honnef AG</v>
      </c>
    </row>
    <row r="1270" spans="1:9" hidden="1" outlineLevel="2">
      <c r="A1270" s="853" t="s">
        <v>1102</v>
      </c>
      <c r="B1270" s="422">
        <f>'Anlage 3a_Zusammenfassung_KWKG'!B3007</f>
        <v>79845275</v>
      </c>
      <c r="C1270" s="422">
        <f>'Anlage 3a_Zusammenfassung_KWKG'!C3007</f>
        <v>1064062</v>
      </c>
      <c r="D1270" s="854">
        <f t="shared" si="40"/>
        <v>80909337</v>
      </c>
      <c r="I1270" s="89" t="str">
        <f>'Anlage 3a_Zusammenfassung_KWKG'!J3007</f>
        <v>Stadtwerke Jülich GmbH</v>
      </c>
    </row>
    <row r="1271" spans="1:9" hidden="1" outlineLevel="2">
      <c r="A1271" s="853" t="s">
        <v>1104</v>
      </c>
      <c r="B1271" s="422">
        <f>'Anlage 3a_Zusammenfassung_KWKG'!B3008</f>
        <v>24017071</v>
      </c>
      <c r="C1271" s="422">
        <f>'Anlage 3a_Zusammenfassung_KWKG'!C3008</f>
        <v>0</v>
      </c>
      <c r="D1271" s="854">
        <f t="shared" si="40"/>
        <v>24017071</v>
      </c>
      <c r="I1271" s="89" t="str">
        <f>'Anlage 3a_Zusammenfassung_KWKG'!J3008</f>
        <v>IGS Netze GmbH</v>
      </c>
    </row>
    <row r="1272" spans="1:9" hidden="1" outlineLevel="2">
      <c r="A1272" s="853" t="s">
        <v>1106</v>
      </c>
      <c r="B1272" s="422">
        <f>'Anlage 3a_Zusammenfassung_KWKG'!B3009</f>
        <v>340046631</v>
      </c>
      <c r="C1272" s="422">
        <f>'Anlage 3a_Zusammenfassung_KWKG'!C3009</f>
        <v>0</v>
      </c>
      <c r="D1272" s="854">
        <f t="shared" si="40"/>
        <v>340046631</v>
      </c>
      <c r="I1272" s="89" t="str">
        <f>'Anlage 3a_Zusammenfassung_KWKG'!J3009</f>
        <v>Stadtwerke Velbert GmbH</v>
      </c>
    </row>
    <row r="1273" spans="1:9" hidden="1" outlineLevel="2">
      <c r="A1273" s="853" t="s">
        <v>1108</v>
      </c>
      <c r="B1273" s="422">
        <f>'Anlage 3a_Zusammenfassung_KWKG'!B3010</f>
        <v>91972517</v>
      </c>
      <c r="C1273" s="422">
        <f>'Anlage 3a_Zusammenfassung_KWKG'!C3010</f>
        <v>-66386</v>
      </c>
      <c r="D1273" s="854">
        <f t="shared" si="40"/>
        <v>91906131</v>
      </c>
      <c r="I1273" s="89" t="str">
        <f>'Anlage 3a_Zusammenfassung_KWKG'!J3010</f>
        <v>Donau-Stadtwerke Dillingen-Lauingen</v>
      </c>
    </row>
    <row r="1274" spans="1:9" hidden="1" outlineLevel="2">
      <c r="A1274" s="853" t="s">
        <v>1110</v>
      </c>
      <c r="B1274" s="422">
        <f>'Anlage 3a_Zusammenfassung_KWKG'!B3011</f>
        <v>951678202</v>
      </c>
      <c r="C1274" s="422">
        <f>'Anlage 3a_Zusammenfassung_KWKG'!C3011</f>
        <v>0</v>
      </c>
      <c r="D1274" s="854">
        <f t="shared" si="40"/>
        <v>951678202</v>
      </c>
      <c r="I1274" s="89" t="str">
        <f>'Anlage 3a_Zusammenfassung_KWKG'!J3011</f>
        <v>Netcur GmbH</v>
      </c>
    </row>
    <row r="1275" spans="1:9" hidden="1" outlineLevel="2">
      <c r="A1275" s="853" t="s">
        <v>1112</v>
      </c>
      <c r="B1275" s="422">
        <f>'Anlage 3a_Zusammenfassung_KWKG'!B3012</f>
        <v>46614398</v>
      </c>
      <c r="C1275" s="422">
        <f>'Anlage 3a_Zusammenfassung_KWKG'!C3012</f>
        <v>-137176</v>
      </c>
      <c r="D1275" s="854">
        <f t="shared" si="40"/>
        <v>46477222</v>
      </c>
      <c r="I1275" s="89" t="str">
        <f>'Anlage 3a_Zusammenfassung_KWKG'!J3012</f>
        <v>T.W.O. Technische Werke Osning GmbH</v>
      </c>
    </row>
    <row r="1276" spans="1:9" hidden="1" outlineLevel="2">
      <c r="A1276" s="853" t="s">
        <v>1114</v>
      </c>
      <c r="B1276" s="422">
        <f>'Anlage 3a_Zusammenfassung_KWKG'!B3013</f>
        <v>125354173</v>
      </c>
      <c r="C1276" s="422">
        <f>'Anlage 3a_Zusammenfassung_KWKG'!C3013</f>
        <v>0</v>
      </c>
      <c r="D1276" s="854">
        <f t="shared" si="40"/>
        <v>125354173</v>
      </c>
      <c r="I1276" s="89" t="str">
        <f>'Anlage 3a_Zusammenfassung_KWKG'!J3013</f>
        <v>Stadtwerke Witten Mittelspannungsnetz GmbH</v>
      </c>
    </row>
    <row r="1277" spans="1:9" hidden="1" outlineLevel="2">
      <c r="A1277" s="853" t="s">
        <v>1116</v>
      </c>
      <c r="B1277" s="422">
        <f>'Anlage 3a_Zusammenfassung_KWKG'!B3014</f>
        <v>1172376853</v>
      </c>
      <c r="C1277" s="422">
        <f>'Anlage 3a_Zusammenfassung_KWKG'!C3014</f>
        <v>-1716830</v>
      </c>
      <c r="D1277" s="854">
        <f t="shared" si="40"/>
        <v>1170660023</v>
      </c>
      <c r="I1277" s="89" t="str">
        <f>'Anlage 3a_Zusammenfassung_KWKG'!J3014</f>
        <v>energis-Netzgesellschaft mbH</v>
      </c>
    </row>
    <row r="1278" spans="1:9" hidden="1" outlineLevel="2">
      <c r="A1278" s="853" t="s">
        <v>1118</v>
      </c>
      <c r="B1278" s="422">
        <f>'Anlage 3a_Zusammenfassung_KWKG'!B3015</f>
        <v>2919540943</v>
      </c>
      <c r="C1278" s="422">
        <f>'Anlage 3a_Zusammenfassung_KWKG'!C3015</f>
        <v>0</v>
      </c>
      <c r="D1278" s="854">
        <f t="shared" si="40"/>
        <v>2919540943</v>
      </c>
      <c r="I1278" s="89" t="str">
        <f>'Anlage 3a_Zusammenfassung_KWKG'!J3015</f>
        <v>Amprion GmbH</v>
      </c>
    </row>
    <row r="1279" spans="1:9" hidden="1" outlineLevel="2">
      <c r="A1279" s="853" t="s">
        <v>1120</v>
      </c>
      <c r="B1279" s="422">
        <f>'Anlage 3a_Zusammenfassung_KWKG'!B3016</f>
        <v>201993241</v>
      </c>
      <c r="C1279" s="422">
        <f>'Anlage 3a_Zusammenfassung_KWKG'!C3016</f>
        <v>12893906</v>
      </c>
      <c r="D1279" s="854">
        <f t="shared" si="40"/>
        <v>214887147</v>
      </c>
      <c r="I1279" s="89" t="str">
        <f>'Anlage 3a_Zusammenfassung_KWKG'!J3016</f>
        <v>LokalWerke GmbH</v>
      </c>
    </row>
    <row r="1280" spans="1:9" hidden="1" outlineLevel="2">
      <c r="A1280" s="853" t="s">
        <v>1122</v>
      </c>
      <c r="B1280" s="422">
        <f>'Anlage 3a_Zusammenfassung_KWKG'!B3017</f>
        <v>163144153</v>
      </c>
      <c r="C1280" s="422">
        <f>'Anlage 3a_Zusammenfassung_KWKG'!C3017</f>
        <v>2340726</v>
      </c>
      <c r="D1280" s="854">
        <f t="shared" si="40"/>
        <v>165484879</v>
      </c>
      <c r="I1280" s="89" t="str">
        <f>'Anlage 3a_Zusammenfassung_KWKG'!J3017</f>
        <v>LokalWerke GmbH</v>
      </c>
    </row>
    <row r="1281" spans="1:9" hidden="1" outlineLevel="2">
      <c r="A1281" s="853" t="s">
        <v>1124</v>
      </c>
      <c r="B1281" s="422">
        <f>'Anlage 3a_Zusammenfassung_KWKG'!B3018</f>
        <v>4959848</v>
      </c>
      <c r="C1281" s="422">
        <f>'Anlage 3a_Zusammenfassung_KWKG'!C3018</f>
        <v>367155</v>
      </c>
      <c r="D1281" s="854">
        <f t="shared" si="40"/>
        <v>5327003</v>
      </c>
      <c r="I1281" s="89" t="str">
        <f>'Anlage 3a_Zusammenfassung_KWKG'!J3018</f>
        <v>Stromkontor Griesheim GmbH</v>
      </c>
    </row>
    <row r="1282" spans="1:9" hidden="1" outlineLevel="2">
      <c r="A1282" s="853" t="s">
        <v>1126</v>
      </c>
      <c r="B1282" s="422">
        <f>'Anlage 3a_Zusammenfassung_KWKG'!B3019</f>
        <v>97189734</v>
      </c>
      <c r="C1282" s="422">
        <f>'Anlage 3a_Zusammenfassung_KWKG'!C3019</f>
        <v>244381</v>
      </c>
      <c r="D1282" s="854">
        <f t="shared" si="40"/>
        <v>97434115</v>
      </c>
      <c r="I1282" s="89" t="str">
        <f>'Anlage 3a_Zusammenfassung_KWKG'!J3019</f>
        <v>Stadtwerke Georgsmarienhütte Netz GmbH</v>
      </c>
    </row>
    <row r="1283" spans="1:9" hidden="1" outlineLevel="2">
      <c r="A1283" s="853" t="s">
        <v>1128</v>
      </c>
      <c r="B1283" s="422">
        <f>'Anlage 3a_Zusammenfassung_KWKG'!B3020</f>
        <v>916355952</v>
      </c>
      <c r="C1283" s="422">
        <f>'Anlage 3a_Zusammenfassung_KWKG'!C3020</f>
        <v>0</v>
      </c>
      <c r="D1283" s="854">
        <f t="shared" si="40"/>
        <v>916355952</v>
      </c>
      <c r="I1283" s="89" t="str">
        <f>'Anlage 3a_Zusammenfassung_KWKG'!J3020</f>
        <v>Infraserv Netze GmbH</v>
      </c>
    </row>
    <row r="1284" spans="1:9" hidden="1" outlineLevel="2">
      <c r="A1284" s="853" t="s">
        <v>2482</v>
      </c>
      <c r="B1284" s="422">
        <f>'Anlage 3a_Zusammenfassung_KWKG'!B3021</f>
        <v>93609585</v>
      </c>
      <c r="C1284" s="422">
        <f>'Anlage 3a_Zusammenfassung_KWKG'!C3021</f>
        <v>0</v>
      </c>
      <c r="D1284" s="854">
        <f t="shared" si="40"/>
        <v>93609585</v>
      </c>
      <c r="I1284" s="89" t="str">
        <f>'Anlage 3a_Zusammenfassung_KWKG'!J3021</f>
        <v>NHL Netzgesellschaft Heilbronner Land GmbH &amp; Co. KG</v>
      </c>
    </row>
    <row r="1285" spans="1:9" hidden="1" outlineLevel="2">
      <c r="A1285" s="853" t="s">
        <v>1130</v>
      </c>
      <c r="B1285" s="422">
        <f>'Anlage 3a_Zusammenfassung_KWKG'!B3022</f>
        <v>48911180</v>
      </c>
      <c r="C1285" s="422">
        <f>'Anlage 3a_Zusammenfassung_KWKG'!C3022</f>
        <v>0</v>
      </c>
      <c r="D1285" s="854">
        <f t="shared" si="40"/>
        <v>48911180</v>
      </c>
      <c r="I1285" s="89" t="str">
        <f>'Anlage 3a_Zusammenfassung_KWKG'!J3022</f>
        <v>Stadtwerke Ludwigsburg-Kornwestheim GmbH</v>
      </c>
    </row>
    <row r="1286" spans="1:9" hidden="1" outlineLevel="2">
      <c r="A1286" s="853" t="s">
        <v>1132</v>
      </c>
      <c r="B1286" s="422">
        <f>'Anlage 3a_Zusammenfassung_KWKG'!B3023</f>
        <v>57073093</v>
      </c>
      <c r="C1286" s="422">
        <f>'Anlage 3a_Zusammenfassung_KWKG'!C3023</f>
        <v>2052412</v>
      </c>
      <c r="D1286" s="854">
        <f t="shared" si="40"/>
        <v>59125505</v>
      </c>
      <c r="I1286" s="89" t="str">
        <f>'Anlage 3a_Zusammenfassung_KWKG'!J3023</f>
        <v>stadtwerker Versorgungs GmbH</v>
      </c>
    </row>
    <row r="1287" spans="1:9" hidden="1" outlineLevel="2">
      <c r="A1287" s="853" t="s">
        <v>1134</v>
      </c>
      <c r="B1287" s="422">
        <f>'Anlage 3a_Zusammenfassung_KWKG'!B3024</f>
        <v>107326044</v>
      </c>
      <c r="C1287" s="422">
        <f>'Anlage 3a_Zusammenfassung_KWKG'!C3024</f>
        <v>0</v>
      </c>
      <c r="D1287" s="854">
        <f t="shared" si="40"/>
        <v>107326044</v>
      </c>
      <c r="I1287" s="89" t="str">
        <f>'Anlage 3a_Zusammenfassung_KWKG'!J3024</f>
        <v>Stadtwerke Werl GmbH</v>
      </c>
    </row>
    <row r="1288" spans="1:9" hidden="1" outlineLevel="2">
      <c r="A1288" s="853" t="s">
        <v>1136</v>
      </c>
      <c r="B1288" s="422">
        <f>'Anlage 3a_Zusammenfassung_KWKG'!B3025</f>
        <v>1467295442</v>
      </c>
      <c r="C1288" s="422">
        <f>'Anlage 3a_Zusammenfassung_KWKG'!C3025</f>
        <v>16467172</v>
      </c>
      <c r="D1288" s="854">
        <f t="shared" si="40"/>
        <v>1483762614</v>
      </c>
      <c r="I1288" s="89" t="str">
        <f>'Anlage 3a_Zusammenfassung_KWKG'!J3025</f>
        <v>Energienetze Mittelrhein GmbH &amp; Co. KG</v>
      </c>
    </row>
    <row r="1289" spans="1:9" hidden="1" outlineLevel="2">
      <c r="A1289" s="853" t="s">
        <v>1138</v>
      </c>
      <c r="B1289" s="422">
        <f>'Anlage 3a_Zusammenfassung_KWKG'!B3026</f>
        <v>784499</v>
      </c>
      <c r="C1289" s="422">
        <f>'Anlage 3a_Zusammenfassung_KWKG'!C3026</f>
        <v>446927</v>
      </c>
      <c r="D1289" s="854">
        <f t="shared" si="40"/>
        <v>1231426</v>
      </c>
      <c r="I1289" s="89" t="str">
        <f>'Anlage 3a_Zusammenfassung_KWKG'!J3026</f>
        <v>Stromnetz24 GmbH</v>
      </c>
    </row>
    <row r="1290" spans="1:9" hidden="1" outlineLevel="2">
      <c r="A1290" s="853" t="s">
        <v>726</v>
      </c>
      <c r="B1290" s="422">
        <f>'Anlage 3a_Zusammenfassung_KWKG'!B3027</f>
        <v>1114758435</v>
      </c>
      <c r="C1290" s="422">
        <f>'Anlage 3a_Zusammenfassung_KWKG'!C3027</f>
        <v>-11645375</v>
      </c>
      <c r="D1290" s="854">
        <f t="shared" si="40"/>
        <v>1103113060</v>
      </c>
      <c r="I1290" s="89" t="str">
        <f>'Anlage 3a_Zusammenfassung_KWKG'!J3027</f>
        <v>Stadtnetze Münster GmbH</v>
      </c>
    </row>
    <row r="1291" spans="1:9" hidden="1" outlineLevel="2">
      <c r="A1291" s="853" t="s">
        <v>1140</v>
      </c>
      <c r="B1291" s="422">
        <f>'Anlage 3a_Zusammenfassung_KWKG'!B3028</f>
        <v>1862098351</v>
      </c>
      <c r="C1291" s="422">
        <f>'Anlage 3a_Zusammenfassung_KWKG'!C3028</f>
        <v>8629392</v>
      </c>
      <c r="D1291" s="854">
        <f t="shared" si="40"/>
        <v>1870727743</v>
      </c>
      <c r="I1291" s="89" t="str">
        <f>'Anlage 3a_Zusammenfassung_KWKG'!J3028</f>
        <v>Dortmunder Netz GmbH</v>
      </c>
    </row>
    <row r="1292" spans="1:9" hidden="1" outlineLevel="2">
      <c r="A1292" s="853" t="s">
        <v>1142</v>
      </c>
      <c r="B1292" s="422">
        <f>'Anlage 3a_Zusammenfassung_KWKG'!B3029</f>
        <v>8969786</v>
      </c>
      <c r="C1292" s="422">
        <f>'Anlage 3a_Zusammenfassung_KWKG'!C3029</f>
        <v>1279791</v>
      </c>
      <c r="D1292" s="854">
        <f t="shared" si="40"/>
        <v>10249577</v>
      </c>
      <c r="I1292" s="89" t="str">
        <f>'Anlage 3a_Zusammenfassung_KWKG'!J3029</f>
        <v>Stromkontor Netzgesellschaft mbH</v>
      </c>
    </row>
    <row r="1293" spans="1:9" hidden="1" outlineLevel="2">
      <c r="A1293" s="853" t="s">
        <v>730</v>
      </c>
      <c r="B1293" s="422">
        <f>'Anlage 3a_Zusammenfassung_KWKG'!B3030</f>
        <v>119089991</v>
      </c>
      <c r="C1293" s="422">
        <f>'Anlage 3a_Zusammenfassung_KWKG'!C3030</f>
        <v>1839166</v>
      </c>
      <c r="D1293" s="854">
        <f t="shared" si="40"/>
        <v>120929157</v>
      </c>
      <c r="I1293" s="89" t="str">
        <f>'Anlage 3a_Zusammenfassung_KWKG'!J3030</f>
        <v>Stadtwerke Andernach Energie GmbH</v>
      </c>
    </row>
    <row r="1294" spans="1:9" hidden="1" outlineLevel="2">
      <c r="A1294" s="853" t="s">
        <v>1144</v>
      </c>
      <c r="B1294" s="422">
        <f>'Anlage 3a_Zusammenfassung_KWKG'!B3031</f>
        <v>210573005</v>
      </c>
      <c r="C1294" s="422">
        <f>'Anlage 3a_Zusammenfassung_KWKG'!C3031</f>
        <v>-637681</v>
      </c>
      <c r="D1294" s="854">
        <f t="shared" si="40"/>
        <v>209935324</v>
      </c>
      <c r="I1294" s="89" t="str">
        <f>'Anlage 3a_Zusammenfassung_KWKG'!J3031</f>
        <v>Stadtwerke Lingen GmbH</v>
      </c>
    </row>
    <row r="1295" spans="1:9" hidden="1" outlineLevel="2">
      <c r="A1295" s="853" t="s">
        <v>1146</v>
      </c>
      <c r="B1295" s="422">
        <f>'Anlage 3a_Zusammenfassung_KWKG'!B3032</f>
        <v>63638499</v>
      </c>
      <c r="C1295" s="422">
        <f>'Anlage 3a_Zusammenfassung_KWKG'!C3032</f>
        <v>9446185</v>
      </c>
      <c r="D1295" s="854">
        <f t="shared" ref="D1295:D1335" si="41">SUM(B1295:C1295)</f>
        <v>73084684</v>
      </c>
      <c r="I1295" s="89" t="str">
        <f>'Anlage 3a_Zusammenfassung_KWKG'!J3032</f>
        <v>Stadtwerke Germersheim GmbH</v>
      </c>
    </row>
    <row r="1296" spans="1:9" hidden="1" outlineLevel="2">
      <c r="A1296" s="853" t="s">
        <v>1148</v>
      </c>
      <c r="B1296" s="422">
        <f>'Anlage 3a_Zusammenfassung_KWKG'!B3033</f>
        <v>431577003</v>
      </c>
      <c r="C1296" s="422">
        <f>'Anlage 3a_Zusammenfassung_KWKG'!C3033</f>
        <v>-5047844</v>
      </c>
      <c r="D1296" s="854">
        <f t="shared" si="41"/>
        <v>426529159</v>
      </c>
      <c r="I1296" s="89" t="str">
        <f>'Anlage 3a_Zusammenfassung_KWKG'!J3033</f>
        <v>SWK Stadtwerke Kaiserslautern Versorgungs-AG</v>
      </c>
    </row>
    <row r="1297" spans="1:9" hidden="1" outlineLevel="2">
      <c r="A1297" s="853" t="s">
        <v>1150</v>
      </c>
      <c r="B1297" s="422">
        <f>'Anlage 3a_Zusammenfassung_KWKG'!B3034</f>
        <v>135592817</v>
      </c>
      <c r="C1297" s="422">
        <f>'Anlage 3a_Zusammenfassung_KWKG'!C3034</f>
        <v>-4637877</v>
      </c>
      <c r="D1297" s="854">
        <f t="shared" si="41"/>
        <v>130954940</v>
      </c>
      <c r="I1297" s="89" t="str">
        <f>'Anlage 3a_Zusammenfassung_KWKG'!J3034</f>
        <v>Stadtwerke Borken/Westf. GmbH</v>
      </c>
    </row>
    <row r="1298" spans="1:9" hidden="1" outlineLevel="2">
      <c r="A1298" s="853" t="s">
        <v>1152</v>
      </c>
      <c r="B1298" s="422">
        <f>'Anlage 3a_Zusammenfassung_KWKG'!B3035</f>
        <v>1805168</v>
      </c>
      <c r="C1298" s="422">
        <f>'Anlage 3a_Zusammenfassung_KWKG'!C3035</f>
        <v>-1581</v>
      </c>
      <c r="D1298" s="854">
        <f t="shared" si="41"/>
        <v>1803587</v>
      </c>
      <c r="I1298" s="89" t="str">
        <f>'Anlage 3a_Zusammenfassung_KWKG'!J3035</f>
        <v>Stadtwerke Schwäbisch Hall GmbH</v>
      </c>
    </row>
    <row r="1299" spans="1:9" hidden="1" outlineLevel="2">
      <c r="A1299" s="853" t="s">
        <v>1154</v>
      </c>
      <c r="B1299" s="422">
        <f>'Anlage 3a_Zusammenfassung_KWKG'!B3036</f>
        <v>96580968</v>
      </c>
      <c r="C1299" s="422">
        <f>'Anlage 3a_Zusammenfassung_KWKG'!C3036</f>
        <v>-233711</v>
      </c>
      <c r="D1299" s="854">
        <f t="shared" si="41"/>
        <v>96347257</v>
      </c>
      <c r="I1299" s="89" t="str">
        <f>'Anlage 3a_Zusammenfassung_KWKG'!J3036</f>
        <v>Ahrtal-Werke GmbH</v>
      </c>
    </row>
    <row r="1300" spans="1:9" hidden="1" outlineLevel="2">
      <c r="A1300" s="853" t="s">
        <v>1156</v>
      </c>
      <c r="B1300" s="422">
        <f>'Anlage 3a_Zusammenfassung_KWKG'!B3037</f>
        <v>141193456</v>
      </c>
      <c r="C1300" s="422">
        <f>'Anlage 3a_Zusammenfassung_KWKG'!C3037</f>
        <v>5440498</v>
      </c>
      <c r="D1300" s="854">
        <f t="shared" si="41"/>
        <v>146633954</v>
      </c>
      <c r="I1300" s="89" t="str">
        <f>'Anlage 3a_Zusammenfassung_KWKG'!J3037</f>
        <v>Stadtwerke Brühl GmbH</v>
      </c>
    </row>
    <row r="1301" spans="1:9" hidden="1" outlineLevel="2">
      <c r="A1301" s="853" t="s">
        <v>1158</v>
      </c>
      <c r="B1301" s="422">
        <f>'Anlage 3a_Zusammenfassung_KWKG'!B3038</f>
        <v>149245948</v>
      </c>
      <c r="C1301" s="422">
        <f>'Anlage 3a_Zusammenfassung_KWKG'!C3038</f>
        <v>-390500</v>
      </c>
      <c r="D1301" s="854">
        <f t="shared" si="41"/>
        <v>148855448</v>
      </c>
      <c r="I1301" s="89" t="str">
        <f>'Anlage 3a_Zusammenfassung_KWKG'!J3038</f>
        <v>Mainnetz GmbH</v>
      </c>
    </row>
    <row r="1302" spans="1:9" hidden="1" outlineLevel="2">
      <c r="A1302" s="853" t="s">
        <v>1160</v>
      </c>
      <c r="B1302" s="422">
        <f>'Anlage 3a_Zusammenfassung_KWKG'!B3039</f>
        <v>36642545</v>
      </c>
      <c r="C1302" s="422">
        <f>'Anlage 3a_Zusammenfassung_KWKG'!C3039</f>
        <v>-23252</v>
      </c>
      <c r="D1302" s="854">
        <f t="shared" si="41"/>
        <v>36619293</v>
      </c>
      <c r="I1302" s="89" t="str">
        <f>'Anlage 3a_Zusammenfassung_KWKG'!J3039</f>
        <v>Gemeindewerke Wadgassen GmbH</v>
      </c>
    </row>
    <row r="1303" spans="1:9" hidden="1" outlineLevel="2">
      <c r="A1303" s="853" t="s">
        <v>1162</v>
      </c>
      <c r="B1303" s="422">
        <f>'Anlage 3a_Zusammenfassung_KWKG'!B3040</f>
        <v>17046766</v>
      </c>
      <c r="C1303" s="422">
        <f>'Anlage 3a_Zusammenfassung_KWKG'!C3040</f>
        <v>0</v>
      </c>
      <c r="D1303" s="854">
        <f t="shared" si="41"/>
        <v>17046766</v>
      </c>
      <c r="I1303" s="89" t="str">
        <f>'Anlage 3a_Zusammenfassung_KWKG'!J3040</f>
        <v>Stadtwerke Deidesheim GmbH</v>
      </c>
    </row>
    <row r="1304" spans="1:9" hidden="1" outlineLevel="2">
      <c r="A1304" s="853" t="s">
        <v>1164</v>
      </c>
      <c r="B1304" s="422">
        <f>'Anlage 3a_Zusammenfassung_KWKG'!B3041</f>
        <v>22702298</v>
      </c>
      <c r="C1304" s="422">
        <f>'Anlage 3a_Zusammenfassung_KWKG'!C3041</f>
        <v>16093</v>
      </c>
      <c r="D1304" s="854">
        <f t="shared" si="41"/>
        <v>22718391</v>
      </c>
      <c r="I1304" s="89" t="str">
        <f>'Anlage 3a_Zusammenfassung_KWKG'!J3041</f>
        <v>Gemeinde-Elektrizitäts- und Wasserwerk Burtenbach</v>
      </c>
    </row>
    <row r="1305" spans="1:9" hidden="1" outlineLevel="2">
      <c r="A1305" s="853" t="s">
        <v>1166</v>
      </c>
      <c r="B1305" s="422">
        <f>'Anlage 3a_Zusammenfassung_KWKG'!B3042</f>
        <v>54434761</v>
      </c>
      <c r="C1305" s="422">
        <f>'Anlage 3a_Zusammenfassung_KWKG'!C3042</f>
        <v>0</v>
      </c>
      <c r="D1305" s="854">
        <f t="shared" si="41"/>
        <v>54434761</v>
      </c>
      <c r="I1305" s="89" t="str">
        <f>'Anlage 3a_Zusammenfassung_KWKG'!J3042</f>
        <v>OXEA Services GmbH</v>
      </c>
    </row>
    <row r="1306" spans="1:9" hidden="1" outlineLevel="2">
      <c r="A1306" s="853" t="s">
        <v>1168</v>
      </c>
      <c r="B1306" s="422">
        <f>'Anlage 3a_Zusammenfassung_KWKG'!B3043</f>
        <v>245766451</v>
      </c>
      <c r="C1306" s="422">
        <f>'Anlage 3a_Zusammenfassung_KWKG'!C3043</f>
        <v>-3026152</v>
      </c>
      <c r="D1306" s="854">
        <f t="shared" si="41"/>
        <v>242740299</v>
      </c>
      <c r="I1306" s="89" t="str">
        <f>'Anlage 3a_Zusammenfassung_KWKG'!J3043</f>
        <v>Stadtwerke Lippstadt GmbH</v>
      </c>
    </row>
    <row r="1307" spans="1:9" hidden="1" outlineLevel="2">
      <c r="A1307" s="853" t="s">
        <v>1170</v>
      </c>
      <c r="B1307" s="422">
        <f>'Anlage 3a_Zusammenfassung_KWKG'!B3044</f>
        <v>140746290</v>
      </c>
      <c r="C1307" s="422">
        <f>'Anlage 3a_Zusammenfassung_KWKG'!C3044</f>
        <v>283878</v>
      </c>
      <c r="D1307" s="854">
        <f t="shared" si="41"/>
        <v>141030168</v>
      </c>
      <c r="I1307" s="89" t="str">
        <f>'Anlage 3a_Zusammenfassung_KWKG'!J3044</f>
        <v>Stadtwerke Nettetal GmbH</v>
      </c>
    </row>
    <row r="1308" spans="1:9" hidden="1" outlineLevel="2">
      <c r="A1308" s="853" t="s">
        <v>1172</v>
      </c>
      <c r="B1308" s="422">
        <f>'Anlage 3a_Zusammenfassung_KWKG'!B3045</f>
        <v>825149953</v>
      </c>
      <c r="C1308" s="422">
        <f>'Anlage 3a_Zusammenfassung_KWKG'!C3045</f>
        <v>-6666771</v>
      </c>
      <c r="D1308" s="854">
        <f t="shared" si="41"/>
        <v>818483182</v>
      </c>
      <c r="I1308" s="89" t="str">
        <f>'Anlage 3a_Zusammenfassung_KWKG'!J3045</f>
        <v>Stadtwerke Saarbrücken Netz AG</v>
      </c>
    </row>
    <row r="1309" spans="1:9" hidden="1" outlineLevel="2">
      <c r="A1309" s="853" t="s">
        <v>1174</v>
      </c>
      <c r="B1309" s="422">
        <f>'Anlage 3a_Zusammenfassung_KWKG'!B3046</f>
        <v>195076668</v>
      </c>
      <c r="C1309" s="422">
        <f>'Anlage 3a_Zusammenfassung_KWKG'!C3046</f>
        <v>3121062</v>
      </c>
      <c r="D1309" s="854">
        <f t="shared" si="41"/>
        <v>198197730</v>
      </c>
      <c r="I1309" s="89" t="str">
        <f>'Anlage 3a_Zusammenfassung_KWKG'!J3046</f>
        <v>Stadtwerke GmbH Bad Kreuznach</v>
      </c>
    </row>
    <row r="1310" spans="1:9" hidden="1" outlineLevel="2">
      <c r="A1310" s="853" t="s">
        <v>1176</v>
      </c>
      <c r="B1310" s="422">
        <f>'Anlage 3a_Zusammenfassung_KWKG'!B3047</f>
        <v>33057080</v>
      </c>
      <c r="C1310" s="422">
        <f>'Anlage 3a_Zusammenfassung_KWKG'!C3047</f>
        <v>0</v>
      </c>
      <c r="D1310" s="854">
        <f t="shared" si="41"/>
        <v>33057080</v>
      </c>
      <c r="I1310" s="89" t="str">
        <f>'Anlage 3a_Zusammenfassung_KWKG'!J3047</f>
        <v>Kommunalunternehmen Gemeindewerke Peißenberg</v>
      </c>
    </row>
    <row r="1311" spans="1:9" hidden="1" outlineLevel="2">
      <c r="A1311" s="853" t="s">
        <v>1178</v>
      </c>
      <c r="B1311" s="422">
        <f>'Anlage 3a_Zusammenfassung_KWKG'!B3048</f>
        <v>81905877</v>
      </c>
      <c r="C1311" s="422">
        <f>'Anlage 3a_Zusammenfassung_KWKG'!C3048</f>
        <v>0</v>
      </c>
      <c r="D1311" s="854">
        <f t="shared" si="41"/>
        <v>81905877</v>
      </c>
      <c r="I1311" s="89" t="str">
        <f>'Anlage 3a_Zusammenfassung_KWKG'!J3048</f>
        <v>Stadtwerke Mühlheim am Main GmbH</v>
      </c>
    </row>
    <row r="1312" spans="1:9" hidden="1" outlineLevel="2">
      <c r="A1312" s="853" t="s">
        <v>1180</v>
      </c>
      <c r="B1312" s="422">
        <f>'Anlage 3a_Zusammenfassung_KWKG'!B3049</f>
        <v>157101718</v>
      </c>
      <c r="C1312" s="422">
        <f>'Anlage 3a_Zusammenfassung_KWKG'!C3049</f>
        <v>178575</v>
      </c>
      <c r="D1312" s="854">
        <f t="shared" si="41"/>
        <v>157280293</v>
      </c>
      <c r="I1312" s="89" t="str">
        <f>'Anlage 3a_Zusammenfassung_KWKG'!J3049</f>
        <v>Stadtwerke Emmerich GmbH</v>
      </c>
    </row>
    <row r="1313" spans="1:9" hidden="1" outlineLevel="2">
      <c r="A1313" s="853" t="s">
        <v>1182</v>
      </c>
      <c r="B1313" s="422">
        <f>'Anlage 3a_Zusammenfassung_KWKG'!B3050</f>
        <v>10167076</v>
      </c>
      <c r="C1313" s="422">
        <f>'Anlage 3a_Zusammenfassung_KWKG'!C3050</f>
        <v>0</v>
      </c>
      <c r="D1313" s="854">
        <f t="shared" si="41"/>
        <v>10167076</v>
      </c>
      <c r="I1313" s="89" t="str">
        <f>'Anlage 3a_Zusammenfassung_KWKG'!J3050</f>
        <v>Elektrizitätsgenossenschaft Rettenberg eG</v>
      </c>
    </row>
    <row r="1314" spans="1:9" hidden="1" outlineLevel="2">
      <c r="A1314" s="853" t="s">
        <v>1184</v>
      </c>
      <c r="B1314" s="422">
        <f>'Anlage 3a_Zusammenfassung_KWKG'!B3051</f>
        <v>415483508</v>
      </c>
      <c r="C1314" s="422">
        <f>'Anlage 3a_Zusammenfassung_KWKG'!C3051</f>
        <v>0</v>
      </c>
      <c r="D1314" s="854">
        <f t="shared" si="41"/>
        <v>415483508</v>
      </c>
      <c r="I1314" s="89" t="str">
        <f>'Anlage 3a_Zusammenfassung_KWKG'!J3051</f>
        <v>ThyssenKrupp Steel Europe AG</v>
      </c>
    </row>
    <row r="1315" spans="1:9" hidden="1" outlineLevel="2">
      <c r="A1315" s="853" t="s">
        <v>1186</v>
      </c>
      <c r="B1315" s="422">
        <f>'Anlage 3a_Zusammenfassung_KWKG'!B3052</f>
        <v>25894549</v>
      </c>
      <c r="C1315" s="422">
        <f>'Anlage 3a_Zusammenfassung_KWKG'!C3052</f>
        <v>0</v>
      </c>
      <c r="D1315" s="854">
        <f t="shared" si="41"/>
        <v>25894549</v>
      </c>
      <c r="I1315" s="89" t="str">
        <f>'Anlage 3a_Zusammenfassung_KWKG'!J3052</f>
        <v>ThyssenKrupp Steel Europe AG</v>
      </c>
    </row>
    <row r="1316" spans="1:9" hidden="1" outlineLevel="2">
      <c r="A1316" s="853" t="s">
        <v>1186</v>
      </c>
      <c r="B1316" s="422">
        <f>'Anlage 3a_Zusammenfassung_KWKG'!B3053</f>
        <v>311812294</v>
      </c>
      <c r="C1316" s="422">
        <f>'Anlage 3a_Zusammenfassung_KWKG'!C3053</f>
        <v>0</v>
      </c>
      <c r="D1316" s="854">
        <f t="shared" si="41"/>
        <v>311812294</v>
      </c>
      <c r="I1316" s="89" t="str">
        <f>'Anlage 3a_Zusammenfassung_KWKG'!J3053</f>
        <v>ThyssenKrupp Steel Europe AG</v>
      </c>
    </row>
    <row r="1317" spans="1:9" hidden="1" outlineLevel="2">
      <c r="A1317" s="853" t="s">
        <v>1186</v>
      </c>
      <c r="B1317" s="422">
        <f>'Anlage 3a_Zusammenfassung_KWKG'!B3054</f>
        <v>19491065</v>
      </c>
      <c r="C1317" s="422">
        <f>'Anlage 3a_Zusammenfassung_KWKG'!C3054</f>
        <v>-85429</v>
      </c>
      <c r="D1317" s="854">
        <f t="shared" si="41"/>
        <v>19405636</v>
      </c>
      <c r="I1317" s="89" t="str">
        <f>'Anlage 3a_Zusammenfassung_KWKG'!J3054</f>
        <v>Gemeindewerke Enkenbach-Alsenborn</v>
      </c>
    </row>
    <row r="1318" spans="1:9" hidden="1" outlineLevel="2">
      <c r="A1318" s="853" t="s">
        <v>1188</v>
      </c>
      <c r="B1318" s="422">
        <f>'Anlage 3a_Zusammenfassung_KWKG'!B3055</f>
        <v>67925900</v>
      </c>
      <c r="C1318" s="422">
        <f>'Anlage 3a_Zusammenfassung_KWKG'!C3055</f>
        <v>1269709</v>
      </c>
      <c r="D1318" s="854">
        <f t="shared" si="41"/>
        <v>69195609</v>
      </c>
      <c r="I1318" s="89" t="str">
        <f>'Anlage 3a_Zusammenfassung_KWKG'!J3055</f>
        <v>Gemeindewerke Nümbrecht GmbH</v>
      </c>
    </row>
    <row r="1319" spans="1:9" hidden="1" outlineLevel="2">
      <c r="A1319" s="853" t="s">
        <v>1190</v>
      </c>
      <c r="B1319" s="422">
        <f>'Anlage 3a_Zusammenfassung_KWKG'!B3056</f>
        <v>32835943</v>
      </c>
      <c r="C1319" s="422">
        <f>'Anlage 3a_Zusammenfassung_KWKG'!C3056</f>
        <v>-341813</v>
      </c>
      <c r="D1319" s="854">
        <f t="shared" si="41"/>
        <v>32494130</v>
      </c>
      <c r="I1319" s="89" t="str">
        <f>'Anlage 3a_Zusammenfassung_KWKG'!J3056</f>
        <v>Elektrizitätswerk Bruchmühlbach-Miesau</v>
      </c>
    </row>
    <row r="1320" spans="1:9" hidden="1" outlineLevel="2">
      <c r="A1320" s="853" t="s">
        <v>1192</v>
      </c>
      <c r="B1320" s="422">
        <f>'Anlage 3a_Zusammenfassung_KWKG'!B3057</f>
        <v>37519179</v>
      </c>
      <c r="C1320" s="422">
        <f>'Anlage 3a_Zusammenfassung_KWKG'!C3057</f>
        <v>366556</v>
      </c>
      <c r="D1320" s="854">
        <f t="shared" si="41"/>
        <v>37885735</v>
      </c>
      <c r="I1320" s="89" t="str">
        <f>'Anlage 3a_Zusammenfassung_KWKG'!J3057</f>
        <v>Stadtwerke Ramstein-Miesenbach GmbH</v>
      </c>
    </row>
    <row r="1321" spans="1:9" hidden="1" outlineLevel="2">
      <c r="A1321" s="853" t="s">
        <v>1194</v>
      </c>
      <c r="B1321" s="422">
        <f>'Anlage 3a_Zusammenfassung_KWKG'!B3058</f>
        <v>1213784717</v>
      </c>
      <c r="C1321" s="422">
        <f>'Anlage 3a_Zusammenfassung_KWKG'!C3058</f>
        <v>0</v>
      </c>
      <c r="D1321" s="854">
        <f t="shared" si="41"/>
        <v>1213784717</v>
      </c>
      <c r="I1321" s="89" t="str">
        <f>'Anlage 3a_Zusammenfassung_KWKG'!J3058</f>
        <v>e-shelter power grid GmbH</v>
      </c>
    </row>
    <row r="1322" spans="1:9" hidden="1" outlineLevel="2">
      <c r="A1322" s="853" t="s">
        <v>1196</v>
      </c>
      <c r="B1322" s="422">
        <f>'Anlage 3a_Zusammenfassung_KWKG'!B3059</f>
        <v>95247598</v>
      </c>
      <c r="C1322" s="422">
        <f>'Anlage 3a_Zusammenfassung_KWKG'!C3059</f>
        <v>1954700</v>
      </c>
      <c r="D1322" s="854">
        <f t="shared" si="41"/>
        <v>97202298</v>
      </c>
      <c r="I1322" s="89" t="str">
        <f>'Anlage 3a_Zusammenfassung_KWKG'!J3059</f>
        <v>SSW Netz GmbH</v>
      </c>
    </row>
    <row r="1323" spans="1:9" hidden="1" outlineLevel="2">
      <c r="A1323" s="853" t="s">
        <v>1198</v>
      </c>
      <c r="B1323" s="422">
        <f>'Anlage 3a_Zusammenfassung_KWKG'!B3060</f>
        <v>432818760</v>
      </c>
      <c r="C1323" s="422">
        <f>'Anlage 3a_Zusammenfassung_KWKG'!C3060</f>
        <v>-5800304</v>
      </c>
      <c r="D1323" s="854">
        <f t="shared" si="41"/>
        <v>427018456</v>
      </c>
      <c r="I1323" s="89" t="str">
        <f>'Anlage 3a_Zusammenfassung_KWKG'!J3060</f>
        <v>BIGGE ENERGIE GmbH &amp; Co. KG</v>
      </c>
    </row>
    <row r="1324" spans="1:9" hidden="1" outlineLevel="2">
      <c r="A1324" s="853" t="s">
        <v>1200</v>
      </c>
      <c r="B1324" s="422">
        <f>'Anlage 3a_Zusammenfassung_KWKG'!B3061</f>
        <v>40080498</v>
      </c>
      <c r="C1324" s="422">
        <f>'Anlage 3a_Zusammenfassung_KWKG'!C3061</f>
        <v>0</v>
      </c>
      <c r="D1324" s="854">
        <f t="shared" si="41"/>
        <v>40080498</v>
      </c>
      <c r="I1324" s="89" t="str">
        <f>'Anlage 3a_Zusammenfassung_KWKG'!J3061</f>
        <v>Thüga Energienetze GmbH</v>
      </c>
    </row>
    <row r="1325" spans="1:9" hidden="1" outlineLevel="2">
      <c r="A1325" s="853" t="s">
        <v>1202</v>
      </c>
      <c r="B1325" s="422">
        <f>'Anlage 3a_Zusammenfassung_KWKG'!B3062</f>
        <v>5002767</v>
      </c>
      <c r="C1325" s="422">
        <f>'Anlage 3a_Zusammenfassung_KWKG'!C3062</f>
        <v>0</v>
      </c>
      <c r="D1325" s="854">
        <f t="shared" si="41"/>
        <v>5002767</v>
      </c>
      <c r="I1325" s="89" t="str">
        <f>'Anlage 3a_Zusammenfassung_KWKG'!J3062</f>
        <v>Thüga Energienetze GmbH</v>
      </c>
    </row>
    <row r="1326" spans="1:9" hidden="1" outlineLevel="2">
      <c r="A1326" s="853" t="s">
        <v>1202</v>
      </c>
      <c r="B1326" s="422">
        <f>'Anlage 3a_Zusammenfassung_KWKG'!B3063</f>
        <v>24900242</v>
      </c>
      <c r="C1326" s="422">
        <f>'Anlage 3a_Zusammenfassung_KWKG'!C3063</f>
        <v>0</v>
      </c>
      <c r="D1326" s="854">
        <f t="shared" si="41"/>
        <v>24900242</v>
      </c>
      <c r="I1326" s="89" t="str">
        <f>'Anlage 3a_Zusammenfassung_KWKG'!J3063</f>
        <v>Thüga Energienetze GmbH</v>
      </c>
    </row>
    <row r="1327" spans="1:9" hidden="1" outlineLevel="2">
      <c r="A1327" s="853" t="s">
        <v>1202</v>
      </c>
      <c r="B1327" s="422">
        <f>'Anlage 3a_Zusammenfassung_KWKG'!B3064</f>
        <v>3972235</v>
      </c>
      <c r="C1327" s="422">
        <f>'Anlage 3a_Zusammenfassung_KWKG'!C3064</f>
        <v>0</v>
      </c>
      <c r="D1327" s="854">
        <f t="shared" si="41"/>
        <v>3972235</v>
      </c>
      <c r="I1327" s="89" t="str">
        <f>'Anlage 3a_Zusammenfassung_KWKG'!J3064</f>
        <v>Fürstlich Fugger von Glött`sche E-Werks GmbH &amp; Co. KG</v>
      </c>
    </row>
    <row r="1328" spans="1:9" hidden="1" outlineLevel="2">
      <c r="A1328" s="853" t="s">
        <v>1204</v>
      </c>
      <c r="B1328" s="422">
        <f>'Anlage 3a_Zusammenfassung_KWKG'!B3065</f>
        <v>51409865</v>
      </c>
      <c r="C1328" s="422">
        <f>'Anlage 3a_Zusammenfassung_KWKG'!C3065</f>
        <v>-95032</v>
      </c>
      <c r="D1328" s="854">
        <f t="shared" si="41"/>
        <v>51314833</v>
      </c>
      <c r="I1328" s="89" t="str">
        <f>'Anlage 3a_Zusammenfassung_KWKG'!J3065</f>
        <v>Gemeindewerke Haßloch GmbH</v>
      </c>
    </row>
    <row r="1329" spans="1:9" hidden="1" outlineLevel="2">
      <c r="A1329" s="853" t="s">
        <v>1206</v>
      </c>
      <c r="B1329" s="422">
        <f>'Anlage 3a_Zusammenfassung_KWKG'!B3066</f>
        <v>60856284</v>
      </c>
      <c r="C1329" s="422">
        <f>'Anlage 3a_Zusammenfassung_KWKG'!C3066</f>
        <v>0</v>
      </c>
      <c r="D1329" s="854">
        <f t="shared" si="41"/>
        <v>60856284</v>
      </c>
      <c r="I1329" s="89" t="str">
        <f>'Anlage 3a_Zusammenfassung_KWKG'!J3066</f>
        <v>Stadtwerke Dillingen/Saar Netzgesellschaft mbH</v>
      </c>
    </row>
    <row r="1330" spans="1:9" hidden="1" outlineLevel="2">
      <c r="A1330" s="853" t="s">
        <v>1208</v>
      </c>
      <c r="B1330" s="422">
        <f>'Anlage 3a_Zusammenfassung_KWKG'!B3067</f>
        <v>639014427</v>
      </c>
      <c r="C1330" s="422">
        <f>'Anlage 3a_Zusammenfassung_KWKG'!C3067</f>
        <v>0</v>
      </c>
      <c r="D1330" s="854">
        <f t="shared" si="41"/>
        <v>639014427</v>
      </c>
      <c r="I1330" s="89" t="str">
        <f>'Anlage 3a_Zusammenfassung_KWKG'!J3067</f>
        <v>Oberhausener Netzgesellschaft mbH</v>
      </c>
    </row>
    <row r="1331" spans="1:9" hidden="1" outlineLevel="2">
      <c r="A1331" s="853" t="s">
        <v>1210</v>
      </c>
      <c r="B1331" s="422">
        <f>'Anlage 3a_Zusammenfassung_KWKG'!B3068</f>
        <v>47235828</v>
      </c>
      <c r="C1331" s="422">
        <f>'Anlage 3a_Zusammenfassung_KWKG'!C3068</f>
        <v>0</v>
      </c>
      <c r="D1331" s="854">
        <f t="shared" si="41"/>
        <v>47235828</v>
      </c>
      <c r="I1331" s="89" t="str">
        <f>'Anlage 3a_Zusammenfassung_KWKG'!J3068</f>
        <v>Gemeindewerke Grefrath GmbH</v>
      </c>
    </row>
    <row r="1332" spans="1:9" hidden="1" outlineLevel="2">
      <c r="A1332" s="853" t="s">
        <v>1212</v>
      </c>
      <c r="B1332" s="422">
        <f>'Anlage 3a_Zusammenfassung_KWKG'!B3069</f>
        <v>116360048</v>
      </c>
      <c r="C1332" s="422">
        <f>'Anlage 3a_Zusammenfassung_KWKG'!C3069</f>
        <v>0</v>
      </c>
      <c r="D1332" s="854">
        <f t="shared" si="41"/>
        <v>116360048</v>
      </c>
      <c r="I1332" s="89" t="str">
        <f>'Anlage 3a_Zusammenfassung_KWKG'!J3069</f>
        <v>SOLVAY GmbH</v>
      </c>
    </row>
    <row r="1333" spans="1:9" hidden="1" outlineLevel="2">
      <c r="A1333" s="853" t="s">
        <v>1214</v>
      </c>
      <c r="B1333" s="422">
        <f>'Anlage 3a_Zusammenfassung_KWKG'!B3070</f>
        <v>27564485</v>
      </c>
      <c r="C1333" s="422">
        <f>'Anlage 3a_Zusammenfassung_KWKG'!C3070</f>
        <v>-78159</v>
      </c>
      <c r="D1333" s="854">
        <f t="shared" si="41"/>
        <v>27486326</v>
      </c>
      <c r="I1333" s="89" t="str">
        <f>'Anlage 3a_Zusammenfassung_KWKG'!J3070</f>
        <v>GETEC Quartier GmbH</v>
      </c>
    </row>
    <row r="1334" spans="1:9" hidden="1" outlineLevel="2">
      <c r="A1334" s="853" t="s">
        <v>768</v>
      </c>
      <c r="B1334" s="422">
        <f>'Anlage 3a_Zusammenfassung_KWKG'!B3071</f>
        <v>12514148</v>
      </c>
      <c r="C1334" s="422">
        <f>'Anlage 3a_Zusammenfassung_KWKG'!C3071</f>
        <v>90788</v>
      </c>
      <c r="D1334" s="854">
        <f t="shared" si="41"/>
        <v>12604936</v>
      </c>
      <c r="I1334" s="89" t="str">
        <f>'Anlage 3a_Zusammenfassung_KWKG'!J3071</f>
        <v>Energie- und Bäderbetrieb Hauenstein</v>
      </c>
    </row>
    <row r="1335" spans="1:9" hidden="1" outlineLevel="2">
      <c r="A1335" s="853" t="s">
        <v>1216</v>
      </c>
      <c r="B1335" s="422">
        <f>'Anlage 3a_Zusammenfassung_KWKG'!B3072</f>
        <v>145612188</v>
      </c>
      <c r="C1335" s="422">
        <f>'Anlage 3a_Zusammenfassung_KWKG'!C3072</f>
        <v>0</v>
      </c>
      <c r="D1335" s="854">
        <f t="shared" si="41"/>
        <v>145612188</v>
      </c>
      <c r="I1335" s="89" t="str">
        <f>'Anlage 3a_Zusammenfassung_KWKG'!J3072</f>
        <v>Stadtwerke Greven GmbH</v>
      </c>
    </row>
    <row r="1336" spans="1:9" hidden="1" outlineLevel="2">
      <c r="A1336" s="853" t="s">
        <v>1218</v>
      </c>
      <c r="B1336" s="422">
        <f>'Anlage 3a_Zusammenfassung_KWKG'!B3073</f>
        <v>0</v>
      </c>
      <c r="C1336" s="422">
        <f>'Anlage 3a_Zusammenfassung_KWKG'!C3073</f>
        <v>10834376</v>
      </c>
      <c r="D1336" s="854">
        <f t="shared" ref="D1336:D1359" si="42">SUM(B1336:C1336)</f>
        <v>10834376</v>
      </c>
      <c r="I1336" s="89" t="str">
        <f>'Anlage 3a_Zusammenfassung_KWKG'!J3073</f>
        <v>Stadtwerke Hemer GmbH</v>
      </c>
    </row>
    <row r="1337" spans="1:9" collapsed="1">
      <c r="A1337" s="853" t="str">
        <f>'Anlage 3a_Zusammenfassung_KWKG'!A3074</f>
        <v>Regelzone TenneT (gesamt)</v>
      </c>
      <c r="B1337" s="754">
        <f>+SUM(B1338:B1704)</f>
        <v>105833907034.79601</v>
      </c>
      <c r="C1337" s="1732">
        <f>'Anlage 3a_Zusammenfassung_KWKG'!C3074</f>
        <v>-57651471.330000021</v>
      </c>
      <c r="D1337" s="854">
        <f>SUM(B1337:C1337)</f>
        <v>105776255563.466</v>
      </c>
      <c r="I1337" s="89"/>
    </row>
    <row r="1338" spans="1:9" hidden="1" outlineLevel="2">
      <c r="A1338" s="853" t="str">
        <f>'Anlage 2a_Letztverbrauch'!A415</f>
        <v>SNB921080203146</v>
      </c>
      <c r="B1338" s="422">
        <f>+'Anlage 2a_Letztverbrauch'!I415</f>
        <v>5899945.2300000004</v>
      </c>
      <c r="C1338" s="352">
        <f>'Anlage 3a_Zusammenfassung_KWKG'!C3075</f>
        <v>0</v>
      </c>
      <c r="D1338" s="854">
        <f t="shared" si="42"/>
        <v>5899945.2300000004</v>
      </c>
      <c r="E1338" t="s">
        <v>2194</v>
      </c>
    </row>
    <row r="1339" spans="1:9" hidden="1" outlineLevel="2">
      <c r="A1339" s="853" t="str">
        <f>'Anlage 2a_Letztverbrauch'!A416</f>
        <v>SNB981193584808</v>
      </c>
      <c r="B1339" s="422">
        <f>+'Anlage 2a_Letztverbrauch'!I416</f>
        <v>19466990</v>
      </c>
      <c r="C1339" s="352">
        <f>'Anlage 3a_Zusammenfassung_KWKG'!C3076</f>
        <v>0</v>
      </c>
      <c r="D1339" s="854">
        <f t="shared" si="42"/>
        <v>19466990</v>
      </c>
      <c r="E1339" t="s">
        <v>1739</v>
      </c>
    </row>
    <row r="1340" spans="1:9" hidden="1" outlineLevel="2">
      <c r="A1340" s="853" t="str">
        <f>'Anlage 2a_Letztverbrauch'!A417</f>
        <v>SNB991410365127</v>
      </c>
      <c r="B1340" s="422">
        <f>+'Anlage 2a_Letztverbrauch'!I417</f>
        <v>31582325</v>
      </c>
      <c r="C1340" s="352">
        <f>'Anlage 3a_Zusammenfassung_KWKG'!C3077</f>
        <v>92654</v>
      </c>
      <c r="D1340" s="854">
        <f t="shared" si="42"/>
        <v>31674979</v>
      </c>
      <c r="E1340" t="s">
        <v>1813</v>
      </c>
    </row>
    <row r="1341" spans="1:9" hidden="1" outlineLevel="2">
      <c r="A1341" s="853" t="str">
        <f>'Anlage 2a_Letztverbrauch'!A418</f>
        <v>SNB913346629968</v>
      </c>
      <c r="B1341" s="422">
        <f>+'Anlage 2a_Letztverbrauch'!I418</f>
        <v>23860122</v>
      </c>
      <c r="C1341" s="352">
        <f>'Anlage 3a_Zusammenfassung_KWKG'!C3078</f>
        <v>-101314</v>
      </c>
      <c r="D1341" s="854">
        <f t="shared" si="42"/>
        <v>23758808</v>
      </c>
      <c r="E1341" t="s">
        <v>1247</v>
      </c>
    </row>
    <row r="1342" spans="1:9" hidden="1" outlineLevel="2">
      <c r="A1342" s="853" t="str">
        <f>'Anlage 2a_Letztverbrauch'!A419</f>
        <v>SNB960502792271</v>
      </c>
      <c r="B1342" s="422">
        <f>+'Anlage 2a_Letztverbrauch'!I419</f>
        <v>40505511</v>
      </c>
      <c r="C1342" s="352">
        <f>'Anlage 3a_Zusammenfassung_KWKG'!C3079</f>
        <v>767528</v>
      </c>
      <c r="D1342" s="854">
        <f t="shared" si="42"/>
        <v>41273039</v>
      </c>
      <c r="E1342" t="s">
        <v>1583</v>
      </c>
    </row>
    <row r="1343" spans="1:9" hidden="1" outlineLevel="2">
      <c r="A1343" s="853" t="str">
        <f>'Anlage 2a_Letztverbrauch'!A420</f>
        <v>SNB951791941969</v>
      </c>
      <c r="B1343" s="422">
        <f>+'Anlage 2a_Letztverbrauch'!I420</f>
        <v>80362878</v>
      </c>
      <c r="C1343" s="352">
        <f>'Anlage 3a_Zusammenfassung_KWKG'!C3080</f>
        <v>0</v>
      </c>
      <c r="D1343" s="854">
        <f t="shared" si="42"/>
        <v>80362878</v>
      </c>
      <c r="E1343" t="s">
        <v>1519</v>
      </c>
    </row>
    <row r="1344" spans="1:9" hidden="1" outlineLevel="2">
      <c r="A1344" s="853" t="str">
        <f>'Anlage 2a_Letztverbrauch'!A421</f>
        <v>SNB959255155907</v>
      </c>
      <c r="B1344" s="422">
        <f>+'Anlage 2a_Letztverbrauch'!I421</f>
        <v>166166958</v>
      </c>
      <c r="C1344" s="352">
        <f>'Anlage 3a_Zusammenfassung_KWKG'!C3081</f>
        <v>0</v>
      </c>
      <c r="D1344" s="854">
        <f t="shared" si="42"/>
        <v>166166958</v>
      </c>
      <c r="E1344" t="s">
        <v>1571</v>
      </c>
    </row>
    <row r="1345" spans="1:5" hidden="1" outlineLevel="2">
      <c r="A1345" s="853" t="str">
        <f>'Anlage 2a_Letztverbrauch'!A422</f>
        <v>SNB931823254809</v>
      </c>
      <c r="B1345" s="422">
        <f>+'Anlage 2a_Letztverbrauch'!I422</f>
        <v>24953831</v>
      </c>
      <c r="C1345" s="352">
        <f>'Anlage 3a_Zusammenfassung_KWKG'!C3082</f>
        <v>0</v>
      </c>
      <c r="D1345" s="854">
        <f t="shared" si="42"/>
        <v>24953831</v>
      </c>
      <c r="E1345" t="s">
        <v>1387</v>
      </c>
    </row>
    <row r="1346" spans="1:5" hidden="1" outlineLevel="2">
      <c r="A1346" s="853" t="str">
        <f>'Anlage 2a_Letztverbrauch'!A423</f>
        <v>SNB922811950100</v>
      </c>
      <c r="B1346" s="422">
        <f>+'Anlage 2a_Letztverbrauch'!I423</f>
        <v>386750658</v>
      </c>
      <c r="C1346" s="352">
        <f>'Anlage 3a_Zusammenfassung_KWKG'!C3083</f>
        <v>0</v>
      </c>
      <c r="D1346" s="854">
        <f t="shared" si="42"/>
        <v>386750658</v>
      </c>
      <c r="E1346" t="s">
        <v>1321</v>
      </c>
    </row>
    <row r="1347" spans="1:5" hidden="1" outlineLevel="2">
      <c r="A1347" s="853" t="str">
        <f>'Anlage 2a_Letztverbrauch'!A424</f>
        <v>SNB943984165313</v>
      </c>
      <c r="B1347" s="422">
        <f>+'Anlage 2a_Letztverbrauch'!I424</f>
        <v>27981153</v>
      </c>
      <c r="C1347" s="352">
        <f>'Anlage 3a_Zusammenfassung_KWKG'!C3084</f>
        <v>-4997</v>
      </c>
      <c r="D1347" s="854">
        <f t="shared" si="42"/>
        <v>27976156</v>
      </c>
      <c r="E1347" t="s">
        <v>1459</v>
      </c>
    </row>
    <row r="1348" spans="1:5" hidden="1" outlineLevel="2">
      <c r="A1348" s="853" t="str">
        <f>'Anlage 2a_Letztverbrauch'!A425</f>
        <v>SNB910882213224</v>
      </c>
      <c r="B1348" s="422">
        <f>+'Anlage 2a_Letztverbrauch'!I425</f>
        <v>28206434</v>
      </c>
      <c r="C1348" s="352">
        <f>'Anlage 3a_Zusammenfassung_KWKG'!C3085</f>
        <v>0</v>
      </c>
      <c r="D1348" s="854">
        <f t="shared" si="42"/>
        <v>28206434</v>
      </c>
      <c r="E1348" t="s">
        <v>1226</v>
      </c>
    </row>
    <row r="1349" spans="1:5" hidden="1" outlineLevel="2">
      <c r="A1349" s="853" t="str">
        <f>'Anlage 2a_Letztverbrauch'!A426</f>
        <v>SNB971770548286</v>
      </c>
      <c r="B1349" s="422">
        <f>+'Anlage 2a_Letztverbrauch'!I426</f>
        <v>41308580</v>
      </c>
      <c r="C1349" s="352">
        <f>'Anlage 3a_Zusammenfassung_KWKG'!C3086</f>
        <v>0</v>
      </c>
      <c r="D1349" s="854">
        <f t="shared" si="42"/>
        <v>41308580</v>
      </c>
      <c r="E1349" t="s">
        <v>1668</v>
      </c>
    </row>
    <row r="1350" spans="1:5" hidden="1" outlineLevel="2">
      <c r="A1350" s="853" t="str">
        <f>'Anlage 2a_Letztverbrauch'!A427</f>
        <v>SNB947092763157</v>
      </c>
      <c r="B1350" s="422">
        <f>+'Anlage 2a_Letztverbrauch'!I427</f>
        <v>53079898</v>
      </c>
      <c r="C1350" s="352">
        <f>'Anlage 3a_Zusammenfassung_KWKG'!C3087</f>
        <v>134455</v>
      </c>
      <c r="D1350" s="854">
        <f t="shared" si="42"/>
        <v>53214353</v>
      </c>
      <c r="E1350" t="s">
        <v>1485</v>
      </c>
    </row>
    <row r="1351" spans="1:5" hidden="1" outlineLevel="2">
      <c r="A1351" s="853" t="str">
        <f>'Anlage 2a_Letztverbrauch'!A428</f>
        <v>SNB916743652645</v>
      </c>
      <c r="B1351" s="422">
        <f>+'Anlage 2a_Letztverbrauch'!I428</f>
        <v>178350089.80000001</v>
      </c>
      <c r="C1351" s="352">
        <f>'Anlage 3a_Zusammenfassung_KWKG'!C3088</f>
        <v>435234.2</v>
      </c>
      <c r="D1351" s="854">
        <f t="shared" si="42"/>
        <v>178785324</v>
      </c>
      <c r="E1351" t="s">
        <v>1284</v>
      </c>
    </row>
    <row r="1352" spans="1:5" hidden="1" outlineLevel="2">
      <c r="A1352" s="853" t="str">
        <f>'Anlage 2a_Letztverbrauch'!A429</f>
        <v>SNB910956210043</v>
      </c>
      <c r="B1352" s="422">
        <f>+'Anlage 2a_Letztverbrauch'!I429</f>
        <v>196600076</v>
      </c>
      <c r="C1352" s="352">
        <f>'Anlage 3a_Zusammenfassung_KWKG'!C3089</f>
        <v>-11796</v>
      </c>
      <c r="D1352" s="854">
        <f t="shared" si="42"/>
        <v>196588280</v>
      </c>
      <c r="E1352" t="s">
        <v>1228</v>
      </c>
    </row>
    <row r="1353" spans="1:5" hidden="1" outlineLevel="2">
      <c r="A1353" s="853" t="str">
        <f>'Anlage 2a_Letztverbrauch'!A430</f>
        <v>SNB968646876970</v>
      </c>
      <c r="B1353" s="422">
        <f>+'Anlage 2a_Letztverbrauch'!I430</f>
        <v>60439153</v>
      </c>
      <c r="C1353" s="352">
        <f>'Anlage 3a_Zusammenfassung_KWKG'!C3090</f>
        <v>0</v>
      </c>
      <c r="D1353" s="854">
        <f t="shared" si="42"/>
        <v>60439153</v>
      </c>
      <c r="E1353" t="s">
        <v>1645</v>
      </c>
    </row>
    <row r="1354" spans="1:5" hidden="1" outlineLevel="2">
      <c r="A1354" s="853" t="str">
        <f>'Anlage 2a_Letztverbrauch'!A431</f>
        <v>SNB963795614626</v>
      </c>
      <c r="B1354" s="422">
        <f>+'Anlage 2a_Letztverbrauch'!I431</f>
        <v>38826725</v>
      </c>
      <c r="C1354" s="352">
        <f>'Anlage 3a_Zusammenfassung_KWKG'!C3091</f>
        <v>0</v>
      </c>
      <c r="D1354" s="854">
        <f t="shared" si="42"/>
        <v>38826725</v>
      </c>
      <c r="E1354" t="s">
        <v>1599</v>
      </c>
    </row>
    <row r="1355" spans="1:5" hidden="1" outlineLevel="2">
      <c r="A1355" s="853" t="str">
        <f>'Anlage 2a_Letztverbrauch'!A432</f>
        <v>SNB957632855181</v>
      </c>
      <c r="B1355" s="422">
        <f>+'Anlage 2a_Letztverbrauch'!I432</f>
        <v>187140187</v>
      </c>
      <c r="C1355" s="352">
        <f>'Anlage 3a_Zusammenfassung_KWKG'!C3092</f>
        <v>224269</v>
      </c>
      <c r="D1355" s="854">
        <f t="shared" si="42"/>
        <v>187364456</v>
      </c>
      <c r="E1355" t="s">
        <v>1557</v>
      </c>
    </row>
    <row r="1356" spans="1:5" hidden="1" outlineLevel="2">
      <c r="A1356" s="853" t="str">
        <f>'Anlage 2a_Letztverbrauch'!A433</f>
        <v>SNB967068117678</v>
      </c>
      <c r="B1356" s="422">
        <f>+'Anlage 2a_Letztverbrauch'!I433</f>
        <v>7041169</v>
      </c>
      <c r="C1356" s="352">
        <f>'Anlage 3a_Zusammenfassung_KWKG'!C3093</f>
        <v>7709</v>
      </c>
      <c r="D1356" s="854">
        <f t="shared" si="42"/>
        <v>7048878</v>
      </c>
      <c r="E1356" t="s">
        <v>1627</v>
      </c>
    </row>
    <row r="1357" spans="1:5" hidden="1" outlineLevel="2">
      <c r="A1357" s="853" t="str">
        <f>'Anlage 2a_Letztverbrauch'!A434</f>
        <v>SNB972153058149</v>
      </c>
      <c r="B1357" s="422">
        <f>+'Anlage 2a_Letztverbrauch'!I434</f>
        <v>101539118</v>
      </c>
      <c r="C1357" s="352">
        <f>'Anlage 3a_Zusammenfassung_KWKG'!C3094</f>
        <v>0</v>
      </c>
      <c r="D1357" s="854">
        <f t="shared" si="42"/>
        <v>101539118</v>
      </c>
      <c r="E1357" t="s">
        <v>1670</v>
      </c>
    </row>
    <row r="1358" spans="1:5" hidden="1" outlineLevel="2">
      <c r="A1358" s="853" t="str">
        <f>'Anlage 2a_Letztverbrauch'!A435</f>
        <v>SNB983546347757</v>
      </c>
      <c r="B1358" s="422">
        <f>+'Anlage 2a_Letztverbrauch'!I435</f>
        <v>128273556</v>
      </c>
      <c r="C1358" s="352">
        <f>'Anlage 3a_Zusammenfassung_KWKG'!C3095</f>
        <v>8002297</v>
      </c>
      <c r="D1358" s="854">
        <f t="shared" si="42"/>
        <v>136275853</v>
      </c>
      <c r="E1358" t="s">
        <v>1759</v>
      </c>
    </row>
    <row r="1359" spans="1:5" hidden="1" outlineLevel="2">
      <c r="A1359" s="853" t="str">
        <f>'Anlage 2a_Letztverbrauch'!A436</f>
        <v>SNB951232597106</v>
      </c>
      <c r="B1359" s="422">
        <f>+'Anlage 2a_Letztverbrauch'!I436</f>
        <v>28589435</v>
      </c>
      <c r="C1359" s="352">
        <f>'Anlage 3a_Zusammenfassung_KWKG'!C3096</f>
        <v>-88176</v>
      </c>
      <c r="D1359" s="854">
        <f t="shared" si="42"/>
        <v>28501259</v>
      </c>
      <c r="E1359" t="s">
        <v>2196</v>
      </c>
    </row>
    <row r="1360" spans="1:5" hidden="1" outlineLevel="2">
      <c r="A1360" s="853" t="str">
        <f>'Anlage 2a_Letztverbrauch'!A437</f>
        <v>SNB979202870318</v>
      </c>
      <c r="B1360" s="422">
        <f>+'Anlage 2a_Letztverbrauch'!I437</f>
        <v>46586220</v>
      </c>
      <c r="C1360" s="352">
        <f>'Anlage 3a_Zusammenfassung_KWKG'!C3097</f>
        <v>0</v>
      </c>
      <c r="D1360" s="854">
        <f t="shared" ref="D1360:D1423" si="43">SUM(B1360:C1360)</f>
        <v>46586220</v>
      </c>
      <c r="E1360" t="s">
        <v>1723</v>
      </c>
    </row>
    <row r="1361" spans="1:5" hidden="1" outlineLevel="2">
      <c r="A1361" s="853" t="str">
        <f>'Anlage 2a_Letztverbrauch'!A438</f>
        <v>SNB948413721931</v>
      </c>
      <c r="B1361" s="422">
        <f>+'Anlage 2a_Letztverbrauch'!I438</f>
        <v>177358195.60299999</v>
      </c>
      <c r="C1361" s="352">
        <f>'Anlage 3a_Zusammenfassung_KWKG'!C3098</f>
        <v>0</v>
      </c>
      <c r="D1361" s="854">
        <f t="shared" si="43"/>
        <v>177358195.60299999</v>
      </c>
      <c r="E1361" t="s">
        <v>1497</v>
      </c>
    </row>
    <row r="1362" spans="1:5" hidden="1" outlineLevel="2">
      <c r="A1362" s="853" t="str">
        <f>'Anlage 2a_Letztverbrauch'!A439</f>
        <v>SNB911696239035</v>
      </c>
      <c r="B1362" s="422">
        <f>+'Anlage 2a_Letztverbrauch'!I439</f>
        <v>187883510</v>
      </c>
      <c r="C1362" s="352">
        <f>'Anlage 3a_Zusammenfassung_KWKG'!C3099</f>
        <v>722173</v>
      </c>
      <c r="D1362" s="854">
        <f t="shared" si="43"/>
        <v>188605683</v>
      </c>
      <c r="E1362" t="s">
        <v>1237</v>
      </c>
    </row>
    <row r="1363" spans="1:5" hidden="1" outlineLevel="2">
      <c r="A1363" s="853" t="str">
        <f>'Anlage 2a_Letztverbrauch'!A440</f>
        <v>SNB927574397889</v>
      </c>
      <c r="B1363" s="422">
        <f>+'Anlage 2a_Letztverbrauch'!I440</f>
        <v>71993902</v>
      </c>
      <c r="C1363" s="352">
        <f>'Anlage 3a_Zusammenfassung_KWKG'!C3100</f>
        <v>0</v>
      </c>
      <c r="D1363" s="854">
        <f t="shared" si="43"/>
        <v>71993902</v>
      </c>
      <c r="E1363" t="s">
        <v>1349</v>
      </c>
    </row>
    <row r="1364" spans="1:5" hidden="1" outlineLevel="2">
      <c r="A1364" s="853" t="str">
        <f>'Anlage 2a_Letztverbrauch'!A441</f>
        <v>SNB991797615686</v>
      </c>
      <c r="B1364" s="422">
        <f>+'Anlage 2a_Letztverbrauch'!I441</f>
        <v>145019427</v>
      </c>
      <c r="C1364" s="352">
        <f>'Anlage 3a_Zusammenfassung_KWKG'!C3101</f>
        <v>0</v>
      </c>
      <c r="D1364" s="854">
        <f t="shared" si="43"/>
        <v>145019427</v>
      </c>
      <c r="E1364" t="s">
        <v>1815</v>
      </c>
    </row>
    <row r="1365" spans="1:5" hidden="1" outlineLevel="2">
      <c r="A1365" s="853" t="str">
        <f>'Anlage 2a_Letztverbrauch'!A442</f>
        <v>SNB911960309587</v>
      </c>
      <c r="B1365" s="422">
        <f>+'Anlage 2a_Letztverbrauch'!I442</f>
        <v>458170550</v>
      </c>
      <c r="C1365" s="352">
        <f>'Anlage 3a_Zusammenfassung_KWKG'!C3102</f>
        <v>-8112582.4619999994</v>
      </c>
      <c r="D1365" s="854">
        <f t="shared" si="43"/>
        <v>450057967.53799999</v>
      </c>
      <c r="E1365" t="s">
        <v>1241</v>
      </c>
    </row>
    <row r="1366" spans="1:5" hidden="1" outlineLevel="2">
      <c r="A1366" s="853" t="str">
        <f>'Anlage 2a_Letztverbrauch'!A443</f>
        <v>SNB935626894156</v>
      </c>
      <c r="B1366" s="422">
        <f>+'Anlage 2a_Letztverbrauch'!I443</f>
        <v>16305874</v>
      </c>
      <c r="C1366" s="352">
        <f>'Anlage 3a_Zusammenfassung_KWKG'!C3103</f>
        <v>280342</v>
      </c>
      <c r="D1366" s="854">
        <f t="shared" si="43"/>
        <v>16586216</v>
      </c>
      <c r="E1366" t="s">
        <v>1405</v>
      </c>
    </row>
    <row r="1367" spans="1:5" hidden="1" outlineLevel="2">
      <c r="A1367" s="853" t="str">
        <f>'Anlage 2a_Letztverbrauch'!A444</f>
        <v>SNB960882503184</v>
      </c>
      <c r="B1367" s="422">
        <f>+'Anlage 2a_Letztverbrauch'!I444</f>
        <v>114938905</v>
      </c>
      <c r="C1367" s="352">
        <f>'Anlage 3a_Zusammenfassung_KWKG'!C3104</f>
        <v>0</v>
      </c>
      <c r="D1367" s="854">
        <f t="shared" si="43"/>
        <v>114938905</v>
      </c>
      <c r="E1367" t="s">
        <v>1585</v>
      </c>
    </row>
    <row r="1368" spans="1:5" hidden="1" outlineLevel="2">
      <c r="A1368" s="853" t="str">
        <f>'Anlage 2a_Letztverbrauch'!A445</f>
        <v>SNB939428749966</v>
      </c>
      <c r="B1368" s="422">
        <f>+'Anlage 2a_Letztverbrauch'!I445</f>
        <v>13898514</v>
      </c>
      <c r="C1368" s="352">
        <f>'Anlage 3a_Zusammenfassung_KWKG'!C3105</f>
        <v>0</v>
      </c>
      <c r="D1368" s="854">
        <f t="shared" si="43"/>
        <v>13898514</v>
      </c>
      <c r="E1368" t="s">
        <v>1421</v>
      </c>
    </row>
    <row r="1369" spans="1:5" hidden="1" outlineLevel="2">
      <c r="A1369" s="853" t="str">
        <f>'Anlage 2a_Letztverbrauch'!A446</f>
        <v>SNB941183960449</v>
      </c>
      <c r="B1369" s="422">
        <f>+'Anlage 2a_Letztverbrauch'!I446</f>
        <v>138982629</v>
      </c>
      <c r="C1369" s="352">
        <f>'Anlage 3a_Zusammenfassung_KWKG'!C3106</f>
        <v>0</v>
      </c>
      <c r="D1369" s="854">
        <f t="shared" si="43"/>
        <v>138982629</v>
      </c>
      <c r="E1369" t="s">
        <v>1439</v>
      </c>
    </row>
    <row r="1370" spans="1:5" hidden="1" outlineLevel="2">
      <c r="A1370" s="853" t="str">
        <f>'Anlage 2a_Letztverbrauch'!A447</f>
        <v>SNB949646353012</v>
      </c>
      <c r="B1370" s="422">
        <f>+'Anlage 2a_Letztverbrauch'!I447</f>
        <v>455168438.34600002</v>
      </c>
      <c r="C1370" s="352">
        <f>'Anlage 3a_Zusammenfassung_KWKG'!C3107</f>
        <v>0</v>
      </c>
      <c r="D1370" s="854">
        <f t="shared" si="43"/>
        <v>455168438.34600002</v>
      </c>
      <c r="E1370" t="s">
        <v>1505</v>
      </c>
    </row>
    <row r="1371" spans="1:5" hidden="1" outlineLevel="2">
      <c r="A1371" s="853" t="str">
        <f>'Anlage 2a_Letztverbrauch'!A448</f>
        <v>SNB916328839515</v>
      </c>
      <c r="B1371" s="422">
        <f>+'Anlage 2a_Letztverbrauch'!I448</f>
        <v>11384606</v>
      </c>
      <c r="C1371" s="352">
        <f>'Anlage 3a_Zusammenfassung_KWKG'!C3108</f>
        <v>0</v>
      </c>
      <c r="D1371" s="854">
        <f t="shared" si="43"/>
        <v>11384606</v>
      </c>
      <c r="E1371" t="s">
        <v>1276</v>
      </c>
    </row>
    <row r="1372" spans="1:5" hidden="1" outlineLevel="2">
      <c r="A1372" s="853" t="str">
        <f>'Anlage 2a_Letztverbrauch'!A449</f>
        <v>SNB958337664054</v>
      </c>
      <c r="B1372" s="422">
        <f>+'Anlage 2a_Letztverbrauch'!I449</f>
        <v>2350855</v>
      </c>
      <c r="C1372" s="352">
        <f>'Anlage 3a_Zusammenfassung_KWKG'!C3109</f>
        <v>0</v>
      </c>
      <c r="D1372" s="854">
        <f t="shared" si="43"/>
        <v>2350855</v>
      </c>
      <c r="E1372" t="s">
        <v>1563</v>
      </c>
    </row>
    <row r="1373" spans="1:5" hidden="1" outlineLevel="2">
      <c r="A1373" s="853" t="str">
        <f>'Anlage 2a_Letztverbrauch'!A450</f>
        <v>SNB955872978110</v>
      </c>
      <c r="B1373" s="422">
        <f>+'Anlage 2a_Letztverbrauch'!I450</f>
        <v>5787854</v>
      </c>
      <c r="C1373" s="352">
        <f>'Anlage 3a_Zusammenfassung_KWKG'!C3110</f>
        <v>0</v>
      </c>
      <c r="D1373" s="854">
        <f t="shared" si="43"/>
        <v>5787854</v>
      </c>
      <c r="E1373" t="s">
        <v>2198</v>
      </c>
    </row>
    <row r="1374" spans="1:5" hidden="1" outlineLevel="2">
      <c r="A1374" s="853" t="str">
        <f>'Anlage 2a_Letztverbrauch'!A451</f>
        <v>SNB977206503256</v>
      </c>
      <c r="B1374" s="422">
        <f>+'Anlage 2a_Letztverbrauch'!I451</f>
        <v>227105740</v>
      </c>
      <c r="C1374" s="352">
        <f>'Anlage 3a_Zusammenfassung_KWKG'!C3111</f>
        <v>-1659398</v>
      </c>
      <c r="D1374" s="854">
        <f t="shared" si="43"/>
        <v>225446342</v>
      </c>
      <c r="E1374" t="s">
        <v>1707</v>
      </c>
    </row>
    <row r="1375" spans="1:5" hidden="1" outlineLevel="2">
      <c r="A1375" s="853" t="str">
        <f>'Anlage 2a_Letztverbrauch'!A452</f>
        <v>SNB943571241628</v>
      </c>
      <c r="B1375" s="422">
        <f>+'Anlage 2a_Letztverbrauch'!I452</f>
        <v>100098053.34999999</v>
      </c>
      <c r="C1375" s="352">
        <f>'Anlage 3a_Zusammenfassung_KWKG'!C3112</f>
        <v>68152.44</v>
      </c>
      <c r="D1375" s="854">
        <f t="shared" si="43"/>
        <v>100166205.78999999</v>
      </c>
      <c r="E1375" t="s">
        <v>1455</v>
      </c>
    </row>
    <row r="1376" spans="1:5" hidden="1" outlineLevel="2">
      <c r="A1376" s="853" t="str">
        <f>'Anlage 2a_Letztverbrauch'!A453</f>
        <v>SNB937406641264</v>
      </c>
      <c r="B1376" s="422">
        <f>+'Anlage 2a_Letztverbrauch'!I453</f>
        <v>205159897</v>
      </c>
      <c r="C1376" s="352">
        <f>'Anlage 3a_Zusammenfassung_KWKG'!C3113</f>
        <v>0</v>
      </c>
      <c r="D1376" s="854">
        <f t="shared" si="43"/>
        <v>205159897</v>
      </c>
      <c r="E1376" t="s">
        <v>1413</v>
      </c>
    </row>
    <row r="1377" spans="1:5" hidden="1" outlineLevel="2">
      <c r="A1377" s="853" t="str">
        <f>'Anlage 2a_Letztverbrauch'!A454</f>
        <v>SNB956377097702</v>
      </c>
      <c r="B1377" s="422">
        <f>+'Anlage 2a_Letztverbrauch'!I454</f>
        <v>21488089</v>
      </c>
      <c r="C1377" s="352">
        <f>'Anlage 3a_Zusammenfassung_KWKG'!C3114</f>
        <v>-127211</v>
      </c>
      <c r="D1377" s="854">
        <f t="shared" si="43"/>
        <v>21360878</v>
      </c>
      <c r="E1377" t="s">
        <v>1549</v>
      </c>
    </row>
    <row r="1378" spans="1:5" hidden="1" outlineLevel="2">
      <c r="A1378" s="853" t="str">
        <f>'Anlage 2a_Letztverbrauch'!A455</f>
        <v>SNB970033313272</v>
      </c>
      <c r="B1378" s="422">
        <f>+'Anlage 2a_Letztverbrauch'!I455</f>
        <v>1429193676</v>
      </c>
      <c r="C1378" s="352">
        <f>'Anlage 3a_Zusammenfassung_KWKG'!C3115</f>
        <v>5315437</v>
      </c>
      <c r="D1378" s="854">
        <f t="shared" si="43"/>
        <v>1434509113</v>
      </c>
      <c r="E1378" t="s">
        <v>1657</v>
      </c>
    </row>
    <row r="1379" spans="1:5" hidden="1" outlineLevel="2">
      <c r="A1379" s="853" t="str">
        <f>'Anlage 2a_Letztverbrauch'!A456</f>
        <v>SNB906862380628</v>
      </c>
      <c r="B1379" s="422">
        <f>+'Anlage 2a_Letztverbrauch'!I456</f>
        <v>572831968.51499999</v>
      </c>
      <c r="C1379" s="352">
        <f>'Anlage 3a_Zusammenfassung_KWKG'!C3116</f>
        <v>-9887871.756000001</v>
      </c>
      <c r="D1379" s="854">
        <f t="shared" si="43"/>
        <v>562944096.75899994</v>
      </c>
      <c r="E1379" t="s">
        <v>1222</v>
      </c>
    </row>
    <row r="1380" spans="1:5" hidden="1" outlineLevel="2">
      <c r="A1380" s="853" t="str">
        <f>'Anlage 2a_Letztverbrauch'!A457</f>
        <v>SNB929383206369</v>
      </c>
      <c r="B1380" s="422">
        <f>+'Anlage 2a_Letztverbrauch'!I457</f>
        <v>33437483</v>
      </c>
      <c r="C1380" s="352">
        <f>'Anlage 3a_Zusammenfassung_KWKG'!C3117</f>
        <v>8348</v>
      </c>
      <c r="D1380" s="854">
        <f t="shared" si="43"/>
        <v>33445831</v>
      </c>
      <c r="E1380" t="s">
        <v>1367</v>
      </c>
    </row>
    <row r="1381" spans="1:5" hidden="1" outlineLevel="2">
      <c r="A1381" s="853" t="str">
        <f>'Anlage 2a_Letztverbrauch'!A458</f>
        <v>SNB965315499379</v>
      </c>
      <c r="B1381" s="422">
        <f>+'Anlage 2a_Letztverbrauch'!I458</f>
        <v>47273310.850000001</v>
      </c>
      <c r="C1381" s="352">
        <f>'Anlage 3a_Zusammenfassung_KWKG'!C3118</f>
        <v>0</v>
      </c>
      <c r="D1381" s="854">
        <f t="shared" si="43"/>
        <v>47273310.850000001</v>
      </c>
      <c r="E1381" t="s">
        <v>1611</v>
      </c>
    </row>
    <row r="1382" spans="1:5" hidden="1" outlineLevel="2">
      <c r="A1382" s="853" t="str">
        <f>'Anlage 2a_Letztverbrauch'!A459</f>
        <v>SNB946115797155</v>
      </c>
      <c r="B1382" s="422">
        <f>+'Anlage 2a_Letztverbrauch'!I459</f>
        <v>15048294</v>
      </c>
      <c r="C1382" s="352">
        <f>'Anlage 3a_Zusammenfassung_KWKG'!C3119</f>
        <v>0</v>
      </c>
      <c r="D1382" s="854">
        <f t="shared" si="43"/>
        <v>15048294</v>
      </c>
      <c r="E1382" t="s">
        <v>1475</v>
      </c>
    </row>
    <row r="1383" spans="1:5" hidden="1" outlineLevel="2">
      <c r="A1383" s="853" t="str">
        <f>'Anlage 2a_Letztverbrauch'!A460</f>
        <v>SNB936940951426</v>
      </c>
      <c r="B1383" s="422">
        <f>+'Anlage 2a_Letztverbrauch'!I460</f>
        <v>273133847</v>
      </c>
      <c r="C1383" s="352">
        <f>'Anlage 3a_Zusammenfassung_KWKG'!C3120</f>
        <v>-204149</v>
      </c>
      <c r="D1383" s="854">
        <f t="shared" si="43"/>
        <v>272929698</v>
      </c>
      <c r="E1383" t="s">
        <v>581</v>
      </c>
    </row>
    <row r="1384" spans="1:5" hidden="1" outlineLevel="2">
      <c r="A1384" s="853" t="str">
        <f>'Anlage 2a_Letztverbrauch'!A461</f>
        <v>SNB962996832648</v>
      </c>
      <c r="B1384" s="422">
        <f>+'Anlage 2a_Letztverbrauch'!I461</f>
        <v>119006163</v>
      </c>
      <c r="C1384" s="352">
        <f>'Anlage 3a_Zusammenfassung_KWKG'!C3121</f>
        <v>375342</v>
      </c>
      <c r="D1384" s="854">
        <f t="shared" si="43"/>
        <v>119381505</v>
      </c>
      <c r="E1384" t="s">
        <v>1593</v>
      </c>
    </row>
    <row r="1385" spans="1:5" hidden="1" outlineLevel="2">
      <c r="A1385" s="853" t="str">
        <f>'Anlage 2a_Letztverbrauch'!A462</f>
        <v>SNB988769717073</v>
      </c>
      <c r="B1385" s="422">
        <f>+'Anlage 2a_Letztverbrauch'!I462</f>
        <v>35456182.869999997</v>
      </c>
      <c r="C1385" s="352">
        <f>'Anlage 3a_Zusammenfassung_KWKG'!C3122</f>
        <v>0</v>
      </c>
      <c r="D1385" s="854">
        <f t="shared" si="43"/>
        <v>35456182.869999997</v>
      </c>
      <c r="E1385" t="s">
        <v>1793</v>
      </c>
    </row>
    <row r="1386" spans="1:5" hidden="1" outlineLevel="2">
      <c r="A1386" s="853" t="str">
        <f>'Anlage 2a_Letztverbrauch'!A463</f>
        <v>SNB924120395771</v>
      </c>
      <c r="B1386" s="422">
        <f>+'Anlage 2a_Letztverbrauch'!I463</f>
        <v>11189983</v>
      </c>
      <c r="C1386" s="352">
        <f>'Anlage 3a_Zusammenfassung_KWKG'!C3123</f>
        <v>5675</v>
      </c>
      <c r="D1386" s="854">
        <f t="shared" si="43"/>
        <v>11195658</v>
      </c>
      <c r="E1386" t="s">
        <v>1323</v>
      </c>
    </row>
    <row r="1387" spans="1:5" hidden="1" outlineLevel="2">
      <c r="A1387" s="853" t="str">
        <f>'Anlage 2a_Letztverbrauch'!A464</f>
        <v>SNB965813404431</v>
      </c>
      <c r="B1387" s="422">
        <f>+'Anlage 2a_Letztverbrauch'!I464</f>
        <v>23840338</v>
      </c>
      <c r="C1387" s="352">
        <f>'Anlage 3a_Zusammenfassung_KWKG'!C3124</f>
        <v>-374212</v>
      </c>
      <c r="D1387" s="854">
        <f t="shared" si="43"/>
        <v>23466126</v>
      </c>
      <c r="E1387" t="s">
        <v>1619</v>
      </c>
    </row>
    <row r="1388" spans="1:5" hidden="1" outlineLevel="2">
      <c r="A1388" s="853" t="str">
        <f>'Anlage 2a_Letztverbrauch'!A465</f>
        <v>SNB990562890006</v>
      </c>
      <c r="B1388" s="422">
        <f>+'Anlage 2a_Letztverbrauch'!I465</f>
        <v>61722346</v>
      </c>
      <c r="C1388" s="352">
        <f>'Anlage 3a_Zusammenfassung_KWKG'!C3125</f>
        <v>0</v>
      </c>
      <c r="D1388" s="854">
        <f t="shared" si="43"/>
        <v>61722346</v>
      </c>
      <c r="E1388" t="s">
        <v>2199</v>
      </c>
    </row>
    <row r="1389" spans="1:5" hidden="1" outlineLevel="2">
      <c r="A1389" s="853" t="str">
        <f>'Anlage 2a_Letztverbrauch'!A466</f>
        <v>SNB926119738552</v>
      </c>
      <c r="B1389" s="422">
        <f>+'Anlage 2a_Letztverbrauch'!I466</f>
        <v>126456129</v>
      </c>
      <c r="C1389" s="352">
        <f>'Anlage 3a_Zusammenfassung_KWKG'!C3126</f>
        <v>0</v>
      </c>
      <c r="D1389" s="854">
        <f t="shared" si="43"/>
        <v>126456129</v>
      </c>
      <c r="E1389" t="s">
        <v>1343</v>
      </c>
    </row>
    <row r="1390" spans="1:5" hidden="1" outlineLevel="2">
      <c r="A1390" s="853" t="str">
        <f>'Anlage 2a_Letztverbrauch'!A467</f>
        <v>SNB925878615876</v>
      </c>
      <c r="B1390" s="422">
        <f>+'Anlage 2a_Letztverbrauch'!I467</f>
        <v>35787459</v>
      </c>
      <c r="C1390" s="352">
        <f>'Anlage 3a_Zusammenfassung_KWKG'!C3127</f>
        <v>0</v>
      </c>
      <c r="D1390" s="854">
        <f t="shared" si="43"/>
        <v>35787459</v>
      </c>
      <c r="E1390" t="s">
        <v>1341</v>
      </c>
    </row>
    <row r="1391" spans="1:5" hidden="1" outlineLevel="2">
      <c r="A1391" s="853" t="str">
        <f>'Anlage 2a_Letztverbrauch'!A468</f>
        <v>SNB924409922308</v>
      </c>
      <c r="B1391" s="422">
        <f>+'Anlage 2a_Letztverbrauch'!I468</f>
        <v>97423495.465000004</v>
      </c>
      <c r="C1391" s="352">
        <f>'Anlage 3a_Zusammenfassung_KWKG'!C3128</f>
        <v>-294158</v>
      </c>
      <c r="D1391" s="854">
        <f t="shared" si="43"/>
        <v>97129337.465000004</v>
      </c>
      <c r="E1391" t="s">
        <v>1327</v>
      </c>
    </row>
    <row r="1392" spans="1:5" hidden="1" outlineLevel="2">
      <c r="A1392" s="853" t="str">
        <f>'Anlage 2a_Letztverbrauch'!A469</f>
        <v>SNB930423383254</v>
      </c>
      <c r="B1392" s="422">
        <f>+'Anlage 2a_Letztverbrauch'!I469</f>
        <v>112019162</v>
      </c>
      <c r="C1392" s="352">
        <f>'Anlage 3a_Zusammenfassung_KWKG'!C3129</f>
        <v>0</v>
      </c>
      <c r="D1392" s="854">
        <f t="shared" si="43"/>
        <v>112019162</v>
      </c>
      <c r="E1392" t="s">
        <v>1377</v>
      </c>
    </row>
    <row r="1393" spans="1:5" hidden="1" outlineLevel="2">
      <c r="A1393" s="853" t="str">
        <f>'Anlage 2a_Letztverbrauch'!A470</f>
        <v>SNB967075358620</v>
      </c>
      <c r="B1393" s="422">
        <f>+'Anlage 2a_Letztverbrauch'!I470</f>
        <v>131704312</v>
      </c>
      <c r="C1393" s="352">
        <f>'Anlage 3a_Zusammenfassung_KWKG'!C3130</f>
        <v>1501796</v>
      </c>
      <c r="D1393" s="854">
        <f t="shared" si="43"/>
        <v>133206108</v>
      </c>
      <c r="E1393" t="s">
        <v>1629</v>
      </c>
    </row>
    <row r="1394" spans="1:5" hidden="1" outlineLevel="2">
      <c r="A1394" s="853" t="str">
        <f>'Anlage 2a_Letztverbrauch'!A471</f>
        <v>SNB945322307522</v>
      </c>
      <c r="B1394" s="422">
        <f>+'Anlage 2a_Letztverbrauch'!I471</f>
        <v>5144942.3099999996</v>
      </c>
      <c r="C1394" s="352">
        <f>'Anlage 3a_Zusammenfassung_KWKG'!C3131</f>
        <v>0</v>
      </c>
      <c r="D1394" s="854">
        <f t="shared" si="43"/>
        <v>5144942.3099999996</v>
      </c>
      <c r="E1394" t="s">
        <v>2201</v>
      </c>
    </row>
    <row r="1395" spans="1:5" hidden="1" outlineLevel="2">
      <c r="A1395" s="853" t="str">
        <f>'Anlage 2a_Letztverbrauch'!A472</f>
        <v>SNB917625393281</v>
      </c>
      <c r="B1395" s="422">
        <f>+'Anlage 2a_Letztverbrauch'!I472</f>
        <v>261491358</v>
      </c>
      <c r="C1395" s="352">
        <f>'Anlage 3a_Zusammenfassung_KWKG'!C3132</f>
        <v>0</v>
      </c>
      <c r="D1395" s="854">
        <f t="shared" si="43"/>
        <v>261491358</v>
      </c>
      <c r="E1395" t="s">
        <v>1294</v>
      </c>
    </row>
    <row r="1396" spans="1:5" hidden="1" outlineLevel="2">
      <c r="A1396" s="853" t="str">
        <f>'Anlage 2a_Letztverbrauch'!A473</f>
        <v>SNB962736090291</v>
      </c>
      <c r="B1396" s="422">
        <f>+'Anlage 2a_Letztverbrauch'!I473</f>
        <v>16539706</v>
      </c>
      <c r="C1396" s="352">
        <f>'Anlage 3a_Zusammenfassung_KWKG'!C3133</f>
        <v>-24900</v>
      </c>
      <c r="D1396" s="854">
        <f t="shared" si="43"/>
        <v>16514806</v>
      </c>
      <c r="E1396" t="s">
        <v>1591</v>
      </c>
    </row>
    <row r="1397" spans="1:5" hidden="1" outlineLevel="2">
      <c r="A1397" s="853" t="str">
        <f>'Anlage 2a_Letztverbrauch'!A474</f>
        <v>SNB944723161733</v>
      </c>
      <c r="B1397" s="422">
        <f>+'Anlage 2a_Letztverbrauch'!I474</f>
        <v>45628277</v>
      </c>
      <c r="C1397" s="352">
        <f>'Anlage 3a_Zusammenfassung_KWKG'!C3134</f>
        <v>0</v>
      </c>
      <c r="D1397" s="854">
        <f t="shared" si="43"/>
        <v>45628277</v>
      </c>
      <c r="E1397" t="s">
        <v>1465</v>
      </c>
    </row>
    <row r="1398" spans="1:5" hidden="1" outlineLevel="2">
      <c r="A1398" s="853" t="str">
        <f>'Anlage 2a_Letztverbrauch'!A475</f>
        <v>SNB968325295962</v>
      </c>
      <c r="B1398" s="422">
        <f>+'Anlage 2a_Letztverbrauch'!I475</f>
        <v>6468775</v>
      </c>
      <c r="C1398" s="352">
        <f>'Anlage 3a_Zusammenfassung_KWKG'!C3135</f>
        <v>0</v>
      </c>
      <c r="D1398" s="854">
        <f t="shared" si="43"/>
        <v>6468775</v>
      </c>
      <c r="E1398" t="s">
        <v>2203</v>
      </c>
    </row>
    <row r="1399" spans="1:5" hidden="1" outlineLevel="2">
      <c r="A1399" s="853" t="str">
        <f>'Anlage 2a_Letztverbrauch'!A476</f>
        <v>SNB962006136537</v>
      </c>
      <c r="B1399" s="422">
        <f>+'Anlage 2a_Letztverbrauch'!I476</f>
        <v>26326187</v>
      </c>
      <c r="C1399" s="352">
        <f>'Anlage 3a_Zusammenfassung_KWKG'!C3136</f>
        <v>0</v>
      </c>
      <c r="D1399" s="854">
        <f t="shared" si="43"/>
        <v>26326187</v>
      </c>
      <c r="E1399" t="s">
        <v>1587</v>
      </c>
    </row>
    <row r="1400" spans="1:5" hidden="1" outlineLevel="2">
      <c r="A1400" s="853" t="str">
        <f>'Anlage 2a_Letztverbrauch'!A477</f>
        <v>SNB911347846643</v>
      </c>
      <c r="B1400" s="422">
        <f>+'Anlage 2a_Letztverbrauch'!I477</f>
        <v>504967552</v>
      </c>
      <c r="C1400" s="352">
        <f>'Anlage 3a_Zusammenfassung_KWKG'!C3137</f>
        <v>0</v>
      </c>
      <c r="D1400" s="854">
        <f t="shared" si="43"/>
        <v>504967552</v>
      </c>
      <c r="E1400" t="s">
        <v>1233</v>
      </c>
    </row>
    <row r="1401" spans="1:5" hidden="1" outlineLevel="2">
      <c r="A1401" s="853" t="str">
        <f>'Anlage 2a_Letztverbrauch'!A478</f>
        <v>SNB941929592729</v>
      </c>
      <c r="B1401" s="422">
        <f>+'Anlage 2a_Letztverbrauch'!I478</f>
        <v>911256968</v>
      </c>
      <c r="C1401" s="352">
        <f>'Anlage 3a_Zusammenfassung_KWKG'!C3138</f>
        <v>-4388123</v>
      </c>
      <c r="D1401" s="854">
        <f t="shared" si="43"/>
        <v>906868845</v>
      </c>
      <c r="E1401" t="s">
        <v>1445</v>
      </c>
    </row>
    <row r="1402" spans="1:5" hidden="1" outlineLevel="2">
      <c r="A1402" s="853" t="str">
        <f>'Anlage 2a_Letztverbrauch'!A479</f>
        <v>SNB913576376151</v>
      </c>
      <c r="B1402" s="422">
        <f>+'Anlage 2a_Letztverbrauch'!I479</f>
        <v>108809197</v>
      </c>
      <c r="C1402" s="352">
        <f>'Anlage 3a_Zusammenfassung_KWKG'!C3139</f>
        <v>1301866.6199999999</v>
      </c>
      <c r="D1402" s="854">
        <f t="shared" si="43"/>
        <v>110111063.62</v>
      </c>
      <c r="E1402" t="s">
        <v>1249</v>
      </c>
    </row>
    <row r="1403" spans="1:5" hidden="1" outlineLevel="2">
      <c r="A1403" s="853" t="str">
        <f>'Anlage 2a_Letztverbrauch'!A480</f>
        <v>SNB972740218178</v>
      </c>
      <c r="B1403" s="422">
        <f>+'Anlage 2a_Letztverbrauch'!I480</f>
        <v>290900313</v>
      </c>
      <c r="C1403" s="352">
        <f>'Anlage 3a_Zusammenfassung_KWKG'!C3140</f>
        <v>0</v>
      </c>
      <c r="D1403" s="854">
        <f t="shared" si="43"/>
        <v>290900313</v>
      </c>
      <c r="E1403" t="s">
        <v>1676</v>
      </c>
    </row>
    <row r="1404" spans="1:5" hidden="1" outlineLevel="2">
      <c r="A1404" s="853" t="str">
        <f>'Anlage 2a_Letztverbrauch'!A481</f>
        <v>SNB954662803168</v>
      </c>
      <c r="B1404" s="422">
        <f>+'Anlage 2a_Letztverbrauch'!I481</f>
        <v>21417615</v>
      </c>
      <c r="C1404" s="352">
        <f>'Anlage 3a_Zusammenfassung_KWKG'!C3141</f>
        <v>143429</v>
      </c>
      <c r="D1404" s="854">
        <f t="shared" si="43"/>
        <v>21561044</v>
      </c>
      <c r="E1404" t="s">
        <v>1537</v>
      </c>
    </row>
    <row r="1405" spans="1:5" hidden="1" outlineLevel="2">
      <c r="A1405" s="853" t="str">
        <f>'Anlage 2a_Letztverbrauch'!A482</f>
        <v>SNB930312838582</v>
      </c>
      <c r="B1405" s="422">
        <f>+'Anlage 2a_Letztverbrauch'!I482</f>
        <v>81358310.488000005</v>
      </c>
      <c r="C1405" s="352">
        <f>'Anlage 3a_Zusammenfassung_KWKG'!C3142</f>
        <v>1346822</v>
      </c>
      <c r="D1405" s="854">
        <f t="shared" si="43"/>
        <v>82705132.488000005</v>
      </c>
      <c r="E1405" t="s">
        <v>1375</v>
      </c>
    </row>
    <row r="1406" spans="1:5" hidden="1" outlineLevel="2">
      <c r="A1406" s="853" t="str">
        <f>'Anlage 2a_Letztverbrauch'!A483</f>
        <v>SNB914522191989</v>
      </c>
      <c r="B1406" s="422">
        <f>+'Anlage 2a_Letztverbrauch'!I483</f>
        <v>45744117</v>
      </c>
      <c r="C1406" s="352">
        <f>'Anlage 3a_Zusammenfassung_KWKG'!C3143</f>
        <v>374710</v>
      </c>
      <c r="D1406" s="854">
        <f t="shared" si="43"/>
        <v>46118827</v>
      </c>
      <c r="E1406" t="s">
        <v>1258</v>
      </c>
    </row>
    <row r="1407" spans="1:5" hidden="1" outlineLevel="2">
      <c r="A1407" s="853" t="str">
        <f>'Anlage 2a_Letztverbrauch'!A484</f>
        <v>SNB978191145308</v>
      </c>
      <c r="B1407" s="422">
        <f>+'Anlage 2a_Letztverbrauch'!I484</f>
        <v>175473449.84299999</v>
      </c>
      <c r="C1407" s="352">
        <f>'Anlage 3a_Zusammenfassung_KWKG'!C3144</f>
        <v>0</v>
      </c>
      <c r="D1407" s="854">
        <f t="shared" si="43"/>
        <v>175473449.84299999</v>
      </c>
      <c r="E1407" t="s">
        <v>1715</v>
      </c>
    </row>
    <row r="1408" spans="1:5" hidden="1" outlineLevel="2">
      <c r="A1408" s="853" t="str">
        <f>'Anlage 2a_Letztverbrauch'!A485</f>
        <v>SNB955607007702</v>
      </c>
      <c r="B1408" s="422">
        <f>+'Anlage 2a_Letztverbrauch'!I485</f>
        <v>40210092</v>
      </c>
      <c r="C1408" s="352">
        <f>'Anlage 3a_Zusammenfassung_KWKG'!C3145</f>
        <v>0</v>
      </c>
      <c r="D1408" s="854">
        <f t="shared" si="43"/>
        <v>40210092</v>
      </c>
      <c r="E1408" t="s">
        <v>1543</v>
      </c>
    </row>
    <row r="1409" spans="1:5" hidden="1" outlineLevel="2">
      <c r="A1409" s="853" t="str">
        <f>'Anlage 2a_Letztverbrauch'!A486</f>
        <v>SNB953794435957</v>
      </c>
      <c r="B1409" s="422">
        <f>+'Anlage 2a_Letztverbrauch'!I486</f>
        <v>50212528</v>
      </c>
      <c r="C1409" s="352">
        <f>'Anlage 3a_Zusammenfassung_KWKG'!C3146</f>
        <v>0</v>
      </c>
      <c r="D1409" s="854">
        <f t="shared" si="43"/>
        <v>50212528</v>
      </c>
      <c r="E1409" t="s">
        <v>1527</v>
      </c>
    </row>
    <row r="1410" spans="1:5" hidden="1" outlineLevel="2">
      <c r="A1410" s="853" t="str">
        <f>'Anlage 2a_Letztverbrauch'!A487</f>
        <v>SNB928557841498</v>
      </c>
      <c r="B1410" s="422">
        <f>+'Anlage 2a_Letztverbrauch'!I487</f>
        <v>37914235</v>
      </c>
      <c r="C1410" s="352">
        <f>'Anlage 3a_Zusammenfassung_KWKG'!C3147</f>
        <v>100847</v>
      </c>
      <c r="D1410" s="854">
        <f t="shared" si="43"/>
        <v>38015082</v>
      </c>
      <c r="E1410" t="s">
        <v>1357</v>
      </c>
    </row>
    <row r="1411" spans="1:5" hidden="1" outlineLevel="2">
      <c r="A1411" s="853" t="str">
        <f>'Anlage 2a_Letztverbrauch'!A488</f>
        <v>SNB977581070640</v>
      </c>
      <c r="B1411" s="422">
        <f>+'Anlage 2a_Letztverbrauch'!I488</f>
        <v>15650550</v>
      </c>
      <c r="C1411" s="352">
        <f>'Anlage 3a_Zusammenfassung_KWKG'!C3148</f>
        <v>0</v>
      </c>
      <c r="D1411" s="854">
        <f t="shared" si="43"/>
        <v>15650550</v>
      </c>
      <c r="E1411" t="s">
        <v>1713</v>
      </c>
    </row>
    <row r="1412" spans="1:5" hidden="1" outlineLevel="2">
      <c r="A1412" s="853" t="str">
        <f>'Anlage 2a_Letztverbrauch'!A489</f>
        <v>SNB919230329570</v>
      </c>
      <c r="B1412" s="422">
        <f>+'Anlage 2a_Letztverbrauch'!I489</f>
        <v>11789945</v>
      </c>
      <c r="C1412" s="352">
        <f>'Anlage 3a_Zusammenfassung_KWKG'!C3149</f>
        <v>-68666</v>
      </c>
      <c r="D1412" s="854">
        <f t="shared" si="43"/>
        <v>11721279</v>
      </c>
      <c r="E1412" t="s">
        <v>1300</v>
      </c>
    </row>
    <row r="1413" spans="1:5" hidden="1" outlineLevel="2">
      <c r="A1413" s="853" t="str">
        <f>'Anlage 2a_Letztverbrauch'!A490</f>
        <v>SNB983359308570</v>
      </c>
      <c r="B1413" s="422">
        <f>+'Anlage 2a_Letztverbrauch'!I490</f>
        <v>20890802</v>
      </c>
      <c r="C1413" s="352">
        <f>'Anlage 3a_Zusammenfassung_KWKG'!C3150</f>
        <v>-3536</v>
      </c>
      <c r="D1413" s="854">
        <f t="shared" si="43"/>
        <v>20887266</v>
      </c>
      <c r="E1413" t="s">
        <v>1755</v>
      </c>
    </row>
    <row r="1414" spans="1:5" hidden="1" outlineLevel="2">
      <c r="A1414" s="853" t="str">
        <f>'Anlage 2a_Letztverbrauch'!A491</f>
        <v>SNB975283859389</v>
      </c>
      <c r="B1414" s="422">
        <f>+'Anlage 2a_Letztverbrauch'!I491</f>
        <v>91776009</v>
      </c>
      <c r="C1414" s="352">
        <f>'Anlage 3a_Zusammenfassung_KWKG'!C3151</f>
        <v>-104190</v>
      </c>
      <c r="D1414" s="854">
        <f t="shared" si="43"/>
        <v>91671819</v>
      </c>
      <c r="E1414" t="s">
        <v>1691</v>
      </c>
    </row>
    <row r="1415" spans="1:5" hidden="1" outlineLevel="2">
      <c r="A1415" s="853" t="str">
        <f>'Anlage 2a_Letztverbrauch'!A492</f>
        <v>SNB913866241817</v>
      </c>
      <c r="B1415" s="422">
        <f>+'Anlage 2a_Letztverbrauch'!I492</f>
        <v>42512827</v>
      </c>
      <c r="C1415" s="352">
        <f>'Anlage 3a_Zusammenfassung_KWKG'!C3152</f>
        <v>0</v>
      </c>
      <c r="D1415" s="854">
        <f t="shared" si="43"/>
        <v>42512827</v>
      </c>
      <c r="E1415" t="s">
        <v>1252</v>
      </c>
    </row>
    <row r="1416" spans="1:5" hidden="1" outlineLevel="2">
      <c r="A1416" s="853" t="str">
        <f>'Anlage 2a_Letztverbrauch'!A493</f>
        <v>SNB932685335767</v>
      </c>
      <c r="B1416" s="422">
        <f>+'Anlage 2a_Letztverbrauch'!I493</f>
        <v>51875465</v>
      </c>
      <c r="C1416" s="352">
        <f>'Anlage 3a_Zusammenfassung_KWKG'!C3153</f>
        <v>-23912</v>
      </c>
      <c r="D1416" s="854">
        <f t="shared" si="43"/>
        <v>51851553</v>
      </c>
      <c r="E1416" t="s">
        <v>1393</v>
      </c>
    </row>
    <row r="1417" spans="1:5" hidden="1" outlineLevel="2">
      <c r="A1417" s="853" t="str">
        <f>'Anlage 2a_Letztverbrauch'!A494</f>
        <v>SNB971196250442</v>
      </c>
      <c r="B1417" s="422">
        <f>+'Anlage 2a_Letztverbrauch'!I494</f>
        <v>14084951</v>
      </c>
      <c r="C1417" s="352">
        <f>'Anlage 3a_Zusammenfassung_KWKG'!C3154</f>
        <v>-54321</v>
      </c>
      <c r="D1417" s="854">
        <f t="shared" si="43"/>
        <v>14030630</v>
      </c>
      <c r="E1417" t="s">
        <v>1663</v>
      </c>
    </row>
    <row r="1418" spans="1:5" hidden="1" outlineLevel="2">
      <c r="A1418" s="853" t="str">
        <f>'Anlage 2a_Letztverbrauch'!A495</f>
        <v>SNB971174411018</v>
      </c>
      <c r="B1418" s="422">
        <f>+'Anlage 2a_Letztverbrauch'!I495</f>
        <v>17498403</v>
      </c>
      <c r="C1418" s="352">
        <f>'Anlage 3a_Zusammenfassung_KWKG'!C3155</f>
        <v>-9838</v>
      </c>
      <c r="D1418" s="854">
        <f t="shared" si="43"/>
        <v>17488565</v>
      </c>
      <c r="E1418" t="s">
        <v>1661</v>
      </c>
    </row>
    <row r="1419" spans="1:5" hidden="1" outlineLevel="2">
      <c r="A1419" s="853" t="str">
        <f>'Anlage 2a_Letztverbrauch'!A496</f>
        <v>SNB958561375085</v>
      </c>
      <c r="B1419" s="422">
        <f>+'Anlage 2a_Letztverbrauch'!I496</f>
        <v>5573230</v>
      </c>
      <c r="C1419" s="352">
        <f>'Anlage 3a_Zusammenfassung_KWKG'!C3156</f>
        <v>0</v>
      </c>
      <c r="D1419" s="854">
        <f t="shared" si="43"/>
        <v>5573230</v>
      </c>
      <c r="E1419" t="s">
        <v>1565</v>
      </c>
    </row>
    <row r="1420" spans="1:5" hidden="1" outlineLevel="2">
      <c r="A1420" s="853" t="str">
        <f>'Anlage 2a_Letztverbrauch'!A497</f>
        <v>SNB965500640463</v>
      </c>
      <c r="B1420" s="422">
        <f>+'Anlage 2a_Letztverbrauch'!I497</f>
        <v>53435303</v>
      </c>
      <c r="C1420" s="352">
        <f>'Anlage 3a_Zusammenfassung_KWKG'!C3157</f>
        <v>165716</v>
      </c>
      <c r="D1420" s="854">
        <f t="shared" si="43"/>
        <v>53601019</v>
      </c>
      <c r="E1420" t="s">
        <v>1613</v>
      </c>
    </row>
    <row r="1421" spans="1:5" hidden="1" outlineLevel="2">
      <c r="A1421" s="853" t="str">
        <f>'Anlage 2a_Letztverbrauch'!A498</f>
        <v>SNB955706777742</v>
      </c>
      <c r="B1421" s="422">
        <f>+'Anlage 2a_Letztverbrauch'!I498</f>
        <v>7498134</v>
      </c>
      <c r="C1421" s="352">
        <f>'Anlage 3a_Zusammenfassung_KWKG'!C3158</f>
        <v>0</v>
      </c>
      <c r="D1421" s="854">
        <f t="shared" si="43"/>
        <v>7498134</v>
      </c>
      <c r="E1421" t="s">
        <v>1545</v>
      </c>
    </row>
    <row r="1422" spans="1:5" hidden="1" outlineLevel="2">
      <c r="A1422" s="853" t="str">
        <f>'Anlage 2a_Letztverbrauch'!A499</f>
        <v>SNB953938790515</v>
      </c>
      <c r="B1422" s="422">
        <f>+'Anlage 2a_Letztverbrauch'!I499</f>
        <v>67029848.450000003</v>
      </c>
      <c r="C1422" s="352">
        <f>'Anlage 3a_Zusammenfassung_KWKG'!C3159</f>
        <v>0</v>
      </c>
      <c r="D1422" s="854">
        <f t="shared" si="43"/>
        <v>67029848.450000003</v>
      </c>
      <c r="E1422" t="s">
        <v>1531</v>
      </c>
    </row>
    <row r="1423" spans="1:5" hidden="1" outlineLevel="2">
      <c r="A1423" s="853" t="str">
        <f>'Anlage 2a_Letztverbrauch'!A500</f>
        <v>SNB943319305469</v>
      </c>
      <c r="B1423" s="422">
        <f>+'Anlage 2a_Letztverbrauch'!I500</f>
        <v>127163083</v>
      </c>
      <c r="C1423" s="352">
        <f>'Anlage 3a_Zusammenfassung_KWKG'!C3160</f>
        <v>0</v>
      </c>
      <c r="D1423" s="854">
        <f t="shared" si="43"/>
        <v>127163083</v>
      </c>
      <c r="E1423" t="s">
        <v>1453</v>
      </c>
    </row>
    <row r="1424" spans="1:5" hidden="1" outlineLevel="2">
      <c r="A1424" s="853" t="str">
        <f>'Anlage 2a_Letztverbrauch'!A501</f>
        <v>SNB985701689504</v>
      </c>
      <c r="B1424" s="422">
        <f>+'Anlage 2a_Letztverbrauch'!I501</f>
        <v>239593730</v>
      </c>
      <c r="C1424" s="352">
        <f>'Anlage 3a_Zusammenfassung_KWKG'!C3161</f>
        <v>-189427</v>
      </c>
      <c r="D1424" s="854">
        <f t="shared" ref="D1424:D1487" si="44">SUM(B1424:C1424)</f>
        <v>239404303</v>
      </c>
      <c r="E1424" t="s">
        <v>1775</v>
      </c>
    </row>
    <row r="1425" spans="1:5" hidden="1" outlineLevel="2">
      <c r="A1425" s="853" t="str">
        <f>'Anlage 2a_Letztverbrauch'!A502</f>
        <v>SNB935482852901</v>
      </c>
      <c r="B1425" s="422">
        <f>+'Anlage 2a_Letztverbrauch'!I502</f>
        <v>789220458.38</v>
      </c>
      <c r="C1425" s="352">
        <f>'Anlage 3a_Zusammenfassung_KWKG'!C3162</f>
        <v>-6492496.4120000005</v>
      </c>
      <c r="D1425" s="854">
        <f t="shared" si="44"/>
        <v>782727961.96799994</v>
      </c>
      <c r="E1425" t="s">
        <v>1403</v>
      </c>
    </row>
    <row r="1426" spans="1:5" hidden="1" outlineLevel="2">
      <c r="A1426" s="853" t="str">
        <f>'Anlage 2a_Letztverbrauch'!A503</f>
        <v>SNB941424038838</v>
      </c>
      <c r="B1426" s="422">
        <f>+'Anlage 2a_Letztverbrauch'!I503</f>
        <v>85520637.75</v>
      </c>
      <c r="C1426" s="352">
        <f>'Anlage 3a_Zusammenfassung_KWKG'!C3163</f>
        <v>0</v>
      </c>
      <c r="D1426" s="854">
        <f t="shared" si="44"/>
        <v>85520637.75</v>
      </c>
      <c r="E1426" t="s">
        <v>1441</v>
      </c>
    </row>
    <row r="1427" spans="1:5" hidden="1" outlineLevel="2">
      <c r="A1427" s="853" t="str">
        <f>'Anlage 2a_Letztverbrauch'!A504</f>
        <v>SNB964573708865</v>
      </c>
      <c r="B1427" s="422">
        <f>+'Anlage 2a_Letztverbrauch'!I504</f>
        <v>17529155</v>
      </c>
      <c r="C1427" s="352">
        <f>'Anlage 3a_Zusammenfassung_KWKG'!C3164</f>
        <v>0</v>
      </c>
      <c r="D1427" s="854">
        <f t="shared" si="44"/>
        <v>17529155</v>
      </c>
      <c r="E1427" t="s">
        <v>1607</v>
      </c>
    </row>
    <row r="1428" spans="1:5" hidden="1" outlineLevel="2">
      <c r="A1428" s="853" t="str">
        <f>'Anlage 2a_Letztverbrauch'!A505</f>
        <v>SNB936172924014</v>
      </c>
      <c r="B1428" s="422">
        <f>+'Anlage 2a_Letztverbrauch'!I505</f>
        <v>621086344</v>
      </c>
      <c r="C1428" s="352">
        <f>'Anlage 3a_Zusammenfassung_KWKG'!C3165</f>
        <v>0</v>
      </c>
      <c r="D1428" s="854">
        <f t="shared" si="44"/>
        <v>621086344</v>
      </c>
      <c r="E1428" t="s">
        <v>1409</v>
      </c>
    </row>
    <row r="1429" spans="1:5" hidden="1" outlineLevel="2">
      <c r="A1429" s="853" t="str">
        <f>'Anlage 2a_Letztverbrauch'!A506</f>
        <v>SNB914092143906</v>
      </c>
      <c r="B1429" s="422">
        <f>+'Anlage 2a_Letztverbrauch'!I506</f>
        <v>7714812</v>
      </c>
      <c r="C1429" s="352">
        <f>'Anlage 3a_Zusammenfassung_KWKG'!C3166</f>
        <v>-175358</v>
      </c>
      <c r="D1429" s="854">
        <f t="shared" si="44"/>
        <v>7539454</v>
      </c>
      <c r="E1429" t="s">
        <v>1254</v>
      </c>
    </row>
    <row r="1430" spans="1:5" hidden="1" outlineLevel="2">
      <c r="A1430" s="853" t="str">
        <f>'Anlage 2a_Letztverbrauch'!A507</f>
        <v>SNB940718804685</v>
      </c>
      <c r="B1430" s="422">
        <f>+'Anlage 2a_Letztverbrauch'!I507</f>
        <v>91472854</v>
      </c>
      <c r="C1430" s="352">
        <f>'Anlage 3a_Zusammenfassung_KWKG'!C3167</f>
        <v>0</v>
      </c>
      <c r="D1430" s="854">
        <f t="shared" si="44"/>
        <v>91472854</v>
      </c>
      <c r="E1430" t="s">
        <v>1435</v>
      </c>
    </row>
    <row r="1431" spans="1:5" hidden="1" outlineLevel="2">
      <c r="A1431" s="853" t="str">
        <f>'Anlage 2a_Letztverbrauch'!A508</f>
        <v>SNB976863966633</v>
      </c>
      <c r="B1431" s="422">
        <f>+'Anlage 2a_Letztverbrauch'!I508</f>
        <v>21872898.550000001</v>
      </c>
      <c r="C1431" s="352">
        <f>'Anlage 3a_Zusammenfassung_KWKG'!C3168</f>
        <v>0</v>
      </c>
      <c r="D1431" s="854">
        <f t="shared" si="44"/>
        <v>21872898.550000001</v>
      </c>
      <c r="E1431" t="s">
        <v>1703</v>
      </c>
    </row>
    <row r="1432" spans="1:5" hidden="1" outlineLevel="2">
      <c r="A1432" s="853" t="str">
        <f>'Anlage 2a_Letztverbrauch'!A509</f>
        <v>SNB916008519201</v>
      </c>
      <c r="B1432" s="422">
        <f>+'Anlage 2a_Letztverbrauch'!I509</f>
        <v>35081878</v>
      </c>
      <c r="C1432" s="352">
        <f>'Anlage 3a_Zusammenfassung_KWKG'!C3169</f>
        <v>0</v>
      </c>
      <c r="D1432" s="854">
        <f t="shared" si="44"/>
        <v>35081878</v>
      </c>
      <c r="E1432" t="s">
        <v>1270</v>
      </c>
    </row>
    <row r="1433" spans="1:5" hidden="1" outlineLevel="2">
      <c r="A1433" s="853" t="str">
        <f>'Anlage 2a_Letztverbrauch'!A510</f>
        <v>SNB914668240749</v>
      </c>
      <c r="B1433" s="422">
        <f>+'Anlage 2a_Letztverbrauch'!I510</f>
        <v>24351317</v>
      </c>
      <c r="C1433" s="352">
        <f>'Anlage 3a_Zusammenfassung_KWKG'!C3170</f>
        <v>0</v>
      </c>
      <c r="D1433" s="854">
        <f t="shared" si="44"/>
        <v>24351317</v>
      </c>
      <c r="E1433" t="s">
        <v>1260</v>
      </c>
    </row>
    <row r="1434" spans="1:5" hidden="1" outlineLevel="2">
      <c r="A1434" s="853" t="str">
        <f>'Anlage 2a_Letztverbrauch'!A511</f>
        <v>SNB945768616967</v>
      </c>
      <c r="B1434" s="422">
        <f>+'Anlage 2a_Letztverbrauch'!I511</f>
        <v>43917190</v>
      </c>
      <c r="C1434" s="352">
        <f>'Anlage 3a_Zusammenfassung_KWKG'!C3171</f>
        <v>0</v>
      </c>
      <c r="D1434" s="854">
        <f t="shared" si="44"/>
        <v>43917190</v>
      </c>
      <c r="E1434" t="s">
        <v>1471</v>
      </c>
    </row>
    <row r="1435" spans="1:5" hidden="1" outlineLevel="2">
      <c r="A1435" s="853" t="str">
        <f>'Anlage 2a_Letztverbrauch'!A512</f>
        <v>SNB981972152532</v>
      </c>
      <c r="B1435" s="422">
        <f>+'Anlage 2a_Letztverbrauch'!I512</f>
        <v>25457600</v>
      </c>
      <c r="C1435" s="352">
        <f>'Anlage 3a_Zusammenfassung_KWKG'!C3172</f>
        <v>0</v>
      </c>
      <c r="D1435" s="854">
        <f t="shared" si="44"/>
        <v>25457600</v>
      </c>
      <c r="E1435" t="s">
        <v>1743</v>
      </c>
    </row>
    <row r="1436" spans="1:5" hidden="1" outlineLevel="2">
      <c r="A1436" s="853" t="str">
        <f>'Anlage 2a_Letztverbrauch'!A513</f>
        <v>SNB927892816017</v>
      </c>
      <c r="B1436" s="422">
        <f>+'Anlage 2a_Letztverbrauch'!I513</f>
        <v>40749516</v>
      </c>
      <c r="C1436" s="352">
        <f>'Anlage 3a_Zusammenfassung_KWKG'!C3173</f>
        <v>0</v>
      </c>
      <c r="D1436" s="854">
        <f t="shared" si="44"/>
        <v>40749516</v>
      </c>
      <c r="E1436" t="s">
        <v>1351</v>
      </c>
    </row>
    <row r="1437" spans="1:5" hidden="1" outlineLevel="2">
      <c r="A1437" s="853" t="str">
        <f>'Anlage 2a_Letztverbrauch'!A514</f>
        <v>SNB939653726848</v>
      </c>
      <c r="B1437" s="422">
        <f>+'Anlage 2a_Letztverbrauch'!I514</f>
        <v>60533312</v>
      </c>
      <c r="C1437" s="352">
        <f>'Anlage 3a_Zusammenfassung_KWKG'!C3174</f>
        <v>0</v>
      </c>
      <c r="D1437" s="854">
        <f t="shared" si="44"/>
        <v>60533312</v>
      </c>
      <c r="E1437" t="s">
        <v>1425</v>
      </c>
    </row>
    <row r="1438" spans="1:5" hidden="1" outlineLevel="2">
      <c r="A1438" s="853" t="str">
        <f>'Anlage 2a_Letztverbrauch'!A515</f>
        <v>SNB947270211210</v>
      </c>
      <c r="B1438" s="422">
        <f>+'Anlage 2a_Letztverbrauch'!I515</f>
        <v>53127774</v>
      </c>
      <c r="C1438" s="352">
        <f>'Anlage 3a_Zusammenfassung_KWKG'!C3175</f>
        <v>199424</v>
      </c>
      <c r="D1438" s="854">
        <f t="shared" si="44"/>
        <v>53327198</v>
      </c>
      <c r="E1438" t="s">
        <v>1487</v>
      </c>
    </row>
    <row r="1439" spans="1:5" hidden="1" outlineLevel="2">
      <c r="A1439" s="853" t="str">
        <f>'Anlage 2a_Letztverbrauch'!A516</f>
        <v>SNB954026274702</v>
      </c>
      <c r="B1439" s="422">
        <f>+'Anlage 2a_Letztverbrauch'!I516</f>
        <v>166821415</v>
      </c>
      <c r="C1439" s="352">
        <f>'Anlage 3a_Zusammenfassung_KWKG'!C3176</f>
        <v>1392570</v>
      </c>
      <c r="D1439" s="854">
        <f t="shared" si="44"/>
        <v>168213985</v>
      </c>
      <c r="E1439" t="s">
        <v>1533</v>
      </c>
    </row>
    <row r="1440" spans="1:5" hidden="1" outlineLevel="2">
      <c r="A1440" s="853" t="str">
        <f>'Anlage 2a_Letztverbrauch'!A517</f>
        <v>SNB935738221819</v>
      </c>
      <c r="B1440" s="422">
        <f>+'Anlage 2a_Letztverbrauch'!I517</f>
        <v>25072749</v>
      </c>
      <c r="C1440" s="352">
        <f>'Anlage 3a_Zusammenfassung_KWKG'!C3177</f>
        <v>0</v>
      </c>
      <c r="D1440" s="854">
        <f t="shared" si="44"/>
        <v>25072749</v>
      </c>
      <c r="E1440" t="s">
        <v>1407</v>
      </c>
    </row>
    <row r="1441" spans="1:5" hidden="1" outlineLevel="2">
      <c r="A1441" s="853" t="str">
        <f>'Anlage 2a_Letztverbrauch'!A518</f>
        <v>SNB996457394093</v>
      </c>
      <c r="B1441" s="422">
        <f>+'Anlage 2a_Letztverbrauch'!I518</f>
        <v>170599913.09</v>
      </c>
      <c r="C1441" s="352">
        <f>'Anlage 3a_Zusammenfassung_KWKG'!C3178</f>
        <v>-199284.38999999996</v>
      </c>
      <c r="D1441" s="854">
        <f t="shared" si="44"/>
        <v>170400628.70000002</v>
      </c>
      <c r="E1441" t="s">
        <v>1821</v>
      </c>
    </row>
    <row r="1442" spans="1:5" hidden="1" outlineLevel="2">
      <c r="A1442" s="853" t="str">
        <f>'Anlage 2a_Letztverbrauch'!A519</f>
        <v>SNB972723368326</v>
      </c>
      <c r="B1442" s="422">
        <f>+'Anlage 2a_Letztverbrauch'!I519</f>
        <v>113048557</v>
      </c>
      <c r="C1442" s="352">
        <f>'Anlage 3a_Zusammenfassung_KWKG'!C3179</f>
        <v>0</v>
      </c>
      <c r="D1442" s="854">
        <f t="shared" si="44"/>
        <v>113048557</v>
      </c>
      <c r="E1442" t="s">
        <v>1674</v>
      </c>
    </row>
    <row r="1443" spans="1:5" hidden="1" outlineLevel="2">
      <c r="A1443" s="853" t="str">
        <f>'Anlage 2a_Letztverbrauch'!A520</f>
        <v>SNB960416123321</v>
      </c>
      <c r="B1443" s="422">
        <f>+'Anlage 2a_Letztverbrauch'!I520</f>
        <v>73648294</v>
      </c>
      <c r="C1443" s="352">
        <f>'Anlage 3a_Zusammenfassung_KWKG'!C3180</f>
        <v>1676937</v>
      </c>
      <c r="D1443" s="854">
        <f t="shared" si="44"/>
        <v>75325231</v>
      </c>
      <c r="E1443" t="s">
        <v>1581</v>
      </c>
    </row>
    <row r="1444" spans="1:5" hidden="1" outlineLevel="2">
      <c r="A1444" s="853" t="str">
        <f>'Anlage 2a_Letztverbrauch'!A521</f>
        <v>SNB962110557570</v>
      </c>
      <c r="B1444" s="422">
        <f>+'Anlage 2a_Letztverbrauch'!I521</f>
        <v>142439307</v>
      </c>
      <c r="C1444" s="352">
        <f>'Anlage 3a_Zusammenfassung_KWKG'!C3181</f>
        <v>-300249</v>
      </c>
      <c r="D1444" s="854">
        <f t="shared" si="44"/>
        <v>142139058</v>
      </c>
      <c r="E1444" t="s">
        <v>1589</v>
      </c>
    </row>
    <row r="1445" spans="1:5" hidden="1" outlineLevel="2">
      <c r="A1445" s="853" t="str">
        <f>'Anlage 2a_Letztverbrauch'!A522</f>
        <v>SNB958680286002</v>
      </c>
      <c r="B1445" s="422">
        <f>+'Anlage 2a_Letztverbrauch'!I522</f>
        <v>8404307</v>
      </c>
      <c r="C1445" s="352">
        <f>'Anlage 3a_Zusammenfassung_KWKG'!C3182</f>
        <v>226664</v>
      </c>
      <c r="D1445" s="854">
        <f t="shared" si="44"/>
        <v>8630971</v>
      </c>
      <c r="E1445" t="s">
        <v>1569</v>
      </c>
    </row>
    <row r="1446" spans="1:5" hidden="1" outlineLevel="2">
      <c r="A1446" s="853" t="str">
        <f>'Anlage 2a_Letztverbrauch'!A523</f>
        <v>SNB947030954821</v>
      </c>
      <c r="B1446" s="422">
        <f>+'Anlage 2a_Letztverbrauch'!I523</f>
        <v>116139748</v>
      </c>
      <c r="C1446" s="352">
        <f>'Anlage 3a_Zusammenfassung_KWKG'!C3183</f>
        <v>0</v>
      </c>
      <c r="D1446" s="854">
        <f t="shared" si="44"/>
        <v>116139748</v>
      </c>
      <c r="E1446" t="s">
        <v>1483</v>
      </c>
    </row>
    <row r="1447" spans="1:5" hidden="1" outlineLevel="2">
      <c r="A1447" s="853" t="str">
        <f>'Anlage 2a_Letztverbrauch'!A524</f>
        <v>SNB950028563172</v>
      </c>
      <c r="B1447" s="422">
        <f>+'Anlage 2a_Letztverbrauch'!I524</f>
        <v>75084152</v>
      </c>
      <c r="C1447" s="352">
        <f>'Anlage 3a_Zusammenfassung_KWKG'!C3184</f>
        <v>-134223</v>
      </c>
      <c r="D1447" s="854">
        <f t="shared" si="44"/>
        <v>74949929</v>
      </c>
      <c r="E1447" t="s">
        <v>1507</v>
      </c>
    </row>
    <row r="1448" spans="1:5" hidden="1" outlineLevel="2">
      <c r="A1448" s="853" t="str">
        <f>'Anlage 2a_Letztverbrauch'!A525</f>
        <v>SNB963499807249</v>
      </c>
      <c r="B1448" s="422">
        <f>+'Anlage 2a_Letztverbrauch'!I525</f>
        <v>55943830.670999996</v>
      </c>
      <c r="C1448" s="352">
        <f>'Anlage 3a_Zusammenfassung_KWKG'!C3185</f>
        <v>0</v>
      </c>
      <c r="D1448" s="854">
        <f t="shared" si="44"/>
        <v>55943830.670999996</v>
      </c>
      <c r="E1448" t="s">
        <v>1597</v>
      </c>
    </row>
    <row r="1449" spans="1:5" hidden="1" outlineLevel="2">
      <c r="A1449" s="853" t="str">
        <f>'Anlage 2a_Letztverbrauch'!A526</f>
        <v>SNB924774487556</v>
      </c>
      <c r="B1449" s="422">
        <f>+'Anlage 2a_Letztverbrauch'!I526</f>
        <v>229210463</v>
      </c>
      <c r="C1449" s="352">
        <f>'Anlage 3a_Zusammenfassung_KWKG'!C3186</f>
        <v>1610067</v>
      </c>
      <c r="D1449" s="854">
        <f t="shared" si="44"/>
        <v>230820530</v>
      </c>
      <c r="E1449" t="s">
        <v>1331</v>
      </c>
    </row>
    <row r="1450" spans="1:5" hidden="1" outlineLevel="2">
      <c r="A1450" s="853" t="str">
        <f>'Anlage 2a_Letztverbrauch'!A527</f>
        <v>SNB982085566391</v>
      </c>
      <c r="B1450" s="422">
        <f>+'Anlage 2a_Letztverbrauch'!I527</f>
        <v>45850326.666000001</v>
      </c>
      <c r="C1450" s="352">
        <f>'Anlage 3a_Zusammenfassung_KWKG'!C3187</f>
        <v>0</v>
      </c>
      <c r="D1450" s="854">
        <f t="shared" si="44"/>
        <v>45850326.666000001</v>
      </c>
      <c r="E1450" t="s">
        <v>1747</v>
      </c>
    </row>
    <row r="1451" spans="1:5" hidden="1" outlineLevel="2">
      <c r="A1451" s="853" t="str">
        <f>'Anlage 2a_Letztverbrauch'!A528</f>
        <v>SNB932388577952</v>
      </c>
      <c r="B1451" s="422">
        <f>+'Anlage 2a_Letztverbrauch'!I528</f>
        <v>59940448</v>
      </c>
      <c r="C1451" s="352">
        <f>'Anlage 3a_Zusammenfassung_KWKG'!C3188</f>
        <v>969484</v>
      </c>
      <c r="D1451" s="854">
        <f t="shared" si="44"/>
        <v>60909932</v>
      </c>
      <c r="E1451" t="s">
        <v>1391</v>
      </c>
    </row>
    <row r="1452" spans="1:5" hidden="1" outlineLevel="2">
      <c r="A1452" s="853" t="str">
        <f>'Anlage 2a_Letztverbrauch'!A529</f>
        <v>SNB968489334224</v>
      </c>
      <c r="B1452" s="422">
        <f>+'Anlage 2a_Letztverbrauch'!I529</f>
        <v>113460088</v>
      </c>
      <c r="C1452" s="352">
        <f>'Anlage 3a_Zusammenfassung_KWKG'!C3189</f>
        <v>0</v>
      </c>
      <c r="D1452" s="854">
        <f t="shared" si="44"/>
        <v>113460088</v>
      </c>
      <c r="E1452" t="s">
        <v>1643</v>
      </c>
    </row>
    <row r="1453" spans="1:5" hidden="1" outlineLevel="2">
      <c r="A1453" s="853" t="str">
        <f>'Anlage 2a_Letztverbrauch'!A530</f>
        <v>SNB959513498364</v>
      </c>
      <c r="B1453" s="422">
        <f>+'Anlage 2a_Letztverbrauch'!I530</f>
        <v>40614609</v>
      </c>
      <c r="C1453" s="352">
        <f>'Anlage 3a_Zusammenfassung_KWKG'!C3190</f>
        <v>0</v>
      </c>
      <c r="D1453" s="854">
        <f t="shared" si="44"/>
        <v>40614609</v>
      </c>
      <c r="E1453" t="s">
        <v>1575</v>
      </c>
    </row>
    <row r="1454" spans="1:5" hidden="1" outlineLevel="2">
      <c r="A1454" s="853" t="str">
        <f>'Anlage 2a_Letztverbrauch'!A531</f>
        <v>SNB911031559460</v>
      </c>
      <c r="B1454" s="422">
        <f>+'Anlage 2a_Letztverbrauch'!I531</f>
        <v>71868581</v>
      </c>
      <c r="C1454" s="352">
        <f>'Anlage 3a_Zusammenfassung_KWKG'!C3191</f>
        <v>-136470</v>
      </c>
      <c r="D1454" s="854">
        <f t="shared" si="44"/>
        <v>71732111</v>
      </c>
      <c r="E1454" t="s">
        <v>1230</v>
      </c>
    </row>
    <row r="1455" spans="1:5" hidden="1" outlineLevel="2">
      <c r="A1455" s="853" t="str">
        <f>'Anlage 2a_Letztverbrauch'!A532</f>
        <v>SNB959373877170</v>
      </c>
      <c r="B1455" s="422">
        <f>+'Anlage 2a_Letztverbrauch'!I532</f>
        <v>97183853</v>
      </c>
      <c r="C1455" s="352">
        <f>'Anlage 3a_Zusammenfassung_KWKG'!C3192</f>
        <v>528144</v>
      </c>
      <c r="D1455" s="854">
        <f t="shared" si="44"/>
        <v>97711997</v>
      </c>
      <c r="E1455" t="s">
        <v>1573</v>
      </c>
    </row>
    <row r="1456" spans="1:5" hidden="1" outlineLevel="2">
      <c r="A1456" s="853" t="str">
        <f>'Anlage 2a_Letztverbrauch'!A533</f>
        <v>SNB940847187345</v>
      </c>
      <c r="B1456" s="422">
        <f>+'Anlage 2a_Letztverbrauch'!I533</f>
        <v>106241002</v>
      </c>
      <c r="C1456" s="352">
        <f>'Anlage 3a_Zusammenfassung_KWKG'!C3193</f>
        <v>0</v>
      </c>
      <c r="D1456" s="854">
        <f t="shared" si="44"/>
        <v>106241002</v>
      </c>
      <c r="E1456" t="s">
        <v>1437</v>
      </c>
    </row>
    <row r="1457" spans="1:5" hidden="1" outlineLevel="2">
      <c r="A1457" s="853" t="str">
        <f>'Anlage 2a_Letztverbrauch'!A534</f>
        <v>SNB964046129302</v>
      </c>
      <c r="B1457" s="422">
        <f>+'Anlage 2a_Letztverbrauch'!I534</f>
        <v>60449262</v>
      </c>
      <c r="C1457" s="352">
        <f>'Anlage 3a_Zusammenfassung_KWKG'!C3194</f>
        <v>0</v>
      </c>
      <c r="D1457" s="854">
        <f t="shared" si="44"/>
        <v>60449262</v>
      </c>
      <c r="E1457" t="s">
        <v>1601</v>
      </c>
    </row>
    <row r="1458" spans="1:5" hidden="1" outlineLevel="2">
      <c r="A1458" s="853" t="str">
        <f>'Anlage 2a_Letztverbrauch'!A535</f>
        <v>SNB976170444053</v>
      </c>
      <c r="B1458" s="422">
        <f>+'Anlage 2a_Letztverbrauch'!I535</f>
        <v>94101611</v>
      </c>
      <c r="C1458" s="352">
        <f>'Anlage 3a_Zusammenfassung_KWKG'!C3195</f>
        <v>449049</v>
      </c>
      <c r="D1458" s="854">
        <f t="shared" si="44"/>
        <v>94550660</v>
      </c>
      <c r="E1458" t="s">
        <v>1699</v>
      </c>
    </row>
    <row r="1459" spans="1:5" hidden="1" outlineLevel="2">
      <c r="A1459" s="853" t="str">
        <f>'Anlage 2a_Letztverbrauch'!A536</f>
        <v>SNB965692805121</v>
      </c>
      <c r="B1459" s="422">
        <f>+'Anlage 2a_Letztverbrauch'!I536</f>
        <v>116863782</v>
      </c>
      <c r="C1459" s="352">
        <f>'Anlage 3a_Zusammenfassung_KWKG'!C3196</f>
        <v>7581154</v>
      </c>
      <c r="D1459" s="854">
        <f t="shared" si="44"/>
        <v>124444936</v>
      </c>
      <c r="E1459" t="s">
        <v>1617</v>
      </c>
    </row>
    <row r="1460" spans="1:5" hidden="1" outlineLevel="2">
      <c r="A1460" s="853" t="str">
        <f>'Anlage 2a_Letztverbrauch'!A537</f>
        <v>SNB964375043041</v>
      </c>
      <c r="B1460" s="422">
        <f>+'Anlage 2a_Letztverbrauch'!I537</f>
        <v>72541227</v>
      </c>
      <c r="C1460" s="352">
        <f>'Anlage 3a_Zusammenfassung_KWKG'!C3197</f>
        <v>0</v>
      </c>
      <c r="D1460" s="854">
        <f t="shared" si="44"/>
        <v>72541227</v>
      </c>
      <c r="E1460" t="s">
        <v>1605</v>
      </c>
    </row>
    <row r="1461" spans="1:5" hidden="1" outlineLevel="2">
      <c r="A1461" s="853" t="str">
        <f>'Anlage 2a_Letztverbrauch'!A538</f>
        <v>SNB957268511697</v>
      </c>
      <c r="B1461" s="422">
        <f>+'Anlage 2a_Letztverbrauch'!I538</f>
        <v>28905104</v>
      </c>
      <c r="C1461" s="352">
        <f>'Anlage 3a_Zusammenfassung_KWKG'!C3198</f>
        <v>151844</v>
      </c>
      <c r="D1461" s="854">
        <f t="shared" si="44"/>
        <v>29056948</v>
      </c>
      <c r="E1461" t="s">
        <v>1555</v>
      </c>
    </row>
    <row r="1462" spans="1:5" hidden="1" outlineLevel="2">
      <c r="A1462" s="853" t="str">
        <f>'Anlage 2a_Letztverbrauch'!A539</f>
        <v>SNB973519584647</v>
      </c>
      <c r="B1462" s="422">
        <f>+'Anlage 2a_Letztverbrauch'!I539</f>
        <v>23833605</v>
      </c>
      <c r="C1462" s="352">
        <f>'Anlage 3a_Zusammenfassung_KWKG'!C3199</f>
        <v>0</v>
      </c>
      <c r="D1462" s="854">
        <f t="shared" si="44"/>
        <v>23833605</v>
      </c>
      <c r="E1462" t="s">
        <v>1680</v>
      </c>
    </row>
    <row r="1463" spans="1:5" hidden="1" outlineLevel="2">
      <c r="A1463" s="853" t="str">
        <f>'Anlage 2a_Letztverbrauch'!A540</f>
        <v>SNB983425156814</v>
      </c>
      <c r="B1463" s="422">
        <f>+'Anlage 2a_Letztverbrauch'!I540</f>
        <v>958975660.36800003</v>
      </c>
      <c r="C1463" s="352">
        <f>'Anlage 3a_Zusammenfassung_KWKG'!C3200</f>
        <v>97447398.933999985</v>
      </c>
      <c r="D1463" s="854">
        <f t="shared" si="44"/>
        <v>1056423059.302</v>
      </c>
      <c r="E1463" t="s">
        <v>1757</v>
      </c>
    </row>
    <row r="1464" spans="1:5" hidden="1" outlineLevel="2">
      <c r="A1464" s="853" t="str">
        <f>'Anlage 2a_Letztverbrauch'!A541</f>
        <v>SNB931546188436</v>
      </c>
      <c r="B1464" s="422">
        <f>+'Anlage 2a_Letztverbrauch'!I541</f>
        <v>20745687.772999998</v>
      </c>
      <c r="C1464" s="352">
        <f>'Anlage 3a_Zusammenfassung_KWKG'!C3201</f>
        <v>0</v>
      </c>
      <c r="D1464" s="854">
        <f t="shared" si="44"/>
        <v>20745687.772999998</v>
      </c>
      <c r="E1464" t="s">
        <v>892</v>
      </c>
    </row>
    <row r="1465" spans="1:5" hidden="1" outlineLevel="2">
      <c r="A1465" s="853" t="str">
        <f>'Anlage 2a_Letztverbrauch'!A542</f>
        <v>SNB925050442719</v>
      </c>
      <c r="B1465" s="422">
        <f>+'Anlage 2a_Letztverbrauch'!I542</f>
        <v>36082798</v>
      </c>
      <c r="C1465" s="352">
        <f>'Anlage 3a_Zusammenfassung_KWKG'!C3202</f>
        <v>-188411</v>
      </c>
      <c r="D1465" s="854">
        <f t="shared" si="44"/>
        <v>35894387</v>
      </c>
      <c r="E1465" t="s">
        <v>1337</v>
      </c>
    </row>
    <row r="1466" spans="1:5" hidden="1" outlineLevel="2">
      <c r="A1466" s="853" t="str">
        <f>'Anlage 2a_Letztverbrauch'!A543</f>
        <v>SNB956741146944</v>
      </c>
      <c r="B1466" s="422">
        <f>+'Anlage 2a_Letztverbrauch'!I543</f>
        <v>32894147</v>
      </c>
      <c r="C1466" s="352">
        <f>'Anlage 3a_Zusammenfassung_KWKG'!C3203</f>
        <v>0</v>
      </c>
      <c r="D1466" s="854">
        <f t="shared" si="44"/>
        <v>32894147</v>
      </c>
      <c r="E1466" t="s">
        <v>1551</v>
      </c>
    </row>
    <row r="1467" spans="1:5" hidden="1" outlineLevel="2">
      <c r="A1467" s="853" t="str">
        <f>'Anlage 2a_Letztverbrauch'!A544</f>
        <v>SNB953868012787</v>
      </c>
      <c r="B1467" s="422">
        <f>+'Anlage 2a_Letztverbrauch'!I544</f>
        <v>80143040</v>
      </c>
      <c r="C1467" s="352">
        <f>'Anlage 3a_Zusammenfassung_KWKG'!C3204</f>
        <v>561901</v>
      </c>
      <c r="D1467" s="854">
        <f t="shared" si="44"/>
        <v>80704941</v>
      </c>
      <c r="E1467" t="s">
        <v>1529</v>
      </c>
    </row>
    <row r="1468" spans="1:5" hidden="1" outlineLevel="2">
      <c r="A1468" s="853" t="str">
        <f>'Anlage 2a_Letztverbrauch'!A545</f>
        <v>SNB929073868471</v>
      </c>
      <c r="B1468" s="422">
        <f>+'Anlage 2a_Letztverbrauch'!I545</f>
        <v>40865585</v>
      </c>
      <c r="C1468" s="352">
        <f>'Anlage 3a_Zusammenfassung_KWKG'!C3205</f>
        <v>0</v>
      </c>
      <c r="D1468" s="854">
        <f t="shared" si="44"/>
        <v>40865585</v>
      </c>
      <c r="E1468" t="s">
        <v>1361</v>
      </c>
    </row>
    <row r="1469" spans="1:5" hidden="1" outlineLevel="2">
      <c r="A1469" s="853" t="str">
        <f>'Anlage 2a_Letztverbrauch'!A546</f>
        <v>SNB968949417344</v>
      </c>
      <c r="B1469" s="422">
        <f>+'Anlage 2a_Letztverbrauch'!I546</f>
        <v>118584508</v>
      </c>
      <c r="C1469" s="352">
        <f>'Anlage 3a_Zusammenfassung_KWKG'!C3206</f>
        <v>-353890</v>
      </c>
      <c r="D1469" s="854">
        <f t="shared" si="44"/>
        <v>118230618</v>
      </c>
      <c r="E1469" t="s">
        <v>1649</v>
      </c>
    </row>
    <row r="1470" spans="1:5" hidden="1" outlineLevel="2">
      <c r="A1470" s="853" t="str">
        <f>'Anlage 2a_Letztverbrauch'!A547</f>
        <v>SNB948134408678</v>
      </c>
      <c r="B1470" s="422">
        <f>+'Anlage 2a_Letztverbrauch'!I547</f>
        <v>76493984</v>
      </c>
      <c r="C1470" s="352">
        <f>'Anlage 3a_Zusammenfassung_KWKG'!C3207</f>
        <v>0</v>
      </c>
      <c r="D1470" s="854">
        <f t="shared" si="44"/>
        <v>76493984</v>
      </c>
      <c r="E1470" t="s">
        <v>1495</v>
      </c>
    </row>
    <row r="1471" spans="1:5" hidden="1" outlineLevel="2">
      <c r="A1471" s="853" t="str">
        <f>'Anlage 2a_Letztverbrauch'!A548</f>
        <v>SNB958672501014</v>
      </c>
      <c r="B1471" s="422">
        <f>+'Anlage 2a_Letztverbrauch'!I548</f>
        <v>58990840</v>
      </c>
      <c r="C1471" s="352">
        <f>'Anlage 3a_Zusammenfassung_KWKG'!C3208</f>
        <v>-43357</v>
      </c>
      <c r="D1471" s="854">
        <f t="shared" si="44"/>
        <v>58947483</v>
      </c>
      <c r="E1471" t="s">
        <v>1567</v>
      </c>
    </row>
    <row r="1472" spans="1:5" hidden="1" outlineLevel="2">
      <c r="A1472" s="853" t="str">
        <f>'Anlage 2a_Letztverbrauch'!A549</f>
        <v>SNB945149216045</v>
      </c>
      <c r="B1472" s="422">
        <f>+'Anlage 2a_Letztverbrauch'!I549</f>
        <v>142736373</v>
      </c>
      <c r="C1472" s="352">
        <f>'Anlage 3a_Zusammenfassung_KWKG'!C3209</f>
        <v>0</v>
      </c>
      <c r="D1472" s="854">
        <f t="shared" si="44"/>
        <v>142736373</v>
      </c>
      <c r="E1472" t="s">
        <v>1467</v>
      </c>
    </row>
    <row r="1473" spans="1:5" hidden="1" outlineLevel="2">
      <c r="A1473" s="853" t="str">
        <f>'Anlage 2a_Letztverbrauch'!A550</f>
        <v>SNB985206131959</v>
      </c>
      <c r="B1473" s="422">
        <f>+'Anlage 2a_Letztverbrauch'!I550</f>
        <v>15769367</v>
      </c>
      <c r="C1473" s="352">
        <f>'Anlage 3a_Zusammenfassung_KWKG'!C3210</f>
        <v>0</v>
      </c>
      <c r="D1473" s="854">
        <f t="shared" si="44"/>
        <v>15769367</v>
      </c>
      <c r="E1473" t="s">
        <v>1773</v>
      </c>
    </row>
    <row r="1474" spans="1:5" hidden="1" outlineLevel="2">
      <c r="A1474" s="853" t="str">
        <f>'Anlage 2a_Letztverbrauch'!A551</f>
        <v>SNB971746988153</v>
      </c>
      <c r="B1474" s="422">
        <f>+'Anlage 2a_Letztverbrauch'!I551</f>
        <v>2530583166</v>
      </c>
      <c r="C1474" s="352">
        <f>'Anlage 3a_Zusammenfassung_KWKG'!C3211</f>
        <v>0</v>
      </c>
      <c r="D1474" s="854">
        <f t="shared" si="44"/>
        <v>2530583166</v>
      </c>
      <c r="E1474" t="s">
        <v>1667</v>
      </c>
    </row>
    <row r="1475" spans="1:5" hidden="1" outlineLevel="2">
      <c r="A1475" s="853" t="str">
        <f>'Anlage 2a_Letztverbrauch'!A552</f>
        <v>SNB978963778161</v>
      </c>
      <c r="B1475" s="422">
        <f>+'Anlage 2a_Letztverbrauch'!I552</f>
        <v>255871061.866</v>
      </c>
      <c r="C1475" s="352">
        <f>'Anlage 3a_Zusammenfassung_KWKG'!C3212</f>
        <v>0</v>
      </c>
      <c r="D1475" s="854">
        <f t="shared" si="44"/>
        <v>255871061.866</v>
      </c>
      <c r="E1475" t="s">
        <v>1721</v>
      </c>
    </row>
    <row r="1476" spans="1:5" hidden="1" outlineLevel="2">
      <c r="A1476" s="853" t="str">
        <f>'Anlage 2a_Letztverbrauch'!A553</f>
        <v>SNB985979481190</v>
      </c>
      <c r="B1476" s="422">
        <f>+'Anlage 2a_Letztverbrauch'!I553</f>
        <v>2311469</v>
      </c>
      <c r="C1476" s="352">
        <f>'Anlage 3a_Zusammenfassung_KWKG'!C3213</f>
        <v>0</v>
      </c>
      <c r="D1476" s="854">
        <f t="shared" si="44"/>
        <v>2311469</v>
      </c>
      <c r="E1476" t="s">
        <v>2205</v>
      </c>
    </row>
    <row r="1477" spans="1:5" hidden="1" outlineLevel="2">
      <c r="A1477" s="853" t="str">
        <f>'Anlage 2a_Letztverbrauch'!A554</f>
        <v>SNB930134015819</v>
      </c>
      <c r="B1477" s="422">
        <f>+'Anlage 2a_Letztverbrauch'!I554</f>
        <v>37882608.149999999</v>
      </c>
      <c r="C1477" s="352">
        <f>'Anlage 3a_Zusammenfassung_KWKG'!C3214</f>
        <v>0</v>
      </c>
      <c r="D1477" s="854">
        <f t="shared" si="44"/>
        <v>37882608.149999999</v>
      </c>
      <c r="E1477" t="s">
        <v>1373</v>
      </c>
    </row>
    <row r="1478" spans="1:5" hidden="1" outlineLevel="2">
      <c r="A1478" s="853" t="str">
        <f>'Anlage 2a_Letztverbrauch'!A555</f>
        <v>SNB973056451075</v>
      </c>
      <c r="B1478" s="422">
        <f>+'Anlage 2a_Letztverbrauch'!I555</f>
        <v>109533128.91</v>
      </c>
      <c r="C1478" s="352">
        <f>'Anlage 3a_Zusammenfassung_KWKG'!C3215</f>
        <v>0</v>
      </c>
      <c r="D1478" s="854">
        <f t="shared" si="44"/>
        <v>109533128.91</v>
      </c>
      <c r="E1478" t="s">
        <v>1678</v>
      </c>
    </row>
    <row r="1479" spans="1:5" hidden="1" outlineLevel="2">
      <c r="A1479" s="853" t="str">
        <f>'Anlage 2a_Letztverbrauch'!A556</f>
        <v>SNB943915605062</v>
      </c>
      <c r="B1479" s="422">
        <f>+'Anlage 2a_Letztverbrauch'!I556</f>
        <v>26842838</v>
      </c>
      <c r="C1479" s="352">
        <f>'Anlage 3a_Zusammenfassung_KWKG'!C3216</f>
        <v>0</v>
      </c>
      <c r="D1479" s="854">
        <f t="shared" si="44"/>
        <v>26842838</v>
      </c>
      <c r="E1479" t="s">
        <v>1457</v>
      </c>
    </row>
    <row r="1480" spans="1:5" hidden="1" outlineLevel="2">
      <c r="A1480" s="853" t="str">
        <f>'Anlage 2a_Letztverbrauch'!A557</f>
        <v>SNB965557517831</v>
      </c>
      <c r="B1480" s="422">
        <f>+'Anlage 2a_Letztverbrauch'!I557</f>
        <v>126364635</v>
      </c>
      <c r="C1480" s="352">
        <f>'Anlage 3a_Zusammenfassung_KWKG'!C3217</f>
        <v>3252289</v>
      </c>
      <c r="D1480" s="854">
        <f t="shared" si="44"/>
        <v>129616924</v>
      </c>
      <c r="E1480" t="s">
        <v>1615</v>
      </c>
    </row>
    <row r="1481" spans="1:5" hidden="1" outlineLevel="2">
      <c r="A1481" s="853" t="str">
        <f>'Anlage 2a_Letztverbrauch'!A558</f>
        <v>SNB922051401837</v>
      </c>
      <c r="B1481" s="422">
        <f>+'Anlage 2a_Letztverbrauch'!I558</f>
        <v>17508215</v>
      </c>
      <c r="C1481" s="352">
        <f>'Anlage 3a_Zusammenfassung_KWKG'!C3218</f>
        <v>140918</v>
      </c>
      <c r="D1481" s="854">
        <f t="shared" si="44"/>
        <v>17649133</v>
      </c>
      <c r="E1481" t="s">
        <v>1315</v>
      </c>
    </row>
    <row r="1482" spans="1:5" hidden="1" outlineLevel="2">
      <c r="A1482" s="853" t="str">
        <f>'Anlage 2a_Letztverbrauch'!A559</f>
        <v>SNB917615238004</v>
      </c>
      <c r="B1482" s="422">
        <f>+'Anlage 2a_Letztverbrauch'!I559</f>
        <v>78387692</v>
      </c>
      <c r="C1482" s="352">
        <f>'Anlage 3a_Zusammenfassung_KWKG'!C3219</f>
        <v>-126514</v>
      </c>
      <c r="D1482" s="854">
        <f t="shared" si="44"/>
        <v>78261178</v>
      </c>
      <c r="E1482" t="s">
        <v>1292</v>
      </c>
    </row>
    <row r="1483" spans="1:5" hidden="1" outlineLevel="2">
      <c r="A1483" s="853" t="str">
        <f>'Anlage 2a_Letztverbrauch'!A560</f>
        <v>SNB916672506194</v>
      </c>
      <c r="B1483" s="422">
        <f>+'Anlage 2a_Letztverbrauch'!I560</f>
        <v>16737937</v>
      </c>
      <c r="C1483" s="352">
        <f>'Anlage 3a_Zusammenfassung_KWKG'!C3220</f>
        <v>0</v>
      </c>
      <c r="D1483" s="854">
        <f t="shared" si="44"/>
        <v>16737937</v>
      </c>
      <c r="E1483" t="s">
        <v>1280</v>
      </c>
    </row>
    <row r="1484" spans="1:5" hidden="1" outlineLevel="2">
      <c r="A1484" s="853" t="str">
        <f>'Anlage 2a_Letztverbrauch'!A561</f>
        <v>SNB978299965228</v>
      </c>
      <c r="B1484" s="422">
        <f>+'Anlage 2a_Letztverbrauch'!I561</f>
        <v>10623036</v>
      </c>
      <c r="C1484" s="352">
        <f>'Anlage 3a_Zusammenfassung_KWKG'!C3221</f>
        <v>-107830</v>
      </c>
      <c r="D1484" s="854">
        <f t="shared" si="44"/>
        <v>10515206</v>
      </c>
      <c r="E1484" t="s">
        <v>1717</v>
      </c>
    </row>
    <row r="1485" spans="1:5" hidden="1" outlineLevel="2">
      <c r="A1485" s="853" t="str">
        <f>'Anlage 2a_Letztverbrauch'!A562</f>
        <v>SNB975659838086</v>
      </c>
      <c r="B1485" s="422">
        <f>+'Anlage 2a_Letztverbrauch'!I562</f>
        <v>173843294</v>
      </c>
      <c r="C1485" s="352">
        <f>'Anlage 3a_Zusammenfassung_KWKG'!C3222</f>
        <v>0</v>
      </c>
      <c r="D1485" s="854">
        <f t="shared" si="44"/>
        <v>173843294</v>
      </c>
      <c r="E1485" t="s">
        <v>1695</v>
      </c>
    </row>
    <row r="1486" spans="1:5" hidden="1" outlineLevel="2">
      <c r="A1486" s="853" t="str">
        <f>'Anlage 2a_Letztverbrauch'!A563</f>
        <v>SNB924332586844</v>
      </c>
      <c r="B1486" s="422">
        <f>+'Anlage 2a_Letztverbrauch'!I563</f>
        <v>29262440</v>
      </c>
      <c r="C1486" s="352">
        <f>'Anlage 3a_Zusammenfassung_KWKG'!C3223</f>
        <v>-47377</v>
      </c>
      <c r="D1486" s="854">
        <f t="shared" si="44"/>
        <v>29215063</v>
      </c>
      <c r="E1486" t="s">
        <v>1325</v>
      </c>
    </row>
    <row r="1487" spans="1:5" hidden="1" outlineLevel="2">
      <c r="A1487" s="853" t="str">
        <f>'Anlage 2a_Letztverbrauch'!A564</f>
        <v>SNB980412578185</v>
      </c>
      <c r="B1487" s="422">
        <f>+'Anlage 2a_Letztverbrauch'!I564</f>
        <v>33590327</v>
      </c>
      <c r="C1487" s="352">
        <f>'Anlage 3a_Zusammenfassung_KWKG'!C3224</f>
        <v>0</v>
      </c>
      <c r="D1487" s="854">
        <f t="shared" si="44"/>
        <v>33590327</v>
      </c>
      <c r="E1487" t="s">
        <v>1731</v>
      </c>
    </row>
    <row r="1488" spans="1:5" hidden="1" outlineLevel="2">
      <c r="A1488" s="853" t="str">
        <f>'Anlage 2a_Letztverbrauch'!A565</f>
        <v>SNB975801091031</v>
      </c>
      <c r="B1488" s="422">
        <f>+'Anlage 2a_Letztverbrauch'!I565</f>
        <v>6155362</v>
      </c>
      <c r="C1488" s="352">
        <f>'Anlage 3a_Zusammenfassung_KWKG'!C3225</f>
        <v>-3141</v>
      </c>
      <c r="D1488" s="854">
        <f t="shared" ref="D1488:D1551" si="45">SUM(B1488:C1488)</f>
        <v>6152221</v>
      </c>
      <c r="E1488" t="s">
        <v>1697</v>
      </c>
    </row>
    <row r="1489" spans="1:5" hidden="1" outlineLevel="2">
      <c r="A1489" s="853" t="str">
        <f>'Anlage 2a_Letztverbrauch'!A566</f>
        <v>SNB980181102130</v>
      </c>
      <c r="B1489" s="422">
        <f>+'Anlage 2a_Letztverbrauch'!I566</f>
        <v>33361624</v>
      </c>
      <c r="C1489" s="352">
        <f>'Anlage 3a_Zusammenfassung_KWKG'!C3226</f>
        <v>126481</v>
      </c>
      <c r="D1489" s="854">
        <f t="shared" si="45"/>
        <v>33488105</v>
      </c>
      <c r="E1489" t="s">
        <v>1727</v>
      </c>
    </row>
    <row r="1490" spans="1:5" hidden="1" outlineLevel="2">
      <c r="A1490" s="853" t="str">
        <f>'Anlage 2a_Letztverbrauch'!A567</f>
        <v>SNB916711029424</v>
      </c>
      <c r="B1490" s="422">
        <f>+'Anlage 2a_Letztverbrauch'!I567</f>
        <v>16086968</v>
      </c>
      <c r="C1490" s="352">
        <f>'Anlage 3a_Zusammenfassung_KWKG'!C3227</f>
        <v>0</v>
      </c>
      <c r="D1490" s="854">
        <f t="shared" si="45"/>
        <v>16086968</v>
      </c>
      <c r="E1490" t="s">
        <v>1282</v>
      </c>
    </row>
    <row r="1491" spans="1:5" hidden="1" outlineLevel="2">
      <c r="A1491" s="853" t="str">
        <f>'Anlage 2a_Letztverbrauch'!A568</f>
        <v>SNB990329664031</v>
      </c>
      <c r="B1491" s="422">
        <f>+'Anlage 2a_Letztverbrauch'!I568</f>
        <v>8586119</v>
      </c>
      <c r="C1491" s="352">
        <f>'Anlage 3a_Zusammenfassung_KWKG'!C3228</f>
        <v>-9745</v>
      </c>
      <c r="D1491" s="854">
        <f t="shared" si="45"/>
        <v>8576374</v>
      </c>
      <c r="E1491" t="s">
        <v>1803</v>
      </c>
    </row>
    <row r="1492" spans="1:5" hidden="1" outlineLevel="2">
      <c r="A1492" s="853" t="str">
        <f>'Anlage 2a_Letztverbrauch'!A569</f>
        <v>SNB938620426132</v>
      </c>
      <c r="B1492" s="422">
        <f>+'Anlage 2a_Letztverbrauch'!I569</f>
        <v>27894215</v>
      </c>
      <c r="C1492" s="352">
        <f>'Anlage 3a_Zusammenfassung_KWKG'!C3229</f>
        <v>0</v>
      </c>
      <c r="D1492" s="854">
        <f t="shared" si="45"/>
        <v>27894215</v>
      </c>
      <c r="E1492" t="s">
        <v>1419</v>
      </c>
    </row>
    <row r="1493" spans="1:5" hidden="1" outlineLevel="2">
      <c r="A1493" s="853" t="str">
        <f>'Anlage 2a_Letztverbrauch'!A570</f>
        <v>SNB925861098273</v>
      </c>
      <c r="B1493" s="422">
        <f>+'Anlage 2a_Letztverbrauch'!I570</f>
        <v>21171996</v>
      </c>
      <c r="C1493" s="352">
        <f>'Anlage 3a_Zusammenfassung_KWKG'!C3230</f>
        <v>0</v>
      </c>
      <c r="D1493" s="854">
        <f t="shared" si="45"/>
        <v>21171996</v>
      </c>
      <c r="E1493" t="s">
        <v>1339</v>
      </c>
    </row>
    <row r="1494" spans="1:5" hidden="1" outlineLevel="2">
      <c r="A1494" s="853" t="str">
        <f>'Anlage 2a_Letztverbrauch'!A571</f>
        <v>SNB922220582657</v>
      </c>
      <c r="B1494" s="422">
        <f>+'Anlage 2a_Letztverbrauch'!I571</f>
        <v>377081321</v>
      </c>
      <c r="C1494" s="352">
        <f>'Anlage 3a_Zusammenfassung_KWKG'!C3231</f>
        <v>-2232322.6850000001</v>
      </c>
      <c r="D1494" s="854">
        <f t="shared" si="45"/>
        <v>374848998.315</v>
      </c>
      <c r="E1494" t="s">
        <v>1317</v>
      </c>
    </row>
    <row r="1495" spans="1:5" hidden="1" outlineLevel="2">
      <c r="A1495" s="853" t="str">
        <f>'Anlage 2a_Letztverbrauch'!A572</f>
        <v>SNB917574266223</v>
      </c>
      <c r="B1495" s="422">
        <f>+'Anlage 2a_Letztverbrauch'!I572</f>
        <v>81801897</v>
      </c>
      <c r="C1495" s="352">
        <f>'Anlage 3a_Zusammenfassung_KWKG'!C3232</f>
        <v>0</v>
      </c>
      <c r="D1495" s="854">
        <f t="shared" si="45"/>
        <v>81801897</v>
      </c>
      <c r="E1495" t="s">
        <v>1290</v>
      </c>
    </row>
    <row r="1496" spans="1:5" hidden="1" outlineLevel="2">
      <c r="A1496" s="853" t="str">
        <f>'Anlage 2a_Letztverbrauch'!A573</f>
        <v>SNB946137378622</v>
      </c>
      <c r="B1496" s="422">
        <f>+'Anlage 2a_Letztverbrauch'!I573</f>
        <v>131803354</v>
      </c>
      <c r="C1496" s="352">
        <f>'Anlage 3a_Zusammenfassung_KWKG'!C3233</f>
        <v>-635764</v>
      </c>
      <c r="D1496" s="854">
        <f t="shared" si="45"/>
        <v>131167590</v>
      </c>
      <c r="E1496" t="s">
        <v>1477</v>
      </c>
    </row>
    <row r="1497" spans="1:5" hidden="1" outlineLevel="2">
      <c r="A1497" s="853" t="str">
        <f>'Anlage 2a_Letztverbrauch'!A574</f>
        <v>SNB947553215997</v>
      </c>
      <c r="B1497" s="422">
        <f>+'Anlage 2a_Letztverbrauch'!I574</f>
        <v>3221612</v>
      </c>
      <c r="C1497" s="352">
        <f>'Anlage 3a_Zusammenfassung_KWKG'!C3234</f>
        <v>0</v>
      </c>
      <c r="D1497" s="854">
        <f t="shared" si="45"/>
        <v>3221612</v>
      </c>
      <c r="E1497" t="s">
        <v>2207</v>
      </c>
    </row>
    <row r="1498" spans="1:5" hidden="1" outlineLevel="2">
      <c r="A1498" s="853" t="str">
        <f>'Anlage 2a_Letztverbrauch'!A575</f>
        <v>SNB977253144464</v>
      </c>
      <c r="B1498" s="422">
        <f>+'Anlage 2a_Letztverbrauch'!I575</f>
        <v>28062721</v>
      </c>
      <c r="C1498" s="352">
        <f>'Anlage 3a_Zusammenfassung_KWKG'!C3235</f>
        <v>0</v>
      </c>
      <c r="D1498" s="854">
        <f t="shared" si="45"/>
        <v>28062721</v>
      </c>
      <c r="E1498" t="s">
        <v>1709</v>
      </c>
    </row>
    <row r="1499" spans="1:5" hidden="1" outlineLevel="2">
      <c r="A1499" s="853" t="str">
        <f>'Anlage 2a_Letztverbrauch'!A576</f>
        <v>SNB967967636034</v>
      </c>
      <c r="B1499" s="422">
        <f>+'Anlage 2a_Letztverbrauch'!I576</f>
        <v>51359100</v>
      </c>
      <c r="C1499" s="352">
        <f>'Anlage 3a_Zusammenfassung_KWKG'!C3236</f>
        <v>-50443</v>
      </c>
      <c r="D1499" s="854">
        <f t="shared" si="45"/>
        <v>51308657</v>
      </c>
      <c r="E1499" t="s">
        <v>1639</v>
      </c>
    </row>
    <row r="1500" spans="1:5" hidden="1" outlineLevel="2">
      <c r="A1500" s="853" t="str">
        <f>'Anlage 2a_Letztverbrauch'!A577</f>
        <v>SNB966216072913</v>
      </c>
      <c r="B1500" s="422">
        <f>+'Anlage 2a_Letztverbrauch'!I577</f>
        <v>37338714</v>
      </c>
      <c r="C1500" s="352">
        <f>'Anlage 3a_Zusammenfassung_KWKG'!C3237</f>
        <v>120573</v>
      </c>
      <c r="D1500" s="854">
        <f t="shared" si="45"/>
        <v>37459287</v>
      </c>
      <c r="E1500" t="s">
        <v>1625</v>
      </c>
    </row>
    <row r="1501" spans="1:5" hidden="1" outlineLevel="2">
      <c r="A1501" s="853" t="str">
        <f>'Anlage 2a_Letztverbrauch'!A578</f>
        <v>SNB985965721965</v>
      </c>
      <c r="B1501" s="422">
        <f>+'Anlage 2a_Letztverbrauch'!I578</f>
        <v>327638027</v>
      </c>
      <c r="C1501" s="352">
        <f>'Anlage 3a_Zusammenfassung_KWKG'!C3238</f>
        <v>28137</v>
      </c>
      <c r="D1501" s="854">
        <f t="shared" si="45"/>
        <v>327666164</v>
      </c>
      <c r="E1501" t="s">
        <v>1781</v>
      </c>
    </row>
    <row r="1502" spans="1:5" hidden="1" outlineLevel="2">
      <c r="A1502" s="853" t="str">
        <f>'Anlage 2a_Letztverbrauch'!A579</f>
        <v>SNB967782555602</v>
      </c>
      <c r="B1502" s="422">
        <f>+'Anlage 2a_Letztverbrauch'!I579</f>
        <v>356826311</v>
      </c>
      <c r="C1502" s="352">
        <f>'Anlage 3a_Zusammenfassung_KWKG'!C3239</f>
        <v>-6471548.9020000007</v>
      </c>
      <c r="D1502" s="854">
        <f t="shared" si="45"/>
        <v>350354762.09799999</v>
      </c>
      <c r="E1502" t="s">
        <v>1635</v>
      </c>
    </row>
    <row r="1503" spans="1:5" hidden="1" outlineLevel="2">
      <c r="A1503" s="853" t="str">
        <f>'Anlage 2a_Letztverbrauch'!A580</f>
        <v>SNB914735995145</v>
      </c>
      <c r="B1503" s="422">
        <f>+'Anlage 2a_Letztverbrauch'!I580</f>
        <v>17945009</v>
      </c>
      <c r="C1503" s="352">
        <f>'Anlage 3a_Zusammenfassung_KWKG'!C3240</f>
        <v>-138727</v>
      </c>
      <c r="D1503" s="854">
        <f t="shared" si="45"/>
        <v>17806282</v>
      </c>
      <c r="E1503" t="s">
        <v>1262</v>
      </c>
    </row>
    <row r="1504" spans="1:5" hidden="1" outlineLevel="2">
      <c r="A1504" s="853" t="str">
        <f>'Anlage 2a_Letztverbrauch'!A581</f>
        <v>SNB939431117011</v>
      </c>
      <c r="B1504" s="422">
        <f>+'Anlage 2a_Letztverbrauch'!I581</f>
        <v>16591871</v>
      </c>
      <c r="C1504" s="352">
        <f>'Anlage 3a_Zusammenfassung_KWKG'!C3241</f>
        <v>0</v>
      </c>
      <c r="D1504" s="854">
        <f t="shared" si="45"/>
        <v>16591871</v>
      </c>
      <c r="E1504" t="s">
        <v>1423</v>
      </c>
    </row>
    <row r="1505" spans="1:5" hidden="1" outlineLevel="2">
      <c r="A1505" s="853" t="str">
        <f>'Anlage 2a_Letztverbrauch'!A582</f>
        <v>SNB949422762892</v>
      </c>
      <c r="B1505" s="422">
        <f>+'Anlage 2a_Letztverbrauch'!I582</f>
        <v>20845800</v>
      </c>
      <c r="C1505" s="352">
        <f>'Anlage 3a_Zusammenfassung_KWKG'!C3242</f>
        <v>29438</v>
      </c>
      <c r="D1505" s="854">
        <f t="shared" si="45"/>
        <v>20875238</v>
      </c>
      <c r="E1505" t="s">
        <v>1503</v>
      </c>
    </row>
    <row r="1506" spans="1:5" hidden="1" outlineLevel="2">
      <c r="A1506" s="853" t="str">
        <f>'Anlage 2a_Letztverbrauch'!A583</f>
        <v>SNB924793953759</v>
      </c>
      <c r="B1506" s="422">
        <f>+'Anlage 2a_Letztverbrauch'!I583</f>
        <v>138661377</v>
      </c>
      <c r="C1506" s="352">
        <f>'Anlage 3a_Zusammenfassung_KWKG'!C3243</f>
        <v>0</v>
      </c>
      <c r="D1506" s="854">
        <f t="shared" si="45"/>
        <v>138661377</v>
      </c>
      <c r="E1506" t="s">
        <v>1333</v>
      </c>
    </row>
    <row r="1507" spans="1:5" hidden="1" outlineLevel="2">
      <c r="A1507" s="853" t="str">
        <f>'Anlage 2a_Letztverbrauch'!A584</f>
        <v>SNB960060046328</v>
      </c>
      <c r="B1507" s="422">
        <f>+'Anlage 2a_Letztverbrauch'!I584</f>
        <v>89774141.165999994</v>
      </c>
      <c r="C1507" s="352">
        <f>'Anlage 3a_Zusammenfassung_KWKG'!C3244</f>
        <v>760018</v>
      </c>
      <c r="D1507" s="854">
        <f t="shared" si="45"/>
        <v>90534159.165999994</v>
      </c>
      <c r="E1507" t="s">
        <v>1577</v>
      </c>
    </row>
    <row r="1508" spans="1:5" hidden="1" outlineLevel="2">
      <c r="A1508" s="853" t="str">
        <f>'Anlage 2a_Letztverbrauch'!A585</f>
        <v>SNB964802985821</v>
      </c>
      <c r="B1508" s="422">
        <f>+'Anlage 2a_Letztverbrauch'!I585</f>
        <v>24545233</v>
      </c>
      <c r="C1508" s="352">
        <f>'Anlage 3a_Zusammenfassung_KWKG'!C3245</f>
        <v>0</v>
      </c>
      <c r="D1508" s="854">
        <f t="shared" si="45"/>
        <v>24545233</v>
      </c>
      <c r="E1508" t="s">
        <v>1609</v>
      </c>
    </row>
    <row r="1509" spans="1:5" hidden="1" outlineLevel="2">
      <c r="A1509" s="853" t="str">
        <f>'Anlage 2a_Letztverbrauch'!A586</f>
        <v>SNB914149166902</v>
      </c>
      <c r="B1509" s="422">
        <f>+'Anlage 2a_Letztverbrauch'!I586</f>
        <v>116856771</v>
      </c>
      <c r="C1509" s="352">
        <f>'Anlage 3a_Zusammenfassung_KWKG'!C3246</f>
        <v>0</v>
      </c>
      <c r="D1509" s="854">
        <f t="shared" si="45"/>
        <v>116856771</v>
      </c>
      <c r="E1509" t="s">
        <v>1256</v>
      </c>
    </row>
    <row r="1510" spans="1:5" hidden="1" outlineLevel="2">
      <c r="A1510" s="853" t="str">
        <f>'Anlage 2a_Letztverbrauch'!A587</f>
        <v>SNB964137069203</v>
      </c>
      <c r="B1510" s="422">
        <f>+'Anlage 2a_Letztverbrauch'!I587</f>
        <v>42531520</v>
      </c>
      <c r="C1510" s="352">
        <f>'Anlage 3a_Zusammenfassung_KWKG'!C3247</f>
        <v>-12443</v>
      </c>
      <c r="D1510" s="854">
        <f t="shared" si="45"/>
        <v>42519077</v>
      </c>
      <c r="E1510" t="s">
        <v>1603</v>
      </c>
    </row>
    <row r="1511" spans="1:5" hidden="1" outlineLevel="2">
      <c r="A1511" s="853" t="str">
        <f>'Anlage 2a_Letztverbrauch'!A588</f>
        <v>SNB928258126528</v>
      </c>
      <c r="B1511" s="422">
        <f>+'Anlage 2a_Letztverbrauch'!I588</f>
        <v>98578310</v>
      </c>
      <c r="C1511" s="352">
        <f>'Anlage 3a_Zusammenfassung_KWKG'!C3248</f>
        <v>-219925</v>
      </c>
      <c r="D1511" s="854">
        <f t="shared" si="45"/>
        <v>98358385</v>
      </c>
      <c r="E1511" t="s">
        <v>1355</v>
      </c>
    </row>
    <row r="1512" spans="1:5" hidden="1" outlineLevel="2">
      <c r="A1512" s="853" t="str">
        <f>'Anlage 2a_Letztverbrauch'!A589</f>
        <v>SNB942238573102</v>
      </c>
      <c r="B1512" s="422">
        <f>+'Anlage 2a_Letztverbrauch'!I589</f>
        <v>2071500984</v>
      </c>
      <c r="C1512" s="352">
        <f>'Anlage 3a_Zusammenfassung_KWKG'!C3249</f>
        <v>0</v>
      </c>
      <c r="D1512" s="854">
        <f t="shared" si="45"/>
        <v>2071500984</v>
      </c>
      <c r="E1512" t="s">
        <v>1447</v>
      </c>
    </row>
    <row r="1513" spans="1:5" hidden="1" outlineLevel="2">
      <c r="A1513" s="853" t="str">
        <f>'Anlage 2a_Letztverbrauch'!A590</f>
        <v>SNB971641248901</v>
      </c>
      <c r="B1513" s="422">
        <f>+'Anlage 2a_Letztverbrauch'!I590</f>
        <v>219229464</v>
      </c>
      <c r="C1513" s="352">
        <f>'Anlage 3a_Zusammenfassung_KWKG'!C3250</f>
        <v>131966</v>
      </c>
      <c r="D1513" s="854">
        <f t="shared" si="45"/>
        <v>219361430</v>
      </c>
      <c r="E1513" t="s">
        <v>1665</v>
      </c>
    </row>
    <row r="1514" spans="1:5" hidden="1" outlineLevel="2">
      <c r="A1514" s="853" t="str">
        <f>'Anlage 2a_Letztverbrauch'!A591</f>
        <v>SNB987617847795</v>
      </c>
      <c r="B1514" s="422">
        <f>+'Anlage 2a_Letztverbrauch'!I591</f>
        <v>16097468</v>
      </c>
      <c r="C1514" s="352">
        <f>'Anlage 3a_Zusammenfassung_KWKG'!C3251</f>
        <v>0</v>
      </c>
      <c r="D1514" s="854">
        <f t="shared" si="45"/>
        <v>16097468</v>
      </c>
      <c r="E1514" t="s">
        <v>1789</v>
      </c>
    </row>
    <row r="1515" spans="1:5" hidden="1" outlineLevel="2">
      <c r="A1515" s="853" t="str">
        <f>'Anlage 2a_Letztverbrauch'!A592</f>
        <v>SNB969473762610</v>
      </c>
      <c r="B1515" s="422">
        <f>+'Anlage 2a_Letztverbrauch'!I592</f>
        <v>6372755778</v>
      </c>
      <c r="C1515" s="352">
        <f>'Anlage 3a_Zusammenfassung_KWKG'!C3252</f>
        <v>26964954.467999995</v>
      </c>
      <c r="D1515" s="854">
        <f t="shared" si="45"/>
        <v>6399720732.4680004</v>
      </c>
      <c r="E1515" t="s">
        <v>1651</v>
      </c>
    </row>
    <row r="1516" spans="1:5" hidden="1" outlineLevel="2">
      <c r="A1516" s="853" t="str">
        <f>'Anlage 2a_Letztverbrauch'!A593</f>
        <v>SNB967490557615</v>
      </c>
      <c r="B1516" s="422">
        <f>+'Anlage 2a_Letztverbrauch'!I593</f>
        <v>48806016</v>
      </c>
      <c r="C1516" s="352">
        <f>'Anlage 3a_Zusammenfassung_KWKG'!C3253</f>
        <v>-3234957</v>
      </c>
      <c r="D1516" s="854">
        <f t="shared" si="45"/>
        <v>45571059</v>
      </c>
      <c r="E1516" t="s">
        <v>1633</v>
      </c>
    </row>
    <row r="1517" spans="1:5" hidden="1" outlineLevel="2">
      <c r="A1517" s="853" t="str">
        <f>'Anlage 2a_Letztverbrauch'!A594</f>
        <v>SNB926644622999</v>
      </c>
      <c r="B1517" s="422">
        <f>+'Anlage 2a_Letztverbrauch'!I594</f>
        <v>974279372</v>
      </c>
      <c r="C1517" s="352">
        <f>'Anlage 3a_Zusammenfassung_KWKG'!C3254</f>
        <v>0</v>
      </c>
      <c r="D1517" s="854">
        <f t="shared" si="45"/>
        <v>974279372</v>
      </c>
      <c r="E1517" t="s">
        <v>1345</v>
      </c>
    </row>
    <row r="1518" spans="1:5" hidden="1" outlineLevel="2">
      <c r="A1518" s="853" t="str">
        <f>'Anlage 2a_Letztverbrauch'!A595</f>
        <v>SNB934967462406</v>
      </c>
      <c r="B1518" s="422">
        <f>+'Anlage 2a_Letztverbrauch'!I595</f>
        <v>26878369</v>
      </c>
      <c r="C1518" s="352">
        <f>'Anlage 3a_Zusammenfassung_KWKG'!C3255</f>
        <v>0</v>
      </c>
      <c r="D1518" s="854">
        <f t="shared" si="45"/>
        <v>26878369</v>
      </c>
      <c r="E1518" t="s">
        <v>1399</v>
      </c>
    </row>
    <row r="1519" spans="1:5" hidden="1" outlineLevel="2">
      <c r="A1519" s="853" t="str">
        <f>'Anlage 2a_Letztverbrauch'!A596</f>
        <v>SNB913273314623</v>
      </c>
      <c r="B1519" s="422">
        <f>+'Anlage 2a_Letztverbrauch'!I596</f>
        <v>37095395</v>
      </c>
      <c r="C1519" s="352">
        <f>'Anlage 3a_Zusammenfassung_KWKG'!C3256</f>
        <v>0</v>
      </c>
      <c r="D1519" s="854">
        <f t="shared" si="45"/>
        <v>37095395</v>
      </c>
      <c r="E1519" t="s">
        <v>1245</v>
      </c>
    </row>
    <row r="1520" spans="1:5" hidden="1" outlineLevel="2">
      <c r="A1520" s="853" t="str">
        <f>'Anlage 2a_Letztverbrauch'!A597</f>
        <v>SNB919649671758</v>
      </c>
      <c r="B1520" s="422">
        <f>+'Anlage 2a_Letztverbrauch'!I597</f>
        <v>58146065</v>
      </c>
      <c r="C1520" s="352">
        <f>'Anlage 3a_Zusammenfassung_KWKG'!C3257</f>
        <v>0</v>
      </c>
      <c r="D1520" s="854">
        <f t="shared" si="45"/>
        <v>58146065</v>
      </c>
      <c r="E1520" t="s">
        <v>1302</v>
      </c>
    </row>
    <row r="1521" spans="1:5" hidden="1" outlineLevel="2">
      <c r="A1521" s="853" t="str">
        <f>'Anlage 2a_Letztverbrauch'!A598</f>
        <v>SNB944601935326</v>
      </c>
      <c r="B1521" s="422">
        <f>+'Anlage 2a_Letztverbrauch'!I598</f>
        <v>63699095</v>
      </c>
      <c r="C1521" s="352">
        <f>'Anlage 3a_Zusammenfassung_KWKG'!C3258</f>
        <v>0</v>
      </c>
      <c r="D1521" s="854">
        <f t="shared" si="45"/>
        <v>63699095</v>
      </c>
      <c r="E1521" t="s">
        <v>1463</v>
      </c>
    </row>
    <row r="1522" spans="1:5" hidden="1" outlineLevel="2">
      <c r="A1522" s="853" t="str">
        <f>'Anlage 2a_Letztverbrauch'!A599</f>
        <v>SNB988838479086</v>
      </c>
      <c r="B1522" s="422">
        <f>+'Anlage 2a_Letztverbrauch'!I599</f>
        <v>237172188</v>
      </c>
      <c r="C1522" s="352">
        <f>'Anlage 3a_Zusammenfassung_KWKG'!C3259</f>
        <v>1805442</v>
      </c>
      <c r="D1522" s="854">
        <f t="shared" si="45"/>
        <v>238977630</v>
      </c>
      <c r="E1522" t="s">
        <v>1795</v>
      </c>
    </row>
    <row r="1523" spans="1:5" hidden="1" outlineLevel="2">
      <c r="A1523" s="853" t="str">
        <f>'Anlage 2a_Letztverbrauch'!A600</f>
        <v>SNB955718588763</v>
      </c>
      <c r="B1523" s="422">
        <f>+'Anlage 2a_Letztverbrauch'!I600</f>
        <v>29361541</v>
      </c>
      <c r="C1523" s="352">
        <f>'Anlage 3a_Zusammenfassung_KWKG'!C3260</f>
        <v>0</v>
      </c>
      <c r="D1523" s="854">
        <f t="shared" si="45"/>
        <v>29361541</v>
      </c>
      <c r="E1523" t="s">
        <v>1547</v>
      </c>
    </row>
    <row r="1524" spans="1:5" hidden="1" outlineLevel="2">
      <c r="A1524" s="853" t="str">
        <f>'Anlage 2a_Letztverbrauch'!A601</f>
        <v>SNB939779591900</v>
      </c>
      <c r="B1524" s="422">
        <f>+'Anlage 2a_Letztverbrauch'!I601</f>
        <v>53806611</v>
      </c>
      <c r="C1524" s="352">
        <f>'Anlage 3a_Zusammenfassung_KWKG'!C3261</f>
        <v>0</v>
      </c>
      <c r="D1524" s="854">
        <f t="shared" si="45"/>
        <v>53806611</v>
      </c>
      <c r="E1524" t="s">
        <v>1427</v>
      </c>
    </row>
    <row r="1525" spans="1:5" hidden="1" outlineLevel="2">
      <c r="A1525" s="853" t="str">
        <f>'Anlage 2a_Letztverbrauch'!A602</f>
        <v>SNB983964953738</v>
      </c>
      <c r="B1525" s="422">
        <f>+'Anlage 2a_Letztverbrauch'!I602</f>
        <v>59127040</v>
      </c>
      <c r="C1525" s="352">
        <f>'Anlage 3a_Zusammenfassung_KWKG'!C3262</f>
        <v>-118433</v>
      </c>
      <c r="D1525" s="854">
        <f t="shared" si="45"/>
        <v>59008607</v>
      </c>
      <c r="E1525" t="s">
        <v>1761</v>
      </c>
    </row>
    <row r="1526" spans="1:5" hidden="1" outlineLevel="2">
      <c r="A1526" s="853" t="str">
        <f>'Anlage 2a_Letztverbrauch'!A603</f>
        <v>SNB989365725226</v>
      </c>
      <c r="B1526" s="422">
        <f>+'Anlage 2a_Letztverbrauch'!I603</f>
        <v>145306789</v>
      </c>
      <c r="C1526" s="352">
        <f>'Anlage 3a_Zusammenfassung_KWKG'!C3263</f>
        <v>-77117</v>
      </c>
      <c r="D1526" s="854">
        <f t="shared" si="45"/>
        <v>145229672</v>
      </c>
      <c r="E1526" t="s">
        <v>1799</v>
      </c>
    </row>
    <row r="1527" spans="1:5" hidden="1" outlineLevel="2">
      <c r="A1527" s="853" t="str">
        <f>'Anlage 2a_Letztverbrauch'!A604</f>
        <v>SNB922269370765</v>
      </c>
      <c r="B1527" s="422">
        <f>+'Anlage 2a_Letztverbrauch'!I604</f>
        <v>42477920</v>
      </c>
      <c r="C1527" s="352">
        <f>'Anlage 3a_Zusammenfassung_KWKG'!C3264</f>
        <v>-4315955</v>
      </c>
      <c r="D1527" s="854">
        <f t="shared" si="45"/>
        <v>38161965</v>
      </c>
      <c r="E1527" t="s">
        <v>1319</v>
      </c>
    </row>
    <row r="1528" spans="1:5" hidden="1" outlineLevel="2">
      <c r="A1528" s="853" t="str">
        <f>'Anlage 2a_Letztverbrauch'!A605</f>
        <v>SNB984334051054</v>
      </c>
      <c r="B1528" s="422">
        <f>+'Anlage 2a_Letztverbrauch'!I605</f>
        <v>21368695</v>
      </c>
      <c r="C1528" s="352">
        <f>'Anlage 3a_Zusammenfassung_KWKG'!C3265</f>
        <v>0</v>
      </c>
      <c r="D1528" s="854">
        <f t="shared" si="45"/>
        <v>21368695</v>
      </c>
      <c r="E1528" t="s">
        <v>1765</v>
      </c>
    </row>
    <row r="1529" spans="1:5" hidden="1" outlineLevel="2">
      <c r="A1529" s="853" t="str">
        <f>'Anlage 2a_Letztverbrauch'!A606</f>
        <v>SNB955248518643</v>
      </c>
      <c r="B1529" s="422">
        <f>+'Anlage 2a_Letztverbrauch'!I606</f>
        <v>23953144.850000001</v>
      </c>
      <c r="C1529" s="352">
        <f>'Anlage 3a_Zusammenfassung_KWKG'!C3266</f>
        <v>0</v>
      </c>
      <c r="D1529" s="854">
        <f t="shared" si="45"/>
        <v>23953144.850000001</v>
      </c>
      <c r="E1529" t="s">
        <v>1541</v>
      </c>
    </row>
    <row r="1530" spans="1:5" hidden="1" outlineLevel="2">
      <c r="A1530" s="853" t="str">
        <f>'Anlage 2a_Letztverbrauch'!A607</f>
        <v>SNB933386930565</v>
      </c>
      <c r="B1530" s="422">
        <f>+'Anlage 2a_Letztverbrauch'!I607</f>
        <v>54545990</v>
      </c>
      <c r="C1530" s="352">
        <f>'Anlage 3a_Zusammenfassung_KWKG'!C3267</f>
        <v>0</v>
      </c>
      <c r="D1530" s="854">
        <f t="shared" si="45"/>
        <v>54545990</v>
      </c>
      <c r="E1530" t="s">
        <v>1397</v>
      </c>
    </row>
    <row r="1531" spans="1:5" hidden="1" outlineLevel="2">
      <c r="A1531" s="853" t="str">
        <f>'Anlage 2a_Letztverbrauch'!A608</f>
        <v>SNB973742186519</v>
      </c>
      <c r="B1531" s="422">
        <f>+'Anlage 2a_Letztverbrauch'!I608</f>
        <v>955752187</v>
      </c>
      <c r="C1531" s="352">
        <f>'Anlage 3a_Zusammenfassung_KWKG'!C3268</f>
        <v>0</v>
      </c>
      <c r="D1531" s="854">
        <f t="shared" si="45"/>
        <v>955752187</v>
      </c>
      <c r="E1531" t="s">
        <v>1682</v>
      </c>
    </row>
    <row r="1532" spans="1:5" hidden="1" outlineLevel="2">
      <c r="A1532" s="853" t="str">
        <f>'Anlage 2a_Letztverbrauch'!A609</f>
        <v>SNB977966674678</v>
      </c>
      <c r="B1532" s="422">
        <f>+'Anlage 2a_Letztverbrauch'!I609</f>
        <v>6068789</v>
      </c>
      <c r="C1532" s="352">
        <f>'Anlage 3a_Zusammenfassung_KWKG'!C3269</f>
        <v>0</v>
      </c>
      <c r="D1532" s="854">
        <f t="shared" si="45"/>
        <v>6068789</v>
      </c>
      <c r="E1532" t="s">
        <v>2209</v>
      </c>
    </row>
    <row r="1533" spans="1:5" hidden="1" outlineLevel="2">
      <c r="A1533" s="853" t="str">
        <f>'Anlage 2a_Letztverbrauch'!A610</f>
        <v>SNB984571613121</v>
      </c>
      <c r="B1533" s="422">
        <f>+'Anlage 2a_Letztverbrauch'!I610</f>
        <v>20084731.579999998</v>
      </c>
      <c r="C1533" s="352">
        <f>'Anlage 3a_Zusammenfassung_KWKG'!C3270</f>
        <v>624668</v>
      </c>
      <c r="D1533" s="854">
        <f t="shared" si="45"/>
        <v>20709399.579999998</v>
      </c>
      <c r="E1533" t="s">
        <v>1767</v>
      </c>
    </row>
    <row r="1534" spans="1:5" hidden="1" outlineLevel="2">
      <c r="A1534" s="853" t="str">
        <f>'Anlage 2a_Letztverbrauch'!A611</f>
        <v>SNB942257679137</v>
      </c>
      <c r="B1534" s="422">
        <f>+'Anlage 2a_Letztverbrauch'!I611</f>
        <v>179004023</v>
      </c>
      <c r="C1534" s="352">
        <f>'Anlage 3a_Zusammenfassung_KWKG'!C3271</f>
        <v>-7019317</v>
      </c>
      <c r="D1534" s="854">
        <f t="shared" si="45"/>
        <v>171984706</v>
      </c>
      <c r="E1534" t="s">
        <v>1449</v>
      </c>
    </row>
    <row r="1535" spans="1:5" hidden="1" outlineLevel="2">
      <c r="A1535" s="853" t="str">
        <f>'Anlage 2a_Letztverbrauch'!A612</f>
        <v>SNB947683785568</v>
      </c>
      <c r="B1535" s="422">
        <f>+'Anlage 2a_Letztverbrauch'!I612</f>
        <v>15870817</v>
      </c>
      <c r="C1535" s="352">
        <f>'Anlage 3a_Zusammenfassung_KWKG'!C3272</f>
        <v>0</v>
      </c>
      <c r="D1535" s="854">
        <f t="shared" si="45"/>
        <v>15870817</v>
      </c>
      <c r="E1535" t="s">
        <v>1491</v>
      </c>
    </row>
    <row r="1536" spans="1:5" hidden="1" outlineLevel="2">
      <c r="A1536" s="853" t="str">
        <f>'Anlage 2a_Letztverbrauch'!A613</f>
        <v>SNB980054996408</v>
      </c>
      <c r="B1536" s="422">
        <f>+'Anlage 2a_Letztverbrauch'!I613</f>
        <v>120367462</v>
      </c>
      <c r="C1536" s="352">
        <f>'Anlage 3a_Zusammenfassung_KWKG'!C3273</f>
        <v>182539</v>
      </c>
      <c r="D1536" s="854">
        <f t="shared" si="45"/>
        <v>120550001</v>
      </c>
      <c r="E1536" t="s">
        <v>1725</v>
      </c>
    </row>
    <row r="1537" spans="1:5" hidden="1" outlineLevel="2">
      <c r="A1537" s="853" t="str">
        <f>'Anlage 2a_Letztverbrauch'!A614</f>
        <v>SNB915728555230</v>
      </c>
      <c r="B1537" s="422">
        <f>+'Anlage 2a_Letztverbrauch'!I614</f>
        <v>15065588</v>
      </c>
      <c r="C1537" s="352">
        <f>'Anlage 3a_Zusammenfassung_KWKG'!C3274</f>
        <v>0</v>
      </c>
      <c r="D1537" s="854">
        <f t="shared" si="45"/>
        <v>15065588</v>
      </c>
      <c r="E1537" t="s">
        <v>1268</v>
      </c>
    </row>
    <row r="1538" spans="1:5" hidden="1" outlineLevel="2">
      <c r="A1538" s="853" t="str">
        <f>'Anlage 2a_Letztverbrauch'!A615</f>
        <v>SNB928992067729</v>
      </c>
      <c r="B1538" s="422">
        <f>+'Anlage 2a_Letztverbrauch'!I615</f>
        <v>343651751</v>
      </c>
      <c r="C1538" s="352">
        <f>'Anlage 3a_Zusammenfassung_KWKG'!C3275</f>
        <v>0</v>
      </c>
      <c r="D1538" s="854">
        <f t="shared" si="45"/>
        <v>343651751</v>
      </c>
      <c r="E1538" t="s">
        <v>1359</v>
      </c>
    </row>
    <row r="1539" spans="1:5" hidden="1" outlineLevel="2">
      <c r="A1539" s="853" t="str">
        <f>'Anlage 2a_Letztverbrauch'!A616</f>
        <v>SNB971076036227</v>
      </c>
      <c r="B1539" s="422">
        <f>+'Anlage 2a_Letztverbrauch'!I616</f>
        <v>46356422</v>
      </c>
      <c r="C1539" s="352">
        <f>'Anlage 3a_Zusammenfassung_KWKG'!C3276</f>
        <v>0</v>
      </c>
      <c r="D1539" s="854">
        <f t="shared" si="45"/>
        <v>46356422</v>
      </c>
      <c r="E1539" t="s">
        <v>1659</v>
      </c>
    </row>
    <row r="1540" spans="1:5" hidden="1" outlineLevel="2">
      <c r="A1540" s="853" t="str">
        <f>'Anlage 2a_Letztverbrauch'!A617</f>
        <v>SNB957209230809</v>
      </c>
      <c r="B1540" s="422">
        <f>+'Anlage 2a_Letztverbrauch'!I617</f>
        <v>104431999</v>
      </c>
      <c r="C1540" s="352">
        <f>'Anlage 3a_Zusammenfassung_KWKG'!C3277</f>
        <v>-56094</v>
      </c>
      <c r="D1540" s="854">
        <f t="shared" si="45"/>
        <v>104375905</v>
      </c>
      <c r="E1540" t="s">
        <v>1553</v>
      </c>
    </row>
    <row r="1541" spans="1:5" hidden="1" outlineLevel="2">
      <c r="A1541" s="853" t="str">
        <f>'Anlage 2a_Letztverbrauch'!A618</f>
        <v>SNB911969765803</v>
      </c>
      <c r="B1541" s="422">
        <f>+'Anlage 2a_Letztverbrauch'!I618</f>
        <v>14117576</v>
      </c>
      <c r="C1541" s="352">
        <f>'Anlage 3a_Zusammenfassung_KWKG'!C3278</f>
        <v>-6612</v>
      </c>
      <c r="D1541" s="854">
        <f t="shared" si="45"/>
        <v>14110964</v>
      </c>
      <c r="E1541" t="s">
        <v>1243</v>
      </c>
    </row>
    <row r="1542" spans="1:5" hidden="1" outlineLevel="2">
      <c r="A1542" s="853" t="str">
        <f>'Anlage 2a_Letztverbrauch'!A619</f>
        <v>SNB982713229933</v>
      </c>
      <c r="B1542" s="422">
        <f>+'Anlage 2a_Letztverbrauch'!I619</f>
        <v>17216120</v>
      </c>
      <c r="C1542" s="352">
        <f>'Anlage 3a_Zusammenfassung_KWKG'!C3279</f>
        <v>-308331</v>
      </c>
      <c r="D1542" s="854">
        <f t="shared" si="45"/>
        <v>16907789</v>
      </c>
      <c r="E1542" t="s">
        <v>1753</v>
      </c>
    </row>
    <row r="1543" spans="1:5" hidden="1" outlineLevel="2">
      <c r="A1543" s="853" t="str">
        <f>'Anlage 2a_Letztverbrauch'!A620</f>
        <v>SNB918516395612</v>
      </c>
      <c r="B1543" s="422">
        <f>+'Anlage 2a_Letztverbrauch'!I620</f>
        <v>1121305613.7279999</v>
      </c>
      <c r="C1543" s="352">
        <f>'Anlage 3a_Zusammenfassung_KWKG'!C3280</f>
        <v>0</v>
      </c>
      <c r="D1543" s="854">
        <f t="shared" si="45"/>
        <v>1121305613.7279999</v>
      </c>
      <c r="E1543" t="s">
        <v>1296</v>
      </c>
    </row>
    <row r="1544" spans="1:5" hidden="1" outlineLevel="2">
      <c r="A1544" s="853" t="str">
        <f>'Anlage 2a_Letztverbrauch'!A621</f>
        <v>SNB974547197724</v>
      </c>
      <c r="B1544" s="422">
        <f>+'Anlage 2a_Letztverbrauch'!I621</f>
        <v>154953697.58700001</v>
      </c>
      <c r="C1544" s="352">
        <f>'Anlage 3a_Zusammenfassung_KWKG'!C3281</f>
        <v>0</v>
      </c>
      <c r="D1544" s="854">
        <f t="shared" si="45"/>
        <v>154953697.58700001</v>
      </c>
      <c r="E1544" t="s">
        <v>1686</v>
      </c>
    </row>
    <row r="1545" spans="1:5" hidden="1" outlineLevel="2">
      <c r="A1545" s="853" t="str">
        <f>'Anlage 2a_Letztverbrauch'!A622</f>
        <v>SNB982597073882</v>
      </c>
      <c r="B1545" s="422">
        <f>+'Anlage 2a_Letztverbrauch'!I622</f>
        <v>1736713</v>
      </c>
      <c r="C1545" s="352">
        <f>'Anlage 3a_Zusammenfassung_KWKG'!C3282</f>
        <v>0</v>
      </c>
      <c r="D1545" s="854">
        <f t="shared" si="45"/>
        <v>1736713</v>
      </c>
      <c r="E1545" t="s">
        <v>2211</v>
      </c>
    </row>
    <row r="1546" spans="1:5" hidden="1" outlineLevel="2">
      <c r="A1546" s="853" t="str">
        <f>'Anlage 2a_Letztverbrauch'!A623</f>
        <v>SNB945186990991</v>
      </c>
      <c r="B1546" s="422">
        <f>+'Anlage 2a_Letztverbrauch'!I623</f>
        <v>20946815</v>
      </c>
      <c r="C1546" s="352">
        <f>'Anlage 3a_Zusammenfassung_KWKG'!C3283</f>
        <v>0</v>
      </c>
      <c r="D1546" s="854">
        <f t="shared" si="45"/>
        <v>20946815</v>
      </c>
      <c r="E1546" t="s">
        <v>2213</v>
      </c>
    </row>
    <row r="1547" spans="1:5" hidden="1" outlineLevel="2">
      <c r="A1547" s="853" t="str">
        <f>'Anlage 2a_Letztverbrauch'!A624</f>
        <v>SNB935303204162</v>
      </c>
      <c r="B1547" s="422">
        <f>+'Anlage 2a_Letztverbrauch'!I624</f>
        <v>20134196</v>
      </c>
      <c r="C1547" s="352">
        <f>'Anlage 3a_Zusammenfassung_KWKG'!C3284</f>
        <v>0</v>
      </c>
      <c r="D1547" s="854">
        <f t="shared" si="45"/>
        <v>20134196</v>
      </c>
      <c r="E1547" t="s">
        <v>1401</v>
      </c>
    </row>
    <row r="1548" spans="1:5" hidden="1" outlineLevel="2">
      <c r="A1548" s="853" t="str">
        <f>'Anlage 2a_Letztverbrauch'!A625</f>
        <v>SNB965819408044</v>
      </c>
      <c r="B1548" s="422">
        <f>+'Anlage 2a_Letztverbrauch'!I625</f>
        <v>87216160</v>
      </c>
      <c r="C1548" s="352">
        <f>'Anlage 3a_Zusammenfassung_KWKG'!C3285</f>
        <v>0</v>
      </c>
      <c r="D1548" s="854">
        <f t="shared" si="45"/>
        <v>87216160</v>
      </c>
      <c r="E1548" t="s">
        <v>1621</v>
      </c>
    </row>
    <row r="1549" spans="1:5" hidden="1" outlineLevel="2">
      <c r="A1549" s="853" t="str">
        <f>'Anlage 2a_Letztverbrauch'!A626</f>
        <v>SNB972511582064</v>
      </c>
      <c r="B1549" s="422">
        <f>+'Anlage 2a_Letztverbrauch'!I626</f>
        <v>73816892</v>
      </c>
      <c r="C1549" s="352">
        <f>'Anlage 3a_Zusammenfassung_KWKG'!C3286</f>
        <v>743225.005</v>
      </c>
      <c r="D1549" s="854">
        <f t="shared" si="45"/>
        <v>74560117.004999995</v>
      </c>
      <c r="E1549" t="s">
        <v>1672</v>
      </c>
    </row>
    <row r="1550" spans="1:5" hidden="1" outlineLevel="2">
      <c r="A1550" s="853" t="str">
        <f>'Anlage 2a_Letztverbrauch'!A627</f>
        <v>SNB955238223991</v>
      </c>
      <c r="B1550" s="422">
        <f>+'Anlage 2a_Letztverbrauch'!I627</f>
        <v>792763386.51999998</v>
      </c>
      <c r="C1550" s="352">
        <f>'Anlage 3a_Zusammenfassung_KWKG'!C3287</f>
        <v>0</v>
      </c>
      <c r="D1550" s="854">
        <f t="shared" si="45"/>
        <v>792763386.51999998</v>
      </c>
      <c r="E1550" t="s">
        <v>1539</v>
      </c>
    </row>
    <row r="1551" spans="1:5" hidden="1" outlineLevel="2">
      <c r="A1551" s="853" t="str">
        <f>'Anlage 2a_Letztverbrauch'!A628</f>
        <v>SNB931316685899</v>
      </c>
      <c r="B1551" s="422">
        <f>+'Anlage 2a_Letztverbrauch'!I628</f>
        <v>66104995</v>
      </c>
      <c r="C1551" s="352">
        <f>'Anlage 3a_Zusammenfassung_KWKG'!C3288</f>
        <v>0</v>
      </c>
      <c r="D1551" s="854">
        <f t="shared" si="45"/>
        <v>66104995</v>
      </c>
      <c r="E1551" t="s">
        <v>1383</v>
      </c>
    </row>
    <row r="1552" spans="1:5" hidden="1" outlineLevel="2">
      <c r="A1552" s="853" t="str">
        <f>'Anlage 2a_Letztverbrauch'!A629</f>
        <v>SNB952939058372</v>
      </c>
      <c r="B1552" s="422">
        <f>+'Anlage 2a_Letztverbrauch'!I629</f>
        <v>34763888</v>
      </c>
      <c r="C1552" s="352">
        <f>'Anlage 3a_Zusammenfassung_KWKG'!C3289</f>
        <v>-350954</v>
      </c>
      <c r="D1552" s="854">
        <f t="shared" ref="D1552:D1615" si="46">SUM(B1552:C1552)</f>
        <v>34412934</v>
      </c>
      <c r="E1552" t="s">
        <v>1525</v>
      </c>
    </row>
    <row r="1553" spans="1:5" hidden="1" outlineLevel="2">
      <c r="A1553" s="853" t="str">
        <f>'Anlage 2a_Letztverbrauch'!A630</f>
        <v>SNB994749019716</v>
      </c>
      <c r="B1553" s="422">
        <f>+'Anlage 2a_Letztverbrauch'!I630</f>
        <v>137732506.89300001</v>
      </c>
      <c r="C1553" s="352">
        <f>'Anlage 3a_Zusammenfassung_KWKG'!C3290</f>
        <v>-634992</v>
      </c>
      <c r="D1553" s="854">
        <f t="shared" si="46"/>
        <v>137097514.89300001</v>
      </c>
      <c r="E1553" t="s">
        <v>1819</v>
      </c>
    </row>
    <row r="1554" spans="1:5" hidden="1" outlineLevel="2">
      <c r="A1554" s="853" t="str">
        <f>'Anlage 2a_Letztverbrauch'!A631</f>
        <v>SNB911838879365</v>
      </c>
      <c r="B1554" s="422">
        <f>+'Anlage 2a_Letztverbrauch'!I631</f>
        <v>68568889</v>
      </c>
      <c r="C1554" s="352">
        <f>'Anlage 3a_Zusammenfassung_KWKG'!C3291</f>
        <v>-1730988</v>
      </c>
      <c r="D1554" s="854">
        <f t="shared" si="46"/>
        <v>66837901</v>
      </c>
      <c r="E1554" t="s">
        <v>1239</v>
      </c>
    </row>
    <row r="1555" spans="1:5" hidden="1" outlineLevel="2">
      <c r="A1555" s="853" t="str">
        <f>'Anlage 2a_Letztverbrauch'!A632</f>
        <v>SNB989583209836</v>
      </c>
      <c r="B1555" s="422">
        <f>+'Anlage 2a_Letztverbrauch'!I632</f>
        <v>33751631</v>
      </c>
      <c r="C1555" s="352">
        <f>'Anlage 3a_Zusammenfassung_KWKG'!C3292</f>
        <v>0</v>
      </c>
      <c r="D1555" s="854">
        <f t="shared" si="46"/>
        <v>33751631</v>
      </c>
      <c r="E1555" t="s">
        <v>1801</v>
      </c>
    </row>
    <row r="1556" spans="1:5" hidden="1" outlineLevel="2">
      <c r="A1556" s="853" t="str">
        <f>'Anlage 2a_Letztverbrauch'!A633</f>
        <v>SNB974959002937</v>
      </c>
      <c r="B1556" s="422">
        <f>+'Anlage 2a_Letztverbrauch'!I633</f>
        <v>10849777</v>
      </c>
      <c r="C1556" s="352">
        <f>'Anlage 3a_Zusammenfassung_KWKG'!C3293</f>
        <v>0</v>
      </c>
      <c r="D1556" s="854">
        <f t="shared" si="46"/>
        <v>10849777</v>
      </c>
      <c r="E1556" t="s">
        <v>2215</v>
      </c>
    </row>
    <row r="1557" spans="1:5" hidden="1" outlineLevel="2">
      <c r="A1557" s="853" t="str">
        <f>'Anlage 2a_Letztverbrauch'!A634</f>
        <v>SNB976987786759</v>
      </c>
      <c r="B1557" s="422">
        <f>+'Anlage 2a_Letztverbrauch'!I634</f>
        <v>47078987</v>
      </c>
      <c r="C1557" s="352">
        <f>'Anlage 3a_Zusammenfassung_KWKG'!C3294</f>
        <v>-234824</v>
      </c>
      <c r="D1557" s="854">
        <f t="shared" si="46"/>
        <v>46844163</v>
      </c>
      <c r="E1557" t="s">
        <v>1705</v>
      </c>
    </row>
    <row r="1558" spans="1:5" hidden="1" outlineLevel="2">
      <c r="A1558" s="853" t="str">
        <f>'Anlage 2a_Letztverbrauch'!A635</f>
        <v>SNB921899277833</v>
      </c>
      <c r="B1558" s="422">
        <f>+'Anlage 2a_Letztverbrauch'!I635</f>
        <v>4942758895</v>
      </c>
      <c r="C1558" s="352">
        <f>'Anlage 3a_Zusammenfassung_KWKG'!C3295</f>
        <v>315958681</v>
      </c>
      <c r="D1558" s="854">
        <f t="shared" si="46"/>
        <v>5258717576</v>
      </c>
      <c r="E1558" t="s">
        <v>1313</v>
      </c>
    </row>
    <row r="1559" spans="1:5" hidden="1" outlineLevel="2">
      <c r="A1559" s="853" t="str">
        <f>'Anlage 2a_Letztverbrauch'!A636</f>
        <v>SNB945552907998</v>
      </c>
      <c r="B1559" s="422">
        <f>+'Anlage 2a_Letztverbrauch'!I636</f>
        <v>35358704</v>
      </c>
      <c r="C1559" s="352">
        <f>'Anlage 3a_Zusammenfassung_KWKG'!C3296</f>
        <v>-68781</v>
      </c>
      <c r="D1559" s="854">
        <f t="shared" si="46"/>
        <v>35289923</v>
      </c>
      <c r="E1559" t="s">
        <v>1469</v>
      </c>
    </row>
    <row r="1560" spans="1:5" hidden="1" outlineLevel="2">
      <c r="A1560" s="853" t="str">
        <f>'Anlage 2a_Letztverbrauch'!A637</f>
        <v>SNB921626387354</v>
      </c>
      <c r="B1560" s="422">
        <f>+'Anlage 2a_Letztverbrauch'!I637</f>
        <v>195514916</v>
      </c>
      <c r="C1560" s="352">
        <f>'Anlage 3a_Zusammenfassung_KWKG'!C3297</f>
        <v>-375729</v>
      </c>
      <c r="D1560" s="854">
        <f t="shared" si="46"/>
        <v>195139187</v>
      </c>
      <c r="E1560" t="s">
        <v>1310</v>
      </c>
    </row>
    <row r="1561" spans="1:5" hidden="1" outlineLevel="2">
      <c r="A1561" s="853" t="str">
        <f>'Anlage 2a_Letztverbrauch'!A638</f>
        <v>SNB917593691679</v>
      </c>
      <c r="B1561" s="422">
        <f>+'Anlage 2a_Letztverbrauch'!I638</f>
        <v>6757705</v>
      </c>
      <c r="C1561" s="352">
        <f>'Anlage 3a_Zusammenfassung_KWKG'!C3298</f>
        <v>0</v>
      </c>
      <c r="D1561" s="854">
        <f t="shared" si="46"/>
        <v>6757705</v>
      </c>
      <c r="E1561" t="s">
        <v>2217</v>
      </c>
    </row>
    <row r="1562" spans="1:5" hidden="1" outlineLevel="2">
      <c r="A1562" s="853" t="str">
        <f>'Anlage 2a_Letztverbrauch'!A639</f>
        <v>SNB957862279702</v>
      </c>
      <c r="B1562" s="422">
        <f>+'Anlage 2a_Letztverbrauch'!I639</f>
        <v>1078779524</v>
      </c>
      <c r="C1562" s="352">
        <f>'Anlage 3a_Zusammenfassung_KWKG'!C3299</f>
        <v>0</v>
      </c>
      <c r="D1562" s="854">
        <f t="shared" si="46"/>
        <v>1078779524</v>
      </c>
      <c r="E1562" t="s">
        <v>1559</v>
      </c>
    </row>
    <row r="1563" spans="1:5" hidden="1" outlineLevel="2">
      <c r="A1563" s="853" t="str">
        <f>'Anlage 2a_Letztverbrauch'!A640</f>
        <v>SNB984060961757</v>
      </c>
      <c r="B1563" s="422">
        <f>+'Anlage 2a_Letztverbrauch'!I640</f>
        <v>57500784</v>
      </c>
      <c r="C1563" s="352">
        <f>'Anlage 3a_Zusammenfassung_KWKG'!C3300</f>
        <v>-118175</v>
      </c>
      <c r="D1563" s="854">
        <f t="shared" si="46"/>
        <v>57382609</v>
      </c>
      <c r="E1563" t="s">
        <v>1763</v>
      </c>
    </row>
    <row r="1564" spans="1:5" hidden="1" outlineLevel="2">
      <c r="A1564" s="853" t="str">
        <f>'Anlage 2a_Letztverbrauch'!A641</f>
        <v>SNB941555074781</v>
      </c>
      <c r="B1564" s="422">
        <f>+'Anlage 2a_Letztverbrauch'!I641</f>
        <v>6229783</v>
      </c>
      <c r="C1564" s="352">
        <f>'Anlage 3a_Zusammenfassung_KWKG'!C3301</f>
        <v>0</v>
      </c>
      <c r="D1564" s="854">
        <f t="shared" si="46"/>
        <v>6229783</v>
      </c>
      <c r="E1564" t="s">
        <v>1443</v>
      </c>
    </row>
    <row r="1565" spans="1:5" hidden="1" outlineLevel="2">
      <c r="A1565" s="853" t="str">
        <f>'Anlage 2a_Letztverbrauch'!A642</f>
        <v>SNB982380015723</v>
      </c>
      <c r="B1565" s="422">
        <f>+'Anlage 2a_Letztverbrauch'!I642</f>
        <v>18763917</v>
      </c>
      <c r="C1565" s="352">
        <f>'Anlage 3a_Zusammenfassung_KWKG'!C3302</f>
        <v>15175</v>
      </c>
      <c r="D1565" s="854">
        <f t="shared" si="46"/>
        <v>18779092</v>
      </c>
      <c r="E1565" t="s">
        <v>1749</v>
      </c>
    </row>
    <row r="1566" spans="1:5" hidden="1" outlineLevel="2">
      <c r="A1566" s="853" t="str">
        <f>'Anlage 2a_Letztverbrauch'!A643</f>
        <v>SNB988606051575</v>
      </c>
      <c r="B1566" s="422">
        <f>+'Anlage 2a_Letztverbrauch'!I643</f>
        <v>7853730</v>
      </c>
      <c r="C1566" s="352">
        <f>'Anlage 3a_Zusammenfassung_KWKG'!C3303</f>
        <v>0</v>
      </c>
      <c r="D1566" s="854">
        <f t="shared" si="46"/>
        <v>7853730</v>
      </c>
      <c r="E1566" t="s">
        <v>1791</v>
      </c>
    </row>
    <row r="1567" spans="1:5" hidden="1" outlineLevel="2">
      <c r="A1567" s="853" t="str">
        <f>'Anlage 2a_Letztverbrauch'!A644</f>
        <v>SNB950882682972</v>
      </c>
      <c r="B1567" s="422">
        <f>+'Anlage 2a_Letztverbrauch'!I644</f>
        <v>10057022</v>
      </c>
      <c r="C1567" s="352">
        <f>'Anlage 3a_Zusammenfassung_KWKG'!C3304</f>
        <v>0</v>
      </c>
      <c r="D1567" s="854">
        <f t="shared" si="46"/>
        <v>10057022</v>
      </c>
      <c r="E1567" t="s">
        <v>2219</v>
      </c>
    </row>
    <row r="1568" spans="1:5" hidden="1" outlineLevel="2">
      <c r="A1568" s="853" t="str">
        <f>'Anlage 2a_Letztverbrauch'!A645</f>
        <v>SNB924819944297</v>
      </c>
      <c r="B1568" s="422">
        <f>+'Anlage 2a_Letztverbrauch'!I645</f>
        <v>66197354</v>
      </c>
      <c r="C1568" s="352">
        <f>'Anlage 3a_Zusammenfassung_KWKG'!C3305</f>
        <v>0</v>
      </c>
      <c r="D1568" s="854">
        <f t="shared" si="46"/>
        <v>66197354</v>
      </c>
      <c r="E1568" t="s">
        <v>1335</v>
      </c>
    </row>
    <row r="1569" spans="1:5" hidden="1" outlineLevel="2">
      <c r="A1569" s="853" t="str">
        <f>'Anlage 2a_Letztverbrauch'!A646</f>
        <v>SNB966494112844</v>
      </c>
      <c r="B1569" s="422">
        <f>+'Anlage 2a_Letztverbrauch'!I646</f>
        <v>17370727</v>
      </c>
      <c r="C1569" s="352">
        <f>'Anlage 3a_Zusammenfassung_KWKG'!C3306</f>
        <v>0</v>
      </c>
      <c r="D1569" s="854">
        <f t="shared" si="46"/>
        <v>17370727</v>
      </c>
      <c r="E1569" t="s">
        <v>2221</v>
      </c>
    </row>
    <row r="1570" spans="1:5" hidden="1" outlineLevel="2">
      <c r="A1570" s="853" t="str">
        <f>'Anlage 2a_Letztverbrauch'!A647</f>
        <v>SNB914963192408</v>
      </c>
      <c r="B1570" s="422">
        <f>+'Anlage 2a_Letztverbrauch'!I647</f>
        <v>25318674.75</v>
      </c>
      <c r="C1570" s="352">
        <f>'Anlage 3a_Zusammenfassung_KWKG'!C3307</f>
        <v>298342</v>
      </c>
      <c r="D1570" s="854">
        <f t="shared" si="46"/>
        <v>25617016.75</v>
      </c>
      <c r="E1570" t="s">
        <v>1264</v>
      </c>
    </row>
    <row r="1571" spans="1:5" hidden="1" outlineLevel="2">
      <c r="A1571" s="853" t="str">
        <f>'Anlage 2a_Letztverbrauch'!A648</f>
        <v>SNB932374739180</v>
      </c>
      <c r="B1571" s="422">
        <f>+'Anlage 2a_Letztverbrauch'!I648</f>
        <v>35538177</v>
      </c>
      <c r="C1571" s="352">
        <f>'Anlage 3a_Zusammenfassung_KWKG'!C3308</f>
        <v>-47925</v>
      </c>
      <c r="D1571" s="854">
        <f t="shared" si="46"/>
        <v>35490252</v>
      </c>
      <c r="E1571" t="s">
        <v>1389</v>
      </c>
    </row>
    <row r="1572" spans="1:5" hidden="1" outlineLevel="2">
      <c r="A1572" s="853" t="str">
        <f>'Anlage 2a_Letztverbrauch'!A649</f>
        <v>SNB916657570554</v>
      </c>
      <c r="B1572" s="422">
        <f>+'Anlage 2a_Letztverbrauch'!I649</f>
        <v>71292439</v>
      </c>
      <c r="C1572" s="352">
        <f>'Anlage 3a_Zusammenfassung_KWKG'!C3309</f>
        <v>-32503</v>
      </c>
      <c r="D1572" s="854">
        <f t="shared" si="46"/>
        <v>71259936</v>
      </c>
      <c r="E1572" t="s">
        <v>1278</v>
      </c>
    </row>
    <row r="1573" spans="1:5" hidden="1" outlineLevel="2">
      <c r="A1573" s="853" t="str">
        <f>'Anlage 2a_Letztverbrauch'!A650</f>
        <v>SNB981113965977</v>
      </c>
      <c r="B1573" s="422">
        <f>+'Anlage 2a_Letztverbrauch'!I650</f>
        <v>45220411.32</v>
      </c>
      <c r="C1573" s="352">
        <f>'Anlage 3a_Zusammenfassung_KWKG'!C3310</f>
        <v>0</v>
      </c>
      <c r="D1573" s="854">
        <f t="shared" si="46"/>
        <v>45220411.32</v>
      </c>
      <c r="E1573" t="s">
        <v>1737</v>
      </c>
    </row>
    <row r="1574" spans="1:5" hidden="1" outlineLevel="2">
      <c r="A1574" s="853" t="str">
        <f>'Anlage 2a_Letztverbrauch'!A651</f>
        <v>SNB919067474511</v>
      </c>
      <c r="B1574" s="422">
        <f>+'Anlage 2a_Letztverbrauch'!I651</f>
        <v>72067152</v>
      </c>
      <c r="C1574" s="352">
        <f>'Anlage 3a_Zusammenfassung_KWKG'!C3311</f>
        <v>0</v>
      </c>
      <c r="D1574" s="854">
        <f t="shared" si="46"/>
        <v>72067152</v>
      </c>
      <c r="E1574" t="s">
        <v>1298</v>
      </c>
    </row>
    <row r="1575" spans="1:5" hidden="1" outlineLevel="2">
      <c r="A1575" s="853" t="str">
        <f>'Anlage 2a_Letztverbrauch'!A652</f>
        <v>SNB979973883449</v>
      </c>
      <c r="B1575" s="422">
        <f>+'Anlage 2a_Letztverbrauch'!I652</f>
        <v>9725342</v>
      </c>
      <c r="C1575" s="352">
        <f>'Anlage 3a_Zusammenfassung_KWKG'!C3312</f>
        <v>0</v>
      </c>
      <c r="D1575" s="854">
        <f t="shared" si="46"/>
        <v>9725342</v>
      </c>
      <c r="E1575" t="s">
        <v>2223</v>
      </c>
    </row>
    <row r="1576" spans="1:5" hidden="1" outlineLevel="2">
      <c r="A1576" s="853" t="str">
        <f>'Anlage 2a_Letztverbrauch'!A653</f>
        <v>SNB982671807549</v>
      </c>
      <c r="B1576" s="422">
        <f>+'Anlage 2a_Letztverbrauch'!I653</f>
        <v>56043508</v>
      </c>
      <c r="C1576" s="352">
        <f>'Anlage 3a_Zusammenfassung_KWKG'!C3313</f>
        <v>0</v>
      </c>
      <c r="D1576" s="854">
        <f t="shared" si="46"/>
        <v>56043508</v>
      </c>
      <c r="E1576" t="s">
        <v>1751</v>
      </c>
    </row>
    <row r="1577" spans="1:5" hidden="1" outlineLevel="2">
      <c r="A1577" s="853" t="str">
        <f>'Anlage 2a_Letztverbrauch'!A654</f>
        <v>SNB950960779068</v>
      </c>
      <c r="B1577" s="422">
        <f>+'Anlage 2a_Letztverbrauch'!I654</f>
        <v>139998823</v>
      </c>
      <c r="C1577" s="352">
        <f>'Anlage 3a_Zusammenfassung_KWKG'!C3314</f>
        <v>-147505</v>
      </c>
      <c r="D1577" s="854">
        <f t="shared" si="46"/>
        <v>139851318</v>
      </c>
      <c r="E1577" t="s">
        <v>1515</v>
      </c>
    </row>
    <row r="1578" spans="1:5" hidden="1" outlineLevel="2">
      <c r="A1578" s="853" t="str">
        <f>'Anlage 2a_Letztverbrauch'!A655</f>
        <v>SNB960280760097</v>
      </c>
      <c r="B1578" s="422">
        <f>+'Anlage 2a_Letztverbrauch'!I655</f>
        <v>51747612</v>
      </c>
      <c r="C1578" s="352">
        <f>'Anlage 3a_Zusammenfassung_KWKG'!C3315</f>
        <v>1642100</v>
      </c>
      <c r="D1578" s="854">
        <f t="shared" si="46"/>
        <v>53389712</v>
      </c>
      <c r="E1578" t="s">
        <v>1579</v>
      </c>
    </row>
    <row r="1579" spans="1:5" hidden="1" outlineLevel="2">
      <c r="A1579" s="853" t="str">
        <f>'Anlage 2a_Letztverbrauch'!A656</f>
        <v>SNB985704986426</v>
      </c>
      <c r="B1579" s="422">
        <f>+'Anlage 2a_Letztverbrauch'!I656</f>
        <v>277218915</v>
      </c>
      <c r="C1579" s="352">
        <f>'Anlage 3a_Zusammenfassung_KWKG'!C3316</f>
        <v>0</v>
      </c>
      <c r="D1579" s="854">
        <f t="shared" si="46"/>
        <v>277218915</v>
      </c>
      <c r="E1579" t="s">
        <v>1777</v>
      </c>
    </row>
    <row r="1580" spans="1:5" hidden="1" outlineLevel="2">
      <c r="A1580" s="853" t="str">
        <f>'Anlage 2a_Letztverbrauch'!A657</f>
        <v>SNB977384143473</v>
      </c>
      <c r="B1580" s="422">
        <f>+'Anlage 2a_Letztverbrauch'!I657</f>
        <v>168315809</v>
      </c>
      <c r="C1580" s="352">
        <f>'Anlage 3a_Zusammenfassung_KWKG'!C3317</f>
        <v>0</v>
      </c>
      <c r="D1580" s="854">
        <f t="shared" si="46"/>
        <v>168315809</v>
      </c>
      <c r="E1580" t="s">
        <v>1711</v>
      </c>
    </row>
    <row r="1581" spans="1:5" hidden="1" outlineLevel="2">
      <c r="A1581" s="853" t="str">
        <f>'Anlage 2a_Letztverbrauch'!A658</f>
        <v>SNB920157746937</v>
      </c>
      <c r="B1581" s="422">
        <f>+'Anlage 2a_Letztverbrauch'!I658</f>
        <v>327992827</v>
      </c>
      <c r="C1581" s="352">
        <f>'Anlage 3a_Zusammenfassung_KWKG'!C3318</f>
        <v>0</v>
      </c>
      <c r="D1581" s="854">
        <f t="shared" si="46"/>
        <v>327992827</v>
      </c>
      <c r="E1581" t="s">
        <v>1304</v>
      </c>
    </row>
    <row r="1582" spans="1:5" hidden="1" outlineLevel="2">
      <c r="A1582" s="853" t="str">
        <f>'Anlage 2a_Letztverbrauch'!A659</f>
        <v>SNB950777700255</v>
      </c>
      <c r="B1582" s="422">
        <f>+'Anlage 2a_Letztverbrauch'!I659</f>
        <v>13207425</v>
      </c>
      <c r="C1582" s="352">
        <f>'Anlage 3a_Zusammenfassung_KWKG'!C3319</f>
        <v>0</v>
      </c>
      <c r="D1582" s="854">
        <f t="shared" si="46"/>
        <v>13207425</v>
      </c>
      <c r="E1582" t="s">
        <v>1513</v>
      </c>
    </row>
    <row r="1583" spans="1:5" hidden="1" outlineLevel="2">
      <c r="A1583" s="853" t="str">
        <f>'Anlage 2a_Letztverbrauch'!A660</f>
        <v>SNB957988771050</v>
      </c>
      <c r="B1583" s="422">
        <f>+'Anlage 2a_Letztverbrauch'!I660</f>
        <v>14332944</v>
      </c>
      <c r="C1583" s="352">
        <f>'Anlage 3a_Zusammenfassung_KWKG'!C3320</f>
        <v>0</v>
      </c>
      <c r="D1583" s="854">
        <f t="shared" si="46"/>
        <v>14332944</v>
      </c>
      <c r="E1583" t="s">
        <v>1561</v>
      </c>
    </row>
    <row r="1584" spans="1:5" hidden="1" outlineLevel="2">
      <c r="A1584" s="853" t="str">
        <f>'Anlage 2a_Letztverbrauch'!A661</f>
        <v>SNB967812386411</v>
      </c>
      <c r="B1584" s="422">
        <f>+'Anlage 2a_Letztverbrauch'!I661</f>
        <v>57954695</v>
      </c>
      <c r="C1584" s="352">
        <f>'Anlage 3a_Zusammenfassung_KWKG'!C3321</f>
        <v>131518</v>
      </c>
      <c r="D1584" s="854">
        <f t="shared" si="46"/>
        <v>58086213</v>
      </c>
      <c r="E1584" t="s">
        <v>1637</v>
      </c>
    </row>
    <row r="1585" spans="1:5" hidden="1" outlineLevel="2">
      <c r="A1585" s="853" t="str">
        <f>'Anlage 2a_Letztverbrauch'!A662</f>
        <v>SNB968862623211</v>
      </c>
      <c r="B1585" s="422">
        <f>+'Anlage 2a_Letztverbrauch'!I662</f>
        <v>329036989</v>
      </c>
      <c r="C1585" s="352">
        <f>'Anlage 3a_Zusammenfassung_KWKG'!C3322</f>
        <v>-1860525</v>
      </c>
      <c r="D1585" s="854">
        <f t="shared" si="46"/>
        <v>327176464</v>
      </c>
      <c r="E1585" t="s">
        <v>1647</v>
      </c>
    </row>
    <row r="1586" spans="1:5" hidden="1" outlineLevel="2">
      <c r="A1586" s="853" t="str">
        <f>'Anlage 2a_Letztverbrauch'!A663</f>
        <v>SNB978865527096</v>
      </c>
      <c r="B1586" s="422">
        <f>+'Anlage 2a_Letztverbrauch'!I663</f>
        <v>791575685</v>
      </c>
      <c r="C1586" s="352">
        <f>'Anlage 3a_Zusammenfassung_KWKG'!C3323</f>
        <v>0</v>
      </c>
      <c r="D1586" s="854">
        <f t="shared" si="46"/>
        <v>791575685</v>
      </c>
      <c r="E1586" t="s">
        <v>1719</v>
      </c>
    </row>
    <row r="1587" spans="1:5" hidden="1" outlineLevel="2">
      <c r="A1587" s="853" t="str">
        <f>'Anlage 2a_Letztverbrauch'!A664</f>
        <v>SNB967982606159</v>
      </c>
      <c r="B1587" s="422">
        <f>+'Anlage 2a_Letztverbrauch'!I664</f>
        <v>577003733.62100005</v>
      </c>
      <c r="C1587" s="352">
        <f>'Anlage 3a_Zusammenfassung_KWKG'!C3324</f>
        <v>0</v>
      </c>
      <c r="D1587" s="854">
        <f t="shared" si="46"/>
        <v>577003733.62100005</v>
      </c>
      <c r="E1587" t="s">
        <v>1641</v>
      </c>
    </row>
    <row r="1588" spans="1:5" hidden="1" outlineLevel="2">
      <c r="A1588" s="853" t="str">
        <f>'Anlage 2a_Letztverbrauch'!A665</f>
        <v>SNB926480464456</v>
      </c>
      <c r="B1588" s="422">
        <f>+'Anlage 2a_Letztverbrauch'!I665</f>
        <v>33976000</v>
      </c>
      <c r="C1588" s="352">
        <f>'Anlage 3a_Zusammenfassung_KWKG'!C3325</f>
        <v>-247012</v>
      </c>
      <c r="D1588" s="854">
        <f t="shared" si="46"/>
        <v>33728988</v>
      </c>
      <c r="E1588" t="s">
        <v>870</v>
      </c>
    </row>
    <row r="1589" spans="1:5" hidden="1" outlineLevel="2">
      <c r="A1589" s="853" t="str">
        <f>'Anlage 2a_Letztverbrauch'!A666</f>
        <v>SNB981984960101</v>
      </c>
      <c r="B1589" s="422">
        <f>+'Anlage 2a_Letztverbrauch'!I666</f>
        <v>350676929</v>
      </c>
      <c r="C1589" s="352">
        <f>'Anlage 3a_Zusammenfassung_KWKG'!C3326</f>
        <v>737375</v>
      </c>
      <c r="D1589" s="854">
        <f t="shared" si="46"/>
        <v>351414304</v>
      </c>
      <c r="E1589" t="s">
        <v>1745</v>
      </c>
    </row>
    <row r="1590" spans="1:5" hidden="1" outlineLevel="2">
      <c r="A1590" s="853" t="str">
        <f>'Anlage 2a_Letztverbrauch'!A667</f>
        <v>SNB965998184692</v>
      </c>
      <c r="B1590" s="422">
        <f>+'Anlage 2a_Letztverbrauch'!I667</f>
        <v>65030677</v>
      </c>
      <c r="C1590" s="352">
        <f>'Anlage 3a_Zusammenfassung_KWKG'!C3327</f>
        <v>0</v>
      </c>
      <c r="D1590" s="854">
        <f t="shared" si="46"/>
        <v>65030677</v>
      </c>
      <c r="E1590" t="s">
        <v>1623</v>
      </c>
    </row>
    <row r="1591" spans="1:5" hidden="1" outlineLevel="2">
      <c r="A1591" s="853" t="str">
        <f>'Anlage 2a_Letztverbrauch'!A668</f>
        <v>SNB954239007623</v>
      </c>
      <c r="B1591" s="422">
        <f>+'Anlage 2a_Letztverbrauch'!I668</f>
        <v>11242538</v>
      </c>
      <c r="C1591" s="352">
        <f>'Anlage 3a_Zusammenfassung_KWKG'!C3328</f>
        <v>0</v>
      </c>
      <c r="D1591" s="854">
        <f t="shared" si="46"/>
        <v>11242538</v>
      </c>
      <c r="E1591" t="s">
        <v>2225</v>
      </c>
    </row>
    <row r="1592" spans="1:5" hidden="1" outlineLevel="2">
      <c r="A1592" s="853" t="str">
        <f>'Anlage 2a_Letztverbrauch'!A669</f>
        <v>SNB974739102161</v>
      </c>
      <c r="B1592" s="422">
        <f>+'Anlage 2a_Letztverbrauch'!I669</f>
        <v>62687142</v>
      </c>
      <c r="C1592" s="352">
        <f>'Anlage 3a_Zusammenfassung_KWKG'!C3329</f>
        <v>247340</v>
      </c>
      <c r="D1592" s="854">
        <f t="shared" si="46"/>
        <v>62934482</v>
      </c>
      <c r="E1592" t="s">
        <v>1689</v>
      </c>
    </row>
    <row r="1593" spans="1:5" hidden="1" outlineLevel="2">
      <c r="A1593" s="853" t="str">
        <f>'Anlage 2a_Letztverbrauch'!A670</f>
        <v>SNB937722627607</v>
      </c>
      <c r="B1593" s="422">
        <f>+'Anlage 2a_Letztverbrauch'!I670</f>
        <v>37455342</v>
      </c>
      <c r="C1593" s="352">
        <f>'Anlage 3a_Zusammenfassung_KWKG'!C3330</f>
        <v>-177998</v>
      </c>
      <c r="D1593" s="854">
        <f t="shared" si="46"/>
        <v>37277344</v>
      </c>
      <c r="E1593" t="s">
        <v>1415</v>
      </c>
    </row>
    <row r="1594" spans="1:5" hidden="1" outlineLevel="2">
      <c r="A1594" s="853" t="str">
        <f>'Anlage 2a_Letztverbrauch'!A671</f>
        <v>SNB969483935394</v>
      </c>
      <c r="B1594" s="422">
        <f>+'Anlage 2a_Letztverbrauch'!I671</f>
        <v>154919586</v>
      </c>
      <c r="C1594" s="352">
        <f>'Anlage 3a_Zusammenfassung_KWKG'!C3331</f>
        <v>0</v>
      </c>
      <c r="D1594" s="854">
        <f t="shared" si="46"/>
        <v>154919586</v>
      </c>
      <c r="E1594" t="s">
        <v>1653</v>
      </c>
    </row>
    <row r="1595" spans="1:5" hidden="1" outlineLevel="2">
      <c r="A1595" s="853" t="str">
        <f>'Anlage 2a_Letztverbrauch'!A672</f>
        <v>SNB940297211072</v>
      </c>
      <c r="B1595" s="422">
        <f>+'Anlage 2a_Letztverbrauch'!I672</f>
        <v>59005419</v>
      </c>
      <c r="C1595" s="352">
        <f>'Anlage 3a_Zusammenfassung_KWKG'!C3332</f>
        <v>0</v>
      </c>
      <c r="D1595" s="854">
        <f t="shared" si="46"/>
        <v>59005419</v>
      </c>
      <c r="E1595" t="s">
        <v>1429</v>
      </c>
    </row>
    <row r="1596" spans="1:5" hidden="1" outlineLevel="2">
      <c r="A1596" s="853" t="str">
        <f>'Anlage 2a_Letztverbrauch'!A673</f>
        <v>SNB976297675927</v>
      </c>
      <c r="B1596" s="422">
        <f>+'Anlage 2a_Letztverbrauch'!I673</f>
        <v>9205024</v>
      </c>
      <c r="C1596" s="352">
        <f>'Anlage 3a_Zusammenfassung_KWKG'!C3333</f>
        <v>-8232</v>
      </c>
      <c r="D1596" s="854">
        <f t="shared" si="46"/>
        <v>9196792</v>
      </c>
      <c r="E1596" t="s">
        <v>1701</v>
      </c>
    </row>
    <row r="1597" spans="1:5" hidden="1" outlineLevel="2">
      <c r="A1597" s="853" t="str">
        <f>'Anlage 2a_Letztverbrauch'!A674</f>
        <v>SNB980783618473</v>
      </c>
      <c r="B1597" s="422">
        <f>+'Anlage 2a_Letztverbrauch'!I674</f>
        <v>62293272</v>
      </c>
      <c r="C1597" s="352">
        <f>'Anlage 3a_Zusammenfassung_KWKG'!C3334</f>
        <v>0</v>
      </c>
      <c r="D1597" s="854">
        <f t="shared" si="46"/>
        <v>62293272</v>
      </c>
      <c r="E1597" t="s">
        <v>1735</v>
      </c>
    </row>
    <row r="1598" spans="1:5" hidden="1" outlineLevel="2">
      <c r="A1598" s="853" t="str">
        <f>'Anlage 2a_Letztverbrauch'!A675</f>
        <v>SNB930329896650</v>
      </c>
      <c r="B1598" s="422">
        <f>+'Anlage 2a_Letztverbrauch'!I675</f>
        <v>4944305</v>
      </c>
      <c r="C1598" s="352">
        <f>'Anlage 3a_Zusammenfassung_KWKG'!C3335</f>
        <v>23901</v>
      </c>
      <c r="D1598" s="854">
        <f t="shared" si="46"/>
        <v>4968206</v>
      </c>
      <c r="E1598" t="s">
        <v>2227</v>
      </c>
    </row>
    <row r="1599" spans="1:5" hidden="1" outlineLevel="2">
      <c r="A1599" s="853" t="str">
        <f>'Anlage 2a_Letztverbrauch'!A676</f>
        <v>SNB997826747014</v>
      </c>
      <c r="B1599" s="422">
        <f>+'Anlage 2a_Letztverbrauch'!I676</f>
        <v>1658183</v>
      </c>
      <c r="C1599" s="352">
        <f>'Anlage 3a_Zusammenfassung_KWKG'!C3336</f>
        <v>-46967</v>
      </c>
      <c r="D1599" s="854">
        <f t="shared" si="46"/>
        <v>1611216</v>
      </c>
      <c r="E1599" t="s">
        <v>1825</v>
      </c>
    </row>
    <row r="1600" spans="1:5" hidden="1" outlineLevel="2">
      <c r="A1600" s="853" t="str">
        <f>'Anlage 2a_Letztverbrauch'!A677</f>
        <v>SNB983973032059</v>
      </c>
      <c r="B1600" s="422">
        <f>+'Anlage 2a_Letztverbrauch'!I677</f>
        <v>4600603</v>
      </c>
      <c r="C1600" s="352">
        <f>'Anlage 3a_Zusammenfassung_KWKG'!C3337</f>
        <v>0</v>
      </c>
      <c r="D1600" s="854">
        <f t="shared" si="46"/>
        <v>4600603</v>
      </c>
      <c r="E1600" t="s">
        <v>2229</v>
      </c>
    </row>
    <row r="1601" spans="1:5" hidden="1" outlineLevel="2">
      <c r="A1601" s="853" t="str">
        <f>'Anlage 2a_Letztverbrauch'!A678</f>
        <v>SNB980449174619</v>
      </c>
      <c r="B1601" s="422">
        <f>+'Anlage 2a_Letztverbrauch'!I678</f>
        <v>336264018</v>
      </c>
      <c r="C1601" s="352">
        <f>'Anlage 3a_Zusammenfassung_KWKG'!C3338</f>
        <v>0</v>
      </c>
      <c r="D1601" s="854">
        <f t="shared" si="46"/>
        <v>336264018</v>
      </c>
      <c r="E1601" t="s">
        <v>1733</v>
      </c>
    </row>
    <row r="1602" spans="1:5" hidden="1" outlineLevel="2">
      <c r="A1602" s="853" t="str">
        <f>'Anlage 2a_Letztverbrauch'!A679</f>
        <v>SNB980345455409</v>
      </c>
      <c r="B1602" s="422">
        <f>+'Anlage 2a_Letztverbrauch'!I679</f>
        <v>42033194</v>
      </c>
      <c r="C1602" s="352">
        <f>'Anlage 3a_Zusammenfassung_KWKG'!C3339</f>
        <v>0</v>
      </c>
      <c r="D1602" s="854">
        <f t="shared" si="46"/>
        <v>42033194</v>
      </c>
      <c r="E1602" t="s">
        <v>1729</v>
      </c>
    </row>
    <row r="1603" spans="1:5" hidden="1" outlineLevel="2">
      <c r="A1603" s="853" t="str">
        <f>'Anlage 2a_Letztverbrauch'!A680</f>
        <v>SNB931610892481</v>
      </c>
      <c r="B1603" s="422">
        <f>+'Anlage 2a_Letztverbrauch'!I680</f>
        <v>27413222.300000001</v>
      </c>
      <c r="C1603" s="352">
        <f>'Anlage 3a_Zusammenfassung_KWKG'!C3340</f>
        <v>-134146.9</v>
      </c>
      <c r="D1603" s="854">
        <f t="shared" si="46"/>
        <v>27279075.400000002</v>
      </c>
      <c r="E1603" t="s">
        <v>1385</v>
      </c>
    </row>
    <row r="1604" spans="1:5" hidden="1" outlineLevel="2">
      <c r="A1604" s="853" t="str">
        <f>'Anlage 2a_Letztverbrauch'!A681</f>
        <v>SNB990522725676</v>
      </c>
      <c r="B1604" s="422">
        <f>+'Anlage 2a_Letztverbrauch'!I681</f>
        <v>98137311</v>
      </c>
      <c r="C1604" s="352">
        <f>'Anlage 3a_Zusammenfassung_KWKG'!C3341</f>
        <v>162170</v>
      </c>
      <c r="D1604" s="854">
        <f t="shared" si="46"/>
        <v>98299481</v>
      </c>
      <c r="E1604" t="s">
        <v>1805</v>
      </c>
    </row>
    <row r="1605" spans="1:5" hidden="1" outlineLevel="2">
      <c r="A1605" s="853" t="str">
        <f>'Anlage 2a_Letztverbrauch'!A682</f>
        <v>SNB930558787330</v>
      </c>
      <c r="B1605" s="422">
        <f>+'Anlage 2a_Letztverbrauch'!I682</f>
        <v>9622531.7100000009</v>
      </c>
      <c r="C1605" s="352">
        <f>'Anlage 3a_Zusammenfassung_KWKG'!C3342</f>
        <v>0</v>
      </c>
      <c r="D1605" s="854">
        <f t="shared" si="46"/>
        <v>9622531.7100000009</v>
      </c>
      <c r="E1605" t="s">
        <v>1379</v>
      </c>
    </row>
    <row r="1606" spans="1:5" hidden="1" outlineLevel="2">
      <c r="A1606" s="853" t="str">
        <f>'Anlage 2a_Letztverbrauch'!A683</f>
        <v>SNB981336194529</v>
      </c>
      <c r="B1606" s="422">
        <f>+'Anlage 2a_Letztverbrauch'!I683</f>
        <v>5832452</v>
      </c>
      <c r="C1606" s="352">
        <f>'Anlage 3a_Zusammenfassung_KWKG'!C3343</f>
        <v>0</v>
      </c>
      <c r="D1606" s="854">
        <f t="shared" si="46"/>
        <v>5832452</v>
      </c>
      <c r="E1606" t="s">
        <v>1741</v>
      </c>
    </row>
    <row r="1607" spans="1:5" hidden="1" outlineLevel="2">
      <c r="A1607" s="853" t="str">
        <f>'Anlage 2a_Letztverbrauch'!A684</f>
        <v>SNB926937565941</v>
      </c>
      <c r="B1607" s="422">
        <f>+'Anlage 2a_Letztverbrauch'!I684</f>
        <v>109216269</v>
      </c>
      <c r="C1607" s="352">
        <f>'Anlage 3a_Zusammenfassung_KWKG'!C3344</f>
        <v>0</v>
      </c>
      <c r="D1607" s="854">
        <f t="shared" si="46"/>
        <v>109216269</v>
      </c>
      <c r="E1607" t="s">
        <v>1347</v>
      </c>
    </row>
    <row r="1608" spans="1:5" hidden="1" outlineLevel="2">
      <c r="A1608" s="853" t="str">
        <f>'Anlage 2a_Letztverbrauch'!A685</f>
        <v>SNB917454122557</v>
      </c>
      <c r="B1608" s="422">
        <f>+'Anlage 2a_Letztverbrauch'!I685</f>
        <v>130095515</v>
      </c>
      <c r="C1608" s="352">
        <f>'Anlage 3a_Zusammenfassung_KWKG'!C3345</f>
        <v>-160494</v>
      </c>
      <c r="D1608" s="854">
        <f t="shared" si="46"/>
        <v>129935021</v>
      </c>
      <c r="E1608" t="s">
        <v>1288</v>
      </c>
    </row>
    <row r="1609" spans="1:5" hidden="1" outlineLevel="2">
      <c r="A1609" s="853" t="str">
        <f>'Anlage 2a_Letztverbrauch'!A686</f>
        <v>SNB928340368768</v>
      </c>
      <c r="B1609" s="422">
        <f>+'Anlage 2a_Letztverbrauch'!I686</f>
        <v>49086076</v>
      </c>
      <c r="C1609" s="352">
        <f>'Anlage 3a_Zusammenfassung_KWKG'!C3346</f>
        <v>0</v>
      </c>
      <c r="D1609" s="854">
        <f t="shared" si="46"/>
        <v>49086076</v>
      </c>
      <c r="E1609" t="s">
        <v>2231</v>
      </c>
    </row>
    <row r="1610" spans="1:5" hidden="1" outlineLevel="2">
      <c r="A1610" s="853" t="str">
        <f>'Anlage 2a_Letztverbrauch'!A687</f>
        <v>SNB963282434775</v>
      </c>
      <c r="B1610" s="422">
        <f>+'Anlage 2a_Letztverbrauch'!I687</f>
        <v>8302028</v>
      </c>
      <c r="C1610" s="352">
        <f>'Anlage 3a_Zusammenfassung_KWKG'!C3347</f>
        <v>0</v>
      </c>
      <c r="D1610" s="854">
        <f t="shared" si="46"/>
        <v>8302028</v>
      </c>
      <c r="E1610" t="s">
        <v>1595</v>
      </c>
    </row>
    <row r="1611" spans="1:5" hidden="1" outlineLevel="2">
      <c r="A1611" s="853" t="str">
        <f>'Anlage 2a_Letztverbrauch'!A688</f>
        <v>SNB911081401368</v>
      </c>
      <c r="B1611" s="422">
        <f>+'Anlage 2a_Letztverbrauch'!I688</f>
        <v>54516980.664999999</v>
      </c>
      <c r="C1611" s="352">
        <f>'Anlage 3a_Zusammenfassung_KWKG'!C3348</f>
        <v>0</v>
      </c>
      <c r="D1611" s="854">
        <f t="shared" si="46"/>
        <v>54516980.664999999</v>
      </c>
      <c r="E1611" t="s">
        <v>1231</v>
      </c>
    </row>
    <row r="1612" spans="1:5" hidden="1" outlineLevel="2">
      <c r="A1612" s="853" t="str">
        <f>'Anlage 2a_Letztverbrauch'!A689</f>
        <v>SNB921471558077</v>
      </c>
      <c r="B1612" s="422">
        <f>+'Anlage 2a_Letztverbrauch'!I689</f>
        <v>33712870</v>
      </c>
      <c r="C1612" s="352">
        <f>'Anlage 3a_Zusammenfassung_KWKG'!C3349</f>
        <v>0</v>
      </c>
      <c r="D1612" s="854">
        <f t="shared" si="46"/>
        <v>33712870</v>
      </c>
      <c r="E1612" t="s">
        <v>1308</v>
      </c>
    </row>
    <row r="1613" spans="1:5" hidden="1" outlineLevel="2">
      <c r="A1613" s="853" t="str">
        <f>'Anlage 2a_Letztverbrauch'!A690</f>
        <v>SNB950336540445</v>
      </c>
      <c r="B1613" s="422">
        <f>+'Anlage 2a_Letztverbrauch'!I690</f>
        <v>101906684</v>
      </c>
      <c r="C1613" s="352">
        <f>'Anlage 3a_Zusammenfassung_KWKG'!C3350</f>
        <v>106768</v>
      </c>
      <c r="D1613" s="854">
        <f t="shared" si="46"/>
        <v>102013452</v>
      </c>
      <c r="E1613" t="s">
        <v>1511</v>
      </c>
    </row>
    <row r="1614" spans="1:5" hidden="1" outlineLevel="2">
      <c r="A1614" s="853" t="str">
        <f>'Anlage 2a_Letztverbrauch'!A691</f>
        <v>SNB924535591034</v>
      </c>
      <c r="B1614" s="422">
        <f>+'Anlage 2a_Letztverbrauch'!I691</f>
        <v>3248682</v>
      </c>
      <c r="C1614" s="352">
        <f>'Anlage 3a_Zusammenfassung_KWKG'!C3351</f>
        <v>0</v>
      </c>
      <c r="D1614" s="854">
        <f t="shared" si="46"/>
        <v>3248682</v>
      </c>
      <c r="E1614" t="s">
        <v>1329</v>
      </c>
    </row>
    <row r="1615" spans="1:5" hidden="1" outlineLevel="2">
      <c r="A1615" s="853" t="str">
        <f>'Anlage 2a_Letztverbrauch'!A692</f>
        <v>SNB925831583235</v>
      </c>
      <c r="B1615" s="422">
        <f>+'Anlage 2a_Letztverbrauch'!I692</f>
        <v>2957202</v>
      </c>
      <c r="C1615" s="352">
        <f>'Anlage 3a_Zusammenfassung_KWKG'!C3352</f>
        <v>0</v>
      </c>
      <c r="D1615" s="854">
        <f t="shared" si="46"/>
        <v>2957202</v>
      </c>
      <c r="E1615" t="s">
        <v>2233</v>
      </c>
    </row>
    <row r="1616" spans="1:5" hidden="1" outlineLevel="2">
      <c r="A1616" s="853" t="str">
        <f>'Anlage 2a_Letztverbrauch'!A693</f>
        <v>SNB929185184919</v>
      </c>
      <c r="B1616" s="422">
        <f>+'Anlage 2a_Letztverbrauch'!I693</f>
        <v>383649942</v>
      </c>
      <c r="C1616" s="352">
        <f>'Anlage 3a_Zusammenfassung_KWKG'!C3353</f>
        <v>819105</v>
      </c>
      <c r="D1616" s="854">
        <f t="shared" ref="D1616:D1679" si="47">SUM(B1616:C1616)</f>
        <v>384469047</v>
      </c>
      <c r="E1616" t="s">
        <v>1363</v>
      </c>
    </row>
    <row r="1617" spans="1:5" hidden="1" outlineLevel="2">
      <c r="A1617" s="853" t="str">
        <f>'Anlage 2a_Letztverbrauch'!A694</f>
        <v>SNB901665585874</v>
      </c>
      <c r="B1617" s="422">
        <f>+'Anlage 2a_Letztverbrauch'!I694</f>
        <v>179927752.19999999</v>
      </c>
      <c r="C1617" s="352">
        <f>'Anlage 3a_Zusammenfassung_KWKG'!C3354</f>
        <v>1768257.69</v>
      </c>
      <c r="D1617" s="854">
        <f t="shared" si="47"/>
        <v>181696009.88999999</v>
      </c>
      <c r="E1617" t="s">
        <v>457</v>
      </c>
    </row>
    <row r="1618" spans="1:5" hidden="1" outlineLevel="2">
      <c r="A1618" s="853" t="str">
        <f>'Anlage 2a_Letztverbrauch'!A695</f>
        <v>SNB932489723517</v>
      </c>
      <c r="B1618" s="422">
        <f>+'Anlage 2a_Letztverbrauch'!I695</f>
        <v>6724203</v>
      </c>
      <c r="C1618" s="352">
        <f>'Anlage 3a_Zusammenfassung_KWKG'!C3355</f>
        <v>0</v>
      </c>
      <c r="D1618" s="854">
        <f t="shared" si="47"/>
        <v>6724203</v>
      </c>
      <c r="E1618" t="s">
        <v>2235</v>
      </c>
    </row>
    <row r="1619" spans="1:5" hidden="1" outlineLevel="2">
      <c r="A1619" s="853" t="str">
        <f>'Anlage 2a_Letztverbrauch'!A696</f>
        <v>SNB981887803796</v>
      </c>
      <c r="B1619" s="422">
        <f>+'Anlage 2a_Letztverbrauch'!I696</f>
        <v>4899239</v>
      </c>
      <c r="C1619" s="352">
        <f>'Anlage 3a_Zusammenfassung_KWKG'!C3356</f>
        <v>0</v>
      </c>
      <c r="D1619" s="854">
        <f t="shared" si="47"/>
        <v>4899239</v>
      </c>
      <c r="E1619" t="s">
        <v>2237</v>
      </c>
    </row>
    <row r="1620" spans="1:5" hidden="1" outlineLevel="2">
      <c r="A1620" s="853" t="str">
        <f>'Anlage 2a_Letztverbrauch'!A697</f>
        <v>SNB947727983103</v>
      </c>
      <c r="B1620" s="422">
        <f>+'Anlage 2a_Letztverbrauch'!I697</f>
        <v>9646027</v>
      </c>
      <c r="C1620" s="352">
        <f>'Anlage 3a_Zusammenfassung_KWKG'!C3357</f>
        <v>0</v>
      </c>
      <c r="D1620" s="854">
        <f t="shared" si="47"/>
        <v>9646027</v>
      </c>
      <c r="E1620" t="s">
        <v>1493</v>
      </c>
    </row>
    <row r="1621" spans="1:5" hidden="1" outlineLevel="2">
      <c r="A1621" s="853" t="str">
        <f>'Anlage 2a_Letztverbrauch'!A698</f>
        <v>SNB987171059405</v>
      </c>
      <c r="B1621" s="422">
        <f>+'Anlage 2a_Letztverbrauch'!I698</f>
        <v>8860116.3499999996</v>
      </c>
      <c r="C1621" s="352">
        <f>'Anlage 3a_Zusammenfassung_KWKG'!C3358</f>
        <v>2516</v>
      </c>
      <c r="D1621" s="854">
        <f t="shared" si="47"/>
        <v>8862632.3499999996</v>
      </c>
      <c r="E1621" t="s">
        <v>1787</v>
      </c>
    </row>
    <row r="1622" spans="1:5" hidden="1" outlineLevel="2">
      <c r="A1622" s="853" t="str">
        <f>'Anlage 2a_Letztverbrauch'!A699</f>
        <v>SNB946373984786</v>
      </c>
      <c r="B1622" s="422">
        <f>+'Anlage 2a_Letztverbrauch'!I699</f>
        <v>28064327</v>
      </c>
      <c r="C1622" s="352">
        <f>'Anlage 3a_Zusammenfassung_KWKG'!C3359</f>
        <v>1672</v>
      </c>
      <c r="D1622" s="854">
        <f t="shared" si="47"/>
        <v>28065999</v>
      </c>
      <c r="E1622" t="s">
        <v>1479</v>
      </c>
    </row>
    <row r="1623" spans="1:5" hidden="1" outlineLevel="2">
      <c r="A1623" s="853" t="str">
        <f>'Anlage 2a_Letztverbrauch'!A700</f>
        <v>SNB917783023525</v>
      </c>
      <c r="B1623" s="422">
        <f>+'Anlage 2a_Letztverbrauch'!I700</f>
        <v>13563700.16</v>
      </c>
      <c r="C1623" s="352">
        <f>'Anlage 3a_Zusammenfassung_KWKG'!C3360</f>
        <v>0</v>
      </c>
      <c r="D1623" s="854">
        <f t="shared" si="47"/>
        <v>13563700.16</v>
      </c>
      <c r="E1623" t="s">
        <v>2239</v>
      </c>
    </row>
    <row r="1624" spans="1:5" hidden="1" outlineLevel="2">
      <c r="A1624" s="853" t="str">
        <f>'Anlage 2a_Letztverbrauch'!A701</f>
        <v>SNB937094451244</v>
      </c>
      <c r="B1624" s="422">
        <f>+'Anlage 2a_Letztverbrauch'!I701</f>
        <v>48429165</v>
      </c>
      <c r="C1624" s="352">
        <f>'Anlage 3a_Zusammenfassung_KWKG'!C3361</f>
        <v>0</v>
      </c>
      <c r="D1624" s="854">
        <f t="shared" si="47"/>
        <v>48429165</v>
      </c>
      <c r="E1624" t="s">
        <v>1411</v>
      </c>
    </row>
    <row r="1625" spans="1:5" hidden="1" outlineLevel="2">
      <c r="A1625" s="853" t="str">
        <f>'Anlage 2a_Letztverbrauch'!A702</f>
        <v>SNB988980270319</v>
      </c>
      <c r="B1625" s="422">
        <f>+'Anlage 2a_Letztverbrauch'!I702</f>
        <v>135967889</v>
      </c>
      <c r="C1625" s="352">
        <f>'Anlage 3a_Zusammenfassung_KWKG'!C3362</f>
        <v>912422</v>
      </c>
      <c r="D1625" s="854">
        <f t="shared" si="47"/>
        <v>136880311</v>
      </c>
      <c r="E1625" t="s">
        <v>1797</v>
      </c>
    </row>
    <row r="1626" spans="1:5" hidden="1" outlineLevel="2">
      <c r="A1626" s="853" t="str">
        <f>'Anlage 2a_Letztverbrauch'!A703</f>
        <v>SNB916027833432</v>
      </c>
      <c r="B1626" s="422">
        <f>+'Anlage 2a_Letztverbrauch'!I703</f>
        <v>3657802</v>
      </c>
      <c r="C1626" s="352">
        <f>'Anlage 3a_Zusammenfassung_KWKG'!C3363</f>
        <v>0</v>
      </c>
      <c r="D1626" s="854">
        <f t="shared" si="47"/>
        <v>3657802</v>
      </c>
      <c r="E1626" t="s">
        <v>2241</v>
      </c>
    </row>
    <row r="1627" spans="1:5" hidden="1" outlineLevel="2">
      <c r="A1627" s="853" t="str">
        <f>'Anlage 2a_Letztverbrauch'!A704</f>
        <v>SNB945187645647</v>
      </c>
      <c r="B1627" s="422">
        <f>+'Anlage 2a_Letztverbrauch'!I704</f>
        <v>8087862.6799999997</v>
      </c>
      <c r="C1627" s="352">
        <f>'Anlage 3a_Zusammenfassung_KWKG'!C3364</f>
        <v>0</v>
      </c>
      <c r="D1627" s="854">
        <f t="shared" si="47"/>
        <v>8087862.6799999997</v>
      </c>
      <c r="E1627" t="s">
        <v>2243</v>
      </c>
    </row>
    <row r="1628" spans="1:5" hidden="1" outlineLevel="2">
      <c r="A1628" s="853" t="str">
        <f>'Anlage 2a_Letztverbrauch'!A705</f>
        <v>SNB911692402044</v>
      </c>
      <c r="B1628" s="422">
        <f>+'Anlage 2a_Letztverbrauch'!I705</f>
        <v>91947444</v>
      </c>
      <c r="C1628" s="352">
        <f>'Anlage 3a_Zusammenfassung_KWKG'!C3365</f>
        <v>0</v>
      </c>
      <c r="D1628" s="854">
        <f t="shared" si="47"/>
        <v>91947444</v>
      </c>
      <c r="E1628" t="s">
        <v>1235</v>
      </c>
    </row>
    <row r="1629" spans="1:5" hidden="1" outlineLevel="2">
      <c r="A1629" s="853" t="str">
        <f>'Anlage 2a_Letztverbrauch'!A706</f>
        <v>SNB985498109605</v>
      </c>
      <c r="B1629" s="422">
        <f>+'Anlage 2a_Letztverbrauch'!I706</f>
        <v>3155708</v>
      </c>
      <c r="C1629" s="352">
        <f>'Anlage 3a_Zusammenfassung_KWKG'!C3366</f>
        <v>426189</v>
      </c>
      <c r="D1629" s="854">
        <f t="shared" si="47"/>
        <v>3581897</v>
      </c>
      <c r="E1629" t="s">
        <v>2245</v>
      </c>
    </row>
    <row r="1630" spans="1:5" hidden="1" outlineLevel="2">
      <c r="A1630" s="853" t="str">
        <f>'Anlage 2a_Letztverbrauch'!A707</f>
        <v>SNB937858140285</v>
      </c>
      <c r="B1630" s="422">
        <f>+'Anlage 2a_Letztverbrauch'!I707</f>
        <v>257166925</v>
      </c>
      <c r="C1630" s="352">
        <f>'Anlage 3a_Zusammenfassung_KWKG'!C3367</f>
        <v>8061611</v>
      </c>
      <c r="D1630" s="854">
        <f t="shared" si="47"/>
        <v>265228536</v>
      </c>
      <c r="E1630" t="s">
        <v>1417</v>
      </c>
    </row>
    <row r="1631" spans="1:5" hidden="1" outlineLevel="2">
      <c r="A1631" s="853" t="str">
        <f>'Anlage 2a_Letztverbrauch'!A708</f>
        <v>SNB934071779865</v>
      </c>
      <c r="B1631" s="422">
        <f>+'Anlage 2a_Letztverbrauch'!I708</f>
        <v>882398280</v>
      </c>
      <c r="C1631" s="352">
        <f>'Anlage 3a_Zusammenfassung_KWKG'!C3368</f>
        <v>0</v>
      </c>
      <c r="D1631" s="854">
        <f t="shared" si="47"/>
        <v>882398280</v>
      </c>
      <c r="E1631" t="s">
        <v>565</v>
      </c>
    </row>
    <row r="1632" spans="1:5" hidden="1" outlineLevel="2">
      <c r="A1632" s="853" t="str">
        <f>'Anlage 2a_Letztverbrauch'!A709</f>
        <v>SNB980126228475</v>
      </c>
      <c r="B1632" s="422">
        <f>+'Anlage 2a_Letztverbrauch'!I709</f>
        <v>3625819</v>
      </c>
      <c r="C1632" s="352">
        <f>'Anlage 3a_Zusammenfassung_KWKG'!C3369</f>
        <v>0</v>
      </c>
      <c r="D1632" s="854">
        <f t="shared" si="47"/>
        <v>3625819</v>
      </c>
      <c r="E1632" t="s">
        <v>2247</v>
      </c>
    </row>
    <row r="1633" spans="1:5" hidden="1" outlineLevel="2">
      <c r="A1633" s="853" t="str">
        <f>'Anlage 2a_Letztverbrauch'!A710</f>
        <v>SNB967186419241</v>
      </c>
      <c r="B1633" s="422">
        <f>+'Anlage 2a_Letztverbrauch'!I710</f>
        <v>26745298</v>
      </c>
      <c r="C1633" s="352">
        <f>'Anlage 3a_Zusammenfassung_KWKG'!C3370</f>
        <v>0</v>
      </c>
      <c r="D1633" s="854">
        <f t="shared" si="47"/>
        <v>26745298</v>
      </c>
      <c r="E1633" t="s">
        <v>1631</v>
      </c>
    </row>
    <row r="1634" spans="1:5" hidden="1" outlineLevel="2">
      <c r="A1634" s="853" t="str">
        <f>'Anlage 2a_Letztverbrauch'!A711</f>
        <v>SNB915316807789</v>
      </c>
      <c r="B1634" s="422">
        <f>+'Anlage 2a_Letztverbrauch'!I711</f>
        <v>753565307.43200004</v>
      </c>
      <c r="C1634" s="352">
        <f>'Anlage 3a_Zusammenfassung_KWKG'!C3371</f>
        <v>-1109212.2009999999</v>
      </c>
      <c r="D1634" s="854">
        <f t="shared" si="47"/>
        <v>752456095.23100007</v>
      </c>
      <c r="E1634" t="s">
        <v>1266</v>
      </c>
    </row>
    <row r="1635" spans="1:5" hidden="1" outlineLevel="2">
      <c r="A1635" s="853" t="str">
        <f>'Anlage 2a_Letztverbrauch'!A712</f>
        <v>SNB960098459084</v>
      </c>
      <c r="B1635" s="422">
        <f>+'Anlage 2a_Letztverbrauch'!I712</f>
        <v>2755285</v>
      </c>
      <c r="C1635" s="352">
        <f>'Anlage 3a_Zusammenfassung_KWKG'!C3372</f>
        <v>0</v>
      </c>
      <c r="D1635" s="854">
        <f t="shared" si="47"/>
        <v>2755285</v>
      </c>
      <c r="E1635" t="s">
        <v>2249</v>
      </c>
    </row>
    <row r="1636" spans="1:5" hidden="1" outlineLevel="2">
      <c r="A1636" s="853" t="str">
        <f>'Anlage 2a_Letztverbrauch'!A713</f>
        <v>SNB931064958931</v>
      </c>
      <c r="B1636" s="422">
        <f>+'Anlage 2a_Letztverbrauch'!I713</f>
        <v>169678164</v>
      </c>
      <c r="C1636" s="352">
        <f>'Anlage 3a_Zusammenfassung_KWKG'!C3373</f>
        <v>0</v>
      </c>
      <c r="D1636" s="854">
        <f t="shared" si="47"/>
        <v>169678164</v>
      </c>
      <c r="E1636" t="s">
        <v>1381</v>
      </c>
    </row>
    <row r="1637" spans="1:5" hidden="1" outlineLevel="2">
      <c r="A1637" s="853" t="str">
        <f>'Anlage 2a_Letztverbrauch'!A714</f>
        <v>SNB962011640685</v>
      </c>
      <c r="B1637" s="422">
        <f>+'Anlage 2a_Letztverbrauch'!I714</f>
        <v>66164560</v>
      </c>
      <c r="C1637" s="352">
        <f>'Anlage 3a_Zusammenfassung_KWKG'!C3374</f>
        <v>271250</v>
      </c>
      <c r="D1637" s="854">
        <f t="shared" si="47"/>
        <v>66435810</v>
      </c>
      <c r="E1637" t="s">
        <v>2251</v>
      </c>
    </row>
    <row r="1638" spans="1:5" hidden="1" outlineLevel="2">
      <c r="A1638" s="853" t="str">
        <f>'Anlage 2a_Letztverbrauch'!A715</f>
        <v>SNB913085272050</v>
      </c>
      <c r="B1638" s="422">
        <f>+'Anlage 2a_Letztverbrauch'!I715</f>
        <v>2036886</v>
      </c>
      <c r="C1638" s="352">
        <f>'Anlage 3a_Zusammenfassung_KWKG'!C3375</f>
        <v>0</v>
      </c>
      <c r="D1638" s="854">
        <f t="shared" si="47"/>
        <v>2036886</v>
      </c>
      <c r="E1638" t="s">
        <v>2253</v>
      </c>
    </row>
    <row r="1639" spans="1:5" hidden="1" outlineLevel="2">
      <c r="A1639" s="853" t="str">
        <f>'Anlage 2a_Letztverbrauch'!A716</f>
        <v>SNB969534177940</v>
      </c>
      <c r="B1639" s="422">
        <f>+'Anlage 2a_Letztverbrauch'!I716</f>
        <v>1201758001.6099999</v>
      </c>
      <c r="C1639" s="352">
        <f>'Anlage 3a_Zusammenfassung_KWKG'!C3376</f>
        <v>-90223799.420000017</v>
      </c>
      <c r="D1639" s="854">
        <f t="shared" si="47"/>
        <v>1111534202.1899998</v>
      </c>
      <c r="E1639" t="s">
        <v>1655</v>
      </c>
    </row>
    <row r="1640" spans="1:5" hidden="1" outlineLevel="2">
      <c r="A1640" s="853" t="str">
        <f>'Anlage 2a_Letztverbrauch'!A717</f>
        <v>SNB951051725711</v>
      </c>
      <c r="B1640" s="422">
        <f>+'Anlage 2a_Letztverbrauch'!I717</f>
        <v>7558622203</v>
      </c>
      <c r="C1640" s="352">
        <f>'Anlage 3a_Zusammenfassung_KWKG'!C3377</f>
        <v>-45312950</v>
      </c>
      <c r="D1640" s="854">
        <f t="shared" si="47"/>
        <v>7513309253</v>
      </c>
      <c r="E1640" t="s">
        <v>1517</v>
      </c>
    </row>
    <row r="1641" spans="1:5" hidden="1" outlineLevel="2">
      <c r="A1641" s="853" t="str">
        <f>'Anlage 2a_Letztverbrauch'!A718</f>
        <v>SNB944419421783</v>
      </c>
      <c r="B1641" s="422">
        <f>+'Anlage 2a_Letztverbrauch'!I718</f>
        <v>24533973</v>
      </c>
      <c r="C1641" s="352">
        <f>'Anlage 3a_Zusammenfassung_KWKG'!C3378</f>
        <v>0</v>
      </c>
      <c r="D1641" s="854">
        <f t="shared" si="47"/>
        <v>24533973</v>
      </c>
      <c r="E1641" t="s">
        <v>1461</v>
      </c>
    </row>
    <row r="1642" spans="1:5" hidden="1" outlineLevel="2">
      <c r="A1642" s="853" t="str">
        <f>'Anlage 2a_Letztverbrauch'!A719</f>
        <v>SNB940352624434</v>
      </c>
      <c r="B1642" s="422">
        <f>+'Anlage 2a_Letztverbrauch'!I719</f>
        <v>16061417812</v>
      </c>
      <c r="C1642" s="352">
        <f>'Anlage 3a_Zusammenfassung_KWKG'!C3379</f>
        <v>-161538738</v>
      </c>
      <c r="D1642" s="854">
        <f t="shared" si="47"/>
        <v>15899879074</v>
      </c>
      <c r="E1642" t="s">
        <v>1431</v>
      </c>
    </row>
    <row r="1643" spans="1:5" hidden="1" outlineLevel="2">
      <c r="A1643" s="853" t="str">
        <f>'Anlage 2a_Letztverbrauch'!A720</f>
        <v>SNB990857029876</v>
      </c>
      <c r="B1643" s="422">
        <f>+'Anlage 2a_Letztverbrauch'!I720</f>
        <v>3674958654.1820002</v>
      </c>
      <c r="C1643" s="352">
        <f>'Anlage 3a_Zusammenfassung_KWKG'!C3380</f>
        <v>-16570142.257000001</v>
      </c>
      <c r="D1643" s="854">
        <f t="shared" si="47"/>
        <v>3658388511.9250002</v>
      </c>
      <c r="E1643" t="s">
        <v>1809</v>
      </c>
    </row>
    <row r="1644" spans="1:5" hidden="1" outlineLevel="2">
      <c r="A1644" s="853" t="str">
        <f>'Anlage 2a_Letztverbrauch'!A721</f>
        <v>SNB984607096621</v>
      </c>
      <c r="B1644" s="422">
        <f>+'Anlage 2a_Letztverbrauch'!I721</f>
        <v>666532431</v>
      </c>
      <c r="C1644" s="352">
        <f>'Anlage 3a_Zusammenfassung_KWKG'!C3381</f>
        <v>-11484957</v>
      </c>
      <c r="D1644" s="854">
        <f t="shared" si="47"/>
        <v>655047474</v>
      </c>
      <c r="E1644" t="s">
        <v>1769</v>
      </c>
    </row>
    <row r="1645" spans="1:5" hidden="1" outlineLevel="2">
      <c r="A1645" s="853" t="str">
        <f>'Anlage 2a_Letztverbrauch'!A722</f>
        <v>SNB919526009605</v>
      </c>
      <c r="B1645" s="422">
        <f>+'Anlage 2a_Letztverbrauch'!I722</f>
        <v>218317729</v>
      </c>
      <c r="C1645" s="352">
        <f>'Anlage 3a_Zusammenfassung_KWKG'!C3382</f>
        <v>0</v>
      </c>
      <c r="D1645" s="854">
        <f t="shared" si="47"/>
        <v>218317729</v>
      </c>
      <c r="E1645" t="s">
        <v>2255</v>
      </c>
    </row>
    <row r="1646" spans="1:5" hidden="1" outlineLevel="2">
      <c r="A1646" s="853" t="str">
        <f>'Anlage 2a_Letztverbrauch'!A723</f>
        <v>SNB929881052512</v>
      </c>
      <c r="B1646" s="422">
        <f>+'Anlage 2a_Letztverbrauch'!I723</f>
        <v>3715673854</v>
      </c>
      <c r="C1646" s="352">
        <f>'Anlage 3a_Zusammenfassung_KWKG'!C3383</f>
        <v>-35529529</v>
      </c>
      <c r="D1646" s="854">
        <f t="shared" si="47"/>
        <v>3680144325</v>
      </c>
      <c r="E1646" t="s">
        <v>880</v>
      </c>
    </row>
    <row r="1647" spans="1:5" hidden="1" outlineLevel="2">
      <c r="A1647" s="853" t="str">
        <f>'Anlage 2a_Letztverbrauch'!A724</f>
        <v>SNB949369515353</v>
      </c>
      <c r="B1647" s="422">
        <f>+'Anlage 2a_Letztverbrauch'!I724</f>
        <v>71442425</v>
      </c>
      <c r="C1647" s="352">
        <f>'Anlage 3a_Zusammenfassung_KWKG'!C3384</f>
        <v>0</v>
      </c>
      <c r="D1647" s="854">
        <f t="shared" si="47"/>
        <v>71442425</v>
      </c>
      <c r="E1647" t="s">
        <v>1501</v>
      </c>
    </row>
    <row r="1648" spans="1:5" hidden="1" outlineLevel="2">
      <c r="A1648" s="853" t="str">
        <f>'Anlage 2a_Letztverbrauch'!A725</f>
        <v>SNB973875583315</v>
      </c>
      <c r="B1648" s="422">
        <f>+'Anlage 2a_Letztverbrauch'!I725</f>
        <v>4314784685</v>
      </c>
      <c r="C1648" s="352">
        <f>'Anlage 3a_Zusammenfassung_KWKG'!C3385</f>
        <v>-82020759</v>
      </c>
      <c r="D1648" s="854">
        <f t="shared" si="47"/>
        <v>4232763926</v>
      </c>
      <c r="E1648" t="s">
        <v>1684</v>
      </c>
    </row>
    <row r="1649" spans="1:5" hidden="1" outlineLevel="2">
      <c r="A1649" s="853" t="str">
        <f>'Anlage 2a_Letztverbrauch'!A726</f>
        <v>SNB990362338043</v>
      </c>
      <c r="B1649" s="422">
        <f>+'Anlage 2a_Letztverbrauch'!I726</f>
        <v>4517531445.7849998</v>
      </c>
      <c r="C1649" s="352">
        <f>'Anlage 3a_Zusammenfassung_KWKG'!C3386</f>
        <v>-33374037.519999996</v>
      </c>
      <c r="D1649" s="854">
        <f t="shared" si="47"/>
        <v>4484157408.2649994</v>
      </c>
      <c r="E1649" t="s">
        <v>759</v>
      </c>
    </row>
    <row r="1650" spans="1:5" hidden="1" outlineLevel="2">
      <c r="A1650" s="853" t="str">
        <f>'Anlage 2a_Letztverbrauch'!A727</f>
        <v>SNB971311555230</v>
      </c>
      <c r="B1650" s="422">
        <f>+'Anlage 2a_Letztverbrauch'!I727</f>
        <v>3743229502</v>
      </c>
      <c r="C1650" s="352">
        <f>'Anlage 3a_Zusammenfassung_KWKG'!C3387</f>
        <v>-2369795</v>
      </c>
      <c r="D1650" s="854">
        <f t="shared" si="47"/>
        <v>3740859707</v>
      </c>
      <c r="E1650" t="s">
        <v>1091</v>
      </c>
    </row>
    <row r="1651" spans="1:5" hidden="1" outlineLevel="2">
      <c r="A1651" s="853" t="str">
        <f>'Anlage 2a_Letztverbrauch'!A728</f>
        <v>SNB922722422505</v>
      </c>
      <c r="B1651" s="422">
        <f>+'Anlage 2a_Letztverbrauch'!I728</f>
        <v>88783854.003999993</v>
      </c>
      <c r="C1651" s="352">
        <f>'Anlage 3a_Zusammenfassung_KWKG'!C3388</f>
        <v>2292939.7039999999</v>
      </c>
      <c r="D1651" s="854">
        <f t="shared" si="47"/>
        <v>91076793.707999989</v>
      </c>
      <c r="E1651" t="s">
        <v>2257</v>
      </c>
    </row>
    <row r="1652" spans="1:5" hidden="1" outlineLevel="2">
      <c r="A1652" s="853" t="str">
        <f>'Anlage 2a_Letztverbrauch'!A729</f>
        <v>SNB928184287881</v>
      </c>
      <c r="B1652" s="422">
        <f>+'Anlage 2a_Letztverbrauch'!I729</f>
        <v>3602661</v>
      </c>
      <c r="C1652" s="352">
        <f>'Anlage 3a_Zusammenfassung_KWKG'!C3389</f>
        <v>0</v>
      </c>
      <c r="D1652" s="854">
        <f t="shared" si="47"/>
        <v>3602661</v>
      </c>
      <c r="E1652" t="s">
        <v>1353</v>
      </c>
    </row>
    <row r="1653" spans="1:5" hidden="1" outlineLevel="2">
      <c r="A1653" s="853" t="str">
        <f>'Anlage 2a_Letztverbrauch'!A730</f>
        <v>SNB952566530197</v>
      </c>
      <c r="B1653" s="422">
        <f>+'Anlage 2a_Letztverbrauch'!I730</f>
        <v>7482677</v>
      </c>
      <c r="C1653" s="352">
        <f>'Anlage 3a_Zusammenfassung_KWKG'!C3390</f>
        <v>0</v>
      </c>
      <c r="D1653" s="854">
        <f t="shared" si="47"/>
        <v>7482677</v>
      </c>
      <c r="E1653" t="s">
        <v>2259</v>
      </c>
    </row>
    <row r="1654" spans="1:5" hidden="1" outlineLevel="2">
      <c r="A1654" s="853" t="str">
        <f>'Anlage 2a_Letztverbrauch'!A731</f>
        <v>SNB958060904298</v>
      </c>
      <c r="B1654" s="422">
        <f>+'Anlage 2a_Letztverbrauch'!I731</f>
        <v>385706</v>
      </c>
      <c r="C1654" s="352">
        <f>'Anlage 3a_Zusammenfassung_KWKG'!C3391</f>
        <v>0</v>
      </c>
      <c r="D1654" s="854">
        <f t="shared" si="47"/>
        <v>385706</v>
      </c>
      <c r="E1654" t="s">
        <v>2261</v>
      </c>
    </row>
    <row r="1655" spans="1:5" hidden="1" outlineLevel="2">
      <c r="A1655" s="853" t="str">
        <f>'Anlage 2a_Letztverbrauch'!A732</f>
        <v>SNB986580518855</v>
      </c>
      <c r="B1655" s="422">
        <f>+'Anlage 2a_Letztverbrauch'!I732</f>
        <v>116429932</v>
      </c>
      <c r="C1655" s="352">
        <f>'Anlage 3a_Zusammenfassung_KWKG'!C3392</f>
        <v>-94256.23000000001</v>
      </c>
      <c r="D1655" s="854">
        <f t="shared" si="47"/>
        <v>116335675.77</v>
      </c>
      <c r="E1655" t="s">
        <v>1785</v>
      </c>
    </row>
    <row r="1656" spans="1:5" hidden="1" outlineLevel="2">
      <c r="A1656" s="853" t="str">
        <f>'Anlage 2a_Letztverbrauch'!A733</f>
        <v>SNB994111700501</v>
      </c>
      <c r="B1656" s="422">
        <f>+'Anlage 2a_Letztverbrauch'!I733</f>
        <v>90130551</v>
      </c>
      <c r="C1656" s="352">
        <f>'Anlage 3a_Zusammenfassung_KWKG'!C3393</f>
        <v>391666</v>
      </c>
      <c r="D1656" s="854">
        <f t="shared" si="47"/>
        <v>90522217</v>
      </c>
      <c r="E1656" t="s">
        <v>1817</v>
      </c>
    </row>
    <row r="1657" spans="1:5" hidden="1" outlineLevel="2">
      <c r="A1657" s="853" t="str">
        <f>'Anlage 2a_Letztverbrauch'!A734</f>
        <v>SNB929575518928</v>
      </c>
      <c r="B1657" s="422">
        <f>+'Anlage 2a_Letztverbrauch'!I734</f>
        <v>70651375</v>
      </c>
      <c r="C1657" s="352">
        <f>'Anlage 3a_Zusammenfassung_KWKG'!C3394</f>
        <v>0</v>
      </c>
      <c r="D1657" s="854">
        <f t="shared" si="47"/>
        <v>70651375</v>
      </c>
      <c r="E1657" t="s">
        <v>1369</v>
      </c>
    </row>
    <row r="1658" spans="1:5" hidden="1" outlineLevel="2">
      <c r="A1658" s="853" t="str">
        <f>'Anlage 2a_Letztverbrauch'!A735</f>
        <v>SNB954187049256</v>
      </c>
      <c r="B1658" s="422">
        <f>+'Anlage 2a_Letztverbrauch'!I735</f>
        <v>89495254</v>
      </c>
      <c r="C1658" s="352">
        <f>'Anlage 3a_Zusammenfassung_KWKG'!C3395</f>
        <v>0</v>
      </c>
      <c r="D1658" s="854">
        <f t="shared" si="47"/>
        <v>89495254</v>
      </c>
      <c r="E1658" t="s">
        <v>1535</v>
      </c>
    </row>
    <row r="1659" spans="1:5" hidden="1" outlineLevel="2">
      <c r="A1659" s="853" t="str">
        <f>'Anlage 2a_Letztverbrauch'!A736</f>
        <v>SNB985729975610</v>
      </c>
      <c r="B1659" s="422">
        <f>+'Anlage 2a_Letztverbrauch'!I736</f>
        <v>318708434</v>
      </c>
      <c r="C1659" s="352">
        <f>'Anlage 3a_Zusammenfassung_KWKG'!C3396</f>
        <v>49112</v>
      </c>
      <c r="D1659" s="854">
        <f t="shared" si="47"/>
        <v>318757546</v>
      </c>
      <c r="E1659" t="s">
        <v>1779</v>
      </c>
    </row>
    <row r="1660" spans="1:5" hidden="1" outlineLevel="2">
      <c r="A1660" s="853" t="str">
        <f>'Anlage 2a_Letztverbrauch'!A737</f>
        <v>SNB913768089142</v>
      </c>
      <c r="B1660" s="422">
        <f>+'Anlage 2a_Letztverbrauch'!I737</f>
        <v>20413410</v>
      </c>
      <c r="C1660" s="352">
        <f>'Anlage 3a_Zusammenfassung_KWKG'!C3397</f>
        <v>13240</v>
      </c>
      <c r="D1660" s="854">
        <f t="shared" si="47"/>
        <v>20426650</v>
      </c>
      <c r="E1660" t="s">
        <v>2262</v>
      </c>
    </row>
    <row r="1661" spans="1:5" hidden="1" outlineLevel="2">
      <c r="A1661" s="853" t="str">
        <f>'Anlage 2a_Letztverbrauch'!A738</f>
        <v>SNB981122608278</v>
      </c>
      <c r="B1661" s="422">
        <f>+'Anlage 2a_Letztverbrauch'!I738</f>
        <v>18587563</v>
      </c>
      <c r="C1661" s="352">
        <f>'Anlage 3a_Zusammenfassung_KWKG'!C3398</f>
        <v>0</v>
      </c>
      <c r="D1661" s="854">
        <f t="shared" si="47"/>
        <v>18587563</v>
      </c>
      <c r="E1661" t="s">
        <v>731</v>
      </c>
    </row>
    <row r="1662" spans="1:5" hidden="1" outlineLevel="2">
      <c r="A1662" s="853" t="str">
        <f>'Anlage 2a_Letztverbrauch'!A739</f>
        <v>SNB942732578894</v>
      </c>
      <c r="B1662" s="422">
        <f>+'Anlage 2a_Letztverbrauch'!I739</f>
        <v>312725124</v>
      </c>
      <c r="C1662" s="352">
        <f>'Anlage 3a_Zusammenfassung_KWKG'!C3399</f>
        <v>0</v>
      </c>
      <c r="D1662" s="854">
        <f t="shared" si="47"/>
        <v>312725124</v>
      </c>
      <c r="E1662" t="s">
        <v>1451</v>
      </c>
    </row>
    <row r="1663" spans="1:5" hidden="1" outlineLevel="2">
      <c r="A1663" s="853" t="str">
        <f>'Anlage 2a_Letztverbrauch'!A740</f>
        <v>SNB986363918520</v>
      </c>
      <c r="B1663" s="422">
        <f>+'Anlage 2a_Letztverbrauch'!I740</f>
        <v>28406258</v>
      </c>
      <c r="C1663" s="352">
        <f>'Anlage 3a_Zusammenfassung_KWKG'!C3400</f>
        <v>-258203</v>
      </c>
      <c r="D1663" s="854">
        <f t="shared" si="47"/>
        <v>28148055</v>
      </c>
      <c r="E1663" t="s">
        <v>2264</v>
      </c>
    </row>
    <row r="1664" spans="1:5" hidden="1" outlineLevel="2">
      <c r="A1664" s="853" t="str">
        <f>'Anlage 2a_Letztverbrauch'!A741</f>
        <v>SNB982034089728</v>
      </c>
      <c r="B1664" s="422">
        <f>+'Anlage 2a_Letztverbrauch'!I741</f>
        <v>5739148</v>
      </c>
      <c r="C1664" s="352">
        <f>'Anlage 3a_Zusammenfassung_KWKG'!C3401</f>
        <v>12687</v>
      </c>
      <c r="D1664" s="854">
        <f t="shared" si="47"/>
        <v>5751835</v>
      </c>
      <c r="E1664" t="s">
        <v>2266</v>
      </c>
    </row>
    <row r="1665" spans="1:5" hidden="1" outlineLevel="2">
      <c r="A1665" s="853" t="str">
        <f>'Anlage 2a_Letztverbrauch'!A742</f>
        <v>SNB951835062254</v>
      </c>
      <c r="B1665" s="422">
        <f>+'Anlage 2a_Letztverbrauch'!I742</f>
        <v>89774893.269999996</v>
      </c>
      <c r="C1665" s="352">
        <f>'Anlage 3a_Zusammenfassung_KWKG'!C3402</f>
        <v>1615994</v>
      </c>
      <c r="D1665" s="854">
        <f t="shared" si="47"/>
        <v>91390887.269999996</v>
      </c>
      <c r="E1665" t="s">
        <v>1521</v>
      </c>
    </row>
    <row r="1666" spans="1:5" hidden="1" outlineLevel="2">
      <c r="A1666" s="853" t="str">
        <f>'Anlage 2a_Letztverbrauch'!A743</f>
        <v>SNB933013692798</v>
      </c>
      <c r="B1666" s="422">
        <f>+'Anlage 2a_Letztverbrauch'!I743</f>
        <v>87751742</v>
      </c>
      <c r="C1666" s="352">
        <f>'Anlage 3a_Zusammenfassung_KWKG'!C3403</f>
        <v>0</v>
      </c>
      <c r="D1666" s="854">
        <f t="shared" si="47"/>
        <v>87751742</v>
      </c>
      <c r="E1666" t="s">
        <v>1395</v>
      </c>
    </row>
    <row r="1667" spans="1:5" hidden="1" outlineLevel="2">
      <c r="A1667" s="853" t="str">
        <f>'Anlage 2a_Letztverbrauch'!A744</f>
        <v>SNB942182027607</v>
      </c>
      <c r="B1667" s="422">
        <f>+'Anlage 2a_Letztverbrauch'!I744</f>
        <v>4331607072</v>
      </c>
      <c r="C1667" s="352">
        <f>'Anlage 3a_Zusammenfassung_KWKG'!C3404</f>
        <v>-8630225</v>
      </c>
      <c r="D1667" s="854">
        <f t="shared" si="47"/>
        <v>4322976847</v>
      </c>
      <c r="E1667" t="s">
        <v>944</v>
      </c>
    </row>
    <row r="1668" spans="1:5" hidden="1" outlineLevel="2">
      <c r="A1668" s="853" t="str">
        <f>'Anlage 2a_Letztverbrauch'!A745</f>
        <v>SNB965164398427</v>
      </c>
      <c r="B1668" s="422">
        <f>+'Anlage 2a_Letztverbrauch'!I745</f>
        <v>283192410</v>
      </c>
      <c r="C1668" s="352">
        <f>'Anlage 3a_Zusammenfassung_KWKG'!C3405</f>
        <v>0</v>
      </c>
      <c r="D1668" s="854">
        <f t="shared" si="47"/>
        <v>283192410</v>
      </c>
      <c r="E1668" t="s">
        <v>1047</v>
      </c>
    </row>
    <row r="1669" spans="1:5" hidden="1" outlineLevel="2">
      <c r="A1669" s="853" t="str">
        <f>'Anlage 2a_Letztverbrauch'!A746</f>
        <v>SNB985172238775</v>
      </c>
      <c r="B1669" s="422">
        <f>+'Anlage 2a_Letztverbrauch'!I746</f>
        <v>63369340</v>
      </c>
      <c r="C1669" s="352">
        <f>'Anlage 3a_Zusammenfassung_KWKG'!C3406</f>
        <v>175883</v>
      </c>
      <c r="D1669" s="854">
        <f t="shared" si="47"/>
        <v>63545223</v>
      </c>
      <c r="E1669" t="s">
        <v>1771</v>
      </c>
    </row>
    <row r="1670" spans="1:5" hidden="1" outlineLevel="2">
      <c r="A1670" s="853" t="str">
        <f>'Anlage 2a_Letztverbrauch'!A747</f>
        <v>SNB975268997129</v>
      </c>
      <c r="B1670" s="422">
        <f>+'Anlage 2a_Letztverbrauch'!I747</f>
        <v>7633003</v>
      </c>
      <c r="C1670" s="352">
        <f>'Anlage 3a_Zusammenfassung_KWKG'!C3407</f>
        <v>0</v>
      </c>
      <c r="D1670" s="854">
        <f t="shared" si="47"/>
        <v>7633003</v>
      </c>
      <c r="E1670" t="s">
        <v>2268</v>
      </c>
    </row>
    <row r="1671" spans="1:5" hidden="1" outlineLevel="2">
      <c r="A1671" s="853" t="str">
        <f>'Anlage 2a_Letztverbrauch'!A748</f>
        <v>SNB961497906636</v>
      </c>
      <c r="B1671" s="422">
        <f>+'Anlage 2a_Letztverbrauch'!I748</f>
        <v>68259863</v>
      </c>
      <c r="C1671" s="352">
        <f>'Anlage 3a_Zusammenfassung_KWKG'!C3408</f>
        <v>-2251056.6540000001</v>
      </c>
      <c r="D1671" s="854">
        <f t="shared" si="47"/>
        <v>66008806.346000001</v>
      </c>
      <c r="E1671" t="s">
        <v>1031</v>
      </c>
    </row>
    <row r="1672" spans="1:5" hidden="1" outlineLevel="2">
      <c r="A1672" s="853" t="str">
        <f>'Anlage 2a_Letztverbrauch'!A749</f>
        <v>SNB910066952147</v>
      </c>
      <c r="B1672" s="422">
        <f>+'Anlage 2a_Letztverbrauch'!I749</f>
        <v>5429162</v>
      </c>
      <c r="C1672" s="352">
        <f>'Anlage 3a_Zusammenfassung_KWKG'!C3409</f>
        <v>0</v>
      </c>
      <c r="D1672" s="854">
        <f t="shared" si="47"/>
        <v>5429162</v>
      </c>
      <c r="E1672" t="s">
        <v>2270</v>
      </c>
    </row>
    <row r="1673" spans="1:5" hidden="1" outlineLevel="2">
      <c r="A1673" s="853" t="str">
        <f>'Anlage 2a_Letztverbrauch'!A750</f>
        <v>SNB921897286493</v>
      </c>
      <c r="B1673" s="422">
        <f>+'Anlage 2a_Letztverbrauch'!I750</f>
        <v>201974055</v>
      </c>
      <c r="C1673" s="352">
        <f>'Anlage 3a_Zusammenfassung_KWKG'!C3410</f>
        <v>-17090</v>
      </c>
      <c r="D1673" s="854">
        <f t="shared" si="47"/>
        <v>201956965</v>
      </c>
      <c r="E1673" t="s">
        <v>1311</v>
      </c>
    </row>
    <row r="1674" spans="1:5" hidden="1" outlineLevel="2">
      <c r="A1674" s="853" t="str">
        <f>'Anlage 2a_Letztverbrauch'!A751</f>
        <v>SNB916255659316</v>
      </c>
      <c r="B1674" s="422">
        <f>+'Anlage 2a_Letztverbrauch'!I751</f>
        <v>134466689</v>
      </c>
      <c r="C1674" s="352">
        <f>'Anlage 3a_Zusammenfassung_KWKG'!C3411</f>
        <v>3374099</v>
      </c>
      <c r="D1674" s="854">
        <f t="shared" si="47"/>
        <v>137840788</v>
      </c>
      <c r="E1674" t="s">
        <v>1274</v>
      </c>
    </row>
    <row r="1675" spans="1:5" hidden="1" outlineLevel="2">
      <c r="A1675" s="853" t="str">
        <f>'Anlage 2a_Letztverbrauch'!A752</f>
        <v>SNB946717964085</v>
      </c>
      <c r="B1675" s="422">
        <f>+'Anlage 2a_Letztverbrauch'!I752</f>
        <v>10923924</v>
      </c>
      <c r="C1675" s="352">
        <f>'Anlage 3a_Zusammenfassung_KWKG'!C3412</f>
        <v>0</v>
      </c>
      <c r="D1675" s="854">
        <f t="shared" si="47"/>
        <v>10923924</v>
      </c>
      <c r="E1675" t="s">
        <v>1481</v>
      </c>
    </row>
    <row r="1676" spans="1:5" hidden="1" outlineLevel="2">
      <c r="A1676" s="853" t="str">
        <f>'Anlage 2a_Letztverbrauch'!A753</f>
        <v>SNB916151866986</v>
      </c>
      <c r="B1676" s="422">
        <f>+'Anlage 2a_Letztverbrauch'!I753</f>
        <v>103336212</v>
      </c>
      <c r="C1676" s="352">
        <f>'Anlage 3a_Zusammenfassung_KWKG'!C3413</f>
        <v>0</v>
      </c>
      <c r="D1676" s="854">
        <f t="shared" si="47"/>
        <v>103336212</v>
      </c>
      <c r="E1676" t="s">
        <v>1272</v>
      </c>
    </row>
    <row r="1677" spans="1:5" hidden="1" outlineLevel="2">
      <c r="A1677" s="853" t="str">
        <f>'Anlage 2a_Letztverbrauch'!A754</f>
        <v>SNB947514936855</v>
      </c>
      <c r="B1677" s="422">
        <f>+'Anlage 2a_Letztverbrauch'!I754</f>
        <v>142731184</v>
      </c>
      <c r="C1677" s="352">
        <f>'Anlage 3a_Zusammenfassung_KWKG'!C3414</f>
        <v>-842877</v>
      </c>
      <c r="D1677" s="854">
        <f t="shared" si="47"/>
        <v>141888307</v>
      </c>
      <c r="E1677" t="s">
        <v>1489</v>
      </c>
    </row>
    <row r="1678" spans="1:5" hidden="1" outlineLevel="2">
      <c r="A1678" s="853" t="str">
        <f>'Anlage 2a_Letztverbrauch'!A755</f>
        <v>SNB986482940686</v>
      </c>
      <c r="B1678" s="422">
        <f>+'Anlage 2a_Letztverbrauch'!I755</f>
        <v>170200134</v>
      </c>
      <c r="C1678" s="352">
        <f>'Anlage 3a_Zusammenfassung_KWKG'!C3415</f>
        <v>67911</v>
      </c>
      <c r="D1678" s="854">
        <f t="shared" si="47"/>
        <v>170268045</v>
      </c>
      <c r="E1678" t="s">
        <v>1783</v>
      </c>
    </row>
    <row r="1679" spans="1:5" hidden="1" outlineLevel="2">
      <c r="A1679" s="853" t="str">
        <f>'Anlage 2a_Letztverbrauch'!A756</f>
        <v>SNB946090906887</v>
      </c>
      <c r="B1679" s="422">
        <f>+'Anlage 2a_Letztverbrauch'!I756</f>
        <v>17628843</v>
      </c>
      <c r="C1679" s="352">
        <f>'Anlage 3a_Zusammenfassung_KWKG'!C3416</f>
        <v>121398</v>
      </c>
      <c r="D1679" s="854">
        <f t="shared" si="47"/>
        <v>17750241</v>
      </c>
      <c r="E1679" t="s">
        <v>1473</v>
      </c>
    </row>
    <row r="1680" spans="1:5" hidden="1" outlineLevel="2">
      <c r="A1680" s="853" t="str">
        <f>'Anlage 2a_Letztverbrauch'!A757</f>
        <v>SNB975581504646</v>
      </c>
      <c r="B1680" s="422">
        <f>+'Anlage 2a_Letztverbrauch'!I757</f>
        <v>43910870</v>
      </c>
      <c r="C1680" s="352">
        <f>'Anlage 3a_Zusammenfassung_KWKG'!C3417</f>
        <v>0</v>
      </c>
      <c r="D1680" s="854">
        <f t="shared" ref="D1680:D1704" si="48">SUM(B1680:C1680)</f>
        <v>43910870</v>
      </c>
      <c r="E1680" t="s">
        <v>1693</v>
      </c>
    </row>
    <row r="1681" spans="1:5" hidden="1" outlineLevel="2">
      <c r="A1681" s="853" t="str">
        <f>'Anlage 2a_Letztverbrauch'!A758</f>
        <v>SNB938180557147</v>
      </c>
      <c r="B1681" s="422">
        <f>+'Anlage 2a_Letztverbrauch'!I758</f>
        <v>17052855.559999999</v>
      </c>
      <c r="C1681" s="352">
        <f>'Anlage 3a_Zusammenfassung_KWKG'!C3418</f>
        <v>0</v>
      </c>
      <c r="D1681" s="854">
        <f t="shared" si="48"/>
        <v>17052855.559999999</v>
      </c>
      <c r="E1681" t="s">
        <v>2272</v>
      </c>
    </row>
    <row r="1682" spans="1:5" hidden="1" outlineLevel="2">
      <c r="A1682" s="853" t="str">
        <f>'Anlage 2a_Letztverbrauch'!A759</f>
        <v>SNB974647435931</v>
      </c>
      <c r="B1682" s="422">
        <f>+'Anlage 2a_Letztverbrauch'!I759</f>
        <v>55129446.170000002</v>
      </c>
      <c r="C1682" s="352">
        <f>'Anlage 3a_Zusammenfassung_KWKG'!C3419</f>
        <v>0</v>
      </c>
      <c r="D1682" s="854">
        <f t="shared" si="48"/>
        <v>55129446.170000002</v>
      </c>
      <c r="E1682" t="s">
        <v>1688</v>
      </c>
    </row>
    <row r="1683" spans="1:5" hidden="1" outlineLevel="2">
      <c r="A1683" s="853" t="str">
        <f>'Anlage 2a_Letztverbrauch'!A760</f>
        <v>SNB971573473594</v>
      </c>
      <c r="B1683" s="422">
        <f>+'Anlage 2a_Letztverbrauch'!I760</f>
        <v>84458765</v>
      </c>
      <c r="C1683" s="352">
        <f>'Anlage 3a_Zusammenfassung_KWKG'!C3420</f>
        <v>0</v>
      </c>
      <c r="D1683" s="854">
        <f t="shared" si="48"/>
        <v>84458765</v>
      </c>
      <c r="E1683" t="s">
        <v>2274</v>
      </c>
    </row>
    <row r="1684" spans="1:5" hidden="1" outlineLevel="2">
      <c r="A1684" s="853" t="str">
        <f>'Anlage 2a_Letztverbrauch'!A761</f>
        <v>SNB949124413085</v>
      </c>
      <c r="B1684" s="422">
        <f>+'Anlage 2a_Letztverbrauch'!I761</f>
        <v>5811968</v>
      </c>
      <c r="C1684" s="352">
        <f>'Anlage 3a_Zusammenfassung_KWKG'!C3421</f>
        <v>0</v>
      </c>
      <c r="D1684" s="854">
        <f t="shared" si="48"/>
        <v>5811968</v>
      </c>
      <c r="E1684" t="s">
        <v>1499</v>
      </c>
    </row>
    <row r="1685" spans="1:5" hidden="1" outlineLevel="2">
      <c r="A1685" s="853" t="str">
        <f>'Anlage 2a_Letztverbrauch'!A762</f>
        <v>SNB950039201827</v>
      </c>
      <c r="B1685" s="422">
        <f>+'Anlage 2a_Letztverbrauch'!I762</f>
        <v>150560898</v>
      </c>
      <c r="C1685" s="352">
        <f>'Anlage 3a_Zusammenfassung_KWKG'!C3422</f>
        <v>-476055</v>
      </c>
      <c r="D1685" s="854">
        <f t="shared" si="48"/>
        <v>150084843</v>
      </c>
      <c r="E1685" t="s">
        <v>1509</v>
      </c>
    </row>
    <row r="1686" spans="1:5" hidden="1" outlineLevel="2">
      <c r="A1686" s="853" t="str">
        <f>'Anlage 2a_Letztverbrauch'!A763</f>
        <v>SNB920393062051</v>
      </c>
      <c r="B1686" s="422">
        <f>+'Anlage 2a_Letztverbrauch'!I763</f>
        <v>286944772.958</v>
      </c>
      <c r="C1686" s="352">
        <f>'Anlage 3a_Zusammenfassung_KWKG'!C3423</f>
        <v>-3355755.926</v>
      </c>
      <c r="D1686" s="854">
        <f t="shared" si="48"/>
        <v>283589017.03200001</v>
      </c>
      <c r="E1686" t="s">
        <v>1306</v>
      </c>
    </row>
    <row r="1687" spans="1:5" hidden="1" outlineLevel="2">
      <c r="A1687" s="853" t="str">
        <f>'Anlage 2a_Letztverbrauch'!A764</f>
        <v>SNB991263248615</v>
      </c>
      <c r="B1687" s="422">
        <f>+'Anlage 2a_Letztverbrauch'!I764</f>
        <v>65741321</v>
      </c>
      <c r="C1687" s="352">
        <f>'Anlage 3a_Zusammenfassung_KWKG'!C3424</f>
        <v>-591432</v>
      </c>
      <c r="D1687" s="854">
        <f t="shared" si="48"/>
        <v>65149889</v>
      </c>
      <c r="E1687" t="s">
        <v>1811</v>
      </c>
    </row>
    <row r="1688" spans="1:5" hidden="1" outlineLevel="2">
      <c r="A1688" s="853" t="str">
        <f>'Anlage 2a_Letztverbrauch'!A765</f>
        <v>SNB930525911119</v>
      </c>
      <c r="B1688" s="422">
        <f>+'Anlage 2a_Letztverbrauch'!I765</f>
        <v>425</v>
      </c>
      <c r="C1688" s="352">
        <f>'Anlage 3a_Zusammenfassung_KWKG'!C3425</f>
        <v>0</v>
      </c>
      <c r="D1688" s="854">
        <f t="shared" si="48"/>
        <v>425</v>
      </c>
      <c r="E1688" t="s">
        <v>543</v>
      </c>
    </row>
    <row r="1689" spans="1:5" hidden="1" outlineLevel="2">
      <c r="A1689" s="853" t="str">
        <f>'Anlage 2a_Letztverbrauch'!A766</f>
        <v>SNB903808877785</v>
      </c>
      <c r="B1689" s="422">
        <f>+'Anlage 2a_Letztverbrauch'!I766</f>
        <v>54148466.409999996</v>
      </c>
      <c r="C1689" s="352">
        <f>'Anlage 3a_Zusammenfassung_KWKG'!C3426</f>
        <v>-1755220.456</v>
      </c>
      <c r="D1689" s="854">
        <f t="shared" si="48"/>
        <v>52393245.953999996</v>
      </c>
      <c r="E1689" t="s">
        <v>2276</v>
      </c>
    </row>
    <row r="1690" spans="1:5" hidden="1" outlineLevel="2">
      <c r="A1690" s="853" t="str">
        <f>'Anlage 2a_Letztverbrauch'!A767</f>
        <v>SNB980362940834</v>
      </c>
      <c r="B1690" s="422">
        <f>+'Anlage 2a_Letztverbrauch'!I767</f>
        <v>29219608</v>
      </c>
      <c r="C1690" s="352">
        <f>'Anlage 3a_Zusammenfassung_KWKG'!C3427</f>
        <v>-543812</v>
      </c>
      <c r="D1690" s="854">
        <f t="shared" si="48"/>
        <v>28675796</v>
      </c>
      <c r="E1690" t="s">
        <v>727</v>
      </c>
    </row>
    <row r="1691" spans="1:5" hidden="1" outlineLevel="2">
      <c r="A1691" s="853" t="str">
        <f>'Anlage 2a_Letztverbrauch'!A768</f>
        <v>SNB930122681040</v>
      </c>
      <c r="B1691" s="422">
        <f>+'Anlage 2a_Letztverbrauch'!I768</f>
        <v>23715939.199999999</v>
      </c>
      <c r="C1691" s="352">
        <f>'Anlage 3a_Zusammenfassung_KWKG'!C3428</f>
        <v>-6441.2400000000007</v>
      </c>
      <c r="D1691" s="854">
        <f t="shared" si="48"/>
        <v>23709497.960000001</v>
      </c>
      <c r="E1691" t="s">
        <v>1371</v>
      </c>
    </row>
    <row r="1692" spans="1:5" hidden="1" outlineLevel="2">
      <c r="A1692" s="853" t="str">
        <f>'Anlage 2a_Letztverbrauch'!A769</f>
        <v>SNB952845016893</v>
      </c>
      <c r="B1692" s="422">
        <f>+'Anlage 2a_Letztverbrauch'!I769</f>
        <v>285750523</v>
      </c>
      <c r="C1692" s="352">
        <f>'Anlage 3a_Zusammenfassung_KWKG'!C3429</f>
        <v>58756</v>
      </c>
      <c r="D1692" s="854">
        <f t="shared" si="48"/>
        <v>285809279</v>
      </c>
      <c r="E1692" t="s">
        <v>1523</v>
      </c>
    </row>
    <row r="1693" spans="1:5" hidden="1" outlineLevel="2">
      <c r="A1693" s="853" t="str">
        <f>'Anlage 2a_Letztverbrauch'!A770</f>
        <v>SNB910395619643</v>
      </c>
      <c r="B1693" s="422">
        <f>+'Anlage 2a_Letztverbrauch'!I770</f>
        <v>61340176.417000003</v>
      </c>
      <c r="C1693" s="352">
        <f>'Anlage 3a_Zusammenfassung_KWKG'!C3430</f>
        <v>1745432.7000000002</v>
      </c>
      <c r="D1693" s="854">
        <f t="shared" si="48"/>
        <v>63085609.117000006</v>
      </c>
      <c r="E1693" t="s">
        <v>1224</v>
      </c>
    </row>
    <row r="1694" spans="1:5" hidden="1" outlineLevel="2">
      <c r="A1694" s="853" t="str">
        <f>'Anlage 2a_Letztverbrauch'!A771</f>
        <v>SNB940478286561</v>
      </c>
      <c r="B1694" s="422">
        <f>+'Anlage 2a_Letztverbrauch'!I771</f>
        <v>66518865.289999999</v>
      </c>
      <c r="C1694" s="352">
        <f>'Anlage 3a_Zusammenfassung_KWKG'!C3431</f>
        <v>471138.53</v>
      </c>
      <c r="D1694" s="854">
        <f t="shared" si="48"/>
        <v>66990003.82</v>
      </c>
      <c r="E1694" t="s">
        <v>1433</v>
      </c>
    </row>
    <row r="1695" spans="1:5" hidden="1" outlineLevel="2">
      <c r="A1695" s="853" t="str">
        <f>'Anlage 2a_Letztverbrauch'!A772</f>
        <v>SNB929262647085</v>
      </c>
      <c r="B1695" s="422">
        <f>+'Anlage 2a_Letztverbrauch'!I772</f>
        <v>71946527.569999993</v>
      </c>
      <c r="C1695" s="352">
        <f>'Anlage 3a_Zusammenfassung_KWKG'!C3432</f>
        <v>-111869.48999999999</v>
      </c>
      <c r="D1695" s="854">
        <f t="shared" si="48"/>
        <v>71834658.079999998</v>
      </c>
      <c r="E1695" t="s">
        <v>1365</v>
      </c>
    </row>
    <row r="1696" spans="1:5" hidden="1" outlineLevel="2">
      <c r="A1696" s="853" t="str">
        <f>'Anlage 2a_Letztverbrauch'!A773</f>
        <v>SNB996768145988</v>
      </c>
      <c r="B1696" s="422">
        <f>+'Anlage 2a_Letztverbrauch'!I773</f>
        <v>62101329</v>
      </c>
      <c r="C1696" s="352">
        <f>'Anlage 3a_Zusammenfassung_KWKG'!C3433</f>
        <v>0</v>
      </c>
      <c r="D1696" s="854">
        <f t="shared" si="48"/>
        <v>62101329</v>
      </c>
      <c r="E1696" t="s">
        <v>1823</v>
      </c>
    </row>
    <row r="1697" spans="1:9" hidden="1" outlineLevel="2">
      <c r="A1697" s="853" t="str">
        <f>'Anlage 2a_Letztverbrauch'!A774</f>
        <v>SNB917014884420</v>
      </c>
      <c r="B1697" s="422">
        <f>+'Anlage 2a_Letztverbrauch'!I774</f>
        <v>56923785</v>
      </c>
      <c r="C1697" s="352">
        <f>'Anlage 3a_Zusammenfassung_KWKG'!C3434</f>
        <v>345957</v>
      </c>
      <c r="D1697" s="854">
        <f t="shared" si="48"/>
        <v>57269742</v>
      </c>
      <c r="E1697" t="s">
        <v>1286</v>
      </c>
    </row>
    <row r="1698" spans="1:9" hidden="1" outlineLevel="2">
      <c r="A1698" s="853" t="str">
        <f>'Anlage 2a_Letztverbrauch'!A775</f>
        <v>SNB995332374861</v>
      </c>
      <c r="B1698" s="422">
        <f>+'Anlage 2a_Letztverbrauch'!I775</f>
        <v>18898261.960000001</v>
      </c>
      <c r="C1698" s="352">
        <f>'Anlage 3a_Zusammenfassung_KWKG'!C3435</f>
        <v>98379.790000000008</v>
      </c>
      <c r="D1698" s="854">
        <f t="shared" si="48"/>
        <v>18996641.75</v>
      </c>
      <c r="E1698" t="s">
        <v>769</v>
      </c>
    </row>
    <row r="1699" spans="1:9" hidden="1" outlineLevel="2">
      <c r="A1699" s="853" t="str">
        <f>'Anlage 2a_Letztverbrauch'!A776</f>
        <v>SNB953011641437</v>
      </c>
      <c r="B1699" s="422">
        <f>+'Anlage 2a_Letztverbrauch'!I776</f>
        <v>11430636.313999999</v>
      </c>
      <c r="C1699" s="352">
        <f>'Anlage 3a_Zusammenfassung_KWKG'!C3436</f>
        <v>0</v>
      </c>
      <c r="D1699" s="854">
        <f t="shared" si="48"/>
        <v>11430636.313999999</v>
      </c>
      <c r="E1699" t="s">
        <v>2278</v>
      </c>
    </row>
    <row r="1700" spans="1:9" hidden="1" outlineLevel="2">
      <c r="A1700" s="853" t="str">
        <f>'Anlage 2a_Letztverbrauch'!A777</f>
        <v>SNB935015390610</v>
      </c>
      <c r="B1700" s="422">
        <f>+'Anlage 2a_Letztverbrauch'!I777</f>
        <v>31719930</v>
      </c>
      <c r="C1700" s="352">
        <f>'Anlage 3a_Zusammenfassung_KWKG'!C3437</f>
        <v>0</v>
      </c>
      <c r="D1700" s="854">
        <f t="shared" si="48"/>
        <v>31719930</v>
      </c>
      <c r="E1700" t="s">
        <v>2280</v>
      </c>
    </row>
    <row r="1701" spans="1:9" hidden="1" outlineLevel="2">
      <c r="A1701" s="853" t="str">
        <f>'Anlage 2a_Letztverbrauch'!A778</f>
        <v>SNB938413573104</v>
      </c>
      <c r="B1701" s="422">
        <f>+'Anlage 2a_Letztverbrauch'!I778</f>
        <v>3234498.84</v>
      </c>
      <c r="C1701" s="352">
        <f>'Anlage 3a_Zusammenfassung_KWKG'!C3438</f>
        <v>35431.49</v>
      </c>
      <c r="D1701" s="854">
        <f t="shared" si="48"/>
        <v>3269930.33</v>
      </c>
      <c r="E1701" t="s">
        <v>2282</v>
      </c>
    </row>
    <row r="1702" spans="1:9" hidden="1" outlineLevel="2">
      <c r="A1702" s="853" t="str">
        <f>'Anlage 2a_Letztverbrauch'!A779</f>
        <v>SNB999912340406</v>
      </c>
      <c r="B1702" s="422">
        <f>+'Anlage 2a_Letztverbrauch'!I779</f>
        <v>216149409</v>
      </c>
      <c r="C1702" s="352">
        <f>'Anlage 3a_Zusammenfassung_KWKG'!C3439</f>
        <v>0</v>
      </c>
      <c r="D1702" s="854">
        <f t="shared" si="48"/>
        <v>216149409</v>
      </c>
      <c r="E1702" t="s">
        <v>1827</v>
      </c>
    </row>
    <row r="1703" spans="1:9" hidden="1" outlineLevel="2">
      <c r="A1703" s="853" t="str">
        <f>'Anlage 2a_Letztverbrauch'!A780</f>
        <v>SNB903166209006</v>
      </c>
      <c r="B1703" s="422">
        <f>+'Anlage 2a_Letztverbrauch'!I780</f>
        <v>28456465.449999999</v>
      </c>
      <c r="C1703" s="352">
        <f>'Anlage 3a_Zusammenfassung_KWKG'!C3440</f>
        <v>0</v>
      </c>
      <c r="D1703" s="854">
        <f t="shared" si="48"/>
        <v>28456465.449999999</v>
      </c>
      <c r="E1703" t="s">
        <v>2284</v>
      </c>
    </row>
    <row r="1704" spans="1:9" hidden="1" outlineLevel="2">
      <c r="A1704" s="853" t="str">
        <f>'Anlage 2a_Letztverbrauch'!A781</f>
        <v>SNB905238986457</v>
      </c>
      <c r="B1704" s="422">
        <f>+'Anlage 2a_Letztverbrauch'!I781</f>
        <v>695288</v>
      </c>
      <c r="C1704" s="352">
        <f>'Anlage 3a_Zusammenfassung_KWKG'!C3441</f>
        <v>189631</v>
      </c>
      <c r="D1704" s="854">
        <f t="shared" si="48"/>
        <v>884919</v>
      </c>
      <c r="E1704" t="s">
        <v>2286</v>
      </c>
    </row>
    <row r="1705" spans="1:9" hidden="1" outlineLevel="2">
      <c r="A1705" s="853" t="s">
        <v>2287</v>
      </c>
      <c r="B1705" s="422">
        <f>+'Anlage 2a_Letztverbrauch'!I782</f>
        <v>0</v>
      </c>
      <c r="C1705" s="352">
        <f>'Anlage 3a_Zusammenfassung_KWKG'!C3442</f>
        <v>-2936497</v>
      </c>
      <c r="D1705" s="854">
        <f>SUM(B1705:C1705)</f>
        <v>-2936497</v>
      </c>
      <c r="E1705" t="s">
        <v>2288</v>
      </c>
    </row>
    <row r="1706" spans="1:9" hidden="1" outlineLevel="2">
      <c r="A1706" s="853" t="s">
        <v>2289</v>
      </c>
      <c r="B1706" s="422">
        <f>+'Anlage 2a_Letztverbrauch'!I783</f>
        <v>0</v>
      </c>
      <c r="C1706" s="352">
        <f>'Anlage 3a_Zusammenfassung_KWKG'!C3443</f>
        <v>-2646033</v>
      </c>
      <c r="D1706" s="854">
        <f>SUM(B1706:C1706)</f>
        <v>-2646033</v>
      </c>
      <c r="E1706" t="s">
        <v>2290</v>
      </c>
    </row>
    <row r="1707" spans="1:9" ht="13.5" collapsed="1" thickBot="1">
      <c r="A1707" s="856" t="str">
        <f>'Anlage 3a_Zusammenfassung_KWKG'!A3444</f>
        <v>Regelzone TransnetBW (gesamt)</v>
      </c>
      <c r="B1707" s="423">
        <f>'Anlage 3a_Zusammenfassung_KWKG'!B3444</f>
        <v>47420658353</v>
      </c>
      <c r="C1707" s="931">
        <f>'Anlage 3a_Zusammenfassung_KWKG'!C3444</f>
        <v>374855279</v>
      </c>
      <c r="D1707" s="857">
        <f>SUM(B1707:C1707)</f>
        <v>47795513632</v>
      </c>
    </row>
    <row r="1708" spans="1:9" hidden="1" outlineLevel="2">
      <c r="A1708" s="858" t="s">
        <v>1829</v>
      </c>
      <c r="B1708" s="305">
        <f>VLOOKUP(A1708,'Anlage 3a_Zusammenfassung_KWKG'!A3445:C3592,2,FALSE)</f>
        <v>224148973</v>
      </c>
      <c r="C1708" s="305">
        <f>VLOOKUP(A1708,'Anlage 3a_Zusammenfassung_KWKG'!A3445:C3582,3,FALSE)</f>
        <v>0</v>
      </c>
      <c r="D1708" s="859">
        <v>224148973</v>
      </c>
      <c r="I1708" t="s">
        <v>1830</v>
      </c>
    </row>
    <row r="1709" spans="1:9" hidden="1" outlineLevel="2">
      <c r="A1709" s="858" t="s">
        <v>1831</v>
      </c>
      <c r="B1709" s="305">
        <f>VLOOKUP(A1709,'Anlage 3a_Zusammenfassung_KWKG'!A3446:C3593,2,FALSE)</f>
        <v>442743740</v>
      </c>
      <c r="C1709" s="305">
        <f>VLOOKUP(A1709,'Anlage 3a_Zusammenfassung_KWKG'!A3446:C3583,3,FALSE)</f>
        <v>-4607299</v>
      </c>
      <c r="D1709" s="860">
        <v>438136441</v>
      </c>
      <c r="I1709" t="s">
        <v>1832</v>
      </c>
    </row>
    <row r="1710" spans="1:9" hidden="1" outlineLevel="2">
      <c r="A1710" s="858" t="s">
        <v>1833</v>
      </c>
      <c r="B1710" s="305">
        <f>VLOOKUP(A1710,'Anlage 3a_Zusammenfassung_KWKG'!A3447:C3594,2,FALSE)</f>
        <v>1311009168</v>
      </c>
      <c r="C1710" s="305">
        <f>VLOOKUP(A1710,'Anlage 3a_Zusammenfassung_KWKG'!A3447:C3584,3,FALSE)</f>
        <v>0</v>
      </c>
      <c r="D1710" s="860">
        <v>1311009168</v>
      </c>
      <c r="I1710" t="s">
        <v>1834</v>
      </c>
    </row>
    <row r="1711" spans="1:9" hidden="1" outlineLevel="2">
      <c r="A1711" s="858" t="s">
        <v>2291</v>
      </c>
      <c r="B1711" s="305">
        <f>VLOOKUP(A1711,'Anlage 3a_Zusammenfassung_KWKG'!A3448:C3595,2,FALSE)</f>
        <v>11021823</v>
      </c>
      <c r="C1711" s="305">
        <f>VLOOKUP(A1711,'Anlage 3a_Zusammenfassung_KWKG'!A3448:C3585,3,FALSE)</f>
        <v>0</v>
      </c>
      <c r="D1711" s="860">
        <v>11021823</v>
      </c>
      <c r="I1711" t="s">
        <v>2292</v>
      </c>
    </row>
    <row r="1712" spans="1:9" hidden="1" outlineLevel="2">
      <c r="A1712" s="858" t="s">
        <v>1021</v>
      </c>
      <c r="B1712" s="305">
        <f>VLOOKUP(A1712,'Anlage 3a_Zusammenfassung_KWKG'!A3449:C3596,2,FALSE)</f>
        <v>2202632333</v>
      </c>
      <c r="C1712" s="305">
        <f>VLOOKUP(A1712,'Anlage 3a_Zusammenfassung_KWKG'!A3449:C3586,3,FALSE)</f>
        <v>-1748819</v>
      </c>
      <c r="D1712" s="860">
        <v>2200883514</v>
      </c>
      <c r="I1712" t="s">
        <v>944</v>
      </c>
    </row>
    <row r="1713" spans="1:9" hidden="1" outlineLevel="2">
      <c r="A1713" s="858" t="s">
        <v>1835</v>
      </c>
      <c r="B1713" s="305">
        <f>VLOOKUP(A1713,'Anlage 3a_Zusammenfassung_KWKG'!A3450:C3597,2,FALSE)</f>
        <v>131934180</v>
      </c>
      <c r="C1713" s="305">
        <f>VLOOKUP(A1713,'Anlage 3a_Zusammenfassung_KWKG'!A3450:C3587,3,FALSE)</f>
        <v>-189244</v>
      </c>
      <c r="D1713" s="860">
        <v>131744936</v>
      </c>
      <c r="I1713" t="s">
        <v>1836</v>
      </c>
    </row>
    <row r="1714" spans="1:9" hidden="1" outlineLevel="2">
      <c r="A1714" s="858" t="s">
        <v>542</v>
      </c>
      <c r="B1714" s="305">
        <f>VLOOKUP(A1714,'Anlage 3a_Zusammenfassung_KWKG'!A3451:C3598,2,FALSE)</f>
        <v>2679916</v>
      </c>
      <c r="C1714" s="305">
        <f>VLOOKUP(A1714,'Anlage 3a_Zusammenfassung_KWKG'!A3451:C3588,3,FALSE)</f>
        <v>-2164</v>
      </c>
      <c r="D1714" s="860">
        <v>2677752</v>
      </c>
      <c r="I1714" t="s">
        <v>543</v>
      </c>
    </row>
    <row r="1715" spans="1:9" hidden="1" outlineLevel="2">
      <c r="A1715" s="858" t="s">
        <v>1837</v>
      </c>
      <c r="B1715" s="305">
        <f>VLOOKUP(A1715,'Anlage 3a_Zusammenfassung_KWKG'!A3452:C3599,2,FALSE)</f>
        <v>149934845</v>
      </c>
      <c r="C1715" s="305">
        <f>VLOOKUP(A1715,'Anlage 3a_Zusammenfassung_KWKG'!A3452:C3589,3,FALSE)</f>
        <v>1531557</v>
      </c>
      <c r="D1715" s="860">
        <v>151466402</v>
      </c>
      <c r="I1715" t="s">
        <v>1838</v>
      </c>
    </row>
    <row r="1716" spans="1:9" hidden="1" outlineLevel="2">
      <c r="A1716" s="858" t="s">
        <v>1839</v>
      </c>
      <c r="B1716" s="305">
        <f>VLOOKUP(A1716,'Anlage 3a_Zusammenfassung_KWKG'!A3453:C3600,2,FALSE)</f>
        <v>80922840</v>
      </c>
      <c r="C1716" s="305">
        <f>VLOOKUP(A1716,'Anlage 3a_Zusammenfassung_KWKG'!A3453:C3590,3,FALSE)</f>
        <v>-53929</v>
      </c>
      <c r="D1716" s="860">
        <v>80868911</v>
      </c>
      <c r="I1716" t="s">
        <v>1840</v>
      </c>
    </row>
    <row r="1717" spans="1:9" hidden="1" outlineLevel="2">
      <c r="A1717" s="858" t="s">
        <v>1841</v>
      </c>
      <c r="B1717" s="305">
        <f>VLOOKUP(A1717,'Anlage 3a_Zusammenfassung_KWKG'!A3454:C3601,2,FALSE)</f>
        <v>17322939</v>
      </c>
      <c r="C1717" s="305">
        <f>VLOOKUP(A1717,'Anlage 3a_Zusammenfassung_KWKG'!A3454:C3591,3,FALSE)</f>
        <v>-141183</v>
      </c>
      <c r="D1717" s="860">
        <v>17181756</v>
      </c>
      <c r="I1717" t="s">
        <v>1842</v>
      </c>
    </row>
    <row r="1718" spans="1:9" hidden="1" outlineLevel="2">
      <c r="A1718" s="858" t="s">
        <v>1843</v>
      </c>
      <c r="B1718" s="305">
        <f>VLOOKUP(A1718,'Anlage 3a_Zusammenfassung_KWKG'!A3455:C3602,2,FALSE)</f>
        <v>25395615</v>
      </c>
      <c r="C1718" s="305">
        <f>VLOOKUP(A1718,'Anlage 3a_Zusammenfassung_KWKG'!A3455:C3592,3,FALSE)</f>
        <v>-10942330</v>
      </c>
      <c r="D1718" s="860">
        <v>14453285</v>
      </c>
      <c r="I1718" t="s">
        <v>1844</v>
      </c>
    </row>
    <row r="1719" spans="1:9" hidden="1" outlineLevel="2">
      <c r="A1719" s="858" t="s">
        <v>1845</v>
      </c>
      <c r="B1719" s="305">
        <f>VLOOKUP(A1719,'Anlage 3a_Zusammenfassung_KWKG'!A3456:C3603,2,FALSE)</f>
        <v>151601296</v>
      </c>
      <c r="C1719" s="305">
        <f>VLOOKUP(A1719,'Anlage 3a_Zusammenfassung_KWKG'!A3456:C3593,3,FALSE)</f>
        <v>784164</v>
      </c>
      <c r="D1719" s="860">
        <v>152385460</v>
      </c>
      <c r="I1719" t="s">
        <v>1846</v>
      </c>
    </row>
    <row r="1720" spans="1:9" hidden="1" outlineLevel="2">
      <c r="A1720" s="858" t="s">
        <v>1847</v>
      </c>
      <c r="B1720" s="305">
        <f>VLOOKUP(A1720,'Anlage 3a_Zusammenfassung_KWKG'!A3457:C3604,2,FALSE)</f>
        <v>40400137</v>
      </c>
      <c r="C1720" s="305">
        <f>VLOOKUP(A1720,'Anlage 3a_Zusammenfassung_KWKG'!A3457:C3594,3,FALSE)</f>
        <v>3227707</v>
      </c>
      <c r="D1720" s="860">
        <v>43627844</v>
      </c>
      <c r="I1720" t="s">
        <v>1848</v>
      </c>
    </row>
    <row r="1721" spans="1:9" hidden="1" outlineLevel="2">
      <c r="A1721" s="858" t="s">
        <v>2293</v>
      </c>
      <c r="B1721" s="305">
        <f>VLOOKUP(A1721,'Anlage 3a_Zusammenfassung_KWKG'!A3458:C3605,2,FALSE)</f>
        <v>9988024</v>
      </c>
      <c r="C1721" s="305">
        <f>VLOOKUP(A1721,'Anlage 3a_Zusammenfassung_KWKG'!A3458:C3595,3,FALSE)</f>
        <v>-241327</v>
      </c>
      <c r="D1721" s="860">
        <v>9746697</v>
      </c>
      <c r="I1721" t="s">
        <v>2294</v>
      </c>
    </row>
    <row r="1722" spans="1:9" hidden="1" outlineLevel="2">
      <c r="A1722" s="858" t="s">
        <v>1849</v>
      </c>
      <c r="B1722" s="305">
        <f>VLOOKUP(A1722,'Anlage 3a_Zusammenfassung_KWKG'!A3459:C3606,2,FALSE)</f>
        <v>38440867</v>
      </c>
      <c r="C1722" s="305">
        <f>VLOOKUP(A1722,'Anlage 3a_Zusammenfassung_KWKG'!A3459:C3596,3,FALSE)</f>
        <v>3900</v>
      </c>
      <c r="D1722" s="860">
        <v>38444767</v>
      </c>
      <c r="I1722" t="s">
        <v>1850</v>
      </c>
    </row>
    <row r="1723" spans="1:9" hidden="1" outlineLevel="2">
      <c r="A1723" s="858" t="s">
        <v>1851</v>
      </c>
      <c r="B1723" s="305">
        <f>VLOOKUP(A1723,'Anlage 3a_Zusammenfassung_KWKG'!A3460:C3607,2,FALSE)</f>
        <v>36371963</v>
      </c>
      <c r="C1723" s="305">
        <f>VLOOKUP(A1723,'Anlage 3a_Zusammenfassung_KWKG'!A3460:C3597,3,FALSE)</f>
        <v>0</v>
      </c>
      <c r="D1723" s="860">
        <v>36371963</v>
      </c>
      <c r="I1723" t="s">
        <v>1852</v>
      </c>
    </row>
    <row r="1724" spans="1:9" hidden="1" outlineLevel="2">
      <c r="A1724" s="858" t="s">
        <v>1853</v>
      </c>
      <c r="B1724" s="305">
        <f>VLOOKUP(A1724,'Anlage 3a_Zusammenfassung_KWKG'!A3461:C3608,2,FALSE)</f>
        <v>63018175</v>
      </c>
      <c r="C1724" s="305">
        <f>VLOOKUP(A1724,'Anlage 3a_Zusammenfassung_KWKG'!A3461:C3598,3,FALSE)</f>
        <v>2064829</v>
      </c>
      <c r="D1724" s="860">
        <v>65083004</v>
      </c>
      <c r="I1724" t="s">
        <v>1854</v>
      </c>
    </row>
    <row r="1725" spans="1:9" hidden="1" outlineLevel="2">
      <c r="A1725" s="858" t="s">
        <v>1855</v>
      </c>
      <c r="B1725" s="305">
        <f>VLOOKUP(A1725,'Anlage 3a_Zusammenfassung_KWKG'!A3462:C3609,2,FALSE)</f>
        <v>219396407</v>
      </c>
      <c r="C1725" s="305">
        <f>VLOOKUP(A1725,'Anlage 3a_Zusammenfassung_KWKG'!A3462:C3599,3,FALSE)</f>
        <v>-30032739</v>
      </c>
      <c r="D1725" s="860">
        <v>189363668</v>
      </c>
      <c r="I1725" t="s">
        <v>1856</v>
      </c>
    </row>
    <row r="1726" spans="1:9" hidden="1" outlineLevel="2">
      <c r="A1726" s="858" t="s">
        <v>1857</v>
      </c>
      <c r="B1726" s="305">
        <f>VLOOKUP(A1726,'Anlage 3a_Zusammenfassung_KWKG'!A3463:C3610,2,FALSE)</f>
        <v>24576171</v>
      </c>
      <c r="C1726" s="305">
        <f>VLOOKUP(A1726,'Anlage 3a_Zusammenfassung_KWKG'!A3463:C3600,3,FALSE)</f>
        <v>0</v>
      </c>
      <c r="D1726" s="860">
        <v>24576171</v>
      </c>
      <c r="I1726" t="s">
        <v>1858</v>
      </c>
    </row>
    <row r="1727" spans="1:9" hidden="1" outlineLevel="2">
      <c r="A1727" s="858" t="s">
        <v>1859</v>
      </c>
      <c r="B1727" s="305">
        <f>VLOOKUP(A1727,'Anlage 3a_Zusammenfassung_KWKG'!A3464:C3611,2,FALSE)</f>
        <v>215134716</v>
      </c>
      <c r="C1727" s="305">
        <f>VLOOKUP(A1727,'Anlage 3a_Zusammenfassung_KWKG'!A3464:C3601,3,FALSE)</f>
        <v>1293989</v>
      </c>
      <c r="D1727" s="860">
        <v>216428705</v>
      </c>
      <c r="I1727" t="s">
        <v>1860</v>
      </c>
    </row>
    <row r="1728" spans="1:9" hidden="1" outlineLevel="2">
      <c r="A1728" s="858" t="s">
        <v>1861</v>
      </c>
      <c r="B1728" s="305">
        <f>VLOOKUP(A1728,'Anlage 3a_Zusammenfassung_KWKG'!A3465:C3612,2,FALSE)</f>
        <v>63341081</v>
      </c>
      <c r="C1728" s="305">
        <f>VLOOKUP(A1728,'Anlage 3a_Zusammenfassung_KWKG'!A3465:C3602,3,FALSE)</f>
        <v>4706075</v>
      </c>
      <c r="D1728" s="860">
        <v>68047156</v>
      </c>
      <c r="I1728" t="s">
        <v>1862</v>
      </c>
    </row>
    <row r="1729" spans="1:9" hidden="1" outlineLevel="2">
      <c r="A1729" s="858" t="s">
        <v>1863</v>
      </c>
      <c r="B1729" s="305">
        <f>VLOOKUP(A1729,'Anlage 3a_Zusammenfassung_KWKG'!A3466:C3613,2,FALSE)</f>
        <v>113720218</v>
      </c>
      <c r="C1729" s="305">
        <f>VLOOKUP(A1729,'Anlage 3a_Zusammenfassung_KWKG'!A3466:C3603,3,FALSE)</f>
        <v>-6452227</v>
      </c>
      <c r="D1729" s="860">
        <v>107267991</v>
      </c>
      <c r="I1729" t="s">
        <v>1864</v>
      </c>
    </row>
    <row r="1730" spans="1:9" hidden="1" outlineLevel="2">
      <c r="A1730" s="858" t="s">
        <v>1865</v>
      </c>
      <c r="B1730" s="305">
        <f>VLOOKUP(A1730,'Anlage 3a_Zusammenfassung_KWKG'!A3467:C3614,2,FALSE)</f>
        <v>118563011</v>
      </c>
      <c r="C1730" s="305">
        <f>VLOOKUP(A1730,'Anlage 3a_Zusammenfassung_KWKG'!A3467:C3604,3,FALSE)</f>
        <v>9397030</v>
      </c>
      <c r="D1730" s="860">
        <v>127960041</v>
      </c>
      <c r="I1730" t="s">
        <v>1866</v>
      </c>
    </row>
    <row r="1731" spans="1:9" hidden="1" outlineLevel="2">
      <c r="A1731" s="858" t="s">
        <v>1867</v>
      </c>
      <c r="B1731" s="305">
        <f>VLOOKUP(A1731,'Anlage 3a_Zusammenfassung_KWKG'!A3468:C3615,2,FALSE)</f>
        <v>66029882</v>
      </c>
      <c r="C1731" s="305">
        <f>VLOOKUP(A1731,'Anlage 3a_Zusammenfassung_KWKG'!A3468:C3605,3,FALSE)</f>
        <v>0</v>
      </c>
      <c r="D1731" s="860">
        <v>66029882</v>
      </c>
      <c r="I1731" t="s">
        <v>1868</v>
      </c>
    </row>
    <row r="1732" spans="1:9" hidden="1" outlineLevel="2">
      <c r="A1732" s="858" t="s">
        <v>1869</v>
      </c>
      <c r="B1732" s="305">
        <f>VLOOKUP(A1732,'Anlage 3a_Zusammenfassung_KWKG'!A3469:C3616,2,FALSE)</f>
        <v>188306175</v>
      </c>
      <c r="C1732" s="305">
        <f>VLOOKUP(A1732,'Anlage 3a_Zusammenfassung_KWKG'!A3469:C3606,3,FALSE)</f>
        <v>-3867177</v>
      </c>
      <c r="D1732" s="860">
        <v>184438998</v>
      </c>
      <c r="I1732" t="s">
        <v>1870</v>
      </c>
    </row>
    <row r="1733" spans="1:9" hidden="1" outlineLevel="2">
      <c r="A1733" s="858" t="s">
        <v>1871</v>
      </c>
      <c r="B1733" s="305">
        <f>VLOOKUP(A1733,'Anlage 3a_Zusammenfassung_KWKG'!A3470:C3617,2,FALSE)</f>
        <v>16932167</v>
      </c>
      <c r="C1733" s="305">
        <f>VLOOKUP(A1733,'Anlage 3a_Zusammenfassung_KWKG'!A3470:C3607,3,FALSE)</f>
        <v>0</v>
      </c>
      <c r="D1733" s="860">
        <v>16932167</v>
      </c>
      <c r="I1733" t="s">
        <v>1872</v>
      </c>
    </row>
    <row r="1734" spans="1:9" hidden="1" outlineLevel="2">
      <c r="A1734" s="858" t="s">
        <v>1873</v>
      </c>
      <c r="B1734" s="305">
        <f>VLOOKUP(A1734,'Anlage 3a_Zusammenfassung_KWKG'!A3471:C3618,2,FALSE)</f>
        <v>919698752</v>
      </c>
      <c r="C1734" s="305">
        <f>VLOOKUP(A1734,'Anlage 3a_Zusammenfassung_KWKG'!A3471:C3608,3,FALSE)</f>
        <v>-11401890</v>
      </c>
      <c r="D1734" s="860">
        <v>908296862</v>
      </c>
      <c r="I1734" t="s">
        <v>1874</v>
      </c>
    </row>
    <row r="1735" spans="1:9" hidden="1" outlineLevel="2">
      <c r="A1735" s="858" t="s">
        <v>799</v>
      </c>
      <c r="B1735" s="305">
        <f>VLOOKUP(A1735,'Anlage 3a_Zusammenfassung_KWKG'!A3472:C3619,2,FALSE)</f>
        <v>5575163</v>
      </c>
      <c r="C1735" s="305">
        <f>VLOOKUP(A1735,'Anlage 3a_Zusammenfassung_KWKG'!A3472:C3609,3,FALSE)</f>
        <v>0</v>
      </c>
      <c r="D1735" s="860">
        <v>5575163</v>
      </c>
      <c r="I1735" t="s">
        <v>800</v>
      </c>
    </row>
    <row r="1736" spans="1:9" hidden="1" outlineLevel="2">
      <c r="A1736" s="858" t="s">
        <v>2295</v>
      </c>
      <c r="B1736" s="305">
        <f>VLOOKUP(A1736,'Anlage 3a_Zusammenfassung_KWKG'!A3473:C3620,2,FALSE)</f>
        <v>51472405</v>
      </c>
      <c r="C1736" s="305">
        <f>VLOOKUP(A1736,'Anlage 3a_Zusammenfassung_KWKG'!A3473:C3612,3,FALSE)</f>
        <v>0</v>
      </c>
      <c r="D1736" s="860">
        <v>51472405</v>
      </c>
      <c r="I1736" t="s">
        <v>2296</v>
      </c>
    </row>
    <row r="1737" spans="1:9" hidden="1" outlineLevel="2">
      <c r="A1737" s="858" t="s">
        <v>2297</v>
      </c>
      <c r="B1737" s="305">
        <f>VLOOKUP(A1737,'Anlage 3a_Zusammenfassung_KWKG'!A3474:C3621,2,FALSE)</f>
        <v>49465606</v>
      </c>
      <c r="C1737" s="305">
        <f>VLOOKUP(A1737,'Anlage 3a_Zusammenfassung_KWKG'!A3474:C3613,3,FALSE)</f>
        <v>210524314</v>
      </c>
      <c r="D1737" s="860">
        <v>259989920</v>
      </c>
      <c r="I1737" t="s">
        <v>2298</v>
      </c>
    </row>
    <row r="1738" spans="1:9" hidden="1" outlineLevel="2">
      <c r="A1738" s="858" t="s">
        <v>1875</v>
      </c>
      <c r="B1738" s="305">
        <f>VLOOKUP(A1738,'Anlage 3a_Zusammenfassung_KWKG'!A3475:C3622,2,FALSE)</f>
        <v>14077746</v>
      </c>
      <c r="C1738" s="305">
        <f>VLOOKUP(A1738,'Anlage 3a_Zusammenfassung_KWKG'!A3475:C3614,3,FALSE)</f>
        <v>89184</v>
      </c>
      <c r="D1738" s="860">
        <v>14166930</v>
      </c>
      <c r="I1738" t="s">
        <v>1876</v>
      </c>
    </row>
    <row r="1739" spans="1:9" hidden="1" outlineLevel="2">
      <c r="A1739" s="858" t="s">
        <v>1877</v>
      </c>
      <c r="B1739" s="305">
        <f>VLOOKUP(A1739,'Anlage 3a_Zusammenfassung_KWKG'!A3476:C3623,2,FALSE)</f>
        <v>10938181</v>
      </c>
      <c r="C1739" s="305">
        <f>VLOOKUP(A1739,'Anlage 3a_Zusammenfassung_KWKG'!A3476:C3615,3,FALSE)</f>
        <v>0</v>
      </c>
      <c r="D1739" s="860">
        <v>10938181</v>
      </c>
      <c r="I1739" t="s">
        <v>1878</v>
      </c>
    </row>
    <row r="1740" spans="1:9" hidden="1" outlineLevel="2">
      <c r="A1740" s="858" t="s">
        <v>1879</v>
      </c>
      <c r="B1740" s="305">
        <f>VLOOKUP(A1740,'Anlage 3a_Zusammenfassung_KWKG'!A3477:C3624,2,FALSE)</f>
        <v>43661438</v>
      </c>
      <c r="C1740" s="305">
        <f>VLOOKUP(A1740,'Anlage 3a_Zusammenfassung_KWKG'!A3477:C3616,3,FALSE)</f>
        <v>178426</v>
      </c>
      <c r="D1740" s="860">
        <v>43839864</v>
      </c>
      <c r="I1740" t="s">
        <v>1880</v>
      </c>
    </row>
    <row r="1741" spans="1:9" hidden="1" outlineLevel="2">
      <c r="A1741" s="858" t="s">
        <v>1881</v>
      </c>
      <c r="B1741" s="305">
        <f>VLOOKUP(A1741,'Anlage 3a_Zusammenfassung_KWKG'!A3478:C3625,2,FALSE)</f>
        <v>25317725</v>
      </c>
      <c r="C1741" s="305">
        <f>VLOOKUP(A1741,'Anlage 3a_Zusammenfassung_KWKG'!A3478:C3617,3,FALSE)</f>
        <v>0</v>
      </c>
      <c r="D1741" s="860">
        <v>25317725</v>
      </c>
      <c r="I1741" t="s">
        <v>1882</v>
      </c>
    </row>
    <row r="1742" spans="1:9" hidden="1" outlineLevel="2">
      <c r="A1742" s="858" t="s">
        <v>1883</v>
      </c>
      <c r="B1742" s="305">
        <f>VLOOKUP(A1742,'Anlage 3a_Zusammenfassung_KWKG'!A3479:C3626,2,FALSE)</f>
        <v>49847697</v>
      </c>
      <c r="C1742" s="305">
        <f>VLOOKUP(A1742,'Anlage 3a_Zusammenfassung_KWKG'!A3479:C3618,3,FALSE)</f>
        <v>0</v>
      </c>
      <c r="D1742" s="860">
        <v>49847697</v>
      </c>
      <c r="I1742" t="s">
        <v>1884</v>
      </c>
    </row>
    <row r="1743" spans="1:9" hidden="1" outlineLevel="2">
      <c r="A1743" s="858" t="s">
        <v>2299</v>
      </c>
      <c r="B1743" s="305">
        <f>VLOOKUP(A1743,'Anlage 3a_Zusammenfassung_KWKG'!A3480:C3627,2,FALSE)</f>
        <v>22965175</v>
      </c>
      <c r="C1743" s="305">
        <f>VLOOKUP(A1743,'Anlage 3a_Zusammenfassung_KWKG'!A3480:C3619,3,FALSE)</f>
        <v>0</v>
      </c>
      <c r="D1743" s="860">
        <v>22965175</v>
      </c>
      <c r="I1743" t="s">
        <v>2300</v>
      </c>
    </row>
    <row r="1744" spans="1:9" hidden="1" outlineLevel="2">
      <c r="A1744" s="858" t="s">
        <v>1885</v>
      </c>
      <c r="B1744" s="305">
        <f>VLOOKUP(A1744,'Anlage 3a_Zusammenfassung_KWKG'!A3481:C3628,2,FALSE)</f>
        <v>18360303</v>
      </c>
      <c r="C1744" s="305">
        <f>VLOOKUP(A1744,'Anlage 3a_Zusammenfassung_KWKG'!A3481:C3620,3,FALSE)</f>
        <v>0</v>
      </c>
      <c r="D1744" s="860">
        <v>18360303</v>
      </c>
      <c r="I1744" t="s">
        <v>1886</v>
      </c>
    </row>
    <row r="1745" spans="1:9" hidden="1" outlineLevel="2">
      <c r="A1745" s="858" t="s">
        <v>768</v>
      </c>
      <c r="B1745" s="305">
        <f>VLOOKUP(A1745,'Anlage 3a_Zusammenfassung_KWKG'!A3482:C3629,2,FALSE)</f>
        <v>7968641</v>
      </c>
      <c r="C1745" s="305">
        <f>VLOOKUP(A1745,'Anlage 3a_Zusammenfassung_KWKG'!A3482:C3621,3,FALSE)</f>
        <v>37803</v>
      </c>
      <c r="D1745" s="860">
        <v>8006444</v>
      </c>
      <c r="I1745" t="s">
        <v>2301</v>
      </c>
    </row>
    <row r="1746" spans="1:9" hidden="1" outlineLevel="2">
      <c r="A1746" s="858" t="s">
        <v>456</v>
      </c>
      <c r="B1746" s="305">
        <f>VLOOKUP(A1746,'Anlage 3a_Zusammenfassung_KWKG'!A3483:C3630,2,FALSE)</f>
        <v>37709012</v>
      </c>
      <c r="C1746" s="305">
        <f>VLOOKUP(A1746,'Anlage 3a_Zusammenfassung_KWKG'!A3483:C3622,3,FALSE)</f>
        <v>-259304</v>
      </c>
      <c r="D1746" s="860">
        <v>37449708</v>
      </c>
      <c r="I1746" t="s">
        <v>457</v>
      </c>
    </row>
    <row r="1747" spans="1:9" hidden="1" outlineLevel="2">
      <c r="A1747" s="858" t="s">
        <v>2077</v>
      </c>
      <c r="B1747" s="305">
        <f>VLOOKUP(A1747,'Anlage 3a_Zusammenfassung_KWKG'!A3484:C3631,2,FALSE)</f>
        <v>4778562</v>
      </c>
      <c r="C1747" s="305">
        <f>VLOOKUP(A1747,'Anlage 3a_Zusammenfassung_KWKG'!A3484:C3623,3,FALSE)</f>
        <v>39839</v>
      </c>
      <c r="D1747" s="860">
        <v>4818401</v>
      </c>
      <c r="I1747" t="s">
        <v>2078</v>
      </c>
    </row>
    <row r="1748" spans="1:9" hidden="1" outlineLevel="2">
      <c r="A1748" s="858" t="s">
        <v>2302</v>
      </c>
      <c r="B1748" s="305">
        <f>VLOOKUP(A1748,'Anlage 3a_Zusammenfassung_KWKG'!A3485:C3632,2,FALSE)</f>
        <v>27822584</v>
      </c>
      <c r="C1748" s="305">
        <f>VLOOKUP(A1748,'Anlage 3a_Zusammenfassung_KWKG'!A3485:C3624,3,FALSE)</f>
        <v>0</v>
      </c>
      <c r="D1748" s="860">
        <v>27822584</v>
      </c>
      <c r="I1748" t="s">
        <v>2303</v>
      </c>
    </row>
    <row r="1749" spans="1:9" hidden="1" outlineLevel="2">
      <c r="A1749" s="858" t="s">
        <v>2304</v>
      </c>
      <c r="B1749" s="305">
        <f>VLOOKUP(A1749,'Anlage 3a_Zusammenfassung_KWKG'!A3486:C3633,2,FALSE)</f>
        <v>1766405</v>
      </c>
      <c r="C1749" s="305">
        <f>VLOOKUP(A1749,'Anlage 3a_Zusammenfassung_KWKG'!A3486:C3625,3,FALSE)</f>
        <v>0</v>
      </c>
      <c r="D1749" s="860">
        <v>1766405</v>
      </c>
      <c r="I1749" t="s">
        <v>2305</v>
      </c>
    </row>
    <row r="1750" spans="1:9" hidden="1" outlineLevel="2">
      <c r="A1750" s="858" t="s">
        <v>1887</v>
      </c>
      <c r="B1750" s="305">
        <f>VLOOKUP(A1750,'Anlage 3a_Zusammenfassung_KWKG'!A3487:C3634,2,FALSE)</f>
        <v>174967273</v>
      </c>
      <c r="C1750" s="305">
        <f>VLOOKUP(A1750,'Anlage 3a_Zusammenfassung_KWKG'!A3487:C3626,3,FALSE)</f>
        <v>0</v>
      </c>
      <c r="D1750" s="860">
        <v>174967273</v>
      </c>
      <c r="I1750" t="s">
        <v>1888</v>
      </c>
    </row>
    <row r="1751" spans="1:9" hidden="1" outlineLevel="2">
      <c r="A1751" s="858" t="s">
        <v>2306</v>
      </c>
      <c r="B1751" s="305">
        <f>VLOOKUP(A1751,'Anlage 3a_Zusammenfassung_KWKG'!A3488:C3635,2,FALSE)</f>
        <v>0</v>
      </c>
      <c r="C1751" s="305">
        <f>VLOOKUP(A1751,'Anlage 3a_Zusammenfassung_KWKG'!A3488:C3627,3,FALSE)</f>
        <v>0</v>
      </c>
      <c r="D1751" s="860">
        <v>0</v>
      </c>
      <c r="I1751" t="s">
        <v>2307</v>
      </c>
    </row>
    <row r="1752" spans="1:9" hidden="1" outlineLevel="2">
      <c r="A1752" s="858" t="s">
        <v>2308</v>
      </c>
      <c r="B1752" s="305">
        <f>VLOOKUP(A1752,'Anlage 3a_Zusammenfassung_KWKG'!A3489:C3636,2,FALSE)</f>
        <v>1995247</v>
      </c>
      <c r="C1752" s="305">
        <f>VLOOKUP(A1752,'Anlage 3a_Zusammenfassung_KWKG'!A3489:C3628,3,FALSE)</f>
        <v>0</v>
      </c>
      <c r="D1752" s="860">
        <v>1995247</v>
      </c>
      <c r="I1752" t="s">
        <v>2309</v>
      </c>
    </row>
    <row r="1753" spans="1:9" hidden="1" outlineLevel="2">
      <c r="A1753" s="858" t="s">
        <v>1889</v>
      </c>
      <c r="B1753" s="305">
        <f>VLOOKUP(A1753,'Anlage 3a_Zusammenfassung_KWKG'!A3490:C3637,2,FALSE)</f>
        <v>117138475</v>
      </c>
      <c r="C1753" s="305">
        <f>VLOOKUP(A1753,'Anlage 3a_Zusammenfassung_KWKG'!A3490:C3629,3,FALSE)</f>
        <v>7230706</v>
      </c>
      <c r="D1753" s="860">
        <v>124369181</v>
      </c>
      <c r="I1753" t="s">
        <v>1890</v>
      </c>
    </row>
    <row r="1754" spans="1:9" hidden="1" outlineLevel="2">
      <c r="A1754" s="858" t="s">
        <v>2310</v>
      </c>
      <c r="B1754" s="305">
        <f>VLOOKUP(A1754,'Anlage 3a_Zusammenfassung_KWKG'!A3491:C3638,2,FALSE)</f>
        <v>5478649</v>
      </c>
      <c r="C1754" s="305">
        <f>VLOOKUP(A1754,'Anlage 3a_Zusammenfassung_KWKG'!A3491:C3630,3,FALSE)</f>
        <v>0</v>
      </c>
      <c r="D1754" s="860">
        <v>5478649</v>
      </c>
      <c r="I1754" t="s">
        <v>2311</v>
      </c>
    </row>
    <row r="1755" spans="1:9" hidden="1" outlineLevel="2">
      <c r="A1755" s="858" t="s">
        <v>1891</v>
      </c>
      <c r="B1755" s="305">
        <f>VLOOKUP(A1755,'Anlage 3a_Zusammenfassung_KWKG'!A3492:C3639,2,FALSE)</f>
        <v>1243971</v>
      </c>
      <c r="C1755" s="305">
        <f>VLOOKUP(A1755,'Anlage 3a_Zusammenfassung_KWKG'!A3492:C3631,3,FALSE)</f>
        <v>0</v>
      </c>
      <c r="D1755" s="860">
        <v>1243971</v>
      </c>
      <c r="I1755" t="s">
        <v>1892</v>
      </c>
    </row>
    <row r="1756" spans="1:9" hidden="1" outlineLevel="2">
      <c r="A1756" s="858" t="s">
        <v>951</v>
      </c>
      <c r="B1756" s="305">
        <f>VLOOKUP(A1756,'Anlage 3a_Zusammenfassung_KWKG'!A3493:C3640,2,FALSE)</f>
        <v>456571</v>
      </c>
      <c r="C1756" s="305">
        <f>VLOOKUP(A1756,'Anlage 3a_Zusammenfassung_KWKG'!A3493:C3632,3,FALSE)</f>
        <v>0</v>
      </c>
      <c r="D1756" s="860">
        <v>456571</v>
      </c>
      <c r="I1756" t="s">
        <v>2312</v>
      </c>
    </row>
    <row r="1757" spans="1:9" hidden="1" outlineLevel="2">
      <c r="A1757" s="858" t="s">
        <v>1893</v>
      </c>
      <c r="B1757" s="305">
        <f>VLOOKUP(A1757,'Anlage 3a_Zusammenfassung_KWKG'!A3494:C3641,2,FALSE)</f>
        <v>1557733031</v>
      </c>
      <c r="C1757" s="305">
        <f>VLOOKUP(A1757,'Anlage 3a_Zusammenfassung_KWKG'!A3494:C3633,3,FALSE)</f>
        <v>25356687</v>
      </c>
      <c r="D1757" s="860">
        <v>1583089718</v>
      </c>
      <c r="I1757" t="s">
        <v>1894</v>
      </c>
    </row>
    <row r="1758" spans="1:9" hidden="1" outlineLevel="2">
      <c r="A1758" s="858" t="s">
        <v>1895</v>
      </c>
      <c r="B1758" s="305">
        <f>VLOOKUP(A1758,'Anlage 3a_Zusammenfassung_KWKG'!A3495:C3642,2,FALSE)</f>
        <v>1651805256</v>
      </c>
      <c r="C1758" s="305">
        <f>VLOOKUP(A1758,'Anlage 3a_Zusammenfassung_KWKG'!A3495:C3634,3,FALSE)</f>
        <v>-8172960</v>
      </c>
      <c r="D1758" s="860">
        <v>1643632296</v>
      </c>
      <c r="I1758" t="s">
        <v>1896</v>
      </c>
    </row>
    <row r="1759" spans="1:9" hidden="1" outlineLevel="2">
      <c r="A1759" s="858" t="s">
        <v>1683</v>
      </c>
      <c r="B1759" s="305">
        <f>VLOOKUP(A1759,'Anlage 3a_Zusammenfassung_KWKG'!A3496:C3643,2,FALSE)</f>
        <v>159141625</v>
      </c>
      <c r="C1759" s="305">
        <f>VLOOKUP(A1759,'Anlage 3a_Zusammenfassung_KWKG'!A3496:C3635,3,FALSE)</f>
        <v>-400977</v>
      </c>
      <c r="D1759" s="860">
        <v>158740648</v>
      </c>
      <c r="I1759" t="s">
        <v>1684</v>
      </c>
    </row>
    <row r="1760" spans="1:9" hidden="1" outlineLevel="2">
      <c r="A1760" s="858" t="s">
        <v>1897</v>
      </c>
      <c r="B1760" s="305">
        <f>VLOOKUP(A1760,'Anlage 3a_Zusammenfassung_KWKG'!A3497:C3644,2,FALSE)</f>
        <v>30942909</v>
      </c>
      <c r="C1760" s="305">
        <f>VLOOKUP(A1760,'Anlage 3a_Zusammenfassung_KWKG'!A3497:C3636,3,FALSE)</f>
        <v>0</v>
      </c>
      <c r="D1760" s="860">
        <v>30942909</v>
      </c>
      <c r="I1760" t="s">
        <v>1898</v>
      </c>
    </row>
    <row r="1761" spans="1:9" hidden="1" outlineLevel="2">
      <c r="A1761" s="858" t="s">
        <v>977</v>
      </c>
      <c r="B1761" s="305">
        <f>VLOOKUP(A1761,'Anlage 3a_Zusammenfassung_KWKG'!A3498:C3645,2,FALSE)</f>
        <v>16010870888</v>
      </c>
      <c r="C1761" s="305">
        <f>VLOOKUP(A1761,'Anlage 3a_Zusammenfassung_KWKG'!A3498:C3637,3,FALSE)</f>
        <v>81034230</v>
      </c>
      <c r="D1761" s="860">
        <v>16091905118</v>
      </c>
      <c r="I1761" t="s">
        <v>978</v>
      </c>
    </row>
    <row r="1762" spans="1:9" hidden="1" outlineLevel="2">
      <c r="A1762" s="858" t="s">
        <v>1899</v>
      </c>
      <c r="B1762" s="305">
        <f>VLOOKUP(A1762,'Anlage 3a_Zusammenfassung_KWKG'!A3499:C3646,2,FALSE)</f>
        <v>88824555</v>
      </c>
      <c r="C1762" s="305">
        <f>VLOOKUP(A1762,'Anlage 3a_Zusammenfassung_KWKG'!A3499:C3638,3,FALSE)</f>
        <v>0</v>
      </c>
      <c r="D1762" s="860">
        <v>88824555</v>
      </c>
      <c r="I1762" t="s">
        <v>1900</v>
      </c>
    </row>
    <row r="1763" spans="1:9" hidden="1" outlineLevel="2">
      <c r="A1763" s="858" t="s">
        <v>1901</v>
      </c>
      <c r="B1763" s="305">
        <f>VLOOKUP(A1763,'Anlage 3a_Zusammenfassung_KWKG'!A3500:C3647,2,FALSE)</f>
        <v>106825326</v>
      </c>
      <c r="C1763" s="305">
        <f>VLOOKUP(A1763,'Anlage 3a_Zusammenfassung_KWKG'!A3500:C3639,3,FALSE)</f>
        <v>30968</v>
      </c>
      <c r="D1763" s="860">
        <v>106856294</v>
      </c>
      <c r="I1763" t="s">
        <v>1902</v>
      </c>
    </row>
    <row r="1764" spans="1:9" hidden="1" outlineLevel="2">
      <c r="A1764" s="858" t="s">
        <v>1903</v>
      </c>
      <c r="B1764" s="305">
        <f>VLOOKUP(A1764,'Anlage 3a_Zusammenfassung_KWKG'!A3501:C3648,2,FALSE)</f>
        <v>1855285334</v>
      </c>
      <c r="C1764" s="305">
        <f>VLOOKUP(A1764,'Anlage 3a_Zusammenfassung_KWKG'!A3501:C3640,3,FALSE)</f>
        <v>60563</v>
      </c>
      <c r="D1764" s="860">
        <v>1855345897</v>
      </c>
      <c r="I1764" t="s">
        <v>1904</v>
      </c>
    </row>
    <row r="1765" spans="1:9" hidden="1" outlineLevel="2">
      <c r="A1765" s="858" t="s">
        <v>1905</v>
      </c>
      <c r="B1765" s="305">
        <f>VLOOKUP(A1765,'Anlage 3a_Zusammenfassung_KWKG'!A3502:C3649,2,FALSE)</f>
        <v>622546921</v>
      </c>
      <c r="C1765" s="305">
        <f>VLOOKUP(A1765,'Anlage 3a_Zusammenfassung_KWKG'!A3502:C3641,3,FALSE)</f>
        <v>0</v>
      </c>
      <c r="D1765" s="860">
        <v>622546921</v>
      </c>
      <c r="I1765" t="s">
        <v>1906</v>
      </c>
    </row>
    <row r="1766" spans="1:9" hidden="1" outlineLevel="2">
      <c r="A1766" s="858" t="s">
        <v>1907</v>
      </c>
      <c r="B1766" s="305">
        <f>VLOOKUP(A1766,'Anlage 3a_Zusammenfassung_KWKG'!A3503:C3650,2,FALSE)</f>
        <v>14666378</v>
      </c>
      <c r="C1766" s="305">
        <f>VLOOKUP(A1766,'Anlage 3a_Zusammenfassung_KWKG'!A3503:C3642,3,FALSE)</f>
        <v>0</v>
      </c>
      <c r="D1766" s="860">
        <v>14666378</v>
      </c>
      <c r="I1766" t="s">
        <v>1908</v>
      </c>
    </row>
    <row r="1767" spans="1:9" hidden="1" outlineLevel="2">
      <c r="A1767" s="858" t="s">
        <v>2313</v>
      </c>
      <c r="B1767" s="305">
        <f>VLOOKUP(A1767,'Anlage 3a_Zusammenfassung_KWKG'!A3504:C3651,2,FALSE)</f>
        <v>100075548</v>
      </c>
      <c r="C1767" s="305">
        <f>VLOOKUP(A1767,'Anlage 3a_Zusammenfassung_KWKG'!A3504:C3643,3,FALSE)</f>
        <v>0</v>
      </c>
      <c r="D1767" s="860">
        <v>100075548</v>
      </c>
      <c r="I1767" t="s">
        <v>2314</v>
      </c>
    </row>
    <row r="1768" spans="1:9" hidden="1" outlineLevel="2">
      <c r="A1768" s="858" t="s">
        <v>1909</v>
      </c>
      <c r="B1768" s="305">
        <f>VLOOKUP(A1768,'Anlage 3a_Zusammenfassung_KWKG'!A3505:C3652,2,FALSE)</f>
        <v>76618384</v>
      </c>
      <c r="C1768" s="305">
        <f>VLOOKUP(A1768,'Anlage 3a_Zusammenfassung_KWKG'!A3505:C3644,3,FALSE)</f>
        <v>0</v>
      </c>
      <c r="D1768" s="860">
        <v>76618384</v>
      </c>
      <c r="I1768" t="s">
        <v>1910</v>
      </c>
    </row>
    <row r="1769" spans="1:9" hidden="1" outlineLevel="2">
      <c r="A1769" s="858" t="s">
        <v>1911</v>
      </c>
      <c r="B1769" s="305">
        <f>VLOOKUP(A1769,'Anlage 3a_Zusammenfassung_KWKG'!A3506:C3653,2,FALSE)</f>
        <v>214969367</v>
      </c>
      <c r="C1769" s="305">
        <f>VLOOKUP(A1769,'Anlage 3a_Zusammenfassung_KWKG'!A3506:C3645,3,FALSE)</f>
        <v>-2067654</v>
      </c>
      <c r="D1769" s="860">
        <v>212901713</v>
      </c>
      <c r="I1769" t="s">
        <v>1912</v>
      </c>
    </row>
    <row r="1770" spans="1:9" hidden="1" outlineLevel="2">
      <c r="A1770" s="858" t="s">
        <v>1913</v>
      </c>
      <c r="B1770" s="305">
        <f>VLOOKUP(A1770,'Anlage 3a_Zusammenfassung_KWKG'!A3507:C3654,2,FALSE)</f>
        <v>153740441</v>
      </c>
      <c r="C1770" s="305">
        <f>VLOOKUP(A1770,'Anlage 3a_Zusammenfassung_KWKG'!A3507:C3646,3,FALSE)</f>
        <v>-947046</v>
      </c>
      <c r="D1770" s="860">
        <v>152793395</v>
      </c>
      <c r="I1770" t="s">
        <v>1914</v>
      </c>
    </row>
    <row r="1771" spans="1:9" hidden="1" outlineLevel="2">
      <c r="A1771" s="858" t="s">
        <v>1915</v>
      </c>
      <c r="B1771" s="305">
        <f>VLOOKUP(A1771,'Anlage 3a_Zusammenfassung_KWKG'!A3508:C3655,2,FALSE)</f>
        <v>431632263</v>
      </c>
      <c r="C1771" s="305">
        <f>VLOOKUP(A1771,'Anlage 3a_Zusammenfassung_KWKG'!A3508:C3647,3,FALSE)</f>
        <v>-395822</v>
      </c>
      <c r="D1771" s="860">
        <v>431236441</v>
      </c>
      <c r="I1771" t="s">
        <v>1916</v>
      </c>
    </row>
    <row r="1772" spans="1:9" hidden="1" outlineLevel="2">
      <c r="A1772" s="858" t="s">
        <v>1917</v>
      </c>
      <c r="B1772" s="305">
        <f>VLOOKUP(A1772,'Anlage 3a_Zusammenfassung_KWKG'!A3509:C3656,2,FALSE)</f>
        <v>91137468</v>
      </c>
      <c r="C1772" s="305">
        <f>VLOOKUP(A1772,'Anlage 3a_Zusammenfassung_KWKG'!A3509:C3648,3,FALSE)</f>
        <v>758242</v>
      </c>
      <c r="D1772" s="860">
        <v>91895710</v>
      </c>
      <c r="I1772" t="s">
        <v>1918</v>
      </c>
    </row>
    <row r="1773" spans="1:9" hidden="1" outlineLevel="2">
      <c r="A1773" s="858" t="s">
        <v>1919</v>
      </c>
      <c r="B1773" s="305">
        <f>VLOOKUP(A1773,'Anlage 3a_Zusammenfassung_KWKG'!A3510:C3657,2,FALSE)</f>
        <v>210681241</v>
      </c>
      <c r="C1773" s="305">
        <f>VLOOKUP(A1773,'Anlage 3a_Zusammenfassung_KWKG'!A3510:C3649,3,FALSE)</f>
        <v>70977033</v>
      </c>
      <c r="D1773" s="860">
        <v>281658274</v>
      </c>
      <c r="I1773" t="s">
        <v>1920</v>
      </c>
    </row>
    <row r="1774" spans="1:9" hidden="1" outlineLevel="2">
      <c r="A1774" s="858" t="s">
        <v>1921</v>
      </c>
      <c r="B1774" s="305">
        <f>VLOOKUP(A1774,'Anlage 3a_Zusammenfassung_KWKG'!A3511:C3658,2,FALSE)</f>
        <v>40807431</v>
      </c>
      <c r="C1774" s="305">
        <f>VLOOKUP(A1774,'Anlage 3a_Zusammenfassung_KWKG'!A3511:C3650,3,FALSE)</f>
        <v>191101</v>
      </c>
      <c r="D1774" s="860">
        <v>40998532</v>
      </c>
      <c r="I1774" t="s">
        <v>1922</v>
      </c>
    </row>
    <row r="1775" spans="1:9" hidden="1" outlineLevel="2">
      <c r="A1775" s="858" t="s">
        <v>1923</v>
      </c>
      <c r="B1775" s="305">
        <f>VLOOKUP(A1775,'Anlage 3a_Zusammenfassung_KWKG'!A3512:C3659,2,FALSE)</f>
        <v>19961393</v>
      </c>
      <c r="C1775" s="305">
        <f>VLOOKUP(A1775,'Anlage 3a_Zusammenfassung_KWKG'!A3512:C3651,3,FALSE)</f>
        <v>87190</v>
      </c>
      <c r="D1775" s="860">
        <v>20048583</v>
      </c>
      <c r="I1775" t="s">
        <v>1924</v>
      </c>
    </row>
    <row r="1776" spans="1:9" hidden="1" outlineLevel="2">
      <c r="A1776" s="858" t="s">
        <v>1925</v>
      </c>
      <c r="B1776" s="305">
        <f>VLOOKUP(A1776,'Anlage 3a_Zusammenfassung_KWKG'!A3513:C3660,2,FALSE)</f>
        <v>76998110</v>
      </c>
      <c r="C1776" s="305">
        <f>VLOOKUP(A1776,'Anlage 3a_Zusammenfassung_KWKG'!A3513:C3652,3,FALSE)</f>
        <v>0</v>
      </c>
      <c r="D1776" s="860">
        <v>76998110</v>
      </c>
      <c r="I1776" t="s">
        <v>1926</v>
      </c>
    </row>
    <row r="1777" spans="1:9" hidden="1" outlineLevel="2">
      <c r="A1777" s="858" t="s">
        <v>1927</v>
      </c>
      <c r="B1777" s="305">
        <f>VLOOKUP(A1777,'Anlage 3a_Zusammenfassung_KWKG'!A3514:C3661,2,FALSE)</f>
        <v>52487305</v>
      </c>
      <c r="C1777" s="305">
        <f>VLOOKUP(A1777,'Anlage 3a_Zusammenfassung_KWKG'!A3514:C3653,3,FALSE)</f>
        <v>286356</v>
      </c>
      <c r="D1777" s="860">
        <v>52773661</v>
      </c>
      <c r="I1777" t="s">
        <v>1928</v>
      </c>
    </row>
    <row r="1778" spans="1:9" hidden="1" outlineLevel="2">
      <c r="A1778" s="858" t="s">
        <v>1929</v>
      </c>
      <c r="B1778" s="305">
        <f>VLOOKUP(A1778,'Anlage 3a_Zusammenfassung_KWKG'!A3515:C3662,2,FALSE)</f>
        <v>37319691</v>
      </c>
      <c r="C1778" s="305">
        <f>VLOOKUP(A1778,'Anlage 3a_Zusammenfassung_KWKG'!A3515:C3654,3,FALSE)</f>
        <v>0</v>
      </c>
      <c r="D1778" s="860">
        <v>37319691</v>
      </c>
      <c r="I1778" t="s">
        <v>1930</v>
      </c>
    </row>
    <row r="1779" spans="1:9" hidden="1" outlineLevel="2">
      <c r="A1779" s="858" t="s">
        <v>1931</v>
      </c>
      <c r="B1779" s="305">
        <f>VLOOKUP(A1779,'Anlage 3a_Zusammenfassung_KWKG'!A3516:C3663,2,FALSE)</f>
        <v>218231681</v>
      </c>
      <c r="C1779" s="305">
        <f>VLOOKUP(A1779,'Anlage 3a_Zusammenfassung_KWKG'!A3516:C3655,3,FALSE)</f>
        <v>0</v>
      </c>
      <c r="D1779" s="860">
        <v>218231681</v>
      </c>
      <c r="I1779" t="s">
        <v>1932</v>
      </c>
    </row>
    <row r="1780" spans="1:9" hidden="1" outlineLevel="2">
      <c r="A1780" s="858" t="s">
        <v>1933</v>
      </c>
      <c r="B1780" s="305">
        <f>VLOOKUP(A1780,'Anlage 3a_Zusammenfassung_KWKG'!A3517:C3664,2,FALSE)</f>
        <v>127690550</v>
      </c>
      <c r="C1780" s="305">
        <f>VLOOKUP(A1780,'Anlage 3a_Zusammenfassung_KWKG'!A3517:C3656,3,FALSE)</f>
        <v>0</v>
      </c>
      <c r="D1780" s="860">
        <v>127690550</v>
      </c>
      <c r="I1780" t="s">
        <v>1934</v>
      </c>
    </row>
    <row r="1781" spans="1:9" hidden="1" outlineLevel="2">
      <c r="A1781" s="858" t="s">
        <v>1935</v>
      </c>
      <c r="B1781" s="305">
        <f>VLOOKUP(A1781,'Anlage 3a_Zusammenfassung_KWKG'!A3518:C3665,2,FALSE)</f>
        <v>189751725</v>
      </c>
      <c r="C1781" s="305">
        <f>VLOOKUP(A1781,'Anlage 3a_Zusammenfassung_KWKG'!A3518:C3657,3,FALSE)</f>
        <v>17166854</v>
      </c>
      <c r="D1781" s="860">
        <v>206918579</v>
      </c>
      <c r="I1781" t="s">
        <v>1936</v>
      </c>
    </row>
    <row r="1782" spans="1:9" hidden="1" outlineLevel="2">
      <c r="A1782" s="858" t="s">
        <v>1937</v>
      </c>
      <c r="B1782" s="305">
        <f>VLOOKUP(A1782,'Anlage 3a_Zusammenfassung_KWKG'!A3519:C3666,2,FALSE)</f>
        <v>120800162</v>
      </c>
      <c r="C1782" s="305">
        <f>VLOOKUP(A1782,'Anlage 3a_Zusammenfassung_KWKG'!A3519:C3658,3,FALSE)</f>
        <v>128944494</v>
      </c>
      <c r="D1782" s="860">
        <v>249744656</v>
      </c>
      <c r="I1782" t="s">
        <v>1938</v>
      </c>
    </row>
    <row r="1783" spans="1:9" hidden="1" outlineLevel="2">
      <c r="A1783" s="858" t="s">
        <v>1939</v>
      </c>
      <c r="B1783" s="305">
        <f>VLOOKUP(A1783,'Anlage 3a_Zusammenfassung_KWKG'!A3520:C3667,2,FALSE)</f>
        <v>52350592</v>
      </c>
      <c r="C1783" s="305">
        <f>VLOOKUP(A1783,'Anlage 3a_Zusammenfassung_KWKG'!A3520:C3659,3,FALSE)</f>
        <v>75575</v>
      </c>
      <c r="D1783" s="860">
        <v>52426167</v>
      </c>
      <c r="I1783" t="s">
        <v>1940</v>
      </c>
    </row>
    <row r="1784" spans="1:9" hidden="1" outlineLevel="2">
      <c r="A1784" s="858" t="s">
        <v>1941</v>
      </c>
      <c r="B1784" s="305">
        <f>VLOOKUP(A1784,'Anlage 3a_Zusammenfassung_KWKG'!A3521:C3668,2,FALSE)</f>
        <v>125059058</v>
      </c>
      <c r="C1784" s="305">
        <f>VLOOKUP(A1784,'Anlage 3a_Zusammenfassung_KWKG'!A3521:C3660,3,FALSE)</f>
        <v>0</v>
      </c>
      <c r="D1784" s="860">
        <v>125059058</v>
      </c>
      <c r="I1784" t="s">
        <v>1942</v>
      </c>
    </row>
    <row r="1785" spans="1:9" hidden="1" outlineLevel="2">
      <c r="A1785" s="858" t="s">
        <v>1943</v>
      </c>
      <c r="B1785" s="305">
        <f>VLOOKUP(A1785,'Anlage 3a_Zusammenfassung_KWKG'!A3522:C3669,2,FALSE)</f>
        <v>202647665</v>
      </c>
      <c r="C1785" s="305">
        <f>VLOOKUP(A1785,'Anlage 3a_Zusammenfassung_KWKG'!A3522:C3661,3,FALSE)</f>
        <v>-176374</v>
      </c>
      <c r="D1785" s="860">
        <v>202471291</v>
      </c>
      <c r="I1785" t="s">
        <v>1944</v>
      </c>
    </row>
    <row r="1786" spans="1:9" hidden="1" outlineLevel="2">
      <c r="A1786" s="858" t="s">
        <v>1945</v>
      </c>
      <c r="B1786" s="305">
        <f>VLOOKUP(A1786,'Anlage 3a_Zusammenfassung_KWKG'!A3523:C3670,2,FALSE)</f>
        <v>135981873</v>
      </c>
      <c r="C1786" s="305">
        <f>VLOOKUP(A1786,'Anlage 3a_Zusammenfassung_KWKG'!A3523:C3662,3,FALSE)</f>
        <v>227576</v>
      </c>
      <c r="D1786" s="860">
        <v>136209449</v>
      </c>
      <c r="I1786" t="s">
        <v>1946</v>
      </c>
    </row>
    <row r="1787" spans="1:9" hidden="1" outlineLevel="2">
      <c r="A1787" s="858" t="s">
        <v>1947</v>
      </c>
      <c r="B1787" s="305">
        <f>VLOOKUP(A1787,'Anlage 3a_Zusammenfassung_KWKG'!A3524:C3671,2,FALSE)</f>
        <v>35255619</v>
      </c>
      <c r="C1787" s="305">
        <f>VLOOKUP(A1787,'Anlage 3a_Zusammenfassung_KWKG'!A3524:C3663,3,FALSE)</f>
        <v>30015</v>
      </c>
      <c r="D1787" s="860">
        <v>35285634</v>
      </c>
      <c r="I1787" t="s">
        <v>1948</v>
      </c>
    </row>
    <row r="1788" spans="1:9" hidden="1" outlineLevel="2">
      <c r="A1788" s="858" t="s">
        <v>1949</v>
      </c>
      <c r="B1788" s="305">
        <f>VLOOKUP(A1788,'Anlage 3a_Zusammenfassung_KWKG'!A3525:C3672,2,FALSE)</f>
        <v>110945116</v>
      </c>
      <c r="C1788" s="305">
        <f>VLOOKUP(A1788,'Anlage 3a_Zusammenfassung_KWKG'!A3525:C3664,3,FALSE)</f>
        <v>0</v>
      </c>
      <c r="D1788" s="860">
        <v>110945116</v>
      </c>
      <c r="I1788" t="s">
        <v>1950</v>
      </c>
    </row>
    <row r="1789" spans="1:9" hidden="1" outlineLevel="2">
      <c r="A1789" s="858" t="s">
        <v>1951</v>
      </c>
      <c r="B1789" s="305">
        <f>VLOOKUP(A1789,'Anlage 3a_Zusammenfassung_KWKG'!A3526:C3673,2,FALSE)</f>
        <v>33733875</v>
      </c>
      <c r="C1789" s="305">
        <f>VLOOKUP(A1789,'Anlage 3a_Zusammenfassung_KWKG'!A3526:C3665,3,FALSE)</f>
        <v>0</v>
      </c>
      <c r="D1789" s="860">
        <v>33733875</v>
      </c>
      <c r="I1789" t="s">
        <v>1952</v>
      </c>
    </row>
    <row r="1790" spans="1:9" hidden="1" outlineLevel="2">
      <c r="A1790" s="858" t="s">
        <v>1953</v>
      </c>
      <c r="B1790" s="305">
        <f>VLOOKUP(A1790,'Anlage 3a_Zusammenfassung_KWKG'!A3527:C3674,2,FALSE)</f>
        <v>159167975</v>
      </c>
      <c r="C1790" s="305">
        <f>VLOOKUP(A1790,'Anlage 3a_Zusammenfassung_KWKG'!A3527:C3666,3,FALSE)</f>
        <v>361727</v>
      </c>
      <c r="D1790" s="860">
        <v>159529702</v>
      </c>
      <c r="I1790" t="s">
        <v>1954</v>
      </c>
    </row>
    <row r="1791" spans="1:9" hidden="1" outlineLevel="2">
      <c r="A1791" s="858" t="s">
        <v>1955</v>
      </c>
      <c r="B1791" s="305">
        <f>VLOOKUP(A1791,'Anlage 3a_Zusammenfassung_KWKG'!A3528:C3675,2,FALSE)</f>
        <v>123571455</v>
      </c>
      <c r="C1791" s="305">
        <f>VLOOKUP(A1791,'Anlage 3a_Zusammenfassung_KWKG'!A3528:C3667,3,FALSE)</f>
        <v>-458755</v>
      </c>
      <c r="D1791" s="860">
        <v>123112700</v>
      </c>
      <c r="I1791" t="s">
        <v>1956</v>
      </c>
    </row>
    <row r="1792" spans="1:9" hidden="1" outlineLevel="2">
      <c r="A1792" s="858" t="s">
        <v>1957</v>
      </c>
      <c r="B1792" s="305">
        <f>VLOOKUP(A1792,'Anlage 3a_Zusammenfassung_KWKG'!A3529:C3676,2,FALSE)</f>
        <v>92475346</v>
      </c>
      <c r="C1792" s="305">
        <f>VLOOKUP(A1792,'Anlage 3a_Zusammenfassung_KWKG'!A3529:C3668,3,FALSE)</f>
        <v>-757280</v>
      </c>
      <c r="D1792" s="860">
        <v>91718066</v>
      </c>
      <c r="I1792" t="s">
        <v>1958</v>
      </c>
    </row>
    <row r="1793" spans="1:9" hidden="1" outlineLevel="2">
      <c r="A1793" s="858" t="s">
        <v>1959</v>
      </c>
      <c r="B1793" s="305">
        <f>VLOOKUP(A1793,'Anlage 3a_Zusammenfassung_KWKG'!A3530:C3677,2,FALSE)</f>
        <v>26409727</v>
      </c>
      <c r="C1793" s="305">
        <f>VLOOKUP(A1793,'Anlage 3a_Zusammenfassung_KWKG'!A3530:C3669,3,FALSE)</f>
        <v>0</v>
      </c>
      <c r="D1793" s="860">
        <v>26409727</v>
      </c>
      <c r="I1793" t="s">
        <v>1960</v>
      </c>
    </row>
    <row r="1794" spans="1:9" hidden="1" outlineLevel="2">
      <c r="A1794" s="858" t="s">
        <v>1961</v>
      </c>
      <c r="B1794" s="305">
        <f>VLOOKUP(A1794,'Anlage 3a_Zusammenfassung_KWKG'!A3531:C3678,2,FALSE)</f>
        <v>34505456</v>
      </c>
      <c r="C1794" s="305">
        <f>VLOOKUP(A1794,'Anlage 3a_Zusammenfassung_KWKG'!A3531:C3670,3,FALSE)</f>
        <v>-29095</v>
      </c>
      <c r="D1794" s="860">
        <v>34476361</v>
      </c>
      <c r="I1794" t="s">
        <v>1962</v>
      </c>
    </row>
    <row r="1795" spans="1:9" hidden="1" outlineLevel="2">
      <c r="A1795" s="858" t="s">
        <v>1963</v>
      </c>
      <c r="B1795" s="305">
        <f>VLOOKUP(A1795,'Anlage 3a_Zusammenfassung_KWKG'!A3532:C3679,2,FALSE)</f>
        <v>755641450</v>
      </c>
      <c r="C1795" s="305">
        <f>VLOOKUP(A1795,'Anlage 3a_Zusammenfassung_KWKG'!A3532:C3671,3,FALSE)</f>
        <v>-7858718</v>
      </c>
      <c r="D1795" s="860">
        <v>747782732</v>
      </c>
      <c r="I1795" t="s">
        <v>1964</v>
      </c>
    </row>
    <row r="1796" spans="1:9" hidden="1" outlineLevel="2">
      <c r="A1796" s="858" t="s">
        <v>1965</v>
      </c>
      <c r="B1796" s="305">
        <f>VLOOKUP(A1796,'Anlage 3a_Zusammenfassung_KWKG'!A3533:C3680,2,FALSE)</f>
        <v>81136293</v>
      </c>
      <c r="C1796" s="305">
        <f>VLOOKUP(A1796,'Anlage 3a_Zusammenfassung_KWKG'!A3533:C3672,3,FALSE)</f>
        <v>124976</v>
      </c>
      <c r="D1796" s="860">
        <v>81261269</v>
      </c>
      <c r="I1796" t="s">
        <v>1966</v>
      </c>
    </row>
    <row r="1797" spans="1:9" hidden="1" outlineLevel="2">
      <c r="A1797" s="858" t="s">
        <v>1967</v>
      </c>
      <c r="B1797" s="305">
        <f>VLOOKUP(A1797,'Anlage 3a_Zusammenfassung_KWKG'!A3534:C3681,2,FALSE)</f>
        <v>1251247401</v>
      </c>
      <c r="C1797" s="305">
        <f>VLOOKUP(A1797,'Anlage 3a_Zusammenfassung_KWKG'!A3534:C3673,3,FALSE)</f>
        <v>-4717271</v>
      </c>
      <c r="D1797" s="860">
        <v>1246530130</v>
      </c>
      <c r="I1797" t="s">
        <v>1968</v>
      </c>
    </row>
    <row r="1798" spans="1:9" hidden="1" outlineLevel="2">
      <c r="A1798" s="858" t="s">
        <v>1969</v>
      </c>
      <c r="B1798" s="305">
        <f>VLOOKUP(A1798,'Anlage 3a_Zusammenfassung_KWKG'!A3535:C3682,2,FALSE)</f>
        <v>258306732</v>
      </c>
      <c r="C1798" s="305">
        <f>VLOOKUP(A1798,'Anlage 3a_Zusammenfassung_KWKG'!A3535:C3674,3,FALSE)</f>
        <v>515644</v>
      </c>
      <c r="D1798" s="860">
        <v>258822376</v>
      </c>
      <c r="I1798" t="s">
        <v>1970</v>
      </c>
    </row>
    <row r="1799" spans="1:9" hidden="1" outlineLevel="2">
      <c r="A1799" s="858" t="s">
        <v>1971</v>
      </c>
      <c r="B1799" s="305">
        <f>VLOOKUP(A1799,'Anlage 3a_Zusammenfassung_KWKG'!A3536:C3683,2,FALSE)</f>
        <v>138792526</v>
      </c>
      <c r="C1799" s="305">
        <f>VLOOKUP(A1799,'Anlage 3a_Zusammenfassung_KWKG'!A3536:C3675,3,FALSE)</f>
        <v>-266624</v>
      </c>
      <c r="D1799" s="860">
        <v>138525902</v>
      </c>
      <c r="I1799" t="s">
        <v>1972</v>
      </c>
    </row>
    <row r="1800" spans="1:9" hidden="1" outlineLevel="2">
      <c r="A1800" s="858" t="s">
        <v>1132</v>
      </c>
      <c r="B1800" s="305">
        <f>VLOOKUP(A1800,'Anlage 3a_Zusammenfassung_KWKG'!A3537:C3684,2,FALSE)</f>
        <v>363820814</v>
      </c>
      <c r="C1800" s="305">
        <f>VLOOKUP(A1800,'Anlage 3a_Zusammenfassung_KWKG'!A3537:C3676,3,FALSE)</f>
        <v>0</v>
      </c>
      <c r="D1800" s="860">
        <v>363820814</v>
      </c>
      <c r="I1800" t="s">
        <v>1133</v>
      </c>
    </row>
    <row r="1801" spans="1:9" hidden="1" outlineLevel="2">
      <c r="A1801" s="858" t="s">
        <v>1973</v>
      </c>
      <c r="B1801" s="305">
        <f>VLOOKUP(A1801,'Anlage 3a_Zusammenfassung_KWKG'!A3538:C3685,2,FALSE)</f>
        <v>36862506</v>
      </c>
      <c r="C1801" s="305">
        <f>VLOOKUP(A1801,'Anlage 3a_Zusammenfassung_KWKG'!A3538:C3677,3,FALSE)</f>
        <v>3559208</v>
      </c>
      <c r="D1801" s="860">
        <v>40421714</v>
      </c>
      <c r="I1801" t="s">
        <v>1974</v>
      </c>
    </row>
    <row r="1802" spans="1:9" hidden="1" outlineLevel="2">
      <c r="A1802" s="858" t="s">
        <v>1975</v>
      </c>
      <c r="B1802" s="305">
        <f>VLOOKUP(A1802,'Anlage 3a_Zusammenfassung_KWKG'!A3539:C3686,2,FALSE)</f>
        <v>84654171</v>
      </c>
      <c r="C1802" s="305">
        <f>VLOOKUP(A1802,'Anlage 3a_Zusammenfassung_KWKG'!A3539:C3678,3,FALSE)</f>
        <v>0</v>
      </c>
      <c r="D1802" s="860">
        <v>84654171</v>
      </c>
      <c r="I1802" t="s">
        <v>1976</v>
      </c>
    </row>
    <row r="1803" spans="1:9" hidden="1" outlineLevel="2">
      <c r="A1803" s="858" t="s">
        <v>1977</v>
      </c>
      <c r="B1803" s="305">
        <f>VLOOKUP(A1803,'Anlage 3a_Zusammenfassung_KWKG'!A3540:C3687,2,FALSE)</f>
        <v>112902736</v>
      </c>
      <c r="C1803" s="305">
        <f>VLOOKUP(A1803,'Anlage 3a_Zusammenfassung_KWKG'!A3540:C3679,3,FALSE)</f>
        <v>0</v>
      </c>
      <c r="D1803" s="860">
        <v>112902736</v>
      </c>
      <c r="I1803" t="s">
        <v>1978</v>
      </c>
    </row>
    <row r="1804" spans="1:9" hidden="1" outlineLevel="2">
      <c r="A1804" s="858" t="s">
        <v>1979</v>
      </c>
      <c r="B1804" s="305">
        <f>VLOOKUP(A1804,'Anlage 3a_Zusammenfassung_KWKG'!A3541:C3688,2,FALSE)</f>
        <v>52757791</v>
      </c>
      <c r="C1804" s="305">
        <f>VLOOKUP(A1804,'Anlage 3a_Zusammenfassung_KWKG'!A3541:C3680,3,FALSE)</f>
        <v>208030</v>
      </c>
      <c r="D1804" s="860">
        <v>52965821</v>
      </c>
      <c r="I1804" t="s">
        <v>1980</v>
      </c>
    </row>
    <row r="1805" spans="1:9" hidden="1" outlineLevel="2">
      <c r="A1805" s="858" t="s">
        <v>1981</v>
      </c>
      <c r="B1805" s="305">
        <f>VLOOKUP(A1805,'Anlage 3a_Zusammenfassung_KWKG'!A3542:C3689,2,FALSE)</f>
        <v>76339659</v>
      </c>
      <c r="C1805" s="305">
        <f>VLOOKUP(A1805,'Anlage 3a_Zusammenfassung_KWKG'!A3542:C3681,3,FALSE)</f>
        <v>530263</v>
      </c>
      <c r="D1805" s="860">
        <v>76869922</v>
      </c>
      <c r="I1805" t="s">
        <v>1982</v>
      </c>
    </row>
    <row r="1806" spans="1:9" hidden="1" outlineLevel="2">
      <c r="A1806" s="858" t="s">
        <v>1983</v>
      </c>
      <c r="B1806" s="305">
        <f>VLOOKUP(A1806,'Anlage 3a_Zusammenfassung_KWKG'!A3543:C3690,2,FALSE)</f>
        <v>25916851</v>
      </c>
      <c r="C1806" s="305">
        <f>VLOOKUP(A1806,'Anlage 3a_Zusammenfassung_KWKG'!A3543:C3682,3,FALSE)</f>
        <v>-106904</v>
      </c>
      <c r="D1806" s="860">
        <v>25809947</v>
      </c>
      <c r="I1806" t="s">
        <v>1984</v>
      </c>
    </row>
    <row r="1807" spans="1:9" hidden="1" outlineLevel="2">
      <c r="A1807" s="858" t="s">
        <v>1985</v>
      </c>
      <c r="B1807" s="305">
        <f>VLOOKUP(A1807,'Anlage 3a_Zusammenfassung_KWKG'!A3544:C3691,2,FALSE)</f>
        <v>119937716</v>
      </c>
      <c r="C1807" s="305">
        <f>VLOOKUP(A1807,'Anlage 3a_Zusammenfassung_KWKG'!A3544:C3683,3,FALSE)</f>
        <v>4190273</v>
      </c>
      <c r="D1807" s="860">
        <v>124127989</v>
      </c>
      <c r="I1807" t="s">
        <v>1986</v>
      </c>
    </row>
    <row r="1808" spans="1:9" hidden="1" outlineLevel="2">
      <c r="A1808" s="858" t="s">
        <v>1987</v>
      </c>
      <c r="B1808" s="305">
        <f>VLOOKUP(A1808,'Anlage 3a_Zusammenfassung_KWKG'!A3545:C3692,2,FALSE)</f>
        <v>55011585</v>
      </c>
      <c r="C1808" s="305">
        <f>VLOOKUP(A1808,'Anlage 3a_Zusammenfassung_KWKG'!A3545:C3684,3,FALSE)</f>
        <v>0</v>
      </c>
      <c r="D1808" s="860">
        <v>55011585</v>
      </c>
      <c r="I1808" t="s">
        <v>1988</v>
      </c>
    </row>
    <row r="1809" spans="1:9" hidden="1" outlineLevel="2">
      <c r="A1809" s="858" t="s">
        <v>1989</v>
      </c>
      <c r="B1809" s="305">
        <f>VLOOKUP(A1809,'Anlage 3a_Zusammenfassung_KWKG'!A3546:C3693,2,FALSE)</f>
        <v>100375865</v>
      </c>
      <c r="C1809" s="305">
        <f>VLOOKUP(A1809,'Anlage 3a_Zusammenfassung_KWKG'!A3546:C3685,3,FALSE)</f>
        <v>208972</v>
      </c>
      <c r="D1809" s="860">
        <v>100584837</v>
      </c>
      <c r="I1809" t="s">
        <v>1990</v>
      </c>
    </row>
    <row r="1810" spans="1:9" hidden="1" outlineLevel="2">
      <c r="A1810" s="858" t="s">
        <v>1991</v>
      </c>
      <c r="B1810" s="305">
        <f>VLOOKUP(A1810,'Anlage 3a_Zusammenfassung_KWKG'!A3547:C3694,2,FALSE)</f>
        <v>149529924</v>
      </c>
      <c r="C1810" s="305">
        <f>VLOOKUP(A1810,'Anlage 3a_Zusammenfassung_KWKG'!A3547:C3686,3,FALSE)</f>
        <v>2613321</v>
      </c>
      <c r="D1810" s="860">
        <v>152143245</v>
      </c>
      <c r="I1810" t="s">
        <v>1992</v>
      </c>
    </row>
    <row r="1811" spans="1:9" hidden="1" outlineLevel="2">
      <c r="A1811" s="858" t="s">
        <v>1993</v>
      </c>
      <c r="B1811" s="305">
        <f>VLOOKUP(A1811,'Anlage 3a_Zusammenfassung_KWKG'!A3548:C3695,2,FALSE)</f>
        <v>107808687</v>
      </c>
      <c r="C1811" s="305">
        <f>VLOOKUP(A1811,'Anlage 3a_Zusammenfassung_KWKG'!A3548:C3687,3,FALSE)</f>
        <v>32830481</v>
      </c>
      <c r="D1811" s="860">
        <v>140639168</v>
      </c>
      <c r="I1811" t="s">
        <v>1994</v>
      </c>
    </row>
    <row r="1812" spans="1:9" hidden="1" outlineLevel="2">
      <c r="A1812" s="858" t="s">
        <v>1995</v>
      </c>
      <c r="B1812" s="305">
        <f>VLOOKUP(A1812,'Anlage 3a_Zusammenfassung_KWKG'!A3549:C3696,2,FALSE)</f>
        <v>98147746</v>
      </c>
      <c r="C1812" s="305">
        <f>VLOOKUP(A1812,'Anlage 3a_Zusammenfassung_KWKG'!A3549:C3688,3,FALSE)</f>
        <v>-43586485</v>
      </c>
      <c r="D1812" s="860">
        <v>54561261</v>
      </c>
      <c r="I1812" t="s">
        <v>1996</v>
      </c>
    </row>
    <row r="1813" spans="1:9" hidden="1" outlineLevel="2">
      <c r="A1813" s="858" t="s">
        <v>2315</v>
      </c>
      <c r="B1813" s="305">
        <f>VLOOKUP(A1813,'Anlage 3a_Zusammenfassung_KWKG'!A3550:C3697,2,FALSE)</f>
        <v>188377326</v>
      </c>
      <c r="C1813" s="305">
        <f>VLOOKUP(A1813,'Anlage 3a_Zusammenfassung_KWKG'!A3550:C3689,3,FALSE)</f>
        <v>0</v>
      </c>
      <c r="D1813" s="860">
        <v>188377326</v>
      </c>
      <c r="I1813" t="s">
        <v>2316</v>
      </c>
    </row>
    <row r="1814" spans="1:9" hidden="1" outlineLevel="2">
      <c r="A1814" s="858" t="s">
        <v>1154</v>
      </c>
      <c r="B1814" s="305">
        <f>VLOOKUP(A1814,'Anlage 3a_Zusammenfassung_KWKG'!A3551:C3698,2,FALSE)</f>
        <v>247423192</v>
      </c>
      <c r="C1814" s="305">
        <f>VLOOKUP(A1814,'Anlage 3a_Zusammenfassung_KWKG'!A3551:C3690,3,FALSE)</f>
        <v>2729428</v>
      </c>
      <c r="D1814" s="860">
        <v>250152620</v>
      </c>
      <c r="I1814" t="s">
        <v>1155</v>
      </c>
    </row>
    <row r="1815" spans="1:9" hidden="1" outlineLevel="2">
      <c r="A1815" s="858" t="s">
        <v>1997</v>
      </c>
      <c r="B1815" s="305">
        <f>VLOOKUP(A1815,'Anlage 3a_Zusammenfassung_KWKG'!A3552:C3699,2,FALSE)</f>
        <v>72202814</v>
      </c>
      <c r="C1815" s="305">
        <f>VLOOKUP(A1815,'Anlage 3a_Zusammenfassung_KWKG'!A3552:C3691,3,FALSE)</f>
        <v>0</v>
      </c>
      <c r="D1815" s="860">
        <v>72202814</v>
      </c>
      <c r="I1815" t="s">
        <v>1998</v>
      </c>
    </row>
    <row r="1816" spans="1:9" hidden="1" outlineLevel="2">
      <c r="A1816" s="858" t="s">
        <v>1999</v>
      </c>
      <c r="B1816" s="305">
        <f>VLOOKUP(A1816,'Anlage 3a_Zusammenfassung_KWKG'!A3553:C3700,2,FALSE)</f>
        <v>212700825</v>
      </c>
      <c r="C1816" s="305">
        <f>VLOOKUP(A1816,'Anlage 3a_Zusammenfassung_KWKG'!A3553:C3692,3,FALSE)</f>
        <v>0</v>
      </c>
      <c r="D1816" s="860">
        <v>212700825</v>
      </c>
      <c r="I1816" t="s">
        <v>2000</v>
      </c>
    </row>
    <row r="1817" spans="1:9" hidden="1" outlineLevel="2">
      <c r="A1817" s="858" t="s">
        <v>2001</v>
      </c>
      <c r="B1817" s="305">
        <f>VLOOKUP(A1817,'Anlage 3a_Zusammenfassung_KWKG'!A3554:C3701,2,FALSE)</f>
        <v>49269078</v>
      </c>
      <c r="C1817" s="305">
        <f>VLOOKUP(A1817,'Anlage 3a_Zusammenfassung_KWKG'!A3554:C3693,3,FALSE)</f>
        <v>0</v>
      </c>
      <c r="D1817" s="860">
        <v>49269078</v>
      </c>
      <c r="I1817" t="s">
        <v>2002</v>
      </c>
    </row>
    <row r="1818" spans="1:9" hidden="1" outlineLevel="2">
      <c r="A1818" s="858" t="s">
        <v>2003</v>
      </c>
      <c r="B1818" s="305">
        <f>VLOOKUP(A1818,'Anlage 3a_Zusammenfassung_KWKG'!A3555:C3702,2,FALSE)</f>
        <v>438044095</v>
      </c>
      <c r="C1818" s="305">
        <f>VLOOKUP(A1818,'Anlage 3a_Zusammenfassung_KWKG'!A3555:C3694,3,FALSE)</f>
        <v>-10667568</v>
      </c>
      <c r="D1818" s="860">
        <v>427376527</v>
      </c>
      <c r="I1818" t="s">
        <v>2004</v>
      </c>
    </row>
    <row r="1819" spans="1:9" hidden="1" outlineLevel="2">
      <c r="A1819" s="858" t="s">
        <v>2005</v>
      </c>
      <c r="B1819" s="305">
        <f>VLOOKUP(A1819,'Anlage 3a_Zusammenfassung_KWKG'!A3556:C3703,2,FALSE)</f>
        <v>210611209</v>
      </c>
      <c r="C1819" s="305">
        <f>VLOOKUP(A1819,'Anlage 3a_Zusammenfassung_KWKG'!A3556:C3695,3,FALSE)</f>
        <v>668298</v>
      </c>
      <c r="D1819" s="860">
        <v>211279507</v>
      </c>
      <c r="I1819" t="s">
        <v>2006</v>
      </c>
    </row>
    <row r="1820" spans="1:9" hidden="1" outlineLevel="2">
      <c r="A1820" s="858" t="s">
        <v>911</v>
      </c>
      <c r="B1820" s="305">
        <f>VLOOKUP(A1820,'Anlage 3a_Zusammenfassung_KWKG'!A3557:C3704,2,FALSE)</f>
        <v>826209735</v>
      </c>
      <c r="C1820" s="305">
        <f>VLOOKUP(A1820,'Anlage 3a_Zusammenfassung_KWKG'!A3557:C3696,3,FALSE)</f>
        <v>0</v>
      </c>
      <c r="D1820" s="860">
        <v>826209735</v>
      </c>
      <c r="I1820" t="s">
        <v>912</v>
      </c>
    </row>
    <row r="1821" spans="1:9" hidden="1" outlineLevel="2">
      <c r="A1821" s="858" t="s">
        <v>2007</v>
      </c>
      <c r="B1821" s="305">
        <f>VLOOKUP(A1821,'Anlage 3a_Zusammenfassung_KWKG'!A3558:C3705,2,FALSE)</f>
        <v>99166495</v>
      </c>
      <c r="C1821" s="305">
        <f>VLOOKUP(A1821,'Anlage 3a_Zusammenfassung_KWKG'!A3558:C3697,3,FALSE)</f>
        <v>0</v>
      </c>
      <c r="D1821" s="860">
        <v>99166495</v>
      </c>
      <c r="I1821" t="s">
        <v>2008</v>
      </c>
    </row>
    <row r="1822" spans="1:9" hidden="1" outlineLevel="2">
      <c r="A1822" s="858" t="s">
        <v>2009</v>
      </c>
      <c r="B1822" s="305">
        <f>VLOOKUP(A1822,'Anlage 3a_Zusammenfassung_KWKG'!A3559:C3706,2,FALSE)</f>
        <v>341443617</v>
      </c>
      <c r="C1822" s="305">
        <f>VLOOKUP(A1822,'Anlage 3a_Zusammenfassung_KWKG'!A3559:C3698,3,FALSE)</f>
        <v>1360856</v>
      </c>
      <c r="D1822" s="860">
        <v>342804473</v>
      </c>
      <c r="I1822" t="s">
        <v>2010</v>
      </c>
    </row>
    <row r="1823" spans="1:9" hidden="1" outlineLevel="2">
      <c r="A1823" s="858" t="s">
        <v>2011</v>
      </c>
      <c r="B1823" s="305">
        <f>VLOOKUP(A1823,'Anlage 3a_Zusammenfassung_KWKG'!A3560:C3707,2,FALSE)</f>
        <v>88810904</v>
      </c>
      <c r="C1823" s="305">
        <f>VLOOKUP(A1823,'Anlage 3a_Zusammenfassung_KWKG'!A3560:C3699,3,FALSE)</f>
        <v>0</v>
      </c>
      <c r="D1823" s="860">
        <v>88810904</v>
      </c>
      <c r="I1823" t="s">
        <v>2012</v>
      </c>
    </row>
    <row r="1824" spans="1:9" hidden="1" outlineLevel="2">
      <c r="A1824" s="858" t="s">
        <v>2013</v>
      </c>
      <c r="B1824" s="305">
        <f>VLOOKUP(A1824,'Anlage 3a_Zusammenfassung_KWKG'!A3561:C3708,2,FALSE)</f>
        <v>91451060</v>
      </c>
      <c r="C1824" s="305">
        <f>VLOOKUP(A1824,'Anlage 3a_Zusammenfassung_KWKG'!A3561:C3700,3,FALSE)</f>
        <v>0</v>
      </c>
      <c r="D1824" s="860">
        <v>91451060</v>
      </c>
      <c r="I1824" t="s">
        <v>2014</v>
      </c>
    </row>
    <row r="1825" spans="1:9" hidden="1" outlineLevel="2">
      <c r="A1825" s="858" t="s">
        <v>2015</v>
      </c>
      <c r="B1825" s="305">
        <f>VLOOKUP(A1825,'Anlage 3a_Zusammenfassung_KWKG'!A3562:C3709,2,FALSE)</f>
        <v>59048410</v>
      </c>
      <c r="C1825" s="305">
        <f>VLOOKUP(A1825,'Anlage 3a_Zusammenfassung_KWKG'!A3562:C3701,3,FALSE)</f>
        <v>607944</v>
      </c>
      <c r="D1825" s="860">
        <v>59656354</v>
      </c>
      <c r="I1825" t="s">
        <v>2016</v>
      </c>
    </row>
    <row r="1826" spans="1:9" hidden="1" outlineLevel="2">
      <c r="A1826" s="858" t="s">
        <v>2017</v>
      </c>
      <c r="B1826" s="305">
        <f>VLOOKUP(A1826,'Anlage 3a_Zusammenfassung_KWKG'!A3563:C3710,2,FALSE)</f>
        <v>57642247</v>
      </c>
      <c r="C1826" s="305">
        <f>VLOOKUP(A1826,'Anlage 3a_Zusammenfassung_KWKG'!A3563:C3702,3,FALSE)</f>
        <v>0</v>
      </c>
      <c r="D1826" s="860">
        <v>57642247</v>
      </c>
      <c r="I1826" t="s">
        <v>2018</v>
      </c>
    </row>
    <row r="1827" spans="1:9" hidden="1" outlineLevel="2">
      <c r="A1827" s="858" t="s">
        <v>2019</v>
      </c>
      <c r="B1827" s="305">
        <f>VLOOKUP(A1827,'Anlage 3a_Zusammenfassung_KWKG'!A3564:C3711,2,FALSE)</f>
        <v>175537182</v>
      </c>
      <c r="C1827" s="305">
        <f>VLOOKUP(A1827,'Anlage 3a_Zusammenfassung_KWKG'!A3564:C3703,3,FALSE)</f>
        <v>-1162912</v>
      </c>
      <c r="D1827" s="860">
        <v>174374270</v>
      </c>
      <c r="I1827" t="s">
        <v>2020</v>
      </c>
    </row>
    <row r="1828" spans="1:9" hidden="1" outlineLevel="2">
      <c r="A1828" s="858" t="s">
        <v>1314</v>
      </c>
      <c r="B1828" s="305">
        <f>VLOOKUP(A1828,'Anlage 3a_Zusammenfassung_KWKG'!A3565:C3712,2,FALSE)</f>
        <v>129984008</v>
      </c>
      <c r="C1828" s="305">
        <f>VLOOKUP(A1828,'Anlage 3a_Zusammenfassung_KWKG'!A3565:C3704,3,FALSE)</f>
        <v>2393482</v>
      </c>
      <c r="D1828" s="860">
        <v>132377490</v>
      </c>
      <c r="I1828" t="s">
        <v>1315</v>
      </c>
    </row>
    <row r="1829" spans="1:9" hidden="1" outlineLevel="2">
      <c r="A1829" s="858" t="s">
        <v>2021</v>
      </c>
      <c r="B1829" s="305">
        <f>VLOOKUP(A1829,'Anlage 3a_Zusammenfassung_KWKG'!A3566:C3713,2,FALSE)</f>
        <v>93776782</v>
      </c>
      <c r="C1829" s="305">
        <f>VLOOKUP(A1829,'Anlage 3a_Zusammenfassung_KWKG'!A3566:C3705,3,FALSE)</f>
        <v>-2050283</v>
      </c>
      <c r="D1829" s="860">
        <v>91726499</v>
      </c>
      <c r="I1829" t="s">
        <v>2022</v>
      </c>
    </row>
    <row r="1830" spans="1:9" hidden="1" outlineLevel="2">
      <c r="A1830" s="858" t="s">
        <v>2023</v>
      </c>
      <c r="B1830" s="305">
        <f>VLOOKUP(A1830,'Anlage 3a_Zusammenfassung_KWKG'!A3567:C3714,2,FALSE)</f>
        <v>102001048</v>
      </c>
      <c r="C1830" s="305">
        <f>VLOOKUP(A1830,'Anlage 3a_Zusammenfassung_KWKG'!A3567:C3706,3,FALSE)</f>
        <v>575068</v>
      </c>
      <c r="D1830" s="860">
        <v>102576116</v>
      </c>
      <c r="I1830" t="s">
        <v>2024</v>
      </c>
    </row>
    <row r="1831" spans="1:9" hidden="1" outlineLevel="2">
      <c r="A1831" s="858" t="s">
        <v>2025</v>
      </c>
      <c r="B1831" s="305">
        <f>VLOOKUP(A1831,'Anlage 3a_Zusammenfassung_KWKG'!A3568:C3715,2,FALSE)</f>
        <v>36682493</v>
      </c>
      <c r="C1831" s="305">
        <f>VLOOKUP(A1831,'Anlage 3a_Zusammenfassung_KWKG'!A3568:C3707,3,FALSE)</f>
        <v>0</v>
      </c>
      <c r="D1831" s="860">
        <v>36682493</v>
      </c>
      <c r="I1831" t="s">
        <v>2026</v>
      </c>
    </row>
    <row r="1832" spans="1:9" hidden="1" outlineLevel="2">
      <c r="A1832" s="858" t="s">
        <v>2027</v>
      </c>
      <c r="B1832" s="305">
        <f>VLOOKUP(A1832,'Anlage 3a_Zusammenfassung_KWKG'!A3569:C3716,2,FALSE)</f>
        <v>2839108853</v>
      </c>
      <c r="C1832" s="305">
        <f>VLOOKUP(A1832,'Anlage 3a_Zusammenfassung_KWKG'!A3569:C3708,3,FALSE)</f>
        <v>1774478</v>
      </c>
      <c r="D1832" s="860">
        <v>2840883331</v>
      </c>
      <c r="I1832" t="s">
        <v>2028</v>
      </c>
    </row>
    <row r="1833" spans="1:9" hidden="1" outlineLevel="2">
      <c r="A1833" s="858" t="s">
        <v>2029</v>
      </c>
      <c r="B1833" s="305">
        <f>VLOOKUP(A1833,'Anlage 3a_Zusammenfassung_KWKG'!A3570:C3717,2,FALSE)</f>
        <v>137707067</v>
      </c>
      <c r="C1833" s="305">
        <f>VLOOKUP(A1833,'Anlage 3a_Zusammenfassung_KWKG'!A3570:C3709,3,FALSE)</f>
        <v>688350</v>
      </c>
      <c r="D1833" s="860">
        <v>138395417</v>
      </c>
      <c r="I1833" t="s">
        <v>2030</v>
      </c>
    </row>
    <row r="1834" spans="1:9" hidden="1" outlineLevel="2">
      <c r="A1834" s="858" t="s">
        <v>2031</v>
      </c>
      <c r="B1834" s="305">
        <f>VLOOKUP(A1834,'Anlage 3a_Zusammenfassung_KWKG'!A3571:C3718,2,FALSE)</f>
        <v>558118437</v>
      </c>
      <c r="C1834" s="305">
        <f>VLOOKUP(A1834,'Anlage 3a_Zusammenfassung_KWKG'!A3571:C3710,3,FALSE)</f>
        <v>-2262150</v>
      </c>
      <c r="D1834" s="860">
        <v>555856287</v>
      </c>
      <c r="I1834" t="s">
        <v>2032</v>
      </c>
    </row>
    <row r="1835" spans="1:9" hidden="1" outlineLevel="2">
      <c r="A1835" s="858" t="s">
        <v>819</v>
      </c>
      <c r="B1835" s="305">
        <f>VLOOKUP(A1835,'Anlage 3a_Zusammenfassung_KWKG'!A3572:C3719,2,FALSE)</f>
        <v>280218966</v>
      </c>
      <c r="C1835" s="305">
        <f>VLOOKUP(A1835,'Anlage 3a_Zusammenfassung_KWKG'!A3572:C3711,3,FALSE)</f>
        <v>4102087</v>
      </c>
      <c r="D1835" s="860">
        <v>284321053</v>
      </c>
      <c r="I1835" t="s">
        <v>820</v>
      </c>
    </row>
    <row r="1836" spans="1:9" hidden="1" outlineLevel="2">
      <c r="A1836" s="858" t="s">
        <v>2033</v>
      </c>
      <c r="B1836" s="305">
        <f>VLOOKUP(A1836,'Anlage 3a_Zusammenfassung_KWKG'!A3573:C3720,2,FALSE)</f>
        <v>4268736</v>
      </c>
      <c r="C1836" s="305">
        <f>VLOOKUP(A1836,'Anlage 3a_Zusammenfassung_KWKG'!A3573:C3712,3,FALSE)</f>
        <v>0</v>
      </c>
      <c r="D1836" s="860">
        <v>4268736</v>
      </c>
      <c r="I1836" t="s">
        <v>2034</v>
      </c>
    </row>
    <row r="1837" spans="1:9" hidden="1" outlineLevel="2">
      <c r="A1837" s="858" t="s">
        <v>1202</v>
      </c>
      <c r="B1837" s="305">
        <f>VLOOKUP(A1837,'Anlage 3a_Zusammenfassung_KWKG'!A3574:C3721,2,FALSE)</f>
        <v>206066094</v>
      </c>
      <c r="C1837" s="305">
        <f>VLOOKUP(A1837,'Anlage 3a_Zusammenfassung_KWKG'!A3574:C3713,3,FALSE)</f>
        <v>0</v>
      </c>
      <c r="D1837" s="860">
        <v>206066094</v>
      </c>
      <c r="I1837" t="s">
        <v>1203</v>
      </c>
    </row>
    <row r="1838" spans="1:9" hidden="1" outlineLevel="2">
      <c r="A1838" s="858" t="s">
        <v>2035</v>
      </c>
      <c r="B1838" s="305">
        <f>VLOOKUP(A1838,'Anlage 3a_Zusammenfassung_KWKG'!A3575:C3722,2,FALSE)</f>
        <v>1120413190</v>
      </c>
      <c r="C1838" s="305">
        <f>VLOOKUP(A1838,'Anlage 3a_Zusammenfassung_KWKG'!A3575:C3714,3,FALSE)</f>
        <v>-85678103</v>
      </c>
      <c r="D1838" s="860">
        <v>1034735087</v>
      </c>
      <c r="I1838" t="s">
        <v>2036</v>
      </c>
    </row>
    <row r="1839" spans="1:9" hidden="1" outlineLevel="2">
      <c r="A1839" s="858" t="s">
        <v>2037</v>
      </c>
      <c r="B1839" s="305">
        <f>VLOOKUP(A1839,'Anlage 3a_Zusammenfassung_KWKG'!A3576:C3723,2,FALSE)</f>
        <v>321553047</v>
      </c>
      <c r="C1839" s="305">
        <f>VLOOKUP(A1839,'Anlage 3a_Zusammenfassung_KWKG'!A3576:C3715,3,FALSE)</f>
        <v>8658314</v>
      </c>
      <c r="D1839" s="860">
        <v>330211361</v>
      </c>
      <c r="I1839" t="s">
        <v>2038</v>
      </c>
    </row>
    <row r="1840" spans="1:9" hidden="1" outlineLevel="2">
      <c r="A1840" s="858" t="s">
        <v>2039</v>
      </c>
      <c r="B1840" s="305">
        <f>VLOOKUP(A1840,'Anlage 3a_Zusammenfassung_KWKG'!A3577:C3724,2,FALSE)</f>
        <v>29224465</v>
      </c>
      <c r="C1840" s="305">
        <f>VLOOKUP(A1840,'Anlage 3a_Zusammenfassung_KWKG'!A3577:C3716,3,FALSE)</f>
        <v>0</v>
      </c>
      <c r="D1840" s="860">
        <v>29224465</v>
      </c>
      <c r="I1840" t="s">
        <v>2040</v>
      </c>
    </row>
    <row r="1841" spans="1:10" hidden="1" outlineLevel="2">
      <c r="A1841" s="858" t="s">
        <v>2041</v>
      </c>
      <c r="B1841" s="305">
        <f>VLOOKUP(A1841,'Anlage 3a_Zusammenfassung_KWKG'!A3578:C3725,2,FALSE)</f>
        <v>1531134171</v>
      </c>
      <c r="C1841" s="305">
        <f>VLOOKUP(A1841,'Anlage 3a_Zusammenfassung_KWKG'!A3578:C3717,3,FALSE)</f>
        <v>-18479835</v>
      </c>
      <c r="D1841" s="860">
        <v>1512654336</v>
      </c>
      <c r="I1841" t="s">
        <v>2042</v>
      </c>
    </row>
    <row r="1842" spans="1:10" hidden="1" outlineLevel="2">
      <c r="A1842" s="858" t="s">
        <v>2317</v>
      </c>
      <c r="B1842" s="305">
        <f>VLOOKUP(A1842,'Anlage 3a_Zusammenfassung_KWKG'!A3579:C3726,2,FALSE)</f>
        <v>4391818</v>
      </c>
      <c r="C1842" s="305">
        <f>VLOOKUP(A1842,'Anlage 3a_Zusammenfassung_KWKG'!A3579:C3718,3,FALSE)</f>
        <v>0</v>
      </c>
      <c r="D1842" s="860">
        <v>4391818</v>
      </c>
      <c r="I1842" t="s">
        <v>2318</v>
      </c>
    </row>
    <row r="1843" spans="1:10" hidden="1" outlineLevel="2">
      <c r="A1843" s="858" t="s">
        <v>2043</v>
      </c>
      <c r="B1843" s="305">
        <f>VLOOKUP(A1843,'Anlage 3a_Zusammenfassung_KWKG'!A3580:C3727,2,FALSE)</f>
        <v>42675627</v>
      </c>
      <c r="C1843" s="305">
        <f>VLOOKUP(A1843,'Anlage 3a_Zusammenfassung_KWKG'!A3580:C3719,3,FALSE)</f>
        <v>0</v>
      </c>
      <c r="D1843" s="860">
        <v>42675627</v>
      </c>
      <c r="I1843" t="s">
        <v>2044</v>
      </c>
    </row>
    <row r="1844" spans="1:10" hidden="1" outlineLevel="2">
      <c r="A1844" s="858" t="s">
        <v>2045</v>
      </c>
      <c r="B1844" s="305">
        <f>VLOOKUP(A1844,'Anlage 3a_Zusammenfassung_KWKG'!A3581:C3728,2,FALSE)</f>
        <v>4283926</v>
      </c>
      <c r="C1844" s="305">
        <f>VLOOKUP(A1844,'Anlage 3a_Zusammenfassung_KWKG'!A3581:C3720,3,FALSE)</f>
        <v>120</v>
      </c>
      <c r="D1844" s="860">
        <v>4284046</v>
      </c>
      <c r="I1844" t="s">
        <v>2046</v>
      </c>
    </row>
    <row r="1845" spans="1:10" hidden="1" outlineLevel="2">
      <c r="A1845" s="858"/>
      <c r="B1845" s="305" t="e">
        <f>VLOOKUP(A1845,'Anlage 3a_Zusammenfassung_KWKG'!A3582:C3729,2,FALSE)</f>
        <v>#N/A</v>
      </c>
      <c r="C1845" s="305" t="e">
        <f>VLOOKUP(A1845,'Anlage 3a_Zusammenfassung_KWKG'!A3582:C3721,3,FALSE)</f>
        <v>#N/A</v>
      </c>
      <c r="D1845" s="860" t="e">
        <f t="shared" ref="D1845" si="49">SUM(B1845:C1845)</f>
        <v>#N/A</v>
      </c>
    </row>
    <row r="1846" spans="1:10" ht="13.5" collapsed="1" thickBot="1">
      <c r="A1846" s="861" t="s">
        <v>2047</v>
      </c>
      <c r="B1846" s="862">
        <f>B930+B1102+B1337+B1707</f>
        <v>330416099299.79602</v>
      </c>
      <c r="C1846" s="862">
        <f>C930+C1102+C1337+C1707</f>
        <v>682422169.66999996</v>
      </c>
      <c r="D1846" s="863">
        <f>D930+D1102+D1337+D1707</f>
        <v>331098521469.466</v>
      </c>
    </row>
    <row r="1849" spans="1:10">
      <c r="A1849" s="1740" t="s">
        <v>2458</v>
      </c>
      <c r="B1849" s="192"/>
      <c r="C1849" s="192"/>
      <c r="D1849" s="192"/>
      <c r="E1849" s="192"/>
      <c r="F1849" s="192"/>
      <c r="G1849" s="192"/>
      <c r="H1849" s="192"/>
      <c r="I1849" s="192"/>
      <c r="J1849" s="192"/>
    </row>
    <row r="1850" spans="1:10" ht="13.5" thickBot="1">
      <c r="A1850" s="8"/>
      <c r="B1850" s="192"/>
      <c r="C1850" s="192"/>
      <c r="D1850" s="192"/>
      <c r="E1850" s="192"/>
      <c r="F1850" s="192"/>
      <c r="G1850" s="192"/>
      <c r="H1850" s="192"/>
      <c r="I1850" s="192"/>
      <c r="J1850" s="192"/>
    </row>
    <row r="1851" spans="1:10" ht="102">
      <c r="A1851" s="835"/>
      <c r="B1851" s="836" t="s">
        <v>2459</v>
      </c>
      <c r="C1851" s="837" t="s">
        <v>2483</v>
      </c>
      <c r="D1851" s="837" t="s">
        <v>2484</v>
      </c>
      <c r="E1851" s="837" t="s">
        <v>2462</v>
      </c>
      <c r="F1851" s="837" t="s">
        <v>2485</v>
      </c>
      <c r="G1851" s="837" t="s">
        <v>2486</v>
      </c>
      <c r="H1851" s="838" t="s">
        <v>2487</v>
      </c>
      <c r="I1851" s="251"/>
      <c r="J1851" s="251"/>
    </row>
    <row r="1852" spans="1:10" s="542" customFormat="1" ht="13.5" thickBot="1">
      <c r="A1852" s="839"/>
      <c r="B1852" s="574" t="s">
        <v>454</v>
      </c>
      <c r="C1852" s="551" t="s">
        <v>2054</v>
      </c>
      <c r="D1852" s="525" t="s">
        <v>2054</v>
      </c>
      <c r="E1852" s="551" t="s">
        <v>454</v>
      </c>
      <c r="F1852" s="551" t="s">
        <v>2054</v>
      </c>
      <c r="G1852" s="551" t="s">
        <v>454</v>
      </c>
      <c r="H1852" s="770" t="s">
        <v>2054</v>
      </c>
    </row>
    <row r="1853" spans="1:10">
      <c r="A1853" s="840" t="s">
        <v>455</v>
      </c>
      <c r="B1853" s="325">
        <f>'Anlage 2a_Letztverbrauch'!B2852</f>
        <v>21205851920</v>
      </c>
      <c r="C1853" s="325">
        <f>'Anlage 2a_Letztverbrauch'!D2852+'Anlage 2a_Letztverbrauch'!D2896+'Anlage 2a_Letztverbrauch'!G2896+'Anlage 2a_Letztverbrauch'!J2896</f>
        <v>27951598.16</v>
      </c>
      <c r="D1853" s="325">
        <f>'Anlage 2a_Letztverbrauch'!D2909</f>
        <v>122303.25</v>
      </c>
      <c r="E1853" s="325">
        <f>'Anlage 2b_Korrekturen'!D1392</f>
        <v>-29515596</v>
      </c>
      <c r="F1853" s="325">
        <f>'Anlage 2b_Korrekturen'!F1392</f>
        <v>64440.79</v>
      </c>
      <c r="G1853" s="424">
        <f>B1853+E1853</f>
        <v>21176336324</v>
      </c>
      <c r="H1853" s="841">
        <f>D1853+F1853+C1853</f>
        <v>28138342.199999999</v>
      </c>
      <c r="I1853" s="306"/>
      <c r="J1853" s="306"/>
    </row>
    <row r="1854" spans="1:10">
      <c r="A1854" s="842" t="s">
        <v>774</v>
      </c>
      <c r="B1854" s="326">
        <f>'Anlage 2a_Letztverbrauch'!B2853</f>
        <v>43230394404</v>
      </c>
      <c r="C1854" s="326">
        <f>'Anlage 2a_Letztverbrauch'!D2853+'Anlage 2a_Letztverbrauch'!D2897+'Anlage 2a_Letztverbrauch'!G2897+'Anlage 2a_Letztverbrauch'!J2897</f>
        <v>52760402.689999998</v>
      </c>
      <c r="D1854" s="326">
        <f>'Anlage 2a_Letztverbrauch'!D2910</f>
        <v>118493.96</v>
      </c>
      <c r="E1854" s="326">
        <f>'Anlage 2b_Korrekturen'!D1396</f>
        <v>48617645</v>
      </c>
      <c r="F1854" s="326">
        <f>'Anlage 2b_Korrekturen'!F1396</f>
        <v>55190.689999999995</v>
      </c>
      <c r="G1854" s="425">
        <f>B1854+E1854</f>
        <v>43279012049</v>
      </c>
      <c r="H1854" s="843">
        <f>D1854+F1854+C1854</f>
        <v>52934087.339999996</v>
      </c>
      <c r="I1854" s="306"/>
      <c r="J1854" s="306"/>
    </row>
    <row r="1855" spans="1:10">
      <c r="A1855" s="842" t="s">
        <v>1220</v>
      </c>
      <c r="B1855" s="326">
        <f>'Anlage 2a_Letztverbrauch'!B2854</f>
        <v>25245675565</v>
      </c>
      <c r="C1855" s="326">
        <f>'Anlage 2a_Letztverbrauch'!D2854+'Anlage 2a_Letztverbrauch'!D2898+'Anlage 2a_Letztverbrauch'!G2898+'Anlage 2a_Letztverbrauch'!J2898</f>
        <v>36058222.869999997</v>
      </c>
      <c r="D1855" s="326">
        <f>'Anlage 2a_Letztverbrauch'!D2911</f>
        <v>1211244.42</v>
      </c>
      <c r="E1855" s="326">
        <f>'Anlage 2b_Korrekturen'!D1405</f>
        <v>-55039508</v>
      </c>
      <c r="F1855" s="326">
        <f>'Anlage 2b_Korrekturen'!F1405</f>
        <v>-53901.149999999994</v>
      </c>
      <c r="G1855" s="425">
        <f t="shared" ref="G1855:G1856" si="50">B1855+E1855</f>
        <v>25190636057</v>
      </c>
      <c r="H1855" s="843">
        <f t="shared" ref="H1855:H1856" si="51">D1855+F1855+C1855</f>
        <v>37215566.140000001</v>
      </c>
      <c r="I1855" s="306"/>
      <c r="J1855" s="306"/>
    </row>
    <row r="1856" spans="1:10" ht="13.5" thickBot="1">
      <c r="A1856" s="844" t="s">
        <v>1828</v>
      </c>
      <c r="B1856" s="327">
        <f>'Anlage 2a_Letztverbrauch'!B2855</f>
        <v>7978225548</v>
      </c>
      <c r="C1856" s="327">
        <f>'Anlage 2a_Letztverbrauch'!D2855+'Anlage 2a_Letztverbrauch'!D2899+'Anlage 2a_Letztverbrauch'!G2899+'Anlage 2a_Letztverbrauch'!J2899</f>
        <v>12211869</v>
      </c>
      <c r="D1856" s="327">
        <f>'Anlage 2a_Letztverbrauch'!D2912</f>
        <v>98011.14</v>
      </c>
      <c r="E1856" s="327">
        <f>'Anlage 2b_Korrekturen'!D1409</f>
        <v>-1776072</v>
      </c>
      <c r="F1856" s="327">
        <f>'Anlage 2b_Korrekturen'!F1409</f>
        <v>-1747.66</v>
      </c>
      <c r="G1856" s="426">
        <f t="shared" si="50"/>
        <v>7976449476</v>
      </c>
      <c r="H1856" s="845">
        <f t="shared" si="51"/>
        <v>12308132.48</v>
      </c>
      <c r="I1856" s="306"/>
      <c r="J1856" s="306"/>
    </row>
    <row r="1857" spans="1:10" s="28" customFormat="1" ht="15.75" thickBot="1">
      <c r="A1857" s="846" t="s">
        <v>2047</v>
      </c>
      <c r="B1857" s="871">
        <f t="shared" ref="B1857" si="52">SUM(B1853:B1856)</f>
        <v>97660147437</v>
      </c>
      <c r="C1857" s="871">
        <f>SUM(C1853:C1856)</f>
        <v>128982092.72</v>
      </c>
      <c r="D1857" s="871">
        <f t="shared" ref="D1857" si="53">SUM(D1853:D1856)</f>
        <v>1550052.7699999998</v>
      </c>
      <c r="E1857" s="871">
        <f t="shared" ref="E1857:H1857" si="54">SUM(E1853:E1856)</f>
        <v>-37713531</v>
      </c>
      <c r="F1857" s="871">
        <f t="shared" si="54"/>
        <v>63982.67</v>
      </c>
      <c r="G1857" s="872">
        <f t="shared" si="54"/>
        <v>97622433906</v>
      </c>
      <c r="H1857" s="873">
        <f t="shared" si="54"/>
        <v>130596128.16</v>
      </c>
      <c r="I1857" s="307"/>
      <c r="J1857" s="307"/>
    </row>
    <row r="1858" spans="1:10">
      <c r="A1858" s="308"/>
      <c r="B1858" s="309"/>
    </row>
    <row r="1859" spans="1:10">
      <c r="A1859" s="1740" t="s">
        <v>2466</v>
      </c>
      <c r="B1859" s="192"/>
      <c r="C1859" s="192"/>
      <c r="D1859" s="192"/>
      <c r="E1859" s="192"/>
      <c r="F1859" s="192"/>
      <c r="G1859" s="192"/>
      <c r="H1859" s="192"/>
      <c r="I1859" s="192"/>
      <c r="J1859" s="192"/>
    </row>
    <row r="1860" spans="1:10" ht="13.5" thickBot="1">
      <c r="A1860" s="8"/>
      <c r="B1860" s="192"/>
      <c r="C1860" s="192"/>
      <c r="D1860" s="192"/>
      <c r="E1860" s="192"/>
      <c r="F1860" s="192"/>
      <c r="G1860" s="192"/>
      <c r="H1860" s="192"/>
      <c r="I1860" s="192"/>
      <c r="J1860" s="192"/>
    </row>
    <row r="1861" spans="1:10" ht="123" customHeight="1">
      <c r="A1861" s="421"/>
      <c r="B1861" s="494" t="s">
        <v>2467</v>
      </c>
      <c r="C1861" s="100" t="s">
        <v>2488</v>
      </c>
      <c r="D1861" s="219" t="s">
        <v>2489</v>
      </c>
      <c r="E1861" s="100" t="s">
        <v>2490</v>
      </c>
      <c r="F1861" s="219" t="s">
        <v>2470</v>
      </c>
      <c r="G1861" s="221" t="s">
        <v>2491</v>
      </c>
      <c r="H1861" s="311"/>
      <c r="I1861" s="311"/>
      <c r="J1861" s="311"/>
    </row>
    <row r="1862" spans="1:10" s="8" customFormat="1" ht="13.5" thickBot="1">
      <c r="A1862" s="489"/>
      <c r="B1862" s="526" t="s">
        <v>454</v>
      </c>
      <c r="C1862" s="525" t="s">
        <v>2054</v>
      </c>
      <c r="D1862" s="525" t="s">
        <v>454</v>
      </c>
      <c r="E1862" s="525" t="s">
        <v>2054</v>
      </c>
      <c r="F1862" s="525" t="s">
        <v>454</v>
      </c>
      <c r="G1862" s="531" t="s">
        <v>2054</v>
      </c>
    </row>
    <row r="1863" spans="1:10" s="8" customFormat="1">
      <c r="A1863" s="415" t="s">
        <v>455</v>
      </c>
      <c r="B1863" s="1724">
        <f>'Anlage 2a_Letztverbrauch'!I2862</f>
        <v>357493614</v>
      </c>
      <c r="C1863" s="325">
        <f>'Anlage 2a_Letztverbrauch'!I2884+'Anlage 2a_Letztverbrauch'!C2923</f>
        <v>2967295.0700000003</v>
      </c>
      <c r="D1863" s="325">
        <f>'Anlage 2b_Korrekturen'!D1438</f>
        <v>-607320</v>
      </c>
      <c r="E1863" s="325">
        <f>'Anlage 2b_Korrekturen'!F1438</f>
        <v>-3984.02</v>
      </c>
      <c r="F1863" s="325">
        <f>B1863+D1863</f>
        <v>356886294</v>
      </c>
      <c r="G1863" s="832">
        <f>C1863+E1863</f>
        <v>2963311.0500000003</v>
      </c>
      <c r="H1863" s="16"/>
      <c r="I1863" s="16"/>
      <c r="J1863" s="16"/>
    </row>
    <row r="1864" spans="1:10" s="8" customFormat="1">
      <c r="A1864" s="374" t="s">
        <v>774</v>
      </c>
      <c r="B1864" s="572">
        <f>'Anlage 2a_Letztverbrauch'!I2863</f>
        <v>940409731</v>
      </c>
      <c r="C1864" s="326">
        <f>'Anlage 2a_Letztverbrauch'!I2885+'Anlage 2a_Letztverbrauch'!C2924</f>
        <v>7727728.4390399987</v>
      </c>
      <c r="D1864" s="326">
        <f>'Anlage 2b_Korrekturen'!D1491</f>
        <v>-30712956</v>
      </c>
      <c r="E1864" s="326">
        <f>'Anlage 2b_Korrekturen'!F1491</f>
        <v>-163454.62169</v>
      </c>
      <c r="F1864" s="326">
        <f t="shared" ref="F1864:G1866" si="55">B1864+D1864</f>
        <v>909696775</v>
      </c>
      <c r="G1864" s="833">
        <f t="shared" si="55"/>
        <v>7564273.8173499983</v>
      </c>
      <c r="H1864" s="16"/>
      <c r="I1864" s="16"/>
      <c r="J1864" s="16"/>
    </row>
    <row r="1865" spans="1:10" s="8" customFormat="1">
      <c r="A1865" s="374" t="s">
        <v>1220</v>
      </c>
      <c r="B1865" s="572">
        <f>'Anlage 2a_Letztverbrauch'!I2864</f>
        <v>399644657</v>
      </c>
      <c r="C1865" s="326">
        <f>'Anlage 2a_Letztverbrauch'!I2886+'Anlage 2a_Letztverbrauch'!C2925</f>
        <v>3331016.2199999997</v>
      </c>
      <c r="D1865" s="326">
        <f>'Anlage 2b_Korrekturen'!D1509</f>
        <v>-68776388</v>
      </c>
      <c r="E1865" s="326">
        <f>'Anlage 2b_Korrekturen'!F1509</f>
        <v>-685119.96048000001</v>
      </c>
      <c r="F1865" s="326">
        <f t="shared" si="55"/>
        <v>330868269</v>
      </c>
      <c r="G1865" s="833">
        <f t="shared" si="55"/>
        <v>2645896.2595199998</v>
      </c>
      <c r="H1865" s="16"/>
      <c r="I1865" s="16"/>
      <c r="J1865" s="16"/>
    </row>
    <row r="1866" spans="1:10" s="8" customFormat="1" ht="13.5" thickBot="1">
      <c r="A1866" s="403" t="s">
        <v>1828</v>
      </c>
      <c r="B1866" s="573">
        <f>'Anlage 2a_Letztverbrauch'!I2865</f>
        <v>204333266</v>
      </c>
      <c r="C1866" s="327">
        <f>'Anlage 2a_Letztverbrauch'!I2887+'Anlage 2a_Letztverbrauch'!C2926</f>
        <v>1669830.01296</v>
      </c>
      <c r="D1866" s="327">
        <f>'Anlage 2b_Korrekturen'!D1532</f>
        <v>214916</v>
      </c>
      <c r="E1866" s="327">
        <f>'Anlage 2b_Korrekturen'!F1532</f>
        <v>1409.84896</v>
      </c>
      <c r="F1866" s="327">
        <f t="shared" si="55"/>
        <v>204548182</v>
      </c>
      <c r="G1866" s="834">
        <f t="shared" si="55"/>
        <v>1671239.8619200001</v>
      </c>
      <c r="H1866" s="16"/>
      <c r="I1866" s="16"/>
      <c r="J1866" s="16"/>
    </row>
    <row r="1867" spans="1:10" ht="15.75" thickBot="1">
      <c r="A1867" s="401" t="s">
        <v>2047</v>
      </c>
      <c r="B1867" s="829">
        <f t="shared" ref="B1867:G1867" si="56">SUM(B1863:B1866)</f>
        <v>1901881268</v>
      </c>
      <c r="C1867" s="830">
        <f t="shared" si="56"/>
        <v>15695869.741999997</v>
      </c>
      <c r="D1867" s="830">
        <f t="shared" si="56"/>
        <v>-99881748</v>
      </c>
      <c r="E1867" s="830">
        <f t="shared" si="56"/>
        <v>-851148.75321</v>
      </c>
      <c r="F1867" s="830">
        <f t="shared" si="56"/>
        <v>1801999520</v>
      </c>
      <c r="G1867" s="831">
        <f t="shared" si="56"/>
        <v>14844720.988789998</v>
      </c>
      <c r="H1867" s="313"/>
      <c r="I1867" s="314"/>
      <c r="J1867" s="314"/>
    </row>
    <row r="1868" spans="1:10">
      <c r="A1868" s="308"/>
      <c r="B1868" s="309"/>
    </row>
    <row r="1869" spans="1:10">
      <c r="A1869" s="1191"/>
      <c r="B1869" s="89"/>
      <c r="C1869" s="89"/>
    </row>
    <row r="1870" spans="1:10">
      <c r="A1870" s="10"/>
      <c r="B1870" s="89"/>
      <c r="C1870" s="89"/>
    </row>
    <row r="1871" spans="1:10" ht="29.25" customHeight="1">
      <c r="A1871" s="44"/>
      <c r="B1871" s="1193"/>
      <c r="C1871" s="89"/>
    </row>
    <row r="1872" spans="1:10">
      <c r="A1872" s="44"/>
      <c r="B1872" s="1194"/>
      <c r="C1872" s="89"/>
    </row>
    <row r="1873" spans="1:3">
      <c r="A1873" s="1195"/>
      <c r="B1873" s="1196"/>
      <c r="C1873" s="89"/>
    </row>
    <row r="1874" spans="1:3">
      <c r="A1874" s="1195"/>
      <c r="B1874" s="1196"/>
      <c r="C1874" s="89"/>
    </row>
    <row r="1875" spans="1:3">
      <c r="A1875" s="1195"/>
      <c r="B1875" s="1196"/>
      <c r="C1875" s="89"/>
    </row>
    <row r="1876" spans="1:3">
      <c r="A1876" s="44"/>
      <c r="B1876" s="1196"/>
      <c r="C1876" s="89"/>
    </row>
    <row r="1877" spans="1:3" ht="15">
      <c r="A1877" s="1197"/>
      <c r="B1877" s="1198"/>
      <c r="C1877" s="89"/>
    </row>
    <row r="1878" spans="1:3">
      <c r="A1878" s="308"/>
      <c r="B1878" s="309"/>
    </row>
    <row r="1879" spans="1:3">
      <c r="A1879" s="308"/>
      <c r="B1879" s="309"/>
    </row>
    <row r="1880" spans="1:3">
      <c r="A1880" s="308"/>
      <c r="B1880" s="309"/>
    </row>
    <row r="1881" spans="1:3">
      <c r="A1881" s="308"/>
      <c r="B1881" s="309"/>
    </row>
    <row r="1882" spans="1:3">
      <c r="A1882" s="308"/>
      <c r="B1882" s="309"/>
    </row>
    <row r="1883" spans="1:3">
      <c r="A1883" s="308"/>
      <c r="B1883" s="309"/>
    </row>
    <row r="1884" spans="1:3">
      <c r="A1884" s="308"/>
      <c r="B1884" s="309"/>
    </row>
    <row r="1885" spans="1:3">
      <c r="A1885" s="308"/>
      <c r="B1885" s="309"/>
    </row>
    <row r="1886" spans="1:3">
      <c r="A1886" s="308"/>
      <c r="B1886" s="309"/>
    </row>
    <row r="1887" spans="1:3">
      <c r="A1887" s="308"/>
      <c r="B1887" s="309"/>
    </row>
    <row r="1888" spans="1:3">
      <c r="A1888" s="308"/>
      <c r="B1888" s="309"/>
    </row>
    <row r="1889" spans="1:2">
      <c r="A1889" s="308"/>
      <c r="B1889" s="309"/>
    </row>
    <row r="1890" spans="1:2">
      <c r="A1890" s="308"/>
      <c r="B1890" s="309"/>
    </row>
    <row r="1891" spans="1:2">
      <c r="A1891" s="308"/>
      <c r="B1891" s="309"/>
    </row>
    <row r="1892" spans="1:2">
      <c r="A1892" s="308"/>
      <c r="B1892" s="309"/>
    </row>
    <row r="1893" spans="1:2">
      <c r="A1893" s="308"/>
      <c r="B1893" s="309"/>
    </row>
    <row r="1894" spans="1:2">
      <c r="A1894" s="308"/>
      <c r="B1894" s="309"/>
    </row>
    <row r="1895" spans="1:2">
      <c r="A1895" s="308"/>
      <c r="B1895" s="309"/>
    </row>
    <row r="1896" spans="1:2">
      <c r="A1896" s="308"/>
      <c r="B1896" s="309"/>
    </row>
    <row r="1897" spans="1:2">
      <c r="A1897" s="308"/>
      <c r="B1897" s="309"/>
    </row>
    <row r="1898" spans="1:2">
      <c r="A1898" s="308"/>
      <c r="B1898" s="309"/>
    </row>
    <row r="1899" spans="1:2">
      <c r="A1899" s="308"/>
      <c r="B1899" s="309"/>
    </row>
    <row r="1900" spans="1:2">
      <c r="A1900" s="308"/>
      <c r="B1900" s="309"/>
    </row>
    <row r="1901" spans="1:2">
      <c r="A1901" s="308"/>
      <c r="B1901" s="309"/>
    </row>
    <row r="1902" spans="1:2">
      <c r="A1902" s="308"/>
      <c r="B1902" s="309"/>
    </row>
    <row r="1903" spans="1:2">
      <c r="A1903" s="308"/>
      <c r="B1903" s="309"/>
    </row>
    <row r="1904" spans="1:2">
      <c r="A1904" s="308"/>
      <c r="B1904" s="309"/>
    </row>
    <row r="1905" spans="1:2">
      <c r="A1905" s="308"/>
      <c r="B1905" s="309"/>
    </row>
    <row r="1906" spans="1:2">
      <c r="A1906" s="308"/>
      <c r="B1906" s="309"/>
    </row>
    <row r="1907" spans="1:2">
      <c r="A1907" s="308"/>
      <c r="B1907" s="309"/>
    </row>
    <row r="1908" spans="1:2">
      <c r="A1908" s="308"/>
      <c r="B1908" s="309"/>
    </row>
    <row r="1909" spans="1:2">
      <c r="A1909" s="308"/>
      <c r="B1909" s="309"/>
    </row>
    <row r="1910" spans="1:2">
      <c r="A1910" s="308"/>
      <c r="B1910" s="309"/>
    </row>
    <row r="1911" spans="1:2">
      <c r="A1911" s="308"/>
      <c r="B1911" s="309"/>
    </row>
    <row r="1912" spans="1:2">
      <c r="A1912" s="308"/>
      <c r="B1912" s="309"/>
    </row>
    <row r="1913" spans="1:2">
      <c r="A1913" s="308"/>
      <c r="B1913" s="309"/>
    </row>
    <row r="1914" spans="1:2">
      <c r="A1914" s="308"/>
      <c r="B1914" s="309"/>
    </row>
    <row r="1915" spans="1:2">
      <c r="A1915" s="308"/>
      <c r="B1915" s="309"/>
    </row>
    <row r="1916" spans="1:2">
      <c r="A1916" s="308"/>
      <c r="B1916" s="309"/>
    </row>
    <row r="1917" spans="1:2">
      <c r="A1917" s="308"/>
      <c r="B1917" s="309"/>
    </row>
    <row r="1918" spans="1:2">
      <c r="A1918" s="308"/>
      <c r="B1918" s="309"/>
    </row>
    <row r="1919" spans="1:2">
      <c r="A1919" s="308"/>
      <c r="B1919" s="309"/>
    </row>
    <row r="1920" spans="1:2">
      <c r="A1920" s="308"/>
      <c r="B1920" s="309"/>
    </row>
    <row r="1921" spans="1:2">
      <c r="A1921" s="308"/>
      <c r="B1921" s="309"/>
    </row>
    <row r="1922" spans="1:2">
      <c r="A1922" s="308"/>
      <c r="B1922" s="309"/>
    </row>
    <row r="1923" spans="1:2">
      <c r="A1923" s="308"/>
      <c r="B1923" s="309"/>
    </row>
    <row r="1924" spans="1:2">
      <c r="A1924" s="308"/>
      <c r="B1924" s="309"/>
    </row>
    <row r="1925" spans="1:2">
      <c r="A1925" s="308"/>
      <c r="B1925" s="309"/>
    </row>
    <row r="1926" spans="1:2">
      <c r="A1926" s="308"/>
      <c r="B1926" s="309"/>
    </row>
    <row r="1927" spans="1:2">
      <c r="A1927" s="308"/>
      <c r="B1927" s="309"/>
    </row>
    <row r="1928" spans="1:2">
      <c r="A1928" s="308"/>
      <c r="B1928" s="309"/>
    </row>
    <row r="1929" spans="1:2">
      <c r="A1929" s="308"/>
      <c r="B1929" s="309"/>
    </row>
    <row r="1930" spans="1:2">
      <c r="A1930" s="308"/>
      <c r="B1930" s="309"/>
    </row>
    <row r="1931" spans="1:2">
      <c r="A1931" s="308"/>
      <c r="B1931" s="309"/>
    </row>
    <row r="1932" spans="1:2">
      <c r="A1932" s="308"/>
      <c r="B1932" s="309"/>
    </row>
    <row r="1933" spans="1:2">
      <c r="A1933" s="308"/>
      <c r="B1933" s="309"/>
    </row>
    <row r="1934" spans="1:2">
      <c r="A1934" s="308"/>
      <c r="B1934" s="309"/>
    </row>
    <row r="1935" spans="1:2">
      <c r="A1935" s="308"/>
      <c r="B1935" s="309"/>
    </row>
    <row r="1936" spans="1:2">
      <c r="A1936" s="308"/>
      <c r="B1936" s="309"/>
    </row>
    <row r="1937" spans="1:2">
      <c r="A1937" s="308"/>
      <c r="B1937" s="309"/>
    </row>
    <row r="1938" spans="1:2">
      <c r="A1938" s="308"/>
      <c r="B1938" s="309"/>
    </row>
    <row r="1939" spans="1:2">
      <c r="A1939" s="308"/>
      <c r="B1939" s="309"/>
    </row>
    <row r="1940" spans="1:2">
      <c r="A1940" s="308"/>
      <c r="B1940" s="309"/>
    </row>
    <row r="1941" spans="1:2">
      <c r="A1941" s="308"/>
      <c r="B1941" s="309"/>
    </row>
    <row r="1942" spans="1:2">
      <c r="A1942" s="308"/>
      <c r="B1942" s="309"/>
    </row>
    <row r="1943" spans="1:2">
      <c r="A1943" s="308"/>
      <c r="B1943" s="309"/>
    </row>
    <row r="1944" spans="1:2">
      <c r="A1944" s="308"/>
      <c r="B1944" s="309"/>
    </row>
    <row r="1945" spans="1:2">
      <c r="A1945" s="308"/>
      <c r="B1945" s="309"/>
    </row>
    <row r="1946" spans="1:2">
      <c r="A1946" s="308"/>
      <c r="B1946" s="309"/>
    </row>
    <row r="1947" spans="1:2">
      <c r="A1947" s="308"/>
      <c r="B1947" s="309"/>
    </row>
    <row r="1948" spans="1:2">
      <c r="A1948" s="308"/>
      <c r="B1948" s="309"/>
    </row>
    <row r="1949" spans="1:2">
      <c r="A1949" s="308"/>
      <c r="B1949" s="309"/>
    </row>
    <row r="1950" spans="1:2">
      <c r="A1950" s="308"/>
      <c r="B1950" s="309"/>
    </row>
    <row r="1951" spans="1:2">
      <c r="A1951" s="308"/>
      <c r="B1951" s="309"/>
    </row>
    <row r="1952" spans="1:2">
      <c r="A1952" s="308"/>
      <c r="B1952" s="309"/>
    </row>
    <row r="1953" spans="1:2">
      <c r="A1953" s="308"/>
      <c r="B1953" s="309"/>
    </row>
    <row r="1954" spans="1:2">
      <c r="A1954" s="308"/>
      <c r="B1954" s="309"/>
    </row>
    <row r="1955" spans="1:2">
      <c r="A1955" s="308"/>
      <c r="B1955" s="309"/>
    </row>
    <row r="1956" spans="1:2">
      <c r="A1956" s="308"/>
      <c r="B1956" s="309"/>
    </row>
    <row r="1957" spans="1:2">
      <c r="A1957" s="308"/>
      <c r="B1957" s="309"/>
    </row>
    <row r="1958" spans="1:2">
      <c r="A1958" s="308"/>
      <c r="B1958" s="309"/>
    </row>
    <row r="1959" spans="1:2">
      <c r="A1959" s="308"/>
      <c r="B1959" s="309"/>
    </row>
    <row r="1960" spans="1:2">
      <c r="A1960" s="308"/>
      <c r="B1960" s="309"/>
    </row>
    <row r="1961" spans="1:2">
      <c r="A1961" s="308"/>
      <c r="B1961" s="309"/>
    </row>
    <row r="1962" spans="1:2">
      <c r="A1962" s="308"/>
      <c r="B1962" s="309"/>
    </row>
    <row r="1963" spans="1:2">
      <c r="A1963" s="308"/>
      <c r="B1963" s="309"/>
    </row>
    <row r="1964" spans="1:2">
      <c r="A1964" s="308"/>
      <c r="B1964" s="309"/>
    </row>
    <row r="1965" spans="1:2">
      <c r="A1965" s="308"/>
      <c r="B1965" s="309"/>
    </row>
    <row r="1966" spans="1:2">
      <c r="A1966" s="308"/>
      <c r="B1966" s="309"/>
    </row>
    <row r="1967" spans="1:2">
      <c r="A1967" s="308"/>
      <c r="B1967" s="309"/>
    </row>
    <row r="1968" spans="1:2">
      <c r="A1968" s="308"/>
      <c r="B1968" s="309"/>
    </row>
    <row r="1969" spans="1:2">
      <c r="A1969" s="308"/>
      <c r="B1969" s="309"/>
    </row>
    <row r="1970" spans="1:2">
      <c r="A1970" s="308"/>
      <c r="B1970" s="309"/>
    </row>
    <row r="1971" spans="1:2">
      <c r="A1971" s="308"/>
      <c r="B1971" s="309"/>
    </row>
    <row r="1972" spans="1:2">
      <c r="A1972" s="308"/>
      <c r="B1972" s="309"/>
    </row>
    <row r="1973" spans="1:2">
      <c r="A1973" s="308"/>
      <c r="B1973" s="309"/>
    </row>
    <row r="1974" spans="1:2">
      <c r="A1974" s="308"/>
      <c r="B1974" s="309"/>
    </row>
    <row r="1975" spans="1:2">
      <c r="A1975" s="308"/>
      <c r="B1975" s="309"/>
    </row>
    <row r="1976" spans="1:2">
      <c r="A1976" s="308"/>
      <c r="B1976" s="309"/>
    </row>
    <row r="1977" spans="1:2">
      <c r="A1977" s="308"/>
      <c r="B1977" s="309"/>
    </row>
    <row r="1978" spans="1:2">
      <c r="A1978" s="308"/>
      <c r="B1978" s="309"/>
    </row>
    <row r="1979" spans="1:2">
      <c r="A1979" s="308"/>
      <c r="B1979" s="309"/>
    </row>
    <row r="1980" spans="1:2">
      <c r="A1980" s="308"/>
      <c r="B1980" s="309"/>
    </row>
    <row r="1981" spans="1:2">
      <c r="A1981" s="308"/>
      <c r="B1981" s="309"/>
    </row>
    <row r="1982" spans="1:2">
      <c r="A1982" s="308"/>
      <c r="B1982" s="309"/>
    </row>
    <row r="1983" spans="1:2">
      <c r="A1983" s="308"/>
      <c r="B1983" s="309"/>
    </row>
    <row r="1984" spans="1:2">
      <c r="A1984" s="308"/>
      <c r="B1984" s="309"/>
    </row>
    <row r="1985" spans="1:2">
      <c r="A1985" s="308"/>
      <c r="B1985" s="309"/>
    </row>
    <row r="1986" spans="1:2">
      <c r="A1986" s="308"/>
      <c r="B1986" s="309"/>
    </row>
    <row r="1987" spans="1:2">
      <c r="A1987" s="308"/>
      <c r="B1987" s="309"/>
    </row>
    <row r="1988" spans="1:2">
      <c r="A1988" s="308"/>
      <c r="B1988" s="309"/>
    </row>
    <row r="1989" spans="1:2">
      <c r="A1989" s="308"/>
      <c r="B1989" s="309"/>
    </row>
    <row r="1990" spans="1:2">
      <c r="A1990" s="308"/>
      <c r="B1990" s="309"/>
    </row>
    <row r="1991" spans="1:2">
      <c r="A1991" s="308"/>
      <c r="B1991" s="309"/>
    </row>
    <row r="1992" spans="1:2">
      <c r="A1992" s="308"/>
      <c r="B1992" s="309"/>
    </row>
    <row r="1993" spans="1:2">
      <c r="A1993" s="308"/>
      <c r="B1993" s="309"/>
    </row>
    <row r="1994" spans="1:2">
      <c r="A1994" s="308"/>
      <c r="B1994" s="309"/>
    </row>
    <row r="1995" spans="1:2">
      <c r="A1995" s="308"/>
      <c r="B1995" s="309"/>
    </row>
    <row r="1996" spans="1:2">
      <c r="A1996" s="308"/>
      <c r="B1996" s="309"/>
    </row>
    <row r="1997" spans="1:2">
      <c r="A1997" s="308"/>
      <c r="B1997" s="309"/>
    </row>
    <row r="1998" spans="1:2">
      <c r="A1998" s="308"/>
      <c r="B1998" s="309"/>
    </row>
    <row r="1999" spans="1:2">
      <c r="A1999" s="308"/>
      <c r="B1999" s="309"/>
    </row>
    <row r="2000" spans="1:2">
      <c r="A2000" s="308"/>
      <c r="B2000" s="309"/>
    </row>
    <row r="2001" spans="1:2">
      <c r="A2001" s="308"/>
      <c r="B2001" s="309"/>
    </row>
    <row r="2002" spans="1:2">
      <c r="A2002" s="308"/>
      <c r="B2002" s="309"/>
    </row>
    <row r="2003" spans="1:2">
      <c r="A2003" s="308"/>
      <c r="B2003" s="309"/>
    </row>
    <row r="2004" spans="1:2">
      <c r="A2004" s="308"/>
      <c r="B2004" s="309"/>
    </row>
    <row r="2005" spans="1:2">
      <c r="A2005" s="308"/>
      <c r="B2005" s="309"/>
    </row>
    <row r="2006" spans="1:2">
      <c r="A2006" s="308"/>
      <c r="B2006" s="309"/>
    </row>
    <row r="2007" spans="1:2">
      <c r="A2007" s="308"/>
      <c r="B2007" s="309"/>
    </row>
    <row r="2008" spans="1:2">
      <c r="A2008" s="308"/>
      <c r="B2008" s="309"/>
    </row>
    <row r="2009" spans="1:2">
      <c r="A2009" s="308"/>
      <c r="B2009" s="309"/>
    </row>
    <row r="2010" spans="1:2">
      <c r="A2010" s="308"/>
      <c r="B2010" s="309"/>
    </row>
    <row r="2011" spans="1:2">
      <c r="A2011" s="308"/>
      <c r="B2011" s="309"/>
    </row>
    <row r="2012" spans="1:2">
      <c r="A2012" s="308"/>
      <c r="B2012" s="309"/>
    </row>
    <row r="2013" spans="1:2">
      <c r="A2013" s="308"/>
      <c r="B2013" s="309"/>
    </row>
    <row r="2014" spans="1:2">
      <c r="A2014" s="308"/>
      <c r="B2014" s="309"/>
    </row>
    <row r="2015" spans="1:2">
      <c r="A2015" s="308"/>
      <c r="B2015" s="309"/>
    </row>
    <row r="2016" spans="1:2">
      <c r="A2016" s="308"/>
      <c r="B2016" s="309"/>
    </row>
    <row r="2017" spans="1:2">
      <c r="A2017" s="308"/>
      <c r="B2017" s="309"/>
    </row>
    <row r="2018" spans="1:2">
      <c r="A2018" s="308"/>
      <c r="B2018" s="309"/>
    </row>
    <row r="2019" spans="1:2">
      <c r="A2019" s="308"/>
      <c r="B2019" s="309"/>
    </row>
    <row r="2020" spans="1:2">
      <c r="A2020" s="308"/>
      <c r="B2020" s="309"/>
    </row>
    <row r="2021" spans="1:2">
      <c r="A2021" s="308"/>
      <c r="B2021" s="309"/>
    </row>
    <row r="2022" spans="1:2">
      <c r="A2022" s="308"/>
      <c r="B2022" s="309"/>
    </row>
    <row r="2023" spans="1:2">
      <c r="A2023" s="308"/>
      <c r="B2023" s="309"/>
    </row>
    <row r="2024" spans="1:2">
      <c r="A2024" s="308"/>
      <c r="B2024" s="309"/>
    </row>
    <row r="2025" spans="1:2">
      <c r="A2025" s="308"/>
      <c r="B2025" s="309"/>
    </row>
    <row r="2026" spans="1:2">
      <c r="A2026" s="308"/>
      <c r="B2026" s="309"/>
    </row>
    <row r="2027" spans="1:2">
      <c r="A2027" s="308"/>
      <c r="B2027" s="309"/>
    </row>
    <row r="2028" spans="1:2">
      <c r="A2028" s="308"/>
      <c r="B2028" s="309"/>
    </row>
    <row r="2029" spans="1:2">
      <c r="A2029" s="308"/>
      <c r="B2029" s="309"/>
    </row>
    <row r="2030" spans="1:2">
      <c r="A2030" s="308"/>
      <c r="B2030" s="309"/>
    </row>
    <row r="2031" spans="1:2">
      <c r="A2031" s="308"/>
      <c r="B2031" s="309"/>
    </row>
    <row r="2032" spans="1:2">
      <c r="A2032" s="308"/>
      <c r="B2032" s="309"/>
    </row>
    <row r="2033" spans="1:2">
      <c r="A2033" s="308"/>
      <c r="B2033" s="309"/>
    </row>
    <row r="2034" spans="1:2">
      <c r="A2034" s="308"/>
      <c r="B2034" s="309"/>
    </row>
    <row r="2035" spans="1:2">
      <c r="A2035" s="308"/>
      <c r="B2035" s="309"/>
    </row>
    <row r="2036" spans="1:2">
      <c r="A2036" s="308"/>
      <c r="B2036" s="309"/>
    </row>
    <row r="2037" spans="1:2">
      <c r="A2037" s="308"/>
      <c r="B2037" s="309"/>
    </row>
    <row r="2038" spans="1:2">
      <c r="A2038" s="308"/>
      <c r="B2038" s="309"/>
    </row>
    <row r="2039" spans="1:2">
      <c r="A2039" s="308"/>
      <c r="B2039" s="309"/>
    </row>
    <row r="2040" spans="1:2">
      <c r="A2040" s="308"/>
      <c r="B2040" s="309"/>
    </row>
    <row r="2041" spans="1:2">
      <c r="A2041" s="308"/>
      <c r="B2041" s="309"/>
    </row>
    <row r="2042" spans="1:2">
      <c r="A2042" s="308"/>
      <c r="B2042" s="309"/>
    </row>
    <row r="2043" spans="1:2">
      <c r="A2043" s="308"/>
      <c r="B2043" s="309"/>
    </row>
    <row r="2044" spans="1:2">
      <c r="A2044" s="308"/>
      <c r="B2044" s="309"/>
    </row>
    <row r="2045" spans="1:2">
      <c r="A2045" s="308"/>
      <c r="B2045" s="309"/>
    </row>
    <row r="2046" spans="1:2">
      <c r="A2046" s="308"/>
      <c r="B2046" s="309"/>
    </row>
    <row r="2047" spans="1:2">
      <c r="A2047" s="308"/>
      <c r="B2047" s="309"/>
    </row>
    <row r="2048" spans="1:2">
      <c r="A2048" s="308"/>
      <c r="B2048" s="309"/>
    </row>
    <row r="2049" spans="1:2">
      <c r="A2049" s="308"/>
      <c r="B2049" s="309"/>
    </row>
    <row r="2050" spans="1:2">
      <c r="A2050" s="308"/>
      <c r="B2050" s="309"/>
    </row>
    <row r="2051" spans="1:2">
      <c r="A2051" s="308"/>
      <c r="B2051" s="309"/>
    </row>
    <row r="2052" spans="1:2">
      <c r="A2052" s="308"/>
      <c r="B2052" s="309"/>
    </row>
    <row r="2053" spans="1:2">
      <c r="A2053" s="308"/>
      <c r="B2053" s="309"/>
    </row>
    <row r="2054" spans="1:2">
      <c r="A2054" s="308"/>
      <c r="B2054" s="309"/>
    </row>
    <row r="2055" spans="1:2">
      <c r="A2055" s="308"/>
      <c r="B2055" s="309"/>
    </row>
    <row r="2056" spans="1:2">
      <c r="A2056" s="308"/>
      <c r="B2056" s="309"/>
    </row>
    <row r="2057" spans="1:2">
      <c r="A2057" s="308"/>
      <c r="B2057" s="309"/>
    </row>
    <row r="2058" spans="1:2">
      <c r="A2058" s="308"/>
      <c r="B2058" s="309"/>
    </row>
    <row r="2059" spans="1:2">
      <c r="A2059" s="308"/>
      <c r="B2059" s="309"/>
    </row>
    <row r="2060" spans="1:2">
      <c r="A2060" s="308"/>
      <c r="B2060" s="309"/>
    </row>
    <row r="2061" spans="1:2">
      <c r="A2061" s="308"/>
      <c r="B2061" s="309"/>
    </row>
    <row r="2062" spans="1:2">
      <c r="A2062" s="308"/>
      <c r="B2062" s="309"/>
    </row>
    <row r="2063" spans="1:2">
      <c r="A2063" s="308"/>
      <c r="B2063" s="309"/>
    </row>
    <row r="2064" spans="1:2">
      <c r="A2064" s="308"/>
      <c r="B2064" s="309"/>
    </row>
    <row r="2065" spans="1:2">
      <c r="A2065" s="308"/>
      <c r="B2065" s="309"/>
    </row>
    <row r="2066" spans="1:2">
      <c r="A2066" s="308"/>
      <c r="B2066" s="309"/>
    </row>
    <row r="2067" spans="1:2">
      <c r="A2067" s="308"/>
      <c r="B2067" s="309"/>
    </row>
    <row r="2068" spans="1:2">
      <c r="A2068" s="308"/>
      <c r="B2068" s="309"/>
    </row>
    <row r="2069" spans="1:2">
      <c r="A2069" s="308"/>
      <c r="B2069" s="309"/>
    </row>
    <row r="2070" spans="1:2">
      <c r="A2070" s="308"/>
      <c r="B2070" s="309"/>
    </row>
    <row r="2071" spans="1:2">
      <c r="A2071" s="308"/>
      <c r="B2071" s="309"/>
    </row>
    <row r="2072" spans="1:2">
      <c r="A2072" s="308"/>
      <c r="B2072" s="309"/>
    </row>
    <row r="2073" spans="1:2">
      <c r="A2073" s="308"/>
      <c r="B2073" s="309"/>
    </row>
    <row r="2074" spans="1:2">
      <c r="A2074" s="308"/>
      <c r="B2074" s="309"/>
    </row>
    <row r="2075" spans="1:2">
      <c r="A2075" s="308"/>
      <c r="B2075" s="309"/>
    </row>
    <row r="2076" spans="1:2">
      <c r="A2076" s="308"/>
      <c r="B2076" s="309"/>
    </row>
    <row r="2077" spans="1:2">
      <c r="A2077" s="308"/>
      <c r="B2077" s="309"/>
    </row>
    <row r="2078" spans="1:2">
      <c r="A2078" s="308"/>
      <c r="B2078" s="309"/>
    </row>
    <row r="2079" spans="1:2">
      <c r="A2079" s="308"/>
      <c r="B2079" s="309"/>
    </row>
    <row r="2080" spans="1:2">
      <c r="A2080" s="308"/>
      <c r="B2080" s="309"/>
    </row>
    <row r="2081" spans="1:2">
      <c r="A2081" s="308"/>
      <c r="B2081" s="309"/>
    </row>
    <row r="2082" spans="1:2">
      <c r="A2082" s="308"/>
      <c r="B2082" s="309"/>
    </row>
    <row r="2083" spans="1:2">
      <c r="A2083" s="308"/>
      <c r="B2083" s="309"/>
    </row>
    <row r="2084" spans="1:2">
      <c r="A2084" s="308"/>
      <c r="B2084" s="309"/>
    </row>
    <row r="2085" spans="1:2">
      <c r="A2085" s="308"/>
      <c r="B2085" s="309"/>
    </row>
    <row r="2086" spans="1:2">
      <c r="A2086" s="308"/>
      <c r="B2086" s="309"/>
    </row>
    <row r="2087" spans="1:2">
      <c r="A2087" s="308"/>
      <c r="B2087" s="309"/>
    </row>
    <row r="2088" spans="1:2">
      <c r="A2088" s="308"/>
      <c r="B2088" s="309"/>
    </row>
    <row r="2089" spans="1:2">
      <c r="A2089" s="308"/>
      <c r="B2089" s="309"/>
    </row>
    <row r="2090" spans="1:2">
      <c r="A2090" s="308"/>
      <c r="B2090" s="309"/>
    </row>
    <row r="2091" spans="1:2">
      <c r="A2091" s="308"/>
      <c r="B2091" s="309"/>
    </row>
    <row r="2092" spans="1:2">
      <c r="A2092" s="308"/>
      <c r="B2092" s="309"/>
    </row>
    <row r="2093" spans="1:2">
      <c r="A2093" s="308"/>
      <c r="B2093" s="309"/>
    </row>
    <row r="2094" spans="1:2">
      <c r="A2094" s="308"/>
      <c r="B2094" s="309"/>
    </row>
    <row r="2095" spans="1:2">
      <c r="A2095" s="308"/>
      <c r="B2095" s="309"/>
    </row>
    <row r="2096" spans="1:2">
      <c r="A2096" s="308"/>
      <c r="B2096" s="309"/>
    </row>
    <row r="2097" spans="1:2">
      <c r="A2097" s="308"/>
      <c r="B2097" s="309"/>
    </row>
    <row r="2098" spans="1:2">
      <c r="A2098" s="308"/>
      <c r="B2098" s="309"/>
    </row>
    <row r="2099" spans="1:2">
      <c r="A2099" s="308"/>
      <c r="B2099" s="309"/>
    </row>
    <row r="2100" spans="1:2">
      <c r="A2100" s="308"/>
      <c r="B2100" s="309"/>
    </row>
    <row r="2101" spans="1:2">
      <c r="A2101" s="308"/>
      <c r="B2101" s="309"/>
    </row>
    <row r="2102" spans="1:2">
      <c r="A2102" s="308"/>
      <c r="B2102" s="309"/>
    </row>
    <row r="2103" spans="1:2">
      <c r="A2103" s="308"/>
      <c r="B2103" s="309"/>
    </row>
    <row r="2104" spans="1:2">
      <c r="A2104" s="308"/>
      <c r="B2104" s="309"/>
    </row>
    <row r="2105" spans="1:2">
      <c r="A2105" s="308"/>
      <c r="B2105" s="309"/>
    </row>
    <row r="2106" spans="1:2">
      <c r="A2106" s="308"/>
      <c r="B2106" s="309"/>
    </row>
    <row r="2107" spans="1:2">
      <c r="A2107" s="308"/>
      <c r="B2107" s="309"/>
    </row>
    <row r="2108" spans="1:2">
      <c r="A2108" s="308"/>
      <c r="B2108" s="309"/>
    </row>
    <row r="2109" spans="1:2">
      <c r="A2109" s="308"/>
      <c r="B2109" s="309"/>
    </row>
    <row r="2110" spans="1:2">
      <c r="A2110" s="308"/>
      <c r="B2110" s="309"/>
    </row>
    <row r="2111" spans="1:2">
      <c r="A2111" s="308"/>
      <c r="B2111" s="309"/>
    </row>
    <row r="2112" spans="1:2">
      <c r="A2112" s="308"/>
      <c r="B2112" s="309"/>
    </row>
    <row r="2113" spans="1:2">
      <c r="A2113" s="308"/>
      <c r="B2113" s="309"/>
    </row>
    <row r="2114" spans="1:2">
      <c r="A2114" s="308"/>
      <c r="B2114" s="309"/>
    </row>
    <row r="2115" spans="1:2">
      <c r="A2115" s="308"/>
      <c r="B2115" s="309"/>
    </row>
    <row r="2116" spans="1:2">
      <c r="A2116" s="308"/>
      <c r="B2116" s="309"/>
    </row>
    <row r="2117" spans="1:2">
      <c r="A2117" s="308"/>
      <c r="B2117" s="309"/>
    </row>
    <row r="2118" spans="1:2">
      <c r="A2118" s="308"/>
      <c r="B2118" s="309"/>
    </row>
    <row r="2119" spans="1:2">
      <c r="A2119" s="308"/>
      <c r="B2119" s="309"/>
    </row>
    <row r="2120" spans="1:2">
      <c r="A2120" s="308"/>
      <c r="B2120" s="309"/>
    </row>
    <row r="2121" spans="1:2">
      <c r="A2121" s="308"/>
      <c r="B2121" s="309"/>
    </row>
    <row r="2122" spans="1:2">
      <c r="A2122" s="308"/>
      <c r="B2122" s="309"/>
    </row>
    <row r="2123" spans="1:2">
      <c r="A2123" s="308"/>
      <c r="B2123" s="309"/>
    </row>
    <row r="2124" spans="1:2">
      <c r="A2124" s="308"/>
      <c r="B2124" s="309"/>
    </row>
    <row r="2125" spans="1:2">
      <c r="A2125" s="308"/>
      <c r="B2125" s="309"/>
    </row>
    <row r="2126" spans="1:2">
      <c r="A2126" s="308"/>
      <c r="B2126" s="309"/>
    </row>
    <row r="2127" spans="1:2">
      <c r="A2127" s="308"/>
      <c r="B2127" s="309"/>
    </row>
    <row r="2128" spans="1:2">
      <c r="A2128" s="308"/>
      <c r="B2128" s="309"/>
    </row>
    <row r="2129" spans="1:2">
      <c r="A2129" s="308"/>
      <c r="B2129" s="309"/>
    </row>
    <row r="2130" spans="1:2">
      <c r="A2130" s="308"/>
      <c r="B2130" s="309"/>
    </row>
    <row r="2131" spans="1:2">
      <c r="A2131" s="308"/>
      <c r="B2131" s="309"/>
    </row>
    <row r="2132" spans="1:2">
      <c r="A2132" s="308"/>
      <c r="B2132" s="309"/>
    </row>
    <row r="2133" spans="1:2">
      <c r="A2133" s="308"/>
      <c r="B2133" s="309"/>
    </row>
    <row r="2134" spans="1:2">
      <c r="A2134" s="308"/>
      <c r="B2134" s="309"/>
    </row>
    <row r="2135" spans="1:2">
      <c r="A2135" s="308"/>
      <c r="B2135" s="309"/>
    </row>
    <row r="2136" spans="1:2">
      <c r="A2136" s="308"/>
      <c r="B2136" s="309"/>
    </row>
    <row r="2137" spans="1:2">
      <c r="A2137" s="308"/>
      <c r="B2137" s="309"/>
    </row>
    <row r="2138" spans="1:2">
      <c r="A2138" s="308"/>
      <c r="B2138" s="309"/>
    </row>
    <row r="2139" spans="1:2">
      <c r="A2139" s="308"/>
      <c r="B2139" s="309"/>
    </row>
    <row r="2140" spans="1:2">
      <c r="A2140" s="308"/>
      <c r="B2140" s="309"/>
    </row>
    <row r="2141" spans="1:2">
      <c r="A2141" s="308"/>
      <c r="B2141" s="309"/>
    </row>
    <row r="2142" spans="1:2">
      <c r="A2142" s="308"/>
      <c r="B2142" s="309"/>
    </row>
    <row r="2143" spans="1:2">
      <c r="A2143" s="308"/>
      <c r="B2143" s="309"/>
    </row>
    <row r="2144" spans="1:2">
      <c r="A2144" s="308"/>
      <c r="B2144" s="309"/>
    </row>
    <row r="2145" spans="1:2">
      <c r="A2145" s="308"/>
      <c r="B2145" s="309"/>
    </row>
    <row r="2146" spans="1:2">
      <c r="A2146" s="308"/>
      <c r="B2146" s="309"/>
    </row>
    <row r="2147" spans="1:2">
      <c r="A2147" s="308"/>
      <c r="B2147" s="309"/>
    </row>
    <row r="2148" spans="1:2">
      <c r="A2148" s="308"/>
      <c r="B2148" s="309"/>
    </row>
    <row r="2149" spans="1:2">
      <c r="A2149" s="308"/>
      <c r="B2149" s="309"/>
    </row>
    <row r="2150" spans="1:2">
      <c r="A2150" s="308"/>
      <c r="B2150" s="309"/>
    </row>
    <row r="2151" spans="1:2">
      <c r="A2151" s="308"/>
      <c r="B2151" s="309"/>
    </row>
    <row r="2152" spans="1:2">
      <c r="A2152" s="308"/>
      <c r="B2152" s="309"/>
    </row>
    <row r="2153" spans="1:2">
      <c r="A2153" s="308"/>
      <c r="B2153" s="309"/>
    </row>
    <row r="2154" spans="1:2">
      <c r="A2154" s="308"/>
      <c r="B2154" s="309"/>
    </row>
    <row r="2155" spans="1:2">
      <c r="A2155" s="308"/>
      <c r="B2155" s="309"/>
    </row>
    <row r="2156" spans="1:2">
      <c r="A2156" s="308"/>
      <c r="B2156" s="309"/>
    </row>
    <row r="2157" spans="1:2">
      <c r="A2157" s="308"/>
      <c r="B2157" s="309"/>
    </row>
    <row r="2158" spans="1:2">
      <c r="A2158" s="308"/>
      <c r="B2158" s="309"/>
    </row>
    <row r="2159" spans="1:2">
      <c r="A2159" s="308"/>
      <c r="B2159" s="309"/>
    </row>
    <row r="2160" spans="1:2">
      <c r="A2160" s="308"/>
      <c r="B2160" s="309"/>
    </row>
    <row r="2161" spans="1:2">
      <c r="A2161" s="308"/>
      <c r="B2161" s="309"/>
    </row>
    <row r="2162" spans="1:2">
      <c r="A2162" s="308"/>
      <c r="B2162" s="309"/>
    </row>
    <row r="2163" spans="1:2">
      <c r="A2163" s="308"/>
      <c r="B2163" s="309"/>
    </row>
    <row r="2164" spans="1:2">
      <c r="A2164" s="308"/>
      <c r="B2164" s="309"/>
    </row>
    <row r="2165" spans="1:2">
      <c r="A2165" s="308"/>
      <c r="B2165" s="309"/>
    </row>
    <row r="2166" spans="1:2">
      <c r="A2166" s="308"/>
      <c r="B2166" s="309"/>
    </row>
    <row r="2167" spans="1:2">
      <c r="A2167" s="308"/>
      <c r="B2167" s="309"/>
    </row>
    <row r="2168" spans="1:2">
      <c r="A2168" s="308"/>
      <c r="B2168" s="309"/>
    </row>
    <row r="2169" spans="1:2">
      <c r="A2169" s="308"/>
      <c r="B2169" s="309"/>
    </row>
    <row r="2170" spans="1:2">
      <c r="A2170" s="308"/>
      <c r="B2170" s="309"/>
    </row>
    <row r="2171" spans="1:2">
      <c r="A2171" s="308"/>
      <c r="B2171" s="309"/>
    </row>
    <row r="2172" spans="1:2">
      <c r="A2172" s="308"/>
      <c r="B2172" s="309"/>
    </row>
    <row r="2173" spans="1:2">
      <c r="A2173" s="308"/>
      <c r="B2173" s="309"/>
    </row>
    <row r="2174" spans="1:2">
      <c r="A2174" s="308"/>
      <c r="B2174" s="309"/>
    </row>
    <row r="2175" spans="1:2">
      <c r="A2175" s="308"/>
      <c r="B2175" s="309"/>
    </row>
    <row r="2176" spans="1:2">
      <c r="A2176" s="308"/>
      <c r="B2176" s="309"/>
    </row>
    <row r="2177" spans="1:2">
      <c r="A2177" s="308"/>
      <c r="B2177" s="309"/>
    </row>
    <row r="2178" spans="1:2">
      <c r="A2178" s="308"/>
      <c r="B2178" s="309"/>
    </row>
    <row r="2179" spans="1:2">
      <c r="A2179" s="308"/>
      <c r="B2179" s="309"/>
    </row>
    <row r="2180" spans="1:2">
      <c r="A2180" s="308"/>
      <c r="B2180" s="309"/>
    </row>
    <row r="2181" spans="1:2">
      <c r="A2181" s="308"/>
      <c r="B2181" s="309"/>
    </row>
    <row r="2182" spans="1:2">
      <c r="A2182" s="308"/>
      <c r="B2182" s="309"/>
    </row>
    <row r="2183" spans="1:2">
      <c r="A2183" s="308"/>
      <c r="B2183" s="309"/>
    </row>
    <row r="2184" spans="1:2">
      <c r="A2184" s="308"/>
      <c r="B2184" s="309"/>
    </row>
    <row r="2185" spans="1:2">
      <c r="A2185" s="308"/>
      <c r="B2185" s="309"/>
    </row>
    <row r="2186" spans="1:2">
      <c r="A2186" s="308"/>
      <c r="B2186" s="309"/>
    </row>
    <row r="2187" spans="1:2">
      <c r="A2187" s="308"/>
      <c r="B2187" s="309"/>
    </row>
    <row r="2188" spans="1:2">
      <c r="A2188" s="308"/>
      <c r="B2188" s="309"/>
    </row>
    <row r="2189" spans="1:2">
      <c r="A2189" s="308"/>
      <c r="B2189" s="309"/>
    </row>
    <row r="2190" spans="1:2">
      <c r="A2190" s="308"/>
      <c r="B2190" s="309"/>
    </row>
    <row r="2191" spans="1:2">
      <c r="A2191" s="308"/>
      <c r="B2191" s="309"/>
    </row>
    <row r="2192" spans="1:2">
      <c r="A2192" s="308"/>
      <c r="B2192" s="309"/>
    </row>
    <row r="2193" spans="1:2">
      <c r="A2193" s="308"/>
      <c r="B2193" s="309"/>
    </row>
    <row r="2194" spans="1:2">
      <c r="A2194" s="308"/>
      <c r="B2194" s="309"/>
    </row>
    <row r="2195" spans="1:2">
      <c r="A2195" s="308"/>
      <c r="B2195" s="309"/>
    </row>
    <row r="2196" spans="1:2">
      <c r="A2196" s="308"/>
      <c r="B2196" s="309"/>
    </row>
    <row r="2197" spans="1:2">
      <c r="A2197" s="308"/>
      <c r="B2197" s="309"/>
    </row>
    <row r="2198" spans="1:2">
      <c r="A2198" s="308"/>
      <c r="B2198" s="309"/>
    </row>
    <row r="2199" spans="1:2">
      <c r="A2199" s="308"/>
      <c r="B2199" s="309"/>
    </row>
    <row r="2200" spans="1:2">
      <c r="A2200" s="308"/>
      <c r="B2200" s="309"/>
    </row>
    <row r="2201" spans="1:2">
      <c r="A2201" s="308"/>
      <c r="B2201" s="309"/>
    </row>
    <row r="2202" spans="1:2">
      <c r="A2202" s="308"/>
      <c r="B2202" s="309"/>
    </row>
    <row r="2203" spans="1:2">
      <c r="A2203" s="308"/>
      <c r="B2203" s="309"/>
    </row>
    <row r="2204" spans="1:2">
      <c r="A2204" s="308"/>
      <c r="B2204" s="309"/>
    </row>
    <row r="2205" spans="1:2">
      <c r="A2205" s="308"/>
      <c r="B2205" s="309"/>
    </row>
    <row r="2206" spans="1:2">
      <c r="A2206" s="308"/>
      <c r="B2206" s="309"/>
    </row>
    <row r="2207" spans="1:2">
      <c r="A2207" s="308"/>
      <c r="B2207" s="309"/>
    </row>
    <row r="2208" spans="1:2">
      <c r="A2208" s="308"/>
      <c r="B2208" s="309"/>
    </row>
    <row r="2209" spans="1:2">
      <c r="A2209" s="308"/>
      <c r="B2209" s="309"/>
    </row>
    <row r="2210" spans="1:2">
      <c r="A2210" s="308"/>
      <c r="B2210" s="309"/>
    </row>
    <row r="2211" spans="1:2">
      <c r="A2211" s="308"/>
      <c r="B2211" s="309"/>
    </row>
    <row r="2212" spans="1:2">
      <c r="A2212" s="308"/>
      <c r="B2212" s="309"/>
    </row>
    <row r="2213" spans="1:2">
      <c r="A2213" s="308"/>
      <c r="B2213" s="309"/>
    </row>
    <row r="2214" spans="1:2">
      <c r="A2214" s="308"/>
      <c r="B2214" s="309"/>
    </row>
    <row r="2215" spans="1:2">
      <c r="A2215" s="308"/>
      <c r="B2215" s="309"/>
    </row>
    <row r="2216" spans="1:2">
      <c r="A2216" s="308"/>
      <c r="B2216" s="309"/>
    </row>
    <row r="2217" spans="1:2">
      <c r="A2217" s="308"/>
      <c r="B2217" s="309"/>
    </row>
    <row r="2218" spans="1:2">
      <c r="A2218" s="308"/>
      <c r="B2218" s="309"/>
    </row>
    <row r="2219" spans="1:2">
      <c r="A2219" s="308"/>
      <c r="B2219" s="309"/>
    </row>
    <row r="2220" spans="1:2">
      <c r="A2220" s="308"/>
      <c r="B2220" s="309"/>
    </row>
    <row r="2221" spans="1:2">
      <c r="A2221" s="308"/>
      <c r="B2221" s="309"/>
    </row>
    <row r="2222" spans="1:2">
      <c r="A2222" s="308"/>
      <c r="B2222" s="309"/>
    </row>
    <row r="2223" spans="1:2">
      <c r="A2223" s="308"/>
      <c r="B2223" s="309"/>
    </row>
    <row r="2224" spans="1:2">
      <c r="A2224" s="308"/>
      <c r="B2224" s="309"/>
    </row>
    <row r="2225" spans="1:2">
      <c r="A2225" s="308"/>
      <c r="B2225" s="309"/>
    </row>
    <row r="2226" spans="1:2">
      <c r="A2226" s="308"/>
      <c r="B2226" s="309"/>
    </row>
    <row r="2227" spans="1:2">
      <c r="A2227" s="308"/>
      <c r="B2227" s="309"/>
    </row>
    <row r="2228" spans="1:2">
      <c r="A2228" s="308"/>
      <c r="B2228" s="309"/>
    </row>
    <row r="2229" spans="1:2">
      <c r="A2229" s="308"/>
      <c r="B2229" s="309"/>
    </row>
    <row r="2230" spans="1:2">
      <c r="A2230" s="308"/>
      <c r="B2230" s="309"/>
    </row>
    <row r="2231" spans="1:2">
      <c r="A2231" s="308"/>
      <c r="B2231" s="309"/>
    </row>
    <row r="2232" spans="1:2">
      <c r="A2232" s="308"/>
      <c r="B2232" s="309"/>
    </row>
    <row r="2233" spans="1:2">
      <c r="A2233" s="308"/>
      <c r="B2233" s="309"/>
    </row>
    <row r="2234" spans="1:2">
      <c r="A2234" s="308"/>
      <c r="B2234" s="309"/>
    </row>
    <row r="2235" spans="1:2">
      <c r="A2235" s="308"/>
      <c r="B2235" s="309"/>
    </row>
    <row r="2236" spans="1:2">
      <c r="A2236" s="308"/>
      <c r="B2236" s="309"/>
    </row>
    <row r="2237" spans="1:2">
      <c r="A2237" s="308"/>
      <c r="B2237" s="309"/>
    </row>
    <row r="2238" spans="1:2">
      <c r="A2238" s="308"/>
      <c r="B2238" s="309"/>
    </row>
    <row r="2239" spans="1:2">
      <c r="A2239" s="308"/>
      <c r="B2239" s="309"/>
    </row>
    <row r="2240" spans="1:2">
      <c r="A2240" s="308"/>
      <c r="B2240" s="309"/>
    </row>
    <row r="2241" spans="1:2">
      <c r="A2241" s="308"/>
      <c r="B2241" s="309"/>
    </row>
    <row r="2242" spans="1:2">
      <c r="A2242" s="308"/>
      <c r="B2242" s="309"/>
    </row>
    <row r="2243" spans="1:2">
      <c r="A2243" s="308"/>
      <c r="B2243" s="309"/>
    </row>
    <row r="2244" spans="1:2">
      <c r="A2244" s="308"/>
      <c r="B2244" s="309"/>
    </row>
    <row r="2245" spans="1:2">
      <c r="A2245" s="308"/>
      <c r="B2245" s="309"/>
    </row>
    <row r="2246" spans="1:2">
      <c r="A2246" s="308"/>
      <c r="B2246" s="309"/>
    </row>
    <row r="2247" spans="1:2">
      <c r="A2247" s="308"/>
      <c r="B2247" s="309"/>
    </row>
    <row r="2248" spans="1:2">
      <c r="A2248" s="308"/>
      <c r="B2248" s="309"/>
    </row>
    <row r="2249" spans="1:2">
      <c r="A2249" s="308"/>
      <c r="B2249" s="309"/>
    </row>
    <row r="2250" spans="1:2">
      <c r="A2250" s="308"/>
      <c r="B2250" s="309"/>
    </row>
    <row r="2251" spans="1:2">
      <c r="A2251" s="308"/>
      <c r="B2251" s="309"/>
    </row>
    <row r="2252" spans="1:2">
      <c r="A2252" s="308"/>
      <c r="B2252" s="309"/>
    </row>
    <row r="2253" spans="1:2">
      <c r="A2253" s="308"/>
      <c r="B2253" s="309"/>
    </row>
    <row r="2254" spans="1:2">
      <c r="A2254" s="308"/>
      <c r="B2254" s="309"/>
    </row>
    <row r="2255" spans="1:2">
      <c r="A2255" s="308"/>
      <c r="B2255" s="309"/>
    </row>
    <row r="2256" spans="1:2">
      <c r="A2256" s="308"/>
      <c r="B2256" s="309"/>
    </row>
    <row r="2257" spans="1:2">
      <c r="A2257" s="308"/>
      <c r="B2257" s="309"/>
    </row>
    <row r="2258" spans="1:2">
      <c r="A2258" s="308"/>
      <c r="B2258" s="309"/>
    </row>
    <row r="2259" spans="1:2">
      <c r="A2259" s="308"/>
      <c r="B2259" s="309"/>
    </row>
    <row r="2260" spans="1:2">
      <c r="A2260" s="308"/>
      <c r="B2260" s="309"/>
    </row>
    <row r="2261" spans="1:2">
      <c r="A2261" s="308"/>
      <c r="B2261" s="309"/>
    </row>
    <row r="2262" spans="1:2">
      <c r="A2262" s="308"/>
      <c r="B2262" s="309"/>
    </row>
    <row r="2263" spans="1:2">
      <c r="A2263" s="308"/>
      <c r="B2263" s="309"/>
    </row>
    <row r="2264" spans="1:2">
      <c r="A2264" s="308"/>
      <c r="B2264" s="309"/>
    </row>
    <row r="2265" spans="1:2">
      <c r="A2265" s="308"/>
      <c r="B2265" s="309"/>
    </row>
    <row r="2266" spans="1:2">
      <c r="A2266" s="308"/>
      <c r="B2266" s="309"/>
    </row>
    <row r="2267" spans="1:2">
      <c r="A2267" s="308"/>
      <c r="B2267" s="309"/>
    </row>
    <row r="2268" spans="1:2">
      <c r="A2268" s="308"/>
      <c r="B2268" s="309"/>
    </row>
    <row r="2269" spans="1:2">
      <c r="A2269" s="308"/>
      <c r="B2269" s="309"/>
    </row>
    <row r="2270" spans="1:2">
      <c r="A2270" s="308"/>
      <c r="B2270" s="309"/>
    </row>
    <row r="2271" spans="1:2">
      <c r="A2271" s="308"/>
      <c r="B2271" s="309"/>
    </row>
    <row r="2272" spans="1:2">
      <c r="A2272" s="308"/>
      <c r="B2272" s="309"/>
    </row>
    <row r="2273" spans="1:2">
      <c r="A2273" s="308"/>
      <c r="B2273" s="309"/>
    </row>
    <row r="2274" spans="1:2">
      <c r="A2274" s="308"/>
      <c r="B2274" s="309"/>
    </row>
    <row r="2275" spans="1:2">
      <c r="A2275" s="308"/>
      <c r="B2275" s="309"/>
    </row>
    <row r="2276" spans="1:2">
      <c r="A2276" s="308"/>
      <c r="B2276" s="309"/>
    </row>
    <row r="2277" spans="1:2">
      <c r="A2277" s="308"/>
      <c r="B2277" s="309"/>
    </row>
    <row r="2278" spans="1:2">
      <c r="A2278" s="308"/>
      <c r="B2278" s="309"/>
    </row>
    <row r="2279" spans="1:2">
      <c r="A2279" s="308"/>
      <c r="B2279" s="309"/>
    </row>
    <row r="2280" spans="1:2">
      <c r="A2280" s="308"/>
      <c r="B2280" s="309"/>
    </row>
    <row r="2281" spans="1:2">
      <c r="A2281" s="308"/>
      <c r="B2281" s="309"/>
    </row>
    <row r="2282" spans="1:2">
      <c r="A2282" s="308"/>
      <c r="B2282" s="309"/>
    </row>
    <row r="2283" spans="1:2">
      <c r="A2283" s="308"/>
      <c r="B2283" s="309"/>
    </row>
    <row r="2284" spans="1:2">
      <c r="A2284" s="308"/>
      <c r="B2284" s="309"/>
    </row>
    <row r="2285" spans="1:2">
      <c r="A2285" s="308"/>
      <c r="B2285" s="309"/>
    </row>
    <row r="2286" spans="1:2">
      <c r="A2286" s="308"/>
      <c r="B2286" s="309"/>
    </row>
    <row r="2287" spans="1:2">
      <c r="A2287" s="308"/>
      <c r="B2287" s="309"/>
    </row>
    <row r="2288" spans="1:2">
      <c r="A2288" s="308"/>
      <c r="B2288" s="309"/>
    </row>
    <row r="2289" spans="1:2">
      <c r="A2289" s="308"/>
      <c r="B2289" s="309"/>
    </row>
    <row r="2290" spans="1:2">
      <c r="A2290" s="308"/>
      <c r="B2290" s="309"/>
    </row>
    <row r="2291" spans="1:2">
      <c r="A2291" s="308"/>
      <c r="B2291" s="309"/>
    </row>
    <row r="2292" spans="1:2">
      <c r="A2292" s="308"/>
      <c r="B2292" s="309"/>
    </row>
    <row r="2293" spans="1:2">
      <c r="A2293" s="308"/>
      <c r="B2293" s="309"/>
    </row>
    <row r="2294" spans="1:2">
      <c r="A2294" s="308"/>
      <c r="B2294" s="309"/>
    </row>
    <row r="2295" spans="1:2">
      <c r="A2295" s="308"/>
      <c r="B2295" s="309"/>
    </row>
    <row r="2296" spans="1:2">
      <c r="A2296" s="308"/>
      <c r="B2296" s="309"/>
    </row>
    <row r="2297" spans="1:2">
      <c r="A2297" s="308"/>
      <c r="B2297" s="309"/>
    </row>
    <row r="2298" spans="1:2">
      <c r="A2298" s="308"/>
      <c r="B2298" s="309"/>
    </row>
    <row r="2299" spans="1:2">
      <c r="A2299" s="308"/>
      <c r="B2299" s="309"/>
    </row>
    <row r="2300" spans="1:2">
      <c r="A2300" s="308"/>
      <c r="B2300" s="309"/>
    </row>
    <row r="2301" spans="1:2">
      <c r="A2301" s="308"/>
      <c r="B2301" s="309"/>
    </row>
    <row r="2302" spans="1:2">
      <c r="A2302" s="308"/>
      <c r="B2302" s="309"/>
    </row>
    <row r="2303" spans="1:2">
      <c r="A2303" s="308"/>
      <c r="B2303" s="309"/>
    </row>
    <row r="2304" spans="1:2">
      <c r="A2304" s="308"/>
      <c r="B2304" s="309"/>
    </row>
    <row r="2305" spans="1:2">
      <c r="A2305" s="308"/>
      <c r="B2305" s="309"/>
    </row>
    <row r="2306" spans="1:2">
      <c r="A2306" s="308"/>
      <c r="B2306" s="309"/>
    </row>
    <row r="2307" spans="1:2">
      <c r="A2307" s="308"/>
      <c r="B2307" s="309"/>
    </row>
    <row r="2308" spans="1:2">
      <c r="A2308" s="308"/>
      <c r="B2308" s="309"/>
    </row>
    <row r="2309" spans="1:2">
      <c r="A2309" s="308"/>
      <c r="B2309" s="309"/>
    </row>
    <row r="2310" spans="1:2">
      <c r="A2310" s="308"/>
      <c r="B2310" s="309"/>
    </row>
    <row r="2311" spans="1:2">
      <c r="A2311" s="308"/>
      <c r="B2311" s="309"/>
    </row>
    <row r="2312" spans="1:2">
      <c r="A2312" s="308"/>
      <c r="B2312" s="309"/>
    </row>
    <row r="2313" spans="1:2">
      <c r="A2313" s="308"/>
      <c r="B2313" s="309"/>
    </row>
    <row r="2314" spans="1:2">
      <c r="A2314" s="308"/>
      <c r="B2314" s="309"/>
    </row>
    <row r="2315" spans="1:2">
      <c r="A2315" s="308"/>
      <c r="B2315" s="309"/>
    </row>
    <row r="2316" spans="1:2">
      <c r="A2316" s="308"/>
      <c r="B2316" s="309"/>
    </row>
    <row r="2317" spans="1:2">
      <c r="A2317" s="308"/>
      <c r="B2317" s="309"/>
    </row>
    <row r="2318" spans="1:2">
      <c r="A2318" s="308"/>
      <c r="B2318" s="309"/>
    </row>
    <row r="2319" spans="1:2">
      <c r="A2319" s="308"/>
      <c r="B2319" s="309"/>
    </row>
    <row r="2320" spans="1:2">
      <c r="A2320" s="308"/>
      <c r="B2320" s="309"/>
    </row>
    <row r="2321" spans="1:2">
      <c r="A2321" s="308"/>
      <c r="B2321" s="309"/>
    </row>
    <row r="2322" spans="1:2">
      <c r="A2322" s="308"/>
      <c r="B2322" s="309"/>
    </row>
    <row r="2323" spans="1:2">
      <c r="A2323" s="308"/>
      <c r="B2323" s="309"/>
    </row>
    <row r="2324" spans="1:2">
      <c r="A2324" s="308"/>
      <c r="B2324" s="309"/>
    </row>
    <row r="2325" spans="1:2">
      <c r="A2325" s="308"/>
      <c r="B2325" s="309"/>
    </row>
    <row r="2326" spans="1:2">
      <c r="A2326" s="308"/>
      <c r="B2326" s="309"/>
    </row>
    <row r="2327" spans="1:2">
      <c r="A2327" s="308"/>
      <c r="B2327" s="309"/>
    </row>
    <row r="2328" spans="1:2">
      <c r="A2328" s="308"/>
      <c r="B2328" s="309"/>
    </row>
    <row r="2329" spans="1:2">
      <c r="A2329" s="308"/>
      <c r="B2329" s="309"/>
    </row>
    <row r="2330" spans="1:2">
      <c r="A2330" s="308"/>
      <c r="B2330" s="309"/>
    </row>
    <row r="2331" spans="1:2">
      <c r="A2331" s="308"/>
      <c r="B2331" s="309"/>
    </row>
    <row r="2332" spans="1:2">
      <c r="A2332" s="308"/>
      <c r="B2332" s="309"/>
    </row>
    <row r="2333" spans="1:2">
      <c r="A2333" s="308"/>
      <c r="B2333" s="309"/>
    </row>
    <row r="2334" spans="1:2">
      <c r="A2334" s="308"/>
      <c r="B2334" s="309"/>
    </row>
    <row r="2335" spans="1:2">
      <c r="A2335" s="308"/>
      <c r="B2335" s="309"/>
    </row>
    <row r="2336" spans="1:2">
      <c r="A2336" s="308"/>
      <c r="B2336" s="309"/>
    </row>
    <row r="2337" spans="1:2">
      <c r="A2337" s="308"/>
      <c r="B2337" s="309"/>
    </row>
    <row r="2338" spans="1:2">
      <c r="A2338" s="308"/>
      <c r="B2338" s="309"/>
    </row>
    <row r="2339" spans="1:2">
      <c r="A2339" s="308"/>
      <c r="B2339" s="309"/>
    </row>
    <row r="2340" spans="1:2">
      <c r="A2340" s="308"/>
      <c r="B2340" s="309"/>
    </row>
    <row r="2341" spans="1:2">
      <c r="A2341" s="308"/>
      <c r="B2341" s="309"/>
    </row>
    <row r="2342" spans="1:2">
      <c r="A2342" s="308"/>
      <c r="B2342" s="309"/>
    </row>
    <row r="2343" spans="1:2">
      <c r="A2343" s="308"/>
      <c r="B2343" s="309"/>
    </row>
    <row r="2344" spans="1:2">
      <c r="A2344" s="308"/>
      <c r="B2344" s="309"/>
    </row>
    <row r="2345" spans="1:2">
      <c r="A2345" s="308"/>
      <c r="B2345" s="309"/>
    </row>
    <row r="2346" spans="1:2">
      <c r="A2346" s="308"/>
      <c r="B2346" s="309"/>
    </row>
    <row r="2347" spans="1:2">
      <c r="A2347" s="308"/>
      <c r="B2347" s="309"/>
    </row>
    <row r="2348" spans="1:2">
      <c r="A2348" s="308"/>
      <c r="B2348" s="309"/>
    </row>
    <row r="2349" spans="1:2">
      <c r="A2349" s="308"/>
      <c r="B2349" s="309"/>
    </row>
    <row r="2350" spans="1:2">
      <c r="A2350" s="308"/>
      <c r="B2350" s="309"/>
    </row>
    <row r="2351" spans="1:2">
      <c r="A2351" s="308"/>
      <c r="B2351" s="309"/>
    </row>
    <row r="2352" spans="1:2">
      <c r="A2352" s="308"/>
      <c r="B2352" s="309"/>
    </row>
    <row r="2353" spans="1:2">
      <c r="A2353" s="308"/>
      <c r="B2353" s="309"/>
    </row>
    <row r="2354" spans="1:2">
      <c r="A2354" s="308"/>
      <c r="B2354" s="309"/>
    </row>
    <row r="2355" spans="1:2">
      <c r="A2355" s="308"/>
      <c r="B2355" s="309"/>
    </row>
    <row r="2356" spans="1:2">
      <c r="A2356" s="308"/>
      <c r="B2356" s="309"/>
    </row>
    <row r="2357" spans="1:2">
      <c r="A2357" s="308"/>
      <c r="B2357" s="309"/>
    </row>
    <row r="2358" spans="1:2">
      <c r="A2358" s="308"/>
      <c r="B2358" s="309"/>
    </row>
    <row r="2359" spans="1:2">
      <c r="A2359" s="308"/>
      <c r="B2359" s="309"/>
    </row>
    <row r="2360" spans="1:2">
      <c r="A2360" s="308"/>
      <c r="B2360" s="309"/>
    </row>
    <row r="2361" spans="1:2">
      <c r="A2361" s="308"/>
      <c r="B2361" s="309"/>
    </row>
    <row r="2362" spans="1:2">
      <c r="A2362" s="308"/>
      <c r="B2362" s="309"/>
    </row>
    <row r="2363" spans="1:2">
      <c r="A2363" s="308"/>
      <c r="B2363" s="309"/>
    </row>
    <row r="2364" spans="1:2">
      <c r="A2364" s="308"/>
      <c r="B2364" s="309"/>
    </row>
    <row r="2365" spans="1:2">
      <c r="A2365" s="308"/>
      <c r="B2365" s="309"/>
    </row>
    <row r="2366" spans="1:2">
      <c r="A2366" s="308"/>
      <c r="B2366" s="309"/>
    </row>
    <row r="2367" spans="1:2">
      <c r="A2367" s="308"/>
      <c r="B2367" s="309"/>
    </row>
    <row r="2368" spans="1:2">
      <c r="A2368" s="308"/>
      <c r="B2368" s="309"/>
    </row>
    <row r="2369" spans="1:2">
      <c r="A2369" s="308"/>
      <c r="B2369" s="309"/>
    </row>
    <row r="2370" spans="1:2">
      <c r="A2370" s="308"/>
      <c r="B2370" s="309"/>
    </row>
    <row r="2371" spans="1:2">
      <c r="A2371" s="308"/>
      <c r="B2371" s="309"/>
    </row>
    <row r="2372" spans="1:2">
      <c r="A2372" s="308"/>
      <c r="B2372" s="309"/>
    </row>
    <row r="2373" spans="1:2">
      <c r="A2373" s="308"/>
      <c r="B2373" s="309"/>
    </row>
    <row r="2374" spans="1:2">
      <c r="A2374" s="308"/>
      <c r="B2374" s="309"/>
    </row>
    <row r="2375" spans="1:2">
      <c r="A2375" s="308"/>
      <c r="B2375" s="309"/>
    </row>
    <row r="2376" spans="1:2">
      <c r="A2376" s="308"/>
      <c r="B2376" s="309"/>
    </row>
    <row r="2377" spans="1:2">
      <c r="A2377" s="308"/>
      <c r="B2377" s="309"/>
    </row>
    <row r="2378" spans="1:2">
      <c r="A2378" s="308"/>
      <c r="B2378" s="309"/>
    </row>
    <row r="2379" spans="1:2">
      <c r="A2379" s="308"/>
      <c r="B2379" s="309"/>
    </row>
    <row r="2380" spans="1:2">
      <c r="A2380" s="308"/>
      <c r="B2380" s="309"/>
    </row>
    <row r="2381" spans="1:2">
      <c r="A2381" s="308"/>
      <c r="B2381" s="309"/>
    </row>
    <row r="2382" spans="1:2">
      <c r="A2382" s="308"/>
      <c r="B2382" s="309"/>
    </row>
    <row r="2383" spans="1:2">
      <c r="A2383" s="308"/>
      <c r="B2383" s="309"/>
    </row>
    <row r="2384" spans="1:2">
      <c r="A2384" s="308"/>
      <c r="B2384" s="309"/>
    </row>
    <row r="2385" spans="1:2">
      <c r="A2385" s="308"/>
      <c r="B2385" s="309"/>
    </row>
    <row r="2386" spans="1:2">
      <c r="A2386" s="308"/>
      <c r="B2386" s="309"/>
    </row>
    <row r="2387" spans="1:2">
      <c r="A2387" s="308"/>
      <c r="B2387" s="309"/>
    </row>
    <row r="2388" spans="1:2">
      <c r="A2388" s="308"/>
      <c r="B2388" s="309"/>
    </row>
    <row r="2389" spans="1:2">
      <c r="A2389" s="308"/>
      <c r="B2389" s="309"/>
    </row>
    <row r="2390" spans="1:2">
      <c r="A2390" s="308"/>
      <c r="B2390" s="309"/>
    </row>
    <row r="2391" spans="1:2">
      <c r="A2391" s="308"/>
      <c r="B2391" s="309"/>
    </row>
    <row r="2392" spans="1:2">
      <c r="A2392" s="308"/>
      <c r="B2392" s="309"/>
    </row>
    <row r="2393" spans="1:2">
      <c r="A2393" s="308"/>
      <c r="B2393" s="309"/>
    </row>
    <row r="2394" spans="1:2">
      <c r="A2394" s="308"/>
      <c r="B2394" s="309"/>
    </row>
    <row r="2395" spans="1:2">
      <c r="A2395" s="308"/>
      <c r="B2395" s="309"/>
    </row>
    <row r="2396" spans="1:2">
      <c r="A2396" s="308"/>
      <c r="B2396" s="309"/>
    </row>
    <row r="2397" spans="1:2">
      <c r="A2397" s="308"/>
      <c r="B2397" s="309"/>
    </row>
    <row r="2398" spans="1:2">
      <c r="A2398" s="308"/>
      <c r="B2398" s="309"/>
    </row>
    <row r="2399" spans="1:2">
      <c r="A2399" s="308"/>
      <c r="B2399" s="309"/>
    </row>
    <row r="2400" spans="1:2">
      <c r="A2400" s="308"/>
      <c r="B2400" s="309"/>
    </row>
    <row r="2401" spans="1:2">
      <c r="A2401" s="308"/>
      <c r="B2401" s="309"/>
    </row>
    <row r="2402" spans="1:2">
      <c r="A2402" s="308"/>
      <c r="B2402" s="309"/>
    </row>
    <row r="2403" spans="1:2">
      <c r="A2403" s="308"/>
      <c r="B2403" s="309"/>
    </row>
    <row r="2404" spans="1:2">
      <c r="A2404" s="308"/>
      <c r="B2404" s="309"/>
    </row>
    <row r="2405" spans="1:2">
      <c r="A2405" s="308"/>
      <c r="B2405" s="309"/>
    </row>
    <row r="2406" spans="1:2">
      <c r="A2406" s="308"/>
      <c r="B2406" s="309"/>
    </row>
    <row r="2407" spans="1:2">
      <c r="A2407" s="308"/>
      <c r="B2407" s="309"/>
    </row>
    <row r="2408" spans="1:2">
      <c r="A2408" s="308"/>
      <c r="B2408" s="309"/>
    </row>
    <row r="2409" spans="1:2">
      <c r="A2409" s="308"/>
      <c r="B2409" s="309"/>
    </row>
    <row r="2410" spans="1:2">
      <c r="A2410" s="308"/>
      <c r="B2410" s="309"/>
    </row>
    <row r="2411" spans="1:2">
      <c r="A2411" s="308"/>
      <c r="B2411" s="309"/>
    </row>
    <row r="2412" spans="1:2">
      <c r="A2412" s="308"/>
      <c r="B2412" s="309"/>
    </row>
    <row r="2413" spans="1:2">
      <c r="A2413" s="308"/>
      <c r="B2413" s="309"/>
    </row>
    <row r="2414" spans="1:2">
      <c r="A2414" s="308"/>
      <c r="B2414" s="309"/>
    </row>
    <row r="2415" spans="1:2">
      <c r="A2415" s="308"/>
      <c r="B2415" s="309"/>
    </row>
    <row r="2416" spans="1:2">
      <c r="A2416" s="308"/>
      <c r="B2416" s="309"/>
    </row>
    <row r="2417" spans="1:2">
      <c r="A2417" s="308"/>
      <c r="B2417" s="309"/>
    </row>
    <row r="2418" spans="1:2">
      <c r="A2418" s="308"/>
      <c r="B2418" s="309"/>
    </row>
    <row r="2419" spans="1:2">
      <c r="A2419" s="308"/>
      <c r="B2419" s="309"/>
    </row>
    <row r="2420" spans="1:2">
      <c r="A2420" s="308"/>
      <c r="B2420" s="309"/>
    </row>
    <row r="2421" spans="1:2">
      <c r="A2421" s="308"/>
      <c r="B2421" s="309"/>
    </row>
    <row r="2422" spans="1:2">
      <c r="A2422" s="308"/>
      <c r="B2422" s="309"/>
    </row>
    <row r="2423" spans="1:2">
      <c r="A2423" s="308"/>
      <c r="B2423" s="309"/>
    </row>
    <row r="2424" spans="1:2">
      <c r="A2424" s="308"/>
      <c r="B2424" s="309"/>
    </row>
    <row r="2425" spans="1:2">
      <c r="A2425" s="308"/>
      <c r="B2425" s="309"/>
    </row>
    <row r="2426" spans="1:2">
      <c r="A2426" s="308"/>
      <c r="B2426" s="309"/>
    </row>
    <row r="2427" spans="1:2">
      <c r="A2427" s="308"/>
      <c r="B2427" s="309"/>
    </row>
    <row r="2428" spans="1:2">
      <c r="A2428" s="308"/>
      <c r="B2428" s="309"/>
    </row>
    <row r="2429" spans="1:2">
      <c r="A2429" s="308"/>
      <c r="B2429" s="309"/>
    </row>
    <row r="2430" spans="1:2">
      <c r="A2430" s="308"/>
      <c r="B2430" s="309"/>
    </row>
    <row r="2431" spans="1:2">
      <c r="A2431" s="308"/>
      <c r="B2431" s="309"/>
    </row>
    <row r="2432" spans="1:2">
      <c r="A2432" s="308"/>
      <c r="B2432" s="309"/>
    </row>
    <row r="2433" spans="1:2">
      <c r="A2433" s="308"/>
      <c r="B2433" s="309"/>
    </row>
    <row r="2434" spans="1:2">
      <c r="A2434" s="308"/>
      <c r="B2434" s="309"/>
    </row>
    <row r="2435" spans="1:2">
      <c r="A2435" s="308"/>
      <c r="B2435" s="309"/>
    </row>
    <row r="2436" spans="1:2">
      <c r="A2436" s="308"/>
      <c r="B2436" s="309"/>
    </row>
    <row r="2437" spans="1:2">
      <c r="A2437" s="308"/>
      <c r="B2437" s="309"/>
    </row>
    <row r="2438" spans="1:2">
      <c r="A2438" s="308"/>
      <c r="B2438" s="309"/>
    </row>
    <row r="2439" spans="1:2">
      <c r="A2439" s="308"/>
      <c r="B2439" s="309"/>
    </row>
    <row r="2440" spans="1:2">
      <c r="A2440" s="308"/>
      <c r="B2440" s="309"/>
    </row>
    <row r="2441" spans="1:2">
      <c r="A2441" s="308"/>
      <c r="B2441" s="309"/>
    </row>
    <row r="2442" spans="1:2">
      <c r="A2442" s="308"/>
      <c r="B2442" s="309"/>
    </row>
    <row r="2443" spans="1:2">
      <c r="A2443" s="308"/>
      <c r="B2443" s="309"/>
    </row>
    <row r="2444" spans="1:2">
      <c r="A2444" s="308"/>
      <c r="B2444" s="309"/>
    </row>
    <row r="2445" spans="1:2">
      <c r="A2445" s="308"/>
      <c r="B2445" s="309"/>
    </row>
    <row r="2446" spans="1:2">
      <c r="A2446" s="308"/>
      <c r="B2446" s="309"/>
    </row>
    <row r="2447" spans="1:2">
      <c r="A2447" s="308"/>
      <c r="B2447" s="309"/>
    </row>
    <row r="2448" spans="1:2">
      <c r="A2448" s="308"/>
      <c r="B2448" s="309"/>
    </row>
    <row r="2449" spans="1:2">
      <c r="A2449" s="308"/>
      <c r="B2449" s="309"/>
    </row>
    <row r="2450" spans="1:2">
      <c r="A2450" s="308"/>
      <c r="B2450" s="309"/>
    </row>
    <row r="2451" spans="1:2">
      <c r="A2451" s="308"/>
      <c r="B2451" s="309"/>
    </row>
    <row r="2452" spans="1:2">
      <c r="A2452" s="308"/>
      <c r="B2452" s="309"/>
    </row>
    <row r="2453" spans="1:2">
      <c r="A2453" s="308"/>
      <c r="B2453" s="309"/>
    </row>
    <row r="2454" spans="1:2">
      <c r="A2454" s="308"/>
      <c r="B2454" s="309"/>
    </row>
    <row r="2455" spans="1:2">
      <c r="A2455" s="308"/>
      <c r="B2455" s="309"/>
    </row>
    <row r="2456" spans="1:2">
      <c r="A2456" s="308"/>
      <c r="B2456" s="309"/>
    </row>
    <row r="2457" spans="1:2">
      <c r="A2457" s="308"/>
      <c r="B2457" s="309"/>
    </row>
    <row r="2458" spans="1:2">
      <c r="A2458" s="308"/>
      <c r="B2458" s="309"/>
    </row>
    <row r="2459" spans="1:2">
      <c r="A2459" s="308"/>
      <c r="B2459" s="309"/>
    </row>
    <row r="2460" spans="1:2">
      <c r="A2460" s="308"/>
      <c r="B2460" s="309"/>
    </row>
    <row r="2461" spans="1:2">
      <c r="A2461" s="308"/>
      <c r="B2461" s="309"/>
    </row>
    <row r="2462" spans="1:2">
      <c r="A2462" s="308"/>
      <c r="B2462" s="309"/>
    </row>
    <row r="2463" spans="1:2">
      <c r="A2463" s="308"/>
      <c r="B2463" s="309"/>
    </row>
    <row r="2464" spans="1:2">
      <c r="A2464" s="308"/>
      <c r="B2464" s="309"/>
    </row>
    <row r="2465" spans="1:2">
      <c r="A2465" s="308"/>
      <c r="B2465" s="309"/>
    </row>
    <row r="2466" spans="1:2">
      <c r="A2466" s="308"/>
      <c r="B2466" s="309"/>
    </row>
    <row r="2467" spans="1:2">
      <c r="A2467" s="308"/>
      <c r="B2467" s="309"/>
    </row>
    <row r="2468" spans="1:2">
      <c r="A2468" s="308"/>
      <c r="B2468" s="309"/>
    </row>
    <row r="2469" spans="1:2">
      <c r="A2469" s="308"/>
      <c r="B2469" s="309"/>
    </row>
    <row r="2470" spans="1:2">
      <c r="A2470" s="308"/>
      <c r="B2470" s="309"/>
    </row>
    <row r="2471" spans="1:2">
      <c r="A2471" s="308"/>
      <c r="B2471" s="309"/>
    </row>
    <row r="2472" spans="1:2">
      <c r="A2472" s="308"/>
      <c r="B2472" s="309"/>
    </row>
    <row r="2473" spans="1:2">
      <c r="A2473" s="308"/>
      <c r="B2473" s="309"/>
    </row>
    <row r="2474" spans="1:2">
      <c r="A2474" s="308"/>
      <c r="B2474" s="309"/>
    </row>
    <row r="2475" spans="1:2">
      <c r="A2475" s="308"/>
      <c r="B2475" s="309"/>
    </row>
    <row r="2476" spans="1:2">
      <c r="A2476" s="308"/>
      <c r="B2476" s="309"/>
    </row>
    <row r="2477" spans="1:2">
      <c r="A2477" s="308"/>
      <c r="B2477" s="309"/>
    </row>
    <row r="2478" spans="1:2">
      <c r="A2478" s="308"/>
      <c r="B2478" s="309"/>
    </row>
    <row r="2479" spans="1:2">
      <c r="A2479" s="308"/>
      <c r="B2479" s="309"/>
    </row>
    <row r="2480" spans="1:2">
      <c r="A2480" s="308"/>
      <c r="B2480" s="309"/>
    </row>
    <row r="2481" spans="1:2">
      <c r="A2481" s="308"/>
      <c r="B2481" s="309"/>
    </row>
    <row r="2482" spans="1:2">
      <c r="A2482" s="308"/>
      <c r="B2482" s="309"/>
    </row>
    <row r="2483" spans="1:2">
      <c r="A2483" s="308"/>
      <c r="B2483" s="309"/>
    </row>
    <row r="2484" spans="1:2">
      <c r="A2484" s="308"/>
      <c r="B2484" s="309"/>
    </row>
    <row r="2485" spans="1:2">
      <c r="A2485" s="308"/>
      <c r="B2485" s="309"/>
    </row>
    <row r="2486" spans="1:2">
      <c r="A2486" s="308"/>
      <c r="B2486" s="309"/>
    </row>
    <row r="2487" spans="1:2">
      <c r="A2487" s="308"/>
      <c r="B2487" s="309"/>
    </row>
    <row r="2488" spans="1:2">
      <c r="A2488" s="308"/>
      <c r="B2488" s="309"/>
    </row>
    <row r="2489" spans="1:2">
      <c r="A2489" s="308"/>
      <c r="B2489" s="309"/>
    </row>
    <row r="2490" spans="1:2">
      <c r="A2490" s="308"/>
      <c r="B2490" s="309"/>
    </row>
    <row r="2491" spans="1:2">
      <c r="A2491" s="308"/>
      <c r="B2491" s="309"/>
    </row>
    <row r="2492" spans="1:2">
      <c r="A2492" s="308"/>
      <c r="B2492" s="309"/>
    </row>
    <row r="2493" spans="1:2">
      <c r="A2493" s="308"/>
      <c r="B2493" s="309"/>
    </row>
    <row r="2494" spans="1:2">
      <c r="A2494" s="308"/>
      <c r="B2494" s="309"/>
    </row>
    <row r="2495" spans="1:2">
      <c r="A2495" s="308"/>
      <c r="B2495" s="309"/>
    </row>
    <row r="2496" spans="1:2">
      <c r="A2496" s="308"/>
      <c r="B2496" s="309"/>
    </row>
    <row r="2497" spans="1:2">
      <c r="A2497" s="308"/>
      <c r="B2497" s="309"/>
    </row>
    <row r="2498" spans="1:2">
      <c r="A2498" s="308"/>
      <c r="B2498" s="309"/>
    </row>
    <row r="2499" spans="1:2">
      <c r="A2499" s="308"/>
      <c r="B2499" s="309"/>
    </row>
    <row r="2500" spans="1:2">
      <c r="A2500" s="308"/>
      <c r="B2500" s="309"/>
    </row>
    <row r="2501" spans="1:2">
      <c r="A2501" s="308"/>
      <c r="B2501" s="309"/>
    </row>
    <row r="2502" spans="1:2">
      <c r="A2502" s="308"/>
      <c r="B2502" s="309"/>
    </row>
    <row r="2503" spans="1:2">
      <c r="A2503" s="308"/>
      <c r="B2503" s="309"/>
    </row>
    <row r="2504" spans="1:2">
      <c r="A2504" s="308"/>
      <c r="B2504" s="309"/>
    </row>
    <row r="2505" spans="1:2">
      <c r="A2505" s="308"/>
      <c r="B2505" s="309"/>
    </row>
    <row r="2506" spans="1:2">
      <c r="A2506" s="308"/>
      <c r="B2506" s="309"/>
    </row>
    <row r="2507" spans="1:2">
      <c r="A2507" s="308"/>
      <c r="B2507" s="309"/>
    </row>
    <row r="2508" spans="1:2">
      <c r="A2508" s="308"/>
      <c r="B2508" s="309"/>
    </row>
    <row r="2509" spans="1:2">
      <c r="A2509" s="308"/>
      <c r="B2509" s="309"/>
    </row>
    <row r="2510" spans="1:2">
      <c r="A2510" s="308"/>
      <c r="B2510" s="309"/>
    </row>
    <row r="2511" spans="1:2">
      <c r="A2511" s="308"/>
      <c r="B2511" s="309"/>
    </row>
    <row r="2512" spans="1:2">
      <c r="A2512" s="308"/>
      <c r="B2512" s="309"/>
    </row>
    <row r="2513" spans="1:2">
      <c r="A2513" s="308"/>
      <c r="B2513" s="309"/>
    </row>
    <row r="2514" spans="1:2">
      <c r="A2514" s="308"/>
      <c r="B2514" s="309"/>
    </row>
    <row r="2515" spans="1:2">
      <c r="A2515" s="308"/>
      <c r="B2515" s="309"/>
    </row>
    <row r="2516" spans="1:2">
      <c r="A2516" s="308"/>
      <c r="B2516" s="309"/>
    </row>
    <row r="2517" spans="1:2">
      <c r="A2517" s="308"/>
      <c r="B2517" s="309"/>
    </row>
    <row r="2518" spans="1:2">
      <c r="A2518" s="308"/>
      <c r="B2518" s="309"/>
    </row>
    <row r="2519" spans="1:2">
      <c r="A2519" s="308"/>
      <c r="B2519" s="309"/>
    </row>
    <row r="2520" spans="1:2">
      <c r="A2520" s="308"/>
      <c r="B2520" s="309"/>
    </row>
    <row r="2521" spans="1:2">
      <c r="A2521" s="308"/>
      <c r="B2521" s="309"/>
    </row>
    <row r="2522" spans="1:2">
      <c r="A2522" s="308"/>
      <c r="B2522" s="309"/>
    </row>
    <row r="2523" spans="1:2">
      <c r="A2523" s="308"/>
      <c r="B2523" s="309"/>
    </row>
    <row r="2524" spans="1:2">
      <c r="A2524" s="308"/>
      <c r="B2524" s="309"/>
    </row>
    <row r="2525" spans="1:2">
      <c r="A2525" s="308"/>
      <c r="B2525" s="309"/>
    </row>
    <row r="2526" spans="1:2">
      <c r="A2526" s="308"/>
      <c r="B2526" s="309"/>
    </row>
    <row r="2527" spans="1:2">
      <c r="A2527" s="308"/>
      <c r="B2527" s="309"/>
    </row>
    <row r="2528" spans="1:2">
      <c r="A2528" s="308"/>
      <c r="B2528" s="309"/>
    </row>
    <row r="2529" spans="1:2">
      <c r="A2529" s="308"/>
      <c r="B2529" s="309"/>
    </row>
    <row r="2530" spans="1:2">
      <c r="A2530" s="308"/>
      <c r="B2530" s="309"/>
    </row>
    <row r="2531" spans="1:2">
      <c r="A2531" s="308"/>
      <c r="B2531" s="309"/>
    </row>
    <row r="2532" spans="1:2">
      <c r="A2532" s="308"/>
      <c r="B2532" s="309"/>
    </row>
    <row r="2533" spans="1:2">
      <c r="A2533" s="308"/>
      <c r="B2533" s="309"/>
    </row>
    <row r="2534" spans="1:2">
      <c r="A2534" s="308"/>
      <c r="B2534" s="309"/>
    </row>
    <row r="2535" spans="1:2">
      <c r="A2535" s="308"/>
      <c r="B2535" s="309"/>
    </row>
    <row r="2536" spans="1:2">
      <c r="A2536" s="308"/>
      <c r="B2536" s="309"/>
    </row>
    <row r="2537" spans="1:2">
      <c r="A2537" s="308"/>
      <c r="B2537" s="309"/>
    </row>
    <row r="2538" spans="1:2">
      <c r="A2538" s="308"/>
      <c r="B2538" s="309"/>
    </row>
    <row r="2539" spans="1:2">
      <c r="A2539" s="308"/>
      <c r="B2539" s="309"/>
    </row>
    <row r="2540" spans="1:2">
      <c r="A2540" s="308"/>
      <c r="B2540" s="309"/>
    </row>
    <row r="2541" spans="1:2">
      <c r="A2541" s="308"/>
      <c r="B2541" s="309"/>
    </row>
    <row r="2542" spans="1:2">
      <c r="A2542" s="308"/>
      <c r="B2542" s="309"/>
    </row>
    <row r="2543" spans="1:2">
      <c r="A2543" s="308"/>
      <c r="B2543" s="309"/>
    </row>
    <row r="2544" spans="1:2">
      <c r="A2544" s="308"/>
      <c r="B2544" s="309"/>
    </row>
    <row r="2545" spans="1:2">
      <c r="A2545" s="308"/>
      <c r="B2545" s="309"/>
    </row>
    <row r="2546" spans="1:2">
      <c r="A2546" s="308"/>
      <c r="B2546" s="309"/>
    </row>
    <row r="2547" spans="1:2">
      <c r="A2547" s="308"/>
      <c r="B2547" s="309"/>
    </row>
    <row r="2548" spans="1:2">
      <c r="A2548" s="308"/>
      <c r="B2548" s="309"/>
    </row>
    <row r="2549" spans="1:2">
      <c r="A2549" s="308"/>
      <c r="B2549" s="309"/>
    </row>
    <row r="2550" spans="1:2">
      <c r="A2550" s="308"/>
      <c r="B2550" s="309"/>
    </row>
    <row r="2551" spans="1:2">
      <c r="A2551" s="308"/>
      <c r="B2551" s="309"/>
    </row>
    <row r="2552" spans="1:2">
      <c r="A2552" s="308"/>
      <c r="B2552" s="309"/>
    </row>
    <row r="2553" spans="1:2">
      <c r="A2553" s="308"/>
      <c r="B2553" s="309"/>
    </row>
    <row r="2554" spans="1:2">
      <c r="A2554" s="308"/>
      <c r="B2554" s="309"/>
    </row>
    <row r="2555" spans="1:2">
      <c r="A2555" s="308"/>
      <c r="B2555" s="309"/>
    </row>
    <row r="2556" spans="1:2">
      <c r="A2556" s="308"/>
      <c r="B2556" s="309"/>
    </row>
    <row r="2557" spans="1:2">
      <c r="A2557" s="308"/>
      <c r="B2557" s="309"/>
    </row>
    <row r="2558" spans="1:2">
      <c r="A2558" s="308"/>
      <c r="B2558" s="309"/>
    </row>
    <row r="2559" spans="1:2">
      <c r="A2559" s="308"/>
      <c r="B2559" s="309"/>
    </row>
    <row r="2560" spans="1:2">
      <c r="A2560" s="308"/>
      <c r="B2560" s="309"/>
    </row>
    <row r="2561" spans="1:2">
      <c r="A2561" s="308"/>
      <c r="B2561" s="309"/>
    </row>
    <row r="2562" spans="1:2">
      <c r="A2562" s="308"/>
      <c r="B2562" s="309"/>
    </row>
    <row r="2563" spans="1:2">
      <c r="A2563" s="308"/>
      <c r="B2563" s="309"/>
    </row>
    <row r="2564" spans="1:2">
      <c r="A2564" s="308"/>
      <c r="B2564" s="309"/>
    </row>
    <row r="2565" spans="1:2">
      <c r="A2565" s="308"/>
      <c r="B2565" s="309"/>
    </row>
    <row r="2566" spans="1:2">
      <c r="A2566" s="308"/>
      <c r="B2566" s="309"/>
    </row>
    <row r="2567" spans="1:2">
      <c r="A2567" s="308"/>
      <c r="B2567" s="309"/>
    </row>
    <row r="2568" spans="1:2">
      <c r="A2568" s="308"/>
      <c r="B2568" s="309"/>
    </row>
    <row r="2569" spans="1:2">
      <c r="A2569" s="308"/>
      <c r="B2569" s="309"/>
    </row>
    <row r="2570" spans="1:2">
      <c r="A2570" s="308"/>
      <c r="B2570" s="309"/>
    </row>
    <row r="2571" spans="1:2">
      <c r="A2571" s="308"/>
      <c r="B2571" s="309"/>
    </row>
    <row r="2572" spans="1:2">
      <c r="A2572" s="308"/>
      <c r="B2572" s="309"/>
    </row>
    <row r="2573" spans="1:2">
      <c r="A2573" s="308"/>
      <c r="B2573" s="309"/>
    </row>
    <row r="2574" spans="1:2">
      <c r="A2574" s="308"/>
      <c r="B2574" s="309"/>
    </row>
    <row r="2575" spans="1:2">
      <c r="A2575" s="308"/>
      <c r="B2575" s="309"/>
    </row>
    <row r="2576" spans="1:2">
      <c r="A2576" s="308"/>
      <c r="B2576" s="309"/>
    </row>
    <row r="2577" spans="1:2">
      <c r="A2577" s="308"/>
      <c r="B2577" s="309"/>
    </row>
    <row r="2578" spans="1:2">
      <c r="A2578" s="308"/>
      <c r="B2578" s="309"/>
    </row>
    <row r="2579" spans="1:2">
      <c r="A2579" s="308"/>
      <c r="B2579" s="309"/>
    </row>
    <row r="2580" spans="1:2">
      <c r="A2580" s="308"/>
      <c r="B2580" s="309"/>
    </row>
    <row r="2581" spans="1:2">
      <c r="A2581" s="308"/>
      <c r="B2581" s="309"/>
    </row>
    <row r="2582" spans="1:2">
      <c r="A2582" s="308"/>
      <c r="B2582" s="309"/>
    </row>
    <row r="2583" spans="1:2">
      <c r="A2583" s="308"/>
      <c r="B2583" s="309"/>
    </row>
    <row r="2584" spans="1:2">
      <c r="A2584" s="308"/>
      <c r="B2584" s="309"/>
    </row>
    <row r="2585" spans="1:2">
      <c r="A2585" s="308"/>
      <c r="B2585" s="309"/>
    </row>
    <row r="2586" spans="1:2">
      <c r="A2586" s="308"/>
      <c r="B2586" s="309"/>
    </row>
    <row r="2587" spans="1:2">
      <c r="A2587" s="308"/>
      <c r="B2587" s="309"/>
    </row>
    <row r="2588" spans="1:2">
      <c r="A2588" s="308"/>
      <c r="B2588" s="309"/>
    </row>
    <row r="2589" spans="1:2">
      <c r="A2589" s="308"/>
      <c r="B2589" s="309"/>
    </row>
    <row r="2590" spans="1:2">
      <c r="A2590" s="308"/>
      <c r="B2590" s="309"/>
    </row>
    <row r="2591" spans="1:2">
      <c r="A2591" s="308"/>
      <c r="B2591" s="309"/>
    </row>
    <row r="2592" spans="1:2">
      <c r="A2592" s="308"/>
      <c r="B2592" s="309"/>
    </row>
    <row r="2593" spans="1:2">
      <c r="A2593" s="308"/>
      <c r="B2593" s="309"/>
    </row>
    <row r="2594" spans="1:2">
      <c r="A2594" s="308"/>
      <c r="B2594" s="309"/>
    </row>
    <row r="2595" spans="1:2">
      <c r="A2595" s="308"/>
      <c r="B2595" s="309"/>
    </row>
    <row r="2596" spans="1:2">
      <c r="A2596" s="308"/>
      <c r="B2596" s="309"/>
    </row>
    <row r="2597" spans="1:2">
      <c r="A2597" s="308"/>
      <c r="B2597" s="309"/>
    </row>
    <row r="2598" spans="1:2">
      <c r="A2598" s="308"/>
      <c r="B2598" s="309"/>
    </row>
    <row r="2599" spans="1:2">
      <c r="A2599" s="308"/>
      <c r="B2599" s="309"/>
    </row>
    <row r="2600" spans="1:2">
      <c r="A2600" s="308"/>
      <c r="B2600" s="309"/>
    </row>
    <row r="2601" spans="1:2">
      <c r="A2601" s="308"/>
      <c r="B2601" s="309"/>
    </row>
    <row r="2602" spans="1:2">
      <c r="A2602" s="308"/>
      <c r="B2602" s="309"/>
    </row>
    <row r="2603" spans="1:2">
      <c r="A2603" s="308"/>
      <c r="B2603" s="309"/>
    </row>
    <row r="2604" spans="1:2">
      <c r="A2604" s="308"/>
      <c r="B2604" s="309"/>
    </row>
    <row r="2605" spans="1:2">
      <c r="A2605" s="308"/>
      <c r="B2605" s="309"/>
    </row>
    <row r="2606" spans="1:2">
      <c r="A2606" s="308"/>
      <c r="B2606" s="309"/>
    </row>
    <row r="2607" spans="1:2">
      <c r="A2607" s="308"/>
      <c r="B2607" s="309"/>
    </row>
    <row r="2608" spans="1:2">
      <c r="A2608" s="308"/>
      <c r="B2608" s="309"/>
    </row>
    <row r="2609" spans="1:2">
      <c r="A2609" s="308"/>
      <c r="B2609" s="309"/>
    </row>
    <row r="2610" spans="1:2">
      <c r="A2610" s="308"/>
      <c r="B2610" s="309"/>
    </row>
    <row r="2611" spans="1:2">
      <c r="A2611" s="308"/>
      <c r="B2611" s="309"/>
    </row>
    <row r="2612" spans="1:2">
      <c r="A2612" s="308"/>
      <c r="B2612" s="309"/>
    </row>
    <row r="2613" spans="1:2">
      <c r="A2613" s="308"/>
      <c r="B2613" s="309"/>
    </row>
    <row r="2614" spans="1:2">
      <c r="A2614" s="308"/>
      <c r="B2614" s="309"/>
    </row>
    <row r="2615" spans="1:2">
      <c r="A2615" s="308"/>
      <c r="B2615" s="309"/>
    </row>
    <row r="2616" spans="1:2">
      <c r="A2616" s="308"/>
      <c r="B2616" s="309"/>
    </row>
    <row r="2617" spans="1:2">
      <c r="A2617" s="308"/>
      <c r="B2617" s="309"/>
    </row>
    <row r="2618" spans="1:2">
      <c r="A2618" s="308"/>
      <c r="B2618" s="309"/>
    </row>
    <row r="2619" spans="1:2">
      <c r="A2619" s="308"/>
      <c r="B2619" s="309"/>
    </row>
    <row r="2620" spans="1:2">
      <c r="A2620" s="308"/>
      <c r="B2620" s="309"/>
    </row>
    <row r="2621" spans="1:2">
      <c r="A2621" s="308"/>
      <c r="B2621" s="309"/>
    </row>
    <row r="2622" spans="1:2">
      <c r="A2622" s="308"/>
      <c r="B2622" s="309"/>
    </row>
    <row r="2623" spans="1:2">
      <c r="A2623" s="308"/>
      <c r="B2623" s="309"/>
    </row>
    <row r="2624" spans="1:2">
      <c r="A2624" s="308"/>
      <c r="B2624" s="309"/>
    </row>
    <row r="2625" spans="1:2">
      <c r="A2625" s="308"/>
      <c r="B2625" s="309"/>
    </row>
    <row r="2626" spans="1:2">
      <c r="A2626" s="308"/>
      <c r="B2626" s="309"/>
    </row>
    <row r="2627" spans="1:2">
      <c r="A2627" s="308"/>
      <c r="B2627" s="309"/>
    </row>
    <row r="2628" spans="1:2">
      <c r="A2628" s="308"/>
      <c r="B2628" s="309"/>
    </row>
    <row r="2629" spans="1:2">
      <c r="A2629" s="308"/>
      <c r="B2629" s="309"/>
    </row>
    <row r="2630" spans="1:2">
      <c r="A2630" s="308"/>
      <c r="B2630" s="309"/>
    </row>
    <row r="2631" spans="1:2">
      <c r="A2631" s="308"/>
      <c r="B2631" s="309"/>
    </row>
    <row r="2632" spans="1:2">
      <c r="A2632" s="308"/>
      <c r="B2632" s="309"/>
    </row>
    <row r="2633" spans="1:2">
      <c r="A2633" s="308"/>
      <c r="B2633" s="309"/>
    </row>
    <row r="2634" spans="1:2">
      <c r="A2634" s="308"/>
      <c r="B2634" s="309"/>
    </row>
    <row r="2635" spans="1:2">
      <c r="A2635" s="308"/>
      <c r="B2635" s="309"/>
    </row>
    <row r="2636" spans="1:2">
      <c r="A2636" s="308"/>
      <c r="B2636" s="309"/>
    </row>
    <row r="2637" spans="1:2">
      <c r="A2637" s="308"/>
      <c r="B2637" s="309"/>
    </row>
    <row r="2638" spans="1:2">
      <c r="A2638" s="308"/>
      <c r="B2638" s="309"/>
    </row>
    <row r="2639" spans="1:2">
      <c r="A2639" s="308"/>
      <c r="B2639" s="309"/>
    </row>
    <row r="2640" spans="1:2">
      <c r="A2640" s="308"/>
      <c r="B2640" s="309"/>
    </row>
    <row r="2641" spans="1:2">
      <c r="A2641" s="308"/>
      <c r="B2641" s="309"/>
    </row>
    <row r="2642" spans="1:2">
      <c r="A2642" s="308"/>
      <c r="B2642" s="309"/>
    </row>
    <row r="2643" spans="1:2">
      <c r="A2643" s="308"/>
      <c r="B2643" s="309"/>
    </row>
    <row r="2644" spans="1:2">
      <c r="A2644" s="308"/>
      <c r="B2644" s="309"/>
    </row>
    <row r="2645" spans="1:2">
      <c r="A2645" s="308"/>
      <c r="B2645" s="309"/>
    </row>
    <row r="2646" spans="1:2">
      <c r="A2646" s="308"/>
      <c r="B2646" s="309"/>
    </row>
    <row r="2647" spans="1:2">
      <c r="A2647" s="308"/>
      <c r="B2647" s="309"/>
    </row>
    <row r="2648" spans="1:2">
      <c r="A2648" s="308"/>
      <c r="B2648" s="309"/>
    </row>
    <row r="2649" spans="1:2">
      <c r="A2649" s="308"/>
      <c r="B2649" s="309"/>
    </row>
    <row r="2650" spans="1:2">
      <c r="A2650" s="308"/>
      <c r="B2650" s="309"/>
    </row>
    <row r="2651" spans="1:2">
      <c r="A2651" s="308"/>
      <c r="B2651" s="309"/>
    </row>
    <row r="2652" spans="1:2">
      <c r="A2652" s="308"/>
      <c r="B2652" s="309"/>
    </row>
    <row r="2653" spans="1:2">
      <c r="A2653" s="308"/>
      <c r="B2653" s="309"/>
    </row>
    <row r="2654" spans="1:2">
      <c r="A2654" s="308"/>
      <c r="B2654" s="309"/>
    </row>
    <row r="2655" spans="1:2">
      <c r="A2655" s="308"/>
      <c r="B2655" s="309"/>
    </row>
    <row r="2656" spans="1:2">
      <c r="A2656" s="308"/>
      <c r="B2656" s="309"/>
    </row>
    <row r="2657" spans="1:2">
      <c r="A2657" s="308"/>
      <c r="B2657" s="309"/>
    </row>
    <row r="2658" spans="1:2">
      <c r="A2658" s="308"/>
      <c r="B2658" s="309"/>
    </row>
    <row r="2659" spans="1:2">
      <c r="A2659" s="308"/>
      <c r="B2659" s="309"/>
    </row>
    <row r="2660" spans="1:2">
      <c r="A2660" s="308"/>
      <c r="B2660" s="309"/>
    </row>
    <row r="2661" spans="1:2">
      <c r="A2661" s="308"/>
      <c r="B2661" s="309"/>
    </row>
    <row r="2662" spans="1:2">
      <c r="A2662" s="308"/>
      <c r="B2662" s="309"/>
    </row>
    <row r="2663" spans="1:2">
      <c r="A2663" s="308"/>
      <c r="B2663" s="309"/>
    </row>
    <row r="2664" spans="1:2">
      <c r="A2664" s="308"/>
      <c r="B2664" s="309"/>
    </row>
    <row r="2665" spans="1:2">
      <c r="A2665" s="308"/>
      <c r="B2665" s="309"/>
    </row>
    <row r="2666" spans="1:2">
      <c r="A2666" s="308"/>
      <c r="B2666" s="309"/>
    </row>
    <row r="2667" spans="1:2">
      <c r="A2667" s="308"/>
      <c r="B2667" s="309"/>
    </row>
    <row r="2668" spans="1:2">
      <c r="A2668" s="308"/>
      <c r="B2668" s="309"/>
    </row>
    <row r="2669" spans="1:2">
      <c r="A2669" s="308"/>
      <c r="B2669" s="309"/>
    </row>
    <row r="2670" spans="1:2">
      <c r="A2670" s="308"/>
      <c r="B2670" s="309"/>
    </row>
    <row r="2671" spans="1:2">
      <c r="A2671" s="308"/>
      <c r="B2671" s="309"/>
    </row>
    <row r="2672" spans="1:2">
      <c r="A2672" s="308"/>
      <c r="B2672" s="309"/>
    </row>
    <row r="2673" spans="1:2">
      <c r="A2673" s="308"/>
      <c r="B2673" s="309"/>
    </row>
    <row r="2674" spans="1:2">
      <c r="A2674" s="308"/>
      <c r="B2674" s="309"/>
    </row>
    <row r="2675" spans="1:2">
      <c r="A2675" s="308"/>
      <c r="B2675" s="309"/>
    </row>
    <row r="2676" spans="1:2">
      <c r="A2676" s="308"/>
      <c r="B2676" s="309"/>
    </row>
    <row r="2677" spans="1:2">
      <c r="A2677" s="308"/>
      <c r="B2677" s="309"/>
    </row>
    <row r="2678" spans="1:2">
      <c r="A2678" s="308"/>
      <c r="B2678" s="309"/>
    </row>
    <row r="2679" spans="1:2">
      <c r="A2679" s="308"/>
      <c r="B2679" s="309"/>
    </row>
    <row r="2680" spans="1:2">
      <c r="A2680" s="308"/>
      <c r="B2680" s="309"/>
    </row>
    <row r="2681" spans="1:2">
      <c r="A2681" s="308"/>
      <c r="B2681" s="309"/>
    </row>
    <row r="2682" spans="1:2">
      <c r="A2682" s="308"/>
      <c r="B2682" s="309"/>
    </row>
    <row r="2683" spans="1:2">
      <c r="A2683" s="308"/>
      <c r="B2683" s="309"/>
    </row>
    <row r="2684" spans="1:2">
      <c r="A2684" s="308"/>
      <c r="B2684" s="309"/>
    </row>
    <row r="2685" spans="1:2">
      <c r="A2685" s="308"/>
      <c r="B2685" s="309"/>
    </row>
    <row r="2686" spans="1:2">
      <c r="A2686" s="308"/>
      <c r="B2686" s="309"/>
    </row>
    <row r="2687" spans="1:2">
      <c r="A2687" s="308"/>
      <c r="B2687" s="309"/>
    </row>
    <row r="2688" spans="1:2">
      <c r="A2688" s="308"/>
      <c r="B2688" s="309"/>
    </row>
    <row r="2689" spans="1:2">
      <c r="A2689" s="308"/>
      <c r="B2689" s="309"/>
    </row>
    <row r="2690" spans="1:2">
      <c r="A2690" s="308"/>
      <c r="B2690" s="309"/>
    </row>
    <row r="2691" spans="1:2">
      <c r="A2691" s="308"/>
      <c r="B2691" s="309"/>
    </row>
    <row r="2692" spans="1:2">
      <c r="A2692" s="308"/>
      <c r="B2692" s="309"/>
    </row>
    <row r="2693" spans="1:2">
      <c r="A2693" s="308"/>
      <c r="B2693" s="309"/>
    </row>
    <row r="2694" spans="1:2">
      <c r="A2694" s="308"/>
      <c r="B2694" s="309"/>
    </row>
    <row r="2695" spans="1:2">
      <c r="A2695" s="308"/>
      <c r="B2695" s="309"/>
    </row>
    <row r="2696" spans="1:2">
      <c r="A2696" s="308"/>
      <c r="B2696" s="309"/>
    </row>
    <row r="2697" spans="1:2">
      <c r="A2697" s="308"/>
      <c r="B2697" s="309"/>
    </row>
    <row r="2698" spans="1:2">
      <c r="A2698" s="308"/>
      <c r="B2698" s="309"/>
    </row>
    <row r="2699" spans="1:2">
      <c r="A2699" s="308"/>
      <c r="B2699" s="309"/>
    </row>
    <row r="2700" spans="1:2">
      <c r="A2700" s="308"/>
      <c r="B2700" s="309"/>
    </row>
    <row r="2701" spans="1:2">
      <c r="A2701" s="308"/>
      <c r="B2701" s="309"/>
    </row>
    <row r="2702" spans="1:2">
      <c r="A2702" s="308"/>
      <c r="B2702" s="309"/>
    </row>
    <row r="2703" spans="1:2">
      <c r="A2703" s="308"/>
      <c r="B2703" s="309"/>
    </row>
    <row r="2704" spans="1:2">
      <c r="A2704" s="308"/>
      <c r="B2704" s="309"/>
    </row>
    <row r="2705" spans="1:2">
      <c r="A2705" s="308"/>
      <c r="B2705" s="309"/>
    </row>
    <row r="2706" spans="1:2">
      <c r="A2706" s="308"/>
      <c r="B2706" s="309"/>
    </row>
    <row r="2707" spans="1:2">
      <c r="A2707" s="308"/>
      <c r="B2707" s="309"/>
    </row>
    <row r="2708" spans="1:2">
      <c r="A2708" s="308"/>
      <c r="B2708" s="309"/>
    </row>
    <row r="2709" spans="1:2">
      <c r="A2709" s="308"/>
      <c r="B2709" s="309"/>
    </row>
    <row r="2710" spans="1:2">
      <c r="A2710" s="308"/>
      <c r="B2710" s="309"/>
    </row>
    <row r="2711" spans="1:2">
      <c r="A2711" s="308"/>
      <c r="B2711" s="309"/>
    </row>
    <row r="2712" spans="1:2">
      <c r="A2712" s="308"/>
      <c r="B2712" s="309"/>
    </row>
    <row r="2713" spans="1:2">
      <c r="A2713" s="308"/>
      <c r="B2713" s="309"/>
    </row>
    <row r="2714" spans="1:2">
      <c r="A2714" s="308"/>
      <c r="B2714" s="309"/>
    </row>
    <row r="2715" spans="1:2">
      <c r="A2715" s="308"/>
      <c r="B2715" s="309"/>
    </row>
    <row r="2716" spans="1:2">
      <c r="A2716" s="308"/>
      <c r="B2716" s="309"/>
    </row>
    <row r="2717" spans="1:2">
      <c r="A2717" s="308"/>
      <c r="B2717" s="309"/>
    </row>
    <row r="2718" spans="1:2">
      <c r="A2718" s="308"/>
      <c r="B2718" s="309"/>
    </row>
    <row r="2719" spans="1:2">
      <c r="A2719" s="308"/>
      <c r="B2719" s="309"/>
    </row>
    <row r="2720" spans="1:2">
      <c r="A2720" s="308"/>
      <c r="B2720" s="309"/>
    </row>
    <row r="2721" spans="1:2">
      <c r="A2721" s="308"/>
      <c r="B2721" s="309"/>
    </row>
    <row r="2722" spans="1:2">
      <c r="A2722" s="308"/>
      <c r="B2722" s="309"/>
    </row>
    <row r="2723" spans="1:2">
      <c r="A2723" s="308"/>
      <c r="B2723" s="309"/>
    </row>
    <row r="2724" spans="1:2">
      <c r="A2724" s="308"/>
      <c r="B2724" s="309"/>
    </row>
    <row r="2725" spans="1:2">
      <c r="A2725" s="308"/>
      <c r="B2725" s="309"/>
    </row>
    <row r="2726" spans="1:2">
      <c r="A2726" s="308"/>
      <c r="B2726" s="309"/>
    </row>
    <row r="2727" spans="1:2">
      <c r="A2727" s="308"/>
      <c r="B2727" s="309"/>
    </row>
    <row r="2728" spans="1:2">
      <c r="A2728" s="308"/>
      <c r="B2728" s="309"/>
    </row>
    <row r="2729" spans="1:2">
      <c r="A2729" s="308"/>
      <c r="B2729" s="309"/>
    </row>
    <row r="2730" spans="1:2">
      <c r="A2730" s="308"/>
      <c r="B2730" s="309"/>
    </row>
    <row r="2731" spans="1:2">
      <c r="A2731" s="308"/>
      <c r="B2731" s="309"/>
    </row>
    <row r="2732" spans="1:2">
      <c r="A2732" s="308"/>
      <c r="B2732" s="309"/>
    </row>
    <row r="2733" spans="1:2">
      <c r="A2733" s="308"/>
      <c r="B2733" s="309"/>
    </row>
    <row r="2734" spans="1:2">
      <c r="A2734" s="308"/>
      <c r="B2734" s="309"/>
    </row>
    <row r="2735" spans="1:2">
      <c r="A2735" s="308"/>
      <c r="B2735" s="309"/>
    </row>
    <row r="2736" spans="1:2">
      <c r="A2736" s="308"/>
      <c r="B2736" s="309"/>
    </row>
    <row r="2737" spans="1:2">
      <c r="A2737" s="308"/>
      <c r="B2737" s="309"/>
    </row>
    <row r="2738" spans="1:2">
      <c r="A2738" s="308"/>
      <c r="B2738" s="309"/>
    </row>
    <row r="2739" spans="1:2">
      <c r="A2739" s="308"/>
      <c r="B2739" s="309"/>
    </row>
    <row r="2740" spans="1:2">
      <c r="A2740" s="308"/>
      <c r="B2740" s="309"/>
    </row>
    <row r="2741" spans="1:2">
      <c r="A2741" s="308"/>
      <c r="B2741" s="309"/>
    </row>
    <row r="2742" spans="1:2">
      <c r="A2742" s="308"/>
      <c r="B2742" s="309"/>
    </row>
    <row r="2743" spans="1:2">
      <c r="A2743" s="308"/>
      <c r="B2743" s="309"/>
    </row>
    <row r="2744" spans="1:2">
      <c r="A2744" s="308"/>
      <c r="B2744" s="309"/>
    </row>
    <row r="2745" spans="1:2">
      <c r="A2745" s="308"/>
      <c r="B2745" s="309"/>
    </row>
    <row r="2746" spans="1:2">
      <c r="A2746" s="308"/>
      <c r="B2746" s="309"/>
    </row>
    <row r="2747" spans="1:2">
      <c r="A2747" s="308"/>
      <c r="B2747" s="309"/>
    </row>
    <row r="2748" spans="1:2">
      <c r="A2748" s="308"/>
      <c r="B2748" s="309"/>
    </row>
    <row r="2749" spans="1:2">
      <c r="A2749" s="308"/>
      <c r="B2749" s="309"/>
    </row>
    <row r="2750" spans="1:2">
      <c r="A2750" s="308"/>
      <c r="B2750" s="309"/>
    </row>
    <row r="2751" spans="1:2">
      <c r="A2751" s="13"/>
      <c r="B2751" s="310"/>
    </row>
  </sheetData>
  <conditionalFormatting sqref="B1873:B1876">
    <cfRule type="expression" dxfId="410" priority="1">
      <formula>B1873&lt;&gt;""</formula>
    </cfRule>
  </conditionalFormatting>
  <pageMargins left="0.98425196850393704" right="0.78740157480314965" top="1.1023622047244095" bottom="0.74803149606299213" header="0.31496062992125984" footer="0.31496062992125984"/>
  <pageSetup paperSize="9" scale="53" orientation="landscape" r:id="rId1"/>
  <headerFooter scaleWithDoc="0">
    <oddHeader>&amp;L&amp;G</oddHeader>
    <oddFooter>&amp;R&amp;UAnlage 3b
&amp;USeite &amp;P</oddFooter>
  </headerFooter>
  <rowBreaks count="1" manualBreakCount="1">
    <brk id="1858" max="16383" man="1"/>
  </rowBreaks>
  <ignoredErrors>
    <ignoredError sqref="B180:C180" formulaRange="1"/>
    <ignoredError sqref="E180" formula="1" formulaRange="1"/>
    <ignoredError sqref="E415" formula="1"/>
  </ignoredError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DD89-178F-49C2-A1F3-16CAC6624AF9}">
  <sheetPr>
    <tabColor theme="5"/>
  </sheetPr>
  <dimension ref="A1:AG643"/>
  <sheetViews>
    <sheetView topLeftCell="E1" workbookViewId="0">
      <selection activeCell="K115" sqref="K115"/>
    </sheetView>
  </sheetViews>
  <sheetFormatPr baseColWidth="10" defaultColWidth="11.42578125" defaultRowHeight="11.25" outlineLevelRow="2" outlineLevelCol="1"/>
  <cols>
    <col min="1" max="1" width="17.5703125" style="373" customWidth="1"/>
    <col min="2" max="2" width="6.28515625" style="373" customWidth="1"/>
    <col min="3" max="3" width="8.5703125" style="373" customWidth="1"/>
    <col min="4" max="4" width="31.42578125" style="373" customWidth="1"/>
    <col min="5" max="5" width="13.42578125" style="373" customWidth="1" outlineLevel="1"/>
    <col min="6" max="6" width="14.85546875" style="373" customWidth="1" outlineLevel="1"/>
    <col min="7" max="7" width="13.42578125" style="373" bestFit="1" customWidth="1"/>
    <col min="8" max="8" width="13.42578125" style="373" customWidth="1" outlineLevel="1"/>
    <col min="9" max="9" width="15.85546875" style="373" customWidth="1" outlineLevel="1"/>
    <col min="10" max="10" width="13.140625" style="373" bestFit="1" customWidth="1"/>
    <col min="11" max="11" width="14.28515625" style="373" customWidth="1" outlineLevel="1"/>
    <col min="12" max="12" width="14.7109375" style="373" customWidth="1" outlineLevel="1"/>
    <col min="13" max="13" width="14.7109375" style="373" customWidth="1"/>
    <col min="14" max="14" width="13.42578125" style="373" customWidth="1" outlineLevel="1"/>
    <col min="15" max="15" width="14.85546875" style="373" customWidth="1" outlineLevel="1"/>
    <col min="16" max="16" width="13.7109375" style="373" bestFit="1" customWidth="1"/>
    <col min="17" max="17" width="26.42578125" style="373" bestFit="1" customWidth="1"/>
    <col min="18" max="18" width="7.28515625" style="373" customWidth="1"/>
    <col min="19" max="20" width="6.7109375" style="373" customWidth="1"/>
    <col min="21" max="21" width="28.42578125" style="373" bestFit="1" customWidth="1"/>
    <col min="22" max="22" width="14.28515625" style="373" hidden="1" customWidth="1" outlineLevel="1"/>
    <col min="23" max="23" width="16.28515625" style="373" hidden="1" customWidth="1" outlineLevel="1"/>
    <col min="24" max="24" width="19.42578125" style="373" customWidth="1" collapsed="1"/>
    <col min="25" max="25" width="28.42578125" style="373" customWidth="1" outlineLevel="1"/>
    <col min="26" max="26" width="24.42578125" style="373" customWidth="1" outlineLevel="1"/>
    <col min="27" max="27" width="21.140625" style="373" customWidth="1"/>
    <col min="28" max="28" width="24.42578125" style="373" hidden="1" customWidth="1" outlineLevel="1"/>
    <col min="29" max="29" width="0" style="373" hidden="1" customWidth="1" outlineLevel="1"/>
    <col min="30" max="30" width="19.140625" style="373" customWidth="1" collapsed="1"/>
    <col min="31" max="32" width="11.42578125" style="373" customWidth="1" outlineLevel="1"/>
    <col min="33" max="33" width="21.85546875" style="373" customWidth="1"/>
    <col min="34" max="16384" width="11.42578125" style="373"/>
  </cols>
  <sheetData>
    <row r="1" spans="1:28">
      <c r="A1" s="996">
        <f>+'Anlage 1a_Zuschlagszahlungen_NB'!E4</f>
        <v>2025</v>
      </c>
      <c r="C1" s="373" t="s">
        <v>2492</v>
      </c>
      <c r="D1" s="997" t="s">
        <v>2493</v>
      </c>
    </row>
    <row r="2" spans="1:28">
      <c r="D2" s="998" t="s">
        <v>2494</v>
      </c>
    </row>
    <row r="3" spans="1:28" ht="12" thickBot="1">
      <c r="D3" s="999" t="s">
        <v>2047</v>
      </c>
    </row>
    <row r="4" spans="1:28" ht="39.75" customHeight="1">
      <c r="A4" s="1000"/>
      <c r="B4" s="1001"/>
      <c r="C4" s="1001"/>
      <c r="D4" s="1002"/>
      <c r="E4" s="1844" t="s">
        <v>455</v>
      </c>
      <c r="F4" s="1845"/>
      <c r="G4" s="1846"/>
      <c r="H4" s="1844" t="s">
        <v>774</v>
      </c>
      <c r="I4" s="1845"/>
      <c r="J4" s="1846"/>
      <c r="K4" s="1844" t="s">
        <v>1220</v>
      </c>
      <c r="L4" s="1845"/>
      <c r="M4" s="1846"/>
      <c r="N4" s="1844" t="s">
        <v>1828</v>
      </c>
      <c r="O4" s="1845"/>
      <c r="P4" s="1846"/>
    </row>
    <row r="5" spans="1:28" ht="39.75" customHeight="1" thickBot="1">
      <c r="A5" s="1852" t="str">
        <f xml:space="preserve"> "Kalenderjahr " &amp; A1</f>
        <v>Kalenderjahr 2025</v>
      </c>
      <c r="B5" s="1853"/>
      <c r="C5" s="1853"/>
      <c r="D5" s="1854"/>
      <c r="E5" s="1003"/>
      <c r="F5" s="1004"/>
      <c r="G5" s="1005"/>
      <c r="H5" s="1006"/>
      <c r="I5" s="1007"/>
      <c r="J5" s="1008"/>
      <c r="K5" s="1006"/>
      <c r="L5" s="1007"/>
      <c r="M5" s="1008"/>
      <c r="N5" s="1006"/>
      <c r="O5" s="1007"/>
      <c r="P5" s="1008"/>
      <c r="T5" s="996"/>
      <c r="U5" s="1009"/>
      <c r="V5" s="1009"/>
      <c r="W5" s="1009"/>
      <c r="X5" s="1009"/>
      <c r="Y5" s="1009"/>
      <c r="Z5" s="1010"/>
      <c r="AA5" s="1011"/>
      <c r="AB5" s="1012"/>
    </row>
    <row r="6" spans="1:28" s="1020" customFormat="1" ht="12" thickBot="1">
      <c r="A6" s="1013" t="s">
        <v>2495</v>
      </c>
      <c r="B6" s="1014"/>
      <c r="C6" s="1014"/>
      <c r="D6" s="1015"/>
      <c r="E6" s="1016"/>
      <c r="F6" s="1017" t="s">
        <v>2496</v>
      </c>
      <c r="G6" s="1018">
        <f>+E17-F17</f>
        <v>0</v>
      </c>
      <c r="H6" s="1019"/>
      <c r="I6" s="1017" t="s">
        <v>2496</v>
      </c>
      <c r="J6" s="1018">
        <f>+H17-I17</f>
        <v>0</v>
      </c>
      <c r="K6" s="1019"/>
      <c r="L6" s="1017" t="s">
        <v>2496</v>
      </c>
      <c r="M6" s="1018">
        <f>+K17-L17</f>
        <v>0.204010009765625</v>
      </c>
      <c r="N6" s="1019"/>
      <c r="O6" s="1017" t="s">
        <v>2496</v>
      </c>
      <c r="P6" s="1018">
        <f>+N17-O17</f>
        <v>0</v>
      </c>
      <c r="Q6" s="373"/>
      <c r="U6" s="1021"/>
      <c r="V6" s="1021"/>
      <c r="W6" s="1021"/>
      <c r="X6" s="1021"/>
      <c r="Y6" s="1021"/>
    </row>
    <row r="7" spans="1:28" s="1020" customFormat="1" hidden="1" outlineLevel="1">
      <c r="A7" s="1022"/>
      <c r="D7" s="1023"/>
      <c r="E7" s="1024"/>
      <c r="F7" s="1025"/>
      <c r="G7" s="1026"/>
      <c r="H7" s="1027"/>
      <c r="I7" s="1025"/>
      <c r="J7" s="1026"/>
      <c r="K7" s="1027"/>
      <c r="L7" s="1025"/>
      <c r="M7" s="1026"/>
      <c r="N7" s="1027"/>
      <c r="O7" s="1025"/>
      <c r="P7" s="1026"/>
      <c r="Q7" s="373"/>
      <c r="U7" s="1021"/>
      <c r="V7" s="1021"/>
      <c r="W7" s="1021"/>
      <c r="X7" s="1021"/>
      <c r="Y7" s="1021"/>
    </row>
    <row r="8" spans="1:28" ht="33.75" hidden="1" outlineLevel="1">
      <c r="A8" s="1028"/>
      <c r="C8" s="1183" t="s">
        <v>2497</v>
      </c>
      <c r="D8" s="1030" t="s">
        <v>2498</v>
      </c>
      <c r="E8" s="1031" t="s">
        <v>2499</v>
      </c>
      <c r="F8" s="1032" t="s">
        <v>2499</v>
      </c>
      <c r="G8" s="1033"/>
      <c r="H8" s="1034" t="s">
        <v>2499</v>
      </c>
      <c r="I8" s="1032" t="s">
        <v>2499</v>
      </c>
      <c r="J8" s="1033"/>
      <c r="K8" s="1034" t="s">
        <v>2499</v>
      </c>
      <c r="L8" s="1032" t="s">
        <v>2499</v>
      </c>
      <c r="M8" s="1033"/>
      <c r="N8" s="1034" t="s">
        <v>2499</v>
      </c>
      <c r="O8" s="1032" t="s">
        <v>2499</v>
      </c>
      <c r="P8" s="1033"/>
      <c r="U8" s="1021"/>
      <c r="V8" s="1021"/>
      <c r="W8" s="1021"/>
      <c r="X8" s="1021"/>
      <c r="Y8" s="1021"/>
    </row>
    <row r="9" spans="1:28" hidden="1" outlineLevel="1">
      <c r="A9" s="1028"/>
      <c r="C9" s="1029">
        <v>2</v>
      </c>
      <c r="D9" s="1035" t="s">
        <v>2408</v>
      </c>
      <c r="E9" s="1036">
        <v>64432505169</v>
      </c>
      <c r="F9" s="1037">
        <f>+VLOOKUP(E$4,'Anlage 2a_Letztverbrauch'!$A$7:$I$923,$C9,FALSE)</f>
        <v>64432505169</v>
      </c>
      <c r="G9" s="1033"/>
      <c r="H9" s="1038">
        <v>103993578545</v>
      </c>
      <c r="I9" s="1037">
        <f>+VLOOKUP(H$4,'Anlage 2a_Letztverbrauch'!$A$7:$I$923,$C9,FALSE)</f>
        <v>103993578545</v>
      </c>
      <c r="J9" s="1033"/>
      <c r="K9" s="1038">
        <v>101027395153</v>
      </c>
      <c r="L9" s="1037">
        <f>+VLOOKUP(K$4,'Anlage 2a_Letztverbrauch'!$A$7:$I$923,$C9,FALSE)</f>
        <v>101027395152.909</v>
      </c>
      <c r="M9" s="1033"/>
      <c r="N9" s="1038">
        <v>45111195326</v>
      </c>
      <c r="O9" s="1037">
        <f>+VLOOKUP(N$4,'Anlage 2a_Letztverbrauch'!$A$7:$I$923,$C9,FALSE)</f>
        <v>45111195326</v>
      </c>
      <c r="P9" s="1033"/>
      <c r="U9" s="1021"/>
      <c r="V9" s="1021"/>
      <c r="W9" s="1021"/>
      <c r="X9" s="1021"/>
      <c r="Y9" s="1021"/>
    </row>
    <row r="10" spans="1:28" hidden="1" outlineLevel="1">
      <c r="A10" s="1028"/>
      <c r="C10" s="1029">
        <f>+C9+1</f>
        <v>3</v>
      </c>
      <c r="D10" s="1035" t="s">
        <v>2500</v>
      </c>
      <c r="E10" s="1036">
        <v>111650383</v>
      </c>
      <c r="F10" s="1037">
        <f>+VLOOKUP(E$4,'Anlage 2a_Letztverbrauch'!$A$7:$I$923,$C10,FALSE)</f>
        <v>111650383</v>
      </c>
      <c r="G10" s="1033"/>
      <c r="H10" s="1038">
        <v>112089745</v>
      </c>
      <c r="I10" s="1037">
        <f>+VLOOKUP(H$4,'Anlage 2a_Letztverbrauch'!$A$7:$I$923,$C10,FALSE)</f>
        <v>112089745</v>
      </c>
      <c r="J10" s="1033"/>
      <c r="K10" s="1038">
        <v>132298601</v>
      </c>
      <c r="L10" s="1037">
        <f>+VLOOKUP(K$4,'Anlage 2a_Letztverbrauch'!$A$7:$I$923,$C10,FALSE)</f>
        <v>132298600.88699999</v>
      </c>
      <c r="M10" s="1033"/>
      <c r="N10" s="1038">
        <v>34780640</v>
      </c>
      <c r="O10" s="1037">
        <f>+VLOOKUP(N$4,'Anlage 2a_Letztverbrauch'!$A$7:$I$923,$C10,FALSE)</f>
        <v>34780640</v>
      </c>
      <c r="P10" s="1033"/>
      <c r="X10" s="1021"/>
      <c r="Y10" s="1021"/>
    </row>
    <row r="11" spans="1:28" hidden="1" outlineLevel="1">
      <c r="A11" s="1028"/>
      <c r="C11" s="1029">
        <f t="shared" ref="C11:C15" si="0">+C10+1</f>
        <v>4</v>
      </c>
      <c r="D11" s="1035" t="s">
        <v>2418</v>
      </c>
      <c r="E11" s="1036">
        <v>0</v>
      </c>
      <c r="F11" s="1037">
        <f>+VLOOKUP(E$4,'Anlage 2a_Letztverbrauch'!$A$7:$I$923,$C11,FALSE)</f>
        <v>0</v>
      </c>
      <c r="G11" s="1033"/>
      <c r="H11" s="1038">
        <v>835458636</v>
      </c>
      <c r="I11" s="1037">
        <f>+VLOOKUP(H$4,'Anlage 2a_Letztverbrauch'!$A$7:$I$923,$C11,FALSE)</f>
        <v>835458636</v>
      </c>
      <c r="J11" s="1033"/>
      <c r="K11" s="1038">
        <v>8513259</v>
      </c>
      <c r="L11" s="1037">
        <f>+VLOOKUP(K$4,'Anlage 2a_Letztverbrauch'!$A$7:$I$923,$C11,FALSE)</f>
        <v>8513259</v>
      </c>
      <c r="M11" s="1033"/>
      <c r="N11" s="1038">
        <v>0</v>
      </c>
      <c r="O11" s="1037">
        <f>+VLOOKUP(N$4,'Anlage 2a_Letztverbrauch'!$A$7:$I$923,$C11,FALSE)</f>
        <v>0</v>
      </c>
      <c r="P11" s="1033"/>
      <c r="U11" s="1021"/>
      <c r="V11" s="1021"/>
      <c r="W11" s="1021"/>
      <c r="X11" s="1021"/>
      <c r="Y11" s="1021"/>
    </row>
    <row r="12" spans="1:28" hidden="1" outlineLevel="1">
      <c r="A12" s="1028"/>
      <c r="C12" s="1029">
        <f t="shared" si="0"/>
        <v>5</v>
      </c>
      <c r="D12" s="1035" t="s">
        <v>2501</v>
      </c>
      <c r="E12" s="1036">
        <v>0</v>
      </c>
      <c r="F12" s="1037">
        <f>+VLOOKUP(E$4,'Anlage 2a_Letztverbrauch'!$A$7:$I$923,$C12,FALSE)</f>
        <v>0</v>
      </c>
      <c r="G12" s="1033"/>
      <c r="H12" s="1038">
        <v>0</v>
      </c>
      <c r="I12" s="1037">
        <f>+VLOOKUP(H$4,'Anlage 2a_Letztverbrauch'!$A$7:$I$923,$C12,FALSE)</f>
        <v>0</v>
      </c>
      <c r="J12" s="1033"/>
      <c r="K12" s="1038">
        <v>0</v>
      </c>
      <c r="L12" s="1037">
        <f>+VLOOKUP(K$4,'Anlage 2a_Letztverbrauch'!$A$7:$I$923,$C12,FALSE)</f>
        <v>0</v>
      </c>
      <c r="M12" s="1033"/>
      <c r="N12" s="1038">
        <v>0</v>
      </c>
      <c r="O12" s="1037">
        <f>+VLOOKUP(N$4,'Anlage 2a_Letztverbrauch'!$A$7:$I$923,$C12,FALSE)</f>
        <v>0</v>
      </c>
      <c r="P12" s="1033"/>
      <c r="U12" s="1021"/>
      <c r="V12" s="1021"/>
      <c r="W12" s="1021"/>
      <c r="X12" s="1021"/>
      <c r="Y12" s="1021"/>
    </row>
    <row r="13" spans="1:28" hidden="1" outlineLevel="1">
      <c r="A13" s="1028"/>
      <c r="C13" s="1029">
        <f t="shared" si="0"/>
        <v>6</v>
      </c>
      <c r="D13" s="1035" t="s">
        <v>2409</v>
      </c>
      <c r="E13" s="1036">
        <v>3632631490</v>
      </c>
      <c r="F13" s="1037">
        <f>+VLOOKUP(E$4,'Anlage 2a_Letztverbrauch'!$A$7:$I$923,$C13,FALSE)</f>
        <v>3632631490</v>
      </c>
      <c r="G13" s="1033"/>
      <c r="H13" s="1038">
        <v>4011300471</v>
      </c>
      <c r="I13" s="1037">
        <f>+VLOOKUP(H$4,'Anlage 2a_Letztverbrauch'!$A$7:$I$923,$C13,FALSE)</f>
        <v>4011300471</v>
      </c>
      <c r="J13" s="1033"/>
      <c r="K13" s="1038">
        <v>4639577338</v>
      </c>
      <c r="L13" s="1037">
        <f>+VLOOKUP(K$4,'Anlage 2a_Letztverbrauch'!$A$7:$I$923,$C13,FALSE)</f>
        <v>4639577338</v>
      </c>
      <c r="M13" s="1033"/>
      <c r="N13" s="1038">
        <v>2272678372</v>
      </c>
      <c r="O13" s="1037">
        <f>+VLOOKUP(N$4,'Anlage 2a_Letztverbrauch'!$A$7:$I$923,$C13,FALSE)</f>
        <v>2272678372</v>
      </c>
      <c r="P13" s="1033"/>
      <c r="U13" s="1021"/>
      <c r="V13" s="1021"/>
      <c r="W13" s="1021"/>
      <c r="X13" s="1021"/>
      <c r="Y13" s="1021"/>
    </row>
    <row r="14" spans="1:28" hidden="1" outlineLevel="1">
      <c r="A14" s="1028"/>
      <c r="C14" s="1029">
        <f t="shared" si="0"/>
        <v>7</v>
      </c>
      <c r="D14" s="1035" t="s">
        <v>2419</v>
      </c>
      <c r="E14" s="1036">
        <v>5600658</v>
      </c>
      <c r="F14" s="1037">
        <f>+VLOOKUP(E$4,'Anlage 2a_Letztverbrauch'!$A$7:$I$923,$C14,FALSE)</f>
        <v>5600658</v>
      </c>
      <c r="G14" s="1033"/>
      <c r="H14" s="1038">
        <v>16506982</v>
      </c>
      <c r="I14" s="1037">
        <f>+VLOOKUP(H$4,'Anlage 2a_Letztverbrauch'!$A$7:$I$923,$C14,FALSE)</f>
        <v>16506982</v>
      </c>
      <c r="J14" s="1033"/>
      <c r="K14" s="1038">
        <v>26010568</v>
      </c>
      <c r="L14" s="1037">
        <f>+VLOOKUP(K$4,'Anlage 2a_Letztverbrauch'!$A$7:$I$923,$C14,FALSE)</f>
        <v>26010568</v>
      </c>
      <c r="M14" s="1033"/>
      <c r="N14" s="1038">
        <v>2004015</v>
      </c>
      <c r="O14" s="1037">
        <f>+VLOOKUP(N$4,'Anlage 2a_Letztverbrauch'!$A$7:$I$923,$C14,FALSE)</f>
        <v>2004015</v>
      </c>
      <c r="P14" s="1033"/>
      <c r="U14" s="1021"/>
      <c r="V14" s="1021"/>
      <c r="W14" s="1021"/>
    </row>
    <row r="15" spans="1:28" hidden="1" outlineLevel="1">
      <c r="A15" s="1028"/>
      <c r="C15" s="1029">
        <f t="shared" si="0"/>
        <v>8</v>
      </c>
      <c r="D15" s="1035" t="s">
        <v>2412</v>
      </c>
      <c r="E15" s="1036">
        <v>10211833</v>
      </c>
      <c r="F15" s="1037">
        <f>+VLOOKUP(E$4,'Anlage 2a_Letztverbrauch'!$A$7:$I$923,$C15,FALSE)</f>
        <v>10211833</v>
      </c>
      <c r="G15" s="1033"/>
      <c r="H15" s="1038">
        <v>0</v>
      </c>
      <c r="I15" s="1037">
        <f>+VLOOKUP(H$4,'Anlage 2a_Letztverbrauch'!$A$7:$I$923,$C15,FALSE)</f>
        <v>0</v>
      </c>
      <c r="J15" s="1033"/>
      <c r="K15" s="1038">
        <v>112116</v>
      </c>
      <c r="L15" s="1037">
        <f>+VLOOKUP(K$4,'Anlage 2a_Letztverbrauch'!$A$7:$I$923,$C15,FALSE)</f>
        <v>112116</v>
      </c>
      <c r="M15" s="1033"/>
      <c r="N15" s="1038">
        <v>0</v>
      </c>
      <c r="O15" s="1037">
        <f>+VLOOKUP(N$4,'Anlage 2a_Letztverbrauch'!$A$7:$I$923,$C15,FALSE)</f>
        <v>0</v>
      </c>
      <c r="P15" s="1033"/>
    </row>
    <row r="16" spans="1:28" hidden="1" outlineLevel="1">
      <c r="A16" s="1028"/>
      <c r="C16" s="1029"/>
      <c r="D16" s="1178" t="s">
        <v>2502</v>
      </c>
      <c r="E16" s="1179">
        <v>21462313367</v>
      </c>
      <c r="F16" s="1182">
        <f>+E16</f>
        <v>21462313367</v>
      </c>
      <c r="G16" s="1033"/>
      <c r="H16" s="1142">
        <v>44017351794</v>
      </c>
      <c r="I16" s="1182">
        <f>+H16</f>
        <v>44017351794</v>
      </c>
      <c r="J16" s="1033"/>
      <c r="K16" s="1142">
        <v>25574007946</v>
      </c>
      <c r="L16" s="1182">
        <f>+K16</f>
        <v>25574007946</v>
      </c>
      <c r="M16" s="1033"/>
      <c r="N16" s="1142">
        <v>8125670765</v>
      </c>
      <c r="O16" s="1182">
        <f>+N16</f>
        <v>8125670765</v>
      </c>
      <c r="P16" s="1033"/>
    </row>
    <row r="17" spans="1:25" ht="12" hidden="1" outlineLevel="1" thickBot="1">
      <c r="A17" s="1028"/>
      <c r="C17" s="1029"/>
      <c r="D17" s="1039" t="s">
        <v>2503</v>
      </c>
      <c r="E17" s="1040">
        <f>+SUM(E9:E16)</f>
        <v>89654912900</v>
      </c>
      <c r="F17" s="1040">
        <f>+SUM(F9:F16)</f>
        <v>89654912900</v>
      </c>
      <c r="G17" s="1041"/>
      <c r="H17" s="1040">
        <f>+SUM(H9:H16)</f>
        <v>152986286173</v>
      </c>
      <c r="I17" s="1040">
        <f>+SUM(I9:I16)</f>
        <v>152986286173</v>
      </c>
      <c r="J17" s="1041"/>
      <c r="K17" s="1040">
        <f>+SUM(K9:K16)</f>
        <v>131407914981</v>
      </c>
      <c r="L17" s="1040">
        <f>+SUM(L9:L16)</f>
        <v>131407914980.79599</v>
      </c>
      <c r="M17" s="1041"/>
      <c r="N17" s="1040">
        <f>+SUM(N9:N16)</f>
        <v>55546329118</v>
      </c>
      <c r="O17" s="1040">
        <f>+SUM(O9:O16)</f>
        <v>55546329118</v>
      </c>
      <c r="P17" s="1041"/>
      <c r="V17" s="1009"/>
      <c r="W17" s="1009"/>
      <c r="X17" s="1009"/>
      <c r="Y17" s="1009"/>
    </row>
    <row r="18" spans="1:25" ht="12" collapsed="1" thickBot="1">
      <c r="A18" s="1013" t="s">
        <v>2504</v>
      </c>
      <c r="B18" s="1001"/>
      <c r="C18" s="1001"/>
      <c r="D18" s="1042"/>
      <c r="E18" s="1043"/>
      <c r="F18" s="1017" t="s">
        <v>2505</v>
      </c>
      <c r="G18" s="1018">
        <f>+SUM(E21:G23)-SUM(E26:G28)</f>
        <v>-7.2298049926757813E-3</v>
      </c>
      <c r="H18" s="1044"/>
      <c r="I18" s="1017" t="s">
        <v>2505</v>
      </c>
      <c r="J18" s="1018">
        <f>+SUM(H21:J23)-SUM(H26:J28)</f>
        <v>0</v>
      </c>
      <c r="K18" s="1044"/>
      <c r="L18" s="1017" t="s">
        <v>2505</v>
      </c>
      <c r="M18" s="1018">
        <f>+SUM(K21:M23)-SUM(K26:M28)</f>
        <v>0.30000019073486328</v>
      </c>
      <c r="N18" s="1044"/>
      <c r="O18" s="1017" t="s">
        <v>2505</v>
      </c>
      <c r="P18" s="1018">
        <f>+SUM(N21:P23)-SUM(N26:P28)</f>
        <v>0</v>
      </c>
      <c r="V18" s="1045"/>
      <c r="W18" s="1045"/>
      <c r="X18" s="1045"/>
      <c r="Y18" s="1045"/>
    </row>
    <row r="19" spans="1:25" hidden="1" outlineLevel="1">
      <c r="A19" s="1022"/>
      <c r="D19" s="1046"/>
      <c r="E19" s="1047"/>
      <c r="F19" s="1025"/>
      <c r="G19" s="1026"/>
      <c r="H19" s="1048"/>
      <c r="I19" s="1025"/>
      <c r="J19" s="1026"/>
      <c r="K19" s="1048"/>
      <c r="L19" s="1025"/>
      <c r="M19" s="1026"/>
      <c r="N19" s="1048"/>
      <c r="O19" s="1025"/>
      <c r="P19" s="1026"/>
      <c r="V19" s="1045"/>
      <c r="W19" s="1045"/>
      <c r="X19" s="1045"/>
      <c r="Y19" s="1045"/>
    </row>
    <row r="20" spans="1:25" ht="33.75" hidden="1" outlineLevel="1">
      <c r="A20" s="1028"/>
      <c r="D20" s="1030" t="s">
        <v>2506</v>
      </c>
      <c r="E20" s="1031" t="s">
        <v>2499</v>
      </c>
      <c r="F20" s="1032" t="s">
        <v>2507</v>
      </c>
      <c r="G20" s="1049" t="s">
        <v>2508</v>
      </c>
      <c r="H20" s="1034" t="s">
        <v>2499</v>
      </c>
      <c r="I20" s="1032" t="s">
        <v>2507</v>
      </c>
      <c r="J20" s="1049" t="s">
        <v>2508</v>
      </c>
      <c r="K20" s="1034" t="s">
        <v>2499</v>
      </c>
      <c r="L20" s="1032" t="s">
        <v>2507</v>
      </c>
      <c r="M20" s="1049" t="s">
        <v>2508</v>
      </c>
      <c r="N20" s="1034" t="s">
        <v>2499</v>
      </c>
      <c r="O20" s="1032" t="s">
        <v>2507</v>
      </c>
      <c r="P20" s="1049" t="s">
        <v>2508</v>
      </c>
      <c r="V20" s="1045"/>
      <c r="W20" s="1045"/>
      <c r="X20" s="1045"/>
      <c r="Y20" s="1045"/>
    </row>
    <row r="21" spans="1:25" hidden="1" outlineLevel="1">
      <c r="A21" s="1028"/>
      <c r="D21" s="1050" t="s">
        <v>2411</v>
      </c>
      <c r="E21" s="1051">
        <v>4963064089</v>
      </c>
      <c r="F21" s="1052">
        <v>-13747687.529999999</v>
      </c>
      <c r="G21" s="1053">
        <v>-40498602.969999999</v>
      </c>
      <c r="H21" s="1051">
        <v>2882319448</v>
      </c>
      <c r="I21" s="1052">
        <v>-7969061.9800000004</v>
      </c>
      <c r="J21" s="1053">
        <v>-23475648.260000002</v>
      </c>
      <c r="K21" s="1051">
        <v>1635484403</v>
      </c>
      <c r="L21" s="1052">
        <v>-4529748.45</v>
      </c>
      <c r="M21" s="1053">
        <v>-13343951.32</v>
      </c>
      <c r="N21" s="1051">
        <v>1142586179</v>
      </c>
      <c r="O21" s="1052">
        <v>-3164963.69</v>
      </c>
      <c r="P21" s="1053">
        <v>-9323503.0899999999</v>
      </c>
      <c r="V21" s="1045"/>
      <c r="W21" s="1045"/>
      <c r="X21" s="1045"/>
      <c r="Y21" s="1045"/>
    </row>
    <row r="22" spans="1:25" hidden="1" outlineLevel="1">
      <c r="A22" s="1028"/>
      <c r="D22" s="1050" t="s">
        <v>2375</v>
      </c>
      <c r="E22" s="1051">
        <v>0</v>
      </c>
      <c r="F22" s="1052">
        <v>0</v>
      </c>
      <c r="G22" s="1053">
        <v>0</v>
      </c>
      <c r="H22" s="1051">
        <v>0</v>
      </c>
      <c r="I22" s="1052">
        <v>0</v>
      </c>
      <c r="J22" s="1053">
        <v>0</v>
      </c>
      <c r="K22" s="1051">
        <v>62483</v>
      </c>
      <c r="L22" s="1052">
        <v>-173.08</v>
      </c>
      <c r="M22" s="1053">
        <v>-509.86</v>
      </c>
      <c r="N22" s="1051">
        <v>4261</v>
      </c>
      <c r="O22" s="1052">
        <v>-11.8</v>
      </c>
      <c r="P22" s="1053">
        <v>-34.770000000000003</v>
      </c>
      <c r="V22" s="1045"/>
      <c r="W22" s="1045"/>
      <c r="X22" s="1045"/>
      <c r="Y22" s="1045"/>
    </row>
    <row r="23" spans="1:25" hidden="1" outlineLevel="1">
      <c r="A23" s="1028"/>
      <c r="D23" s="1050" t="s">
        <v>2431</v>
      </c>
      <c r="E23" s="1051">
        <v>0</v>
      </c>
      <c r="F23" s="1052">
        <v>0</v>
      </c>
      <c r="G23" s="1053">
        <v>0</v>
      </c>
      <c r="H23" s="1051">
        <v>0</v>
      </c>
      <c r="I23" s="1052">
        <v>0</v>
      </c>
      <c r="J23" s="1053">
        <v>0</v>
      </c>
      <c r="K23" s="1051">
        <v>0</v>
      </c>
      <c r="L23" s="1052">
        <v>0</v>
      </c>
      <c r="M23" s="1053">
        <v>0</v>
      </c>
      <c r="N23" s="1051">
        <v>0</v>
      </c>
      <c r="O23" s="1052">
        <v>0</v>
      </c>
      <c r="P23" s="1053">
        <v>0</v>
      </c>
      <c r="V23" s="1045"/>
      <c r="W23" s="1045"/>
      <c r="X23" s="1054"/>
      <c r="Y23" s="1054"/>
    </row>
    <row r="24" spans="1:25" hidden="1" outlineLevel="1">
      <c r="A24" s="1028"/>
      <c r="D24" s="1055"/>
      <c r="E24" s="1850"/>
      <c r="F24" s="1850"/>
      <c r="G24" s="1851"/>
      <c r="H24" s="1849"/>
      <c r="I24" s="1850"/>
      <c r="J24" s="1851"/>
      <c r="K24" s="1849"/>
      <c r="L24" s="1850"/>
      <c r="M24" s="1851"/>
      <c r="N24" s="1849"/>
      <c r="O24" s="1850"/>
      <c r="P24" s="1851"/>
    </row>
    <row r="25" spans="1:25" ht="33.75" hidden="1" outlineLevel="1">
      <c r="A25" s="1028"/>
      <c r="D25" s="1030" t="s">
        <v>2506</v>
      </c>
      <c r="E25" s="1031" t="s">
        <v>2499</v>
      </c>
      <c r="F25" s="1032" t="s">
        <v>2507</v>
      </c>
      <c r="G25" s="1049" t="s">
        <v>2508</v>
      </c>
      <c r="H25" s="1034" t="s">
        <v>2499</v>
      </c>
      <c r="I25" s="1032" t="s">
        <v>2507</v>
      </c>
      <c r="J25" s="1049" t="s">
        <v>2508</v>
      </c>
      <c r="K25" s="1034" t="s">
        <v>2499</v>
      </c>
      <c r="L25" s="1032" t="s">
        <v>2507</v>
      </c>
      <c r="M25" s="1049" t="s">
        <v>2508</v>
      </c>
      <c r="N25" s="1034" t="s">
        <v>2499</v>
      </c>
      <c r="O25" s="1032" t="s">
        <v>2507</v>
      </c>
      <c r="P25" s="1049" t="s">
        <v>2508</v>
      </c>
      <c r="T25" s="996"/>
    </row>
    <row r="26" spans="1:25" hidden="1" outlineLevel="1">
      <c r="A26" s="1184">
        <v>2</v>
      </c>
      <c r="B26" s="1183">
        <v>3</v>
      </c>
      <c r="C26" s="1183">
        <v>4</v>
      </c>
      <c r="D26" s="1050" t="s">
        <v>2411</v>
      </c>
      <c r="E26" s="1057">
        <f>+VLOOKUP($E$4,'Anlage 2a_Letztverbrauch'!$A$2773:$J$2823,$A26,FALSE)</f>
        <v>4963064089</v>
      </c>
      <c r="F26" s="1037">
        <f>+VLOOKUP($E$4,'Anlage 2a_Letztverbrauch'!$A$2773:$J$2823,$B26,FALSE)</f>
        <v>-13747687.526529999</v>
      </c>
      <c r="G26" s="1058">
        <f>+VLOOKUP($E$4,'Anlage 2a_Letztverbrauch'!$A$2773:$J$2823,$C26,FALSE)</f>
        <v>-40498602.966239996</v>
      </c>
      <c r="H26" s="1059">
        <f>+VLOOKUP($H$4,'Anlage 2a_Letztverbrauch'!$A$2773:$J$2823,$A26,FALSE)</f>
        <v>2882319448</v>
      </c>
      <c r="I26" s="1037">
        <f>+VLOOKUP($H$4,'Anlage 2a_Letztverbrauch'!$A$2773:$J$2823,$B26,FALSE)</f>
        <v>-7969061.9800000004</v>
      </c>
      <c r="J26" s="1058">
        <f>+VLOOKUP($H$4,'Anlage 2a_Letztverbrauch'!$A$2773:$J$2823,$C26,FALSE)</f>
        <v>-23475648.259999998</v>
      </c>
      <c r="K26" s="1059">
        <f>+VLOOKUP($K$4,'Anlage 2a_Letztverbrauch'!$A$2773:$J$2823,$A26,FALSE)</f>
        <v>1635484402.6999998</v>
      </c>
      <c r="L26" s="1037">
        <f>+VLOOKUP($K$4,'Anlage 2a_Letztverbrauch'!$A$2773:$J$2823,$B26,FALSE)</f>
        <v>-4529748.4499999993</v>
      </c>
      <c r="M26" s="1058">
        <f>+VLOOKUP($K$4,'Anlage 2a_Letztverbrauch'!$A$2773:$J$2823,$C26,FALSE)</f>
        <v>-13343951.319999998</v>
      </c>
      <c r="N26" s="1059">
        <f>+VLOOKUP($N$4,'Anlage 2a_Letztverbrauch'!$A$2773:$J$2823,$A26,FALSE)</f>
        <v>1142586179</v>
      </c>
      <c r="O26" s="1037">
        <f>+VLOOKUP($N$4,'Anlage 2a_Letztverbrauch'!$A$2773:$J$2823,$B26,FALSE)</f>
        <v>-3164963.69</v>
      </c>
      <c r="P26" s="1058">
        <f>+VLOOKUP($N$4,'Anlage 2a_Letztverbrauch'!$A$2773:$J$2823,$C26,FALSE)</f>
        <v>-9323503.0899999999</v>
      </c>
    </row>
    <row r="27" spans="1:25" hidden="1" outlineLevel="1">
      <c r="A27" s="1184">
        <v>5</v>
      </c>
      <c r="B27" s="1183">
        <v>6</v>
      </c>
      <c r="C27" s="1183">
        <v>7</v>
      </c>
      <c r="D27" s="1050" t="s">
        <v>2375</v>
      </c>
      <c r="E27" s="1057">
        <f>+VLOOKUP($E$4,'Anlage 2a_Letztverbrauch'!$A$2773:$J$2823,$A27,FALSE)</f>
        <v>0</v>
      </c>
      <c r="F27" s="1037">
        <f>+VLOOKUP($E$4,'Anlage 2a_Letztverbrauch'!$A$2773:$J$2823,$B27,FALSE)</f>
        <v>0</v>
      </c>
      <c r="G27" s="1058">
        <f>+VLOOKUP($E$4,'Anlage 2a_Letztverbrauch'!$A$2773:$J$2823,$C27,FALSE)</f>
        <v>0</v>
      </c>
      <c r="H27" s="1059">
        <f>+VLOOKUP($H$4,'Anlage 2a_Letztverbrauch'!$A$2773:$J$2823,$A27,FALSE)</f>
        <v>0</v>
      </c>
      <c r="I27" s="1037">
        <f>+VLOOKUP($H$4,'Anlage 2a_Letztverbrauch'!$A$2773:$J$2823,$B27,FALSE)</f>
        <v>0</v>
      </c>
      <c r="J27" s="1058">
        <f>+VLOOKUP($H$4,'Anlage 2a_Letztverbrauch'!$A$2773:$J$2823,$C27,FALSE)</f>
        <v>0</v>
      </c>
      <c r="K27" s="1059">
        <f>+VLOOKUP($K$4,'Anlage 2a_Letztverbrauch'!$A$2773:$J$2823,$A27,FALSE)</f>
        <v>62483</v>
      </c>
      <c r="L27" s="1037">
        <f>+VLOOKUP($K$4,'Anlage 2a_Letztverbrauch'!$A$2773:$J$2823,$B27,FALSE)</f>
        <v>-173.08</v>
      </c>
      <c r="M27" s="1058">
        <f>+VLOOKUP($K$4,'Anlage 2a_Letztverbrauch'!$A$2773:$J$2823,$C27,FALSE)</f>
        <v>-509.86</v>
      </c>
      <c r="N27" s="1059">
        <f>+VLOOKUP($N$4,'Anlage 2a_Letztverbrauch'!$A$2773:$J$2823,$A27,FALSE)</f>
        <v>4261</v>
      </c>
      <c r="O27" s="1037">
        <f>+VLOOKUP($N$4,'Anlage 2a_Letztverbrauch'!$A$2773:$J$2823,$B27,FALSE)</f>
        <v>-11.8</v>
      </c>
      <c r="P27" s="1058">
        <f>+VLOOKUP($N$4,'Anlage 2a_Letztverbrauch'!$A$2773:$J$2823,$C27,FALSE)</f>
        <v>-34.770000000000003</v>
      </c>
    </row>
    <row r="28" spans="1:25" ht="12" hidden="1" outlineLevel="1" thickBot="1">
      <c r="A28" s="1185">
        <v>8</v>
      </c>
      <c r="B28" s="1186">
        <v>9</v>
      </c>
      <c r="C28" s="1186">
        <v>10</v>
      </c>
      <c r="D28" s="1062" t="s">
        <v>2431</v>
      </c>
      <c r="E28" s="1057">
        <f>+VLOOKUP($E$4,'Anlage 2a_Letztverbrauch'!$A$2773:$J$2823,$A28,FALSE)</f>
        <v>0</v>
      </c>
      <c r="F28" s="1037">
        <f>+VLOOKUP($E$4,'Anlage 2a_Letztverbrauch'!$A$2773:$J$2823,$B28,FALSE)</f>
        <v>0</v>
      </c>
      <c r="G28" s="1058">
        <f>+VLOOKUP($E$4,'Anlage 2a_Letztverbrauch'!$A$2773:$J$2823,$C28,FALSE)</f>
        <v>0</v>
      </c>
      <c r="H28" s="1059">
        <f>+VLOOKUP($H$4,'Anlage 2a_Letztverbrauch'!$A$2773:$J$2823,$A28,FALSE)</f>
        <v>0</v>
      </c>
      <c r="I28" s="1037">
        <f>+VLOOKUP($H$4,'Anlage 2a_Letztverbrauch'!$A$2773:$J$2823,$B28,FALSE)</f>
        <v>0</v>
      </c>
      <c r="J28" s="1058">
        <f>+VLOOKUP($H$4,'Anlage 2a_Letztverbrauch'!$A$2773:$J$2823,$C28,FALSE)</f>
        <v>0</v>
      </c>
      <c r="K28" s="1059">
        <f>+VLOOKUP($K$4,'Anlage 2a_Letztverbrauch'!$A$2773:$J$2823,$A28,FALSE)</f>
        <v>0</v>
      </c>
      <c r="L28" s="1037">
        <f>+VLOOKUP($K$4,'Anlage 2a_Letztverbrauch'!$A$2773:$J$2823,$B28,FALSE)</f>
        <v>0</v>
      </c>
      <c r="M28" s="1058">
        <f>+VLOOKUP($K$4,'Anlage 2a_Letztverbrauch'!$A$2773:$J$2823,$C28,FALSE)</f>
        <v>0</v>
      </c>
      <c r="N28" s="1059">
        <f>+VLOOKUP($N$4,'Anlage 2a_Letztverbrauch'!$A$2773:$J$2823,$A28,FALSE)</f>
        <v>0</v>
      </c>
      <c r="O28" s="1037">
        <f>+VLOOKUP($N$4,'Anlage 2a_Letztverbrauch'!$A$2773:$J$2823,$B28,FALSE)</f>
        <v>0</v>
      </c>
      <c r="P28" s="1058">
        <f>+VLOOKUP($N$4,'Anlage 2a_Letztverbrauch'!$A$2773:$J$2823,$C28,FALSE)</f>
        <v>0</v>
      </c>
    </row>
    <row r="29" spans="1:25" ht="12" collapsed="1" thickBot="1">
      <c r="A29" s="1013" t="s">
        <v>2509</v>
      </c>
      <c r="B29" s="1001"/>
      <c r="C29" s="1001"/>
      <c r="D29" s="1002"/>
      <c r="E29" s="1043"/>
      <c r="F29" s="1017" t="s">
        <v>2510</v>
      </c>
      <c r="G29" s="1018">
        <f>+SUM(E32:G33)-SUM(E36:G37)</f>
        <v>0</v>
      </c>
      <c r="H29" s="1044"/>
      <c r="I29" s="1017" t="s">
        <v>2510</v>
      </c>
      <c r="J29" s="1018">
        <f>+SUM(H32:J33)-SUM(H36:J37)</f>
        <v>0</v>
      </c>
      <c r="K29" s="1044"/>
      <c r="L29" s="1017" t="s">
        <v>2510</v>
      </c>
      <c r="M29" s="1018">
        <f>+SUM(K32:M33)-SUM(K36:M37)</f>
        <v>0</v>
      </c>
      <c r="N29" s="1044"/>
      <c r="O29" s="1017" t="s">
        <v>2510</v>
      </c>
      <c r="P29" s="1018">
        <f>+SUM(N32:P33)-SUM(N36:P37)</f>
        <v>0</v>
      </c>
      <c r="T29" s="996"/>
    </row>
    <row r="30" spans="1:25" hidden="1" outlineLevel="1">
      <c r="A30" s="1022"/>
      <c r="D30" s="1041"/>
      <c r="E30" s="1047"/>
      <c r="F30" s="1025"/>
      <c r="G30" s="1026"/>
      <c r="H30" s="1048"/>
      <c r="I30" s="1025"/>
      <c r="J30" s="1026"/>
      <c r="K30" s="1048"/>
      <c r="L30" s="1025"/>
      <c r="M30" s="1026"/>
      <c r="N30" s="1048"/>
      <c r="O30" s="1025"/>
      <c r="P30" s="1026"/>
      <c r="T30" s="996"/>
    </row>
    <row r="31" spans="1:25" ht="33.75" hidden="1" outlineLevel="1">
      <c r="A31" s="1028"/>
      <c r="D31" s="1063" t="s">
        <v>2511</v>
      </c>
      <c r="E31" s="1064" t="s">
        <v>2512</v>
      </c>
      <c r="F31" s="1032" t="s">
        <v>2507</v>
      </c>
      <c r="G31" s="1049" t="s">
        <v>2508</v>
      </c>
      <c r="H31" s="1065" t="s">
        <v>2512</v>
      </c>
      <c r="I31" s="1032" t="s">
        <v>2507</v>
      </c>
      <c r="J31" s="1049" t="s">
        <v>2508</v>
      </c>
      <c r="K31" s="1065" t="s">
        <v>2512</v>
      </c>
      <c r="L31" s="1032" t="s">
        <v>2507</v>
      </c>
      <c r="M31" s="1049" t="s">
        <v>2508</v>
      </c>
      <c r="N31" s="1065" t="s">
        <v>2512</v>
      </c>
      <c r="O31" s="1032" t="s">
        <v>2507</v>
      </c>
      <c r="P31" s="1049" t="s">
        <v>2508</v>
      </c>
    </row>
    <row r="32" spans="1:25" hidden="1" outlineLevel="1">
      <c r="A32" s="1028"/>
      <c r="D32" s="1066" t="s">
        <v>2513</v>
      </c>
      <c r="E32" s="1087">
        <v>816628</v>
      </c>
      <c r="F32" s="1052">
        <v>2262.06</v>
      </c>
      <c r="G32" s="1053">
        <v>6663.68</v>
      </c>
      <c r="H32" s="1087">
        <v>0</v>
      </c>
      <c r="I32" s="1052">
        <v>0</v>
      </c>
      <c r="J32" s="1053">
        <v>0</v>
      </c>
      <c r="K32" s="1087">
        <v>0</v>
      </c>
      <c r="L32" s="1052">
        <v>0</v>
      </c>
      <c r="M32" s="1053">
        <v>0</v>
      </c>
      <c r="N32" s="1087">
        <v>5427184</v>
      </c>
      <c r="O32" s="1052">
        <v>15033.29</v>
      </c>
      <c r="P32" s="1053">
        <v>44285.82</v>
      </c>
    </row>
    <row r="33" spans="1:26" hidden="1" outlineLevel="1">
      <c r="A33" s="1028"/>
      <c r="D33" s="1066" t="s">
        <v>2514</v>
      </c>
      <c r="E33" s="1103"/>
      <c r="F33" s="1052"/>
      <c r="G33" s="1053"/>
      <c r="H33" s="1103">
        <v>20405</v>
      </c>
      <c r="I33" s="1052">
        <v>11</v>
      </c>
      <c r="J33" s="1053">
        <v>33</v>
      </c>
      <c r="K33" s="1103">
        <v>10319</v>
      </c>
      <c r="L33" s="1052">
        <v>28.58</v>
      </c>
      <c r="M33" s="1053">
        <v>84.2</v>
      </c>
      <c r="N33" s="1103">
        <v>0</v>
      </c>
      <c r="O33" s="1052">
        <v>0</v>
      </c>
      <c r="P33" s="1053">
        <v>0</v>
      </c>
    </row>
    <row r="34" spans="1:26" hidden="1" outlineLevel="1">
      <c r="A34" s="1028"/>
      <c r="D34" s="1041"/>
      <c r="E34" s="1850"/>
      <c r="F34" s="1850"/>
      <c r="G34" s="1851"/>
      <c r="H34" s="1849"/>
      <c r="I34" s="1850"/>
      <c r="J34" s="1851"/>
      <c r="K34" s="1849"/>
      <c r="L34" s="1850"/>
      <c r="M34" s="1851"/>
      <c r="N34" s="1849"/>
      <c r="O34" s="1850"/>
      <c r="P34" s="1851"/>
    </row>
    <row r="35" spans="1:26" ht="33.75" hidden="1" outlineLevel="1">
      <c r="A35" s="1028"/>
      <c r="D35" s="1063" t="s">
        <v>2511</v>
      </c>
      <c r="E35" s="1064" t="s">
        <v>2512</v>
      </c>
      <c r="F35" s="1032" t="s">
        <v>2507</v>
      </c>
      <c r="G35" s="1049" t="s">
        <v>2508</v>
      </c>
      <c r="H35" s="1065" t="s">
        <v>2512</v>
      </c>
      <c r="I35" s="1032" t="s">
        <v>2507</v>
      </c>
      <c r="J35" s="1049" t="s">
        <v>2508</v>
      </c>
      <c r="K35" s="1065" t="s">
        <v>2512</v>
      </c>
      <c r="L35" s="1032" t="s">
        <v>2507</v>
      </c>
      <c r="M35" s="1049" t="s">
        <v>2508</v>
      </c>
      <c r="N35" s="1065" t="s">
        <v>2512</v>
      </c>
      <c r="O35" s="1032" t="s">
        <v>2507</v>
      </c>
      <c r="P35" s="1049" t="s">
        <v>2508</v>
      </c>
    </row>
    <row r="36" spans="1:26" hidden="1" outlineLevel="1">
      <c r="A36" s="1187">
        <v>2</v>
      </c>
      <c r="B36" s="1188">
        <v>3</v>
      </c>
      <c r="C36" s="1188">
        <v>4</v>
      </c>
      <c r="D36" s="1066" t="s">
        <v>2513</v>
      </c>
      <c r="E36" s="1072">
        <f>+VLOOKUP(E$4,'Anlage 2a_Letztverbrauch'!$A$2831:$G$2846,'LV Testat'!$A36,FALSE)</f>
        <v>816628</v>
      </c>
      <c r="F36" s="1073">
        <f>+VLOOKUP(E$4,'Anlage 2a_Letztverbrauch'!$A$2831:$G$2846,'LV Testat'!$B36,FALSE)</f>
        <v>2262.06</v>
      </c>
      <c r="G36" s="1074">
        <f>+VLOOKUP(E$4,'Anlage 2a_Letztverbrauch'!$A$2831:$G$2846,'LV Testat'!$C36,FALSE)</f>
        <v>6663.68</v>
      </c>
      <c r="H36" s="1075">
        <f>+VLOOKUP(H$4,'Anlage 2a_Letztverbrauch'!$A$2831:$G$2846,'LV Testat'!$A36,FALSE)</f>
        <v>0</v>
      </c>
      <c r="I36" s="1073">
        <f>+VLOOKUP(H$4,'Anlage 2a_Letztverbrauch'!$A$2831:$G$2846,'LV Testat'!$B36,FALSE)</f>
        <v>0</v>
      </c>
      <c r="J36" s="1074">
        <f>+VLOOKUP(H$4,'Anlage 2a_Letztverbrauch'!$A$2831:$G$2846,'LV Testat'!$C36,FALSE)</f>
        <v>0</v>
      </c>
      <c r="K36" s="1075">
        <f>+VLOOKUP(K$4,'Anlage 2a_Letztverbrauch'!$A$2831:$G$2846,'LV Testat'!$A36,FALSE)</f>
        <v>0</v>
      </c>
      <c r="L36" s="1073">
        <f>+VLOOKUP(K$4,'Anlage 2a_Letztverbrauch'!$A$2831:$G$2846,'LV Testat'!$B36,FALSE)</f>
        <v>0</v>
      </c>
      <c r="M36" s="1074">
        <f>+VLOOKUP(K$4,'Anlage 2a_Letztverbrauch'!$A$2831:$G$2846,'LV Testat'!$C36,FALSE)</f>
        <v>0</v>
      </c>
      <c r="N36" s="1075">
        <f>+VLOOKUP(N$4,'Anlage 2a_Letztverbrauch'!$A$2831:$G$2846,'LV Testat'!$A36,FALSE)</f>
        <v>5427184</v>
      </c>
      <c r="O36" s="1073">
        <f>+VLOOKUP(N$4,'Anlage 2a_Letztverbrauch'!$A$2831:$G$2846,'LV Testat'!$B36,FALSE)</f>
        <v>15033.29</v>
      </c>
      <c r="P36" s="1074">
        <f>+VLOOKUP(N$4,'Anlage 2a_Letztverbrauch'!$A$2831:$G$2846,'LV Testat'!$C36,FALSE)</f>
        <v>44285.82</v>
      </c>
    </row>
    <row r="37" spans="1:26" hidden="1" outlineLevel="1">
      <c r="A37" s="1187">
        <v>5</v>
      </c>
      <c r="B37" s="1188">
        <v>6</v>
      </c>
      <c r="C37" s="1188">
        <v>7</v>
      </c>
      <c r="D37" s="1066" t="s">
        <v>2514</v>
      </c>
      <c r="E37" s="1072">
        <f>+VLOOKUP(E$4,'Anlage 2a_Letztverbrauch'!$A$2831:$G$2846,'LV Testat'!$A37,FALSE)</f>
        <v>0</v>
      </c>
      <c r="F37" s="1073">
        <f>+VLOOKUP(E$4,'Anlage 2a_Letztverbrauch'!$A$2831:$G$2846,'LV Testat'!$B37,FALSE)</f>
        <v>0</v>
      </c>
      <c r="G37" s="1074">
        <f>+VLOOKUP(E$4,'Anlage 2a_Letztverbrauch'!$A$2831:$G$2846,'LV Testat'!$C37,FALSE)</f>
        <v>0</v>
      </c>
      <c r="H37" s="1075">
        <f>+VLOOKUP(H$4,'Anlage 2a_Letztverbrauch'!$A$2831:$G$2846,'LV Testat'!$A37,FALSE)</f>
        <v>20405</v>
      </c>
      <c r="I37" s="1073">
        <f>+VLOOKUP(H$4,'Anlage 2a_Letztverbrauch'!$A$2831:$G$2846,'LV Testat'!$B37,FALSE)</f>
        <v>11</v>
      </c>
      <c r="J37" s="1074">
        <f>+VLOOKUP(H$4,'Anlage 2a_Letztverbrauch'!$A$2831:$G$2846,'LV Testat'!$C37,FALSE)</f>
        <v>33</v>
      </c>
      <c r="K37" s="1075">
        <f>+VLOOKUP(K$4,'Anlage 2a_Letztverbrauch'!$A$2831:$G$2846,'LV Testat'!$A37,FALSE)</f>
        <v>10319</v>
      </c>
      <c r="L37" s="1073">
        <f>+VLOOKUP(K$4,'Anlage 2a_Letztverbrauch'!$A$2831:$G$2846,'LV Testat'!$B37,FALSE)</f>
        <v>28.58</v>
      </c>
      <c r="M37" s="1074">
        <f>+VLOOKUP(K$4,'Anlage 2a_Letztverbrauch'!$A$2831:$G$2846,'LV Testat'!$C37,FALSE)</f>
        <v>84.2</v>
      </c>
      <c r="N37" s="1075">
        <f>+VLOOKUP(N$4,'Anlage 2a_Letztverbrauch'!$A$2831:$G$2846,'LV Testat'!$A37,FALSE)</f>
        <v>0</v>
      </c>
      <c r="O37" s="1073">
        <f>+VLOOKUP(N$4,'Anlage 2a_Letztverbrauch'!$A$2831:$G$2846,'LV Testat'!$B37,FALSE)</f>
        <v>0</v>
      </c>
      <c r="P37" s="1074">
        <f>+VLOOKUP(N$4,'Anlage 2a_Letztverbrauch'!$A$2831:$G$2846,'LV Testat'!$C37,FALSE)</f>
        <v>0</v>
      </c>
    </row>
    <row r="38" spans="1:26" ht="12" hidden="1" outlineLevel="1" thickBot="1">
      <c r="A38" s="1028"/>
      <c r="D38" s="1041"/>
      <c r="G38" s="1041"/>
      <c r="H38" s="1028"/>
      <c r="J38" s="1041"/>
      <c r="K38" s="1028"/>
      <c r="M38" s="1041"/>
      <c r="N38" s="1028"/>
      <c r="P38" s="1041"/>
      <c r="T38" s="1020"/>
      <c r="U38" s="1020"/>
      <c r="V38" s="1020"/>
      <c r="W38" s="1020"/>
      <c r="X38" s="1020"/>
      <c r="Y38" s="1020"/>
      <c r="Z38" s="1020"/>
    </row>
    <row r="39" spans="1:26" s="1020" customFormat="1" ht="12" collapsed="1" thickBot="1">
      <c r="A39" s="1013" t="s">
        <v>2515</v>
      </c>
      <c r="B39" s="1014"/>
      <c r="C39" s="1014"/>
      <c r="D39" s="1015"/>
      <c r="E39" s="1076"/>
      <c r="F39" s="1077" t="s">
        <v>2516</v>
      </c>
      <c r="G39" s="1018">
        <f>+F45-E45</f>
        <v>-67170.040000915527</v>
      </c>
      <c r="H39" s="1078"/>
      <c r="I39" s="1077" t="s">
        <v>2516</v>
      </c>
      <c r="J39" s="1018">
        <f>+I45-H45</f>
        <v>0</v>
      </c>
      <c r="K39" s="1078"/>
      <c r="L39" s="1077" t="s">
        <v>2516</v>
      </c>
      <c r="M39" s="1018">
        <f>+L45-K45</f>
        <v>0</v>
      </c>
      <c r="N39" s="1078"/>
      <c r="O39" s="1077" t="s">
        <v>2516</v>
      </c>
      <c r="P39" s="1018">
        <f>+O45-N45</f>
        <v>0</v>
      </c>
      <c r="Q39" s="373"/>
      <c r="T39" s="373"/>
      <c r="U39" s="373"/>
      <c r="V39" s="373"/>
      <c r="W39" s="373"/>
      <c r="X39" s="373"/>
      <c r="Y39" s="373"/>
      <c r="Z39" s="373"/>
    </row>
    <row r="40" spans="1:26" s="1020" customFormat="1" hidden="1" outlineLevel="1">
      <c r="A40" s="1022"/>
      <c r="D40" s="1023"/>
      <c r="E40" s="1079"/>
      <c r="F40" s="1080"/>
      <c r="G40" s="1081"/>
      <c r="H40" s="1082"/>
      <c r="I40" s="1080"/>
      <c r="J40" s="1081"/>
      <c r="K40" s="1082"/>
      <c r="L40" s="1080"/>
      <c r="M40" s="1081"/>
      <c r="N40" s="1082"/>
      <c r="O40" s="1080"/>
      <c r="P40" s="1081"/>
      <c r="Q40" s="373"/>
      <c r="T40" s="373"/>
      <c r="U40" s="373"/>
      <c r="V40" s="373"/>
      <c r="W40" s="373"/>
      <c r="X40" s="373"/>
      <c r="Y40" s="373"/>
      <c r="Z40" s="373"/>
    </row>
    <row r="41" spans="1:26" hidden="1" outlineLevel="1">
      <c r="A41" s="1028"/>
      <c r="D41" s="1083"/>
      <c r="E41" s="1084" t="s">
        <v>2517</v>
      </c>
      <c r="F41" s="1085" t="s">
        <v>2517</v>
      </c>
      <c r="G41" s="1081"/>
      <c r="H41" s="1086" t="s">
        <v>2517</v>
      </c>
      <c r="I41" s="1085" t="s">
        <v>2517</v>
      </c>
      <c r="J41" s="1081"/>
      <c r="K41" s="1086" t="s">
        <v>2517</v>
      </c>
      <c r="L41" s="1085" t="s">
        <v>2517</v>
      </c>
      <c r="M41" s="1081"/>
      <c r="N41" s="1086"/>
      <c r="O41" s="1085" t="s">
        <v>2517</v>
      </c>
      <c r="P41" s="1081"/>
    </row>
    <row r="42" spans="1:26" ht="15" hidden="1" customHeight="1" outlineLevel="1">
      <c r="A42" s="1028"/>
      <c r="C42" s="1188">
        <v>2</v>
      </c>
      <c r="D42" s="1050" t="s">
        <v>2518</v>
      </c>
      <c r="E42" s="1087">
        <v>21205851920</v>
      </c>
      <c r="F42" s="1088">
        <f>+VLOOKUP(E4,'Anlage 2a_Letztverbrauch'!$A$2852:$D$2855,'LV Testat'!$C42,FALSE)</f>
        <v>21205851920</v>
      </c>
      <c r="G42" s="1081"/>
      <c r="H42" s="1087">
        <v>43230394404</v>
      </c>
      <c r="I42" s="1088">
        <f>+VLOOKUP(H4,'Anlage 2a_Letztverbrauch'!$A$2852:$D$2855,'LV Testat'!$C42,FALSE)</f>
        <v>43230394404</v>
      </c>
      <c r="J42" s="1081"/>
      <c r="K42" s="1087">
        <v>25245675565</v>
      </c>
      <c r="L42" s="1088">
        <f>+VLOOKUP(K4,'Anlage 2a_Letztverbrauch'!$A$2852:$D$2855,'LV Testat'!$C42,FALSE)</f>
        <v>25245675565</v>
      </c>
      <c r="M42" s="1081"/>
      <c r="N42" s="1087">
        <v>7978225548</v>
      </c>
      <c r="O42" s="1088">
        <f>+VLOOKUP(N4,'Anlage 2a_Letztverbrauch'!$A$2852:$D$2855,'LV Testat'!$C42,FALSE)</f>
        <v>7978225548</v>
      </c>
      <c r="P42" s="1081"/>
    </row>
    <row r="43" spans="1:26" ht="15" hidden="1" customHeight="1" outlineLevel="1">
      <c r="A43" s="1028"/>
      <c r="C43" s="1188">
        <v>3</v>
      </c>
      <c r="D43" s="1050" t="s">
        <v>2519</v>
      </c>
      <c r="E43" s="1089">
        <v>9520898.6699999999</v>
      </c>
      <c r="F43" s="1088">
        <f>+VLOOKUP(E4,'Anlage 2a_Letztverbrauch'!$A$2852:$D$2855,'LV Testat'!$C43,FALSE)</f>
        <v>9503875.709999999</v>
      </c>
      <c r="G43" s="1081"/>
      <c r="H43" s="1089">
        <v>17938589.34</v>
      </c>
      <c r="I43" s="1088">
        <f>+VLOOKUP(H4,'Anlage 2a_Letztverbrauch'!$A$2852:$D$2855,'LV Testat'!$C43,FALSE)</f>
        <v>17938589.34</v>
      </c>
      <c r="J43" s="1081"/>
      <c r="K43" s="1089">
        <v>12247712.02</v>
      </c>
      <c r="L43" s="1088">
        <f>+VLOOKUP(K4,'Anlage 2a_Letztverbrauch'!$A$2852:$D$2855,'LV Testat'!$C43,FALSE)</f>
        <v>12247712.02</v>
      </c>
      <c r="M43" s="1081"/>
      <c r="N43" s="1089">
        <v>4151281.23</v>
      </c>
      <c r="O43" s="1088">
        <f>+VLOOKUP(N4,'Anlage 2a_Letztverbrauch'!$A$2852:$D$2855,'LV Testat'!$C43,FALSE)</f>
        <v>4151281.23</v>
      </c>
      <c r="P43" s="1081"/>
    </row>
    <row r="44" spans="1:26" ht="15" hidden="1" customHeight="1" outlineLevel="1">
      <c r="A44" s="1028"/>
      <c r="C44" s="1188">
        <v>4</v>
      </c>
      <c r="D44" s="1050" t="s">
        <v>2520</v>
      </c>
      <c r="E44" s="1089">
        <v>28001781.27</v>
      </c>
      <c r="F44" s="1088">
        <f>+VLOOKUP(E4,'Anlage 2a_Letztverbrauch'!$A$2852:$D$2855,'LV Testat'!$C44,FALSE)</f>
        <v>27951634.190000001</v>
      </c>
      <c r="G44" s="1081"/>
      <c r="H44" s="1089">
        <v>52760718.100000001</v>
      </c>
      <c r="I44" s="1088">
        <f>+VLOOKUP(H4,'Anlage 2a_Letztverbrauch'!$A$2852:$D$2855,'LV Testat'!$C44,FALSE)</f>
        <v>52760718.100000001</v>
      </c>
      <c r="J44" s="1081"/>
      <c r="K44" s="1089">
        <v>36058427.399999999</v>
      </c>
      <c r="L44" s="1088">
        <f>+VLOOKUP(K4,'Anlage 2a_Letztverbrauch'!$A$2852:$D$2855,'LV Testat'!$C44,FALSE)</f>
        <v>36058427.399999999</v>
      </c>
      <c r="M44" s="1081"/>
      <c r="N44" s="1089">
        <v>12211971.02</v>
      </c>
      <c r="O44" s="1088">
        <f>+VLOOKUP(N4,'Anlage 2a_Letztverbrauch'!$A$2852:$D$2855,'LV Testat'!$C44,FALSE)</f>
        <v>12211971.02</v>
      </c>
      <c r="P44" s="1081"/>
    </row>
    <row r="45" spans="1:26" ht="15" hidden="1" customHeight="1" outlineLevel="1" thickBot="1">
      <c r="A45" s="1090"/>
      <c r="B45" s="1091"/>
      <c r="C45" s="1092"/>
      <c r="D45" s="1062" t="s">
        <v>2503</v>
      </c>
      <c r="E45" s="1093">
        <f>+SUM(E38:E44)</f>
        <v>21243374599.939999</v>
      </c>
      <c r="F45" s="1094">
        <f>+SUM(F38:F44)</f>
        <v>21243307429.899998</v>
      </c>
      <c r="G45" s="1095"/>
      <c r="H45" s="1096">
        <f>+SUM(H38:H44)</f>
        <v>43301093711.439995</v>
      </c>
      <c r="I45" s="1094">
        <f>+SUM(I38:I44)</f>
        <v>43301093711.439995</v>
      </c>
      <c r="J45" s="1095"/>
      <c r="K45" s="1097">
        <f>+SUM(K38:K44)</f>
        <v>25293981704.420002</v>
      </c>
      <c r="L45" s="1094">
        <f>+SUM(L38:L44)</f>
        <v>25293981704.420002</v>
      </c>
      <c r="M45" s="1095"/>
      <c r="N45" s="1097">
        <f>+SUM(N38:N44)</f>
        <v>7994588800.25</v>
      </c>
      <c r="O45" s="1094">
        <f>+SUM(O38:O44)</f>
        <v>7994588800.25</v>
      </c>
      <c r="P45" s="1095"/>
    </row>
    <row r="46" spans="1:26" ht="12" collapsed="1" thickBot="1">
      <c r="A46" s="1013" t="s">
        <v>2521</v>
      </c>
      <c r="B46" s="1001"/>
      <c r="C46" s="1001"/>
      <c r="D46" s="1002"/>
      <c r="E46" s="1043"/>
      <c r="F46" s="1098" t="s">
        <v>2522</v>
      </c>
      <c r="G46" s="1018">
        <f>+SUM(E53:G54)-SUM(E49:G50)</f>
        <v>0</v>
      </c>
      <c r="H46" s="1044"/>
      <c r="I46" s="1098" t="s">
        <v>2522</v>
      </c>
      <c r="J46" s="1018">
        <f>+SUM(H49:J50)-SUM(H53:J54)</f>
        <v>0</v>
      </c>
      <c r="K46" s="1044"/>
      <c r="L46" s="1098" t="s">
        <v>2522</v>
      </c>
      <c r="M46" s="1018">
        <f>+SUM(K49:M50)-SUM(K53:M54)</f>
        <v>0</v>
      </c>
      <c r="N46" s="1044"/>
      <c r="O46" s="1098" t="s">
        <v>2522</v>
      </c>
      <c r="P46" s="1018">
        <f>+SUM(N49:P50)-SUM(N53:P54)</f>
        <v>0</v>
      </c>
    </row>
    <row r="47" spans="1:26" hidden="1" outlineLevel="2">
      <c r="A47" s="1022"/>
      <c r="D47" s="1041"/>
      <c r="E47" s="1047"/>
      <c r="G47" s="1041"/>
      <c r="H47" s="1048"/>
      <c r="J47" s="1041"/>
      <c r="K47" s="1048"/>
      <c r="M47" s="1041"/>
      <c r="N47" s="1048"/>
      <c r="P47" s="1041"/>
    </row>
    <row r="48" spans="1:26" ht="33.75" hidden="1" outlineLevel="2">
      <c r="A48" s="1028"/>
      <c r="D48" s="1099" t="s">
        <v>2511</v>
      </c>
      <c r="E48" s="1064" t="s">
        <v>2512</v>
      </c>
      <c r="F48" s="1032" t="s">
        <v>2507</v>
      </c>
      <c r="G48" s="1049" t="s">
        <v>2508</v>
      </c>
      <c r="H48" s="1065" t="s">
        <v>2512</v>
      </c>
      <c r="I48" s="1032" t="s">
        <v>2507</v>
      </c>
      <c r="J48" s="1049" t="s">
        <v>2508</v>
      </c>
      <c r="K48" s="1065" t="s">
        <v>2512</v>
      </c>
      <c r="L48" s="1032" t="s">
        <v>2507</v>
      </c>
      <c r="M48" s="1049" t="s">
        <v>2508</v>
      </c>
      <c r="N48" s="1065" t="s">
        <v>2512</v>
      </c>
      <c r="O48" s="1032" t="s">
        <v>2507</v>
      </c>
      <c r="P48" s="1049" t="s">
        <v>2508</v>
      </c>
    </row>
    <row r="49" spans="1:17" hidden="1" outlineLevel="2">
      <c r="A49" s="1028"/>
      <c r="D49" s="1066" t="s">
        <v>2513</v>
      </c>
      <c r="E49" s="1100">
        <v>20633105</v>
      </c>
      <c r="F49" s="1052">
        <v>41517.1</v>
      </c>
      <c r="G49" s="1053">
        <v>122303.25</v>
      </c>
      <c r="H49" s="1087">
        <v>20083905</v>
      </c>
      <c r="I49" s="1052">
        <v>40224.050000000003</v>
      </c>
      <c r="J49" s="1053">
        <v>118493.96</v>
      </c>
      <c r="K49" s="1087">
        <v>191338899</v>
      </c>
      <c r="L49" s="1052">
        <v>411169.98</v>
      </c>
      <c r="M49" s="1053">
        <v>1211244.42</v>
      </c>
      <c r="N49" s="1087">
        <v>15130787</v>
      </c>
      <c r="O49" s="1052">
        <v>33270.94</v>
      </c>
      <c r="P49" s="1053">
        <v>98011.14</v>
      </c>
    </row>
    <row r="50" spans="1:17" hidden="1" outlineLevel="2">
      <c r="A50" s="1028"/>
      <c r="D50" s="1066" t="s">
        <v>2514</v>
      </c>
      <c r="E50" s="1051"/>
      <c r="F50" s="1101"/>
      <c r="G50" s="1102"/>
      <c r="H50" s="1103">
        <v>0</v>
      </c>
      <c r="I50" s="1101">
        <v>0</v>
      </c>
      <c r="J50" s="1102">
        <v>0</v>
      </c>
      <c r="K50" s="1103">
        <v>0</v>
      </c>
      <c r="L50" s="1101">
        <v>0</v>
      </c>
      <c r="M50" s="1102">
        <v>0</v>
      </c>
      <c r="N50" s="1103">
        <v>0</v>
      </c>
      <c r="O50" s="1101">
        <v>0</v>
      </c>
      <c r="P50" s="1102">
        <v>0</v>
      </c>
    </row>
    <row r="51" spans="1:17" hidden="1" outlineLevel="2">
      <c r="A51" s="1028"/>
      <c r="D51" s="1041"/>
      <c r="E51" s="1850"/>
      <c r="F51" s="1850"/>
      <c r="G51" s="1851"/>
      <c r="H51" s="1849"/>
      <c r="I51" s="1850"/>
      <c r="J51" s="1851"/>
      <c r="K51" s="1849"/>
      <c r="L51" s="1850"/>
      <c r="M51" s="1851"/>
      <c r="N51" s="1849"/>
      <c r="O51" s="1850"/>
      <c r="P51" s="1851"/>
    </row>
    <row r="52" spans="1:17" ht="33.75" hidden="1" outlineLevel="2">
      <c r="A52" s="1028"/>
      <c r="D52" s="1099" t="s">
        <v>2511</v>
      </c>
      <c r="E52" s="1064" t="s">
        <v>2512</v>
      </c>
      <c r="F52" s="1032" t="s">
        <v>2507</v>
      </c>
      <c r="G52" s="1049" t="s">
        <v>2508</v>
      </c>
      <c r="H52" s="1065" t="s">
        <v>2512</v>
      </c>
      <c r="I52" s="1032" t="s">
        <v>2507</v>
      </c>
      <c r="J52" s="1049" t="s">
        <v>2508</v>
      </c>
      <c r="K52" s="1065" t="s">
        <v>2512</v>
      </c>
      <c r="L52" s="1032" t="s">
        <v>2507</v>
      </c>
      <c r="M52" s="1049" t="s">
        <v>2508</v>
      </c>
      <c r="N52" s="1065" t="s">
        <v>2512</v>
      </c>
      <c r="O52" s="1032" t="s">
        <v>2507</v>
      </c>
      <c r="P52" s="1049" t="s">
        <v>2508</v>
      </c>
    </row>
    <row r="53" spans="1:17" hidden="1" outlineLevel="2">
      <c r="A53" s="1187">
        <v>2</v>
      </c>
      <c r="B53" s="1188">
        <v>3</v>
      </c>
      <c r="C53" s="1188">
        <v>4</v>
      </c>
      <c r="D53" s="1104" t="s">
        <v>2513</v>
      </c>
      <c r="E53" s="1105">
        <f>+VLOOKUP(E4,'Anlage 2a_Letztverbrauch'!$A$2909:$G$2912,'LV Testat'!$A53,FALSE)</f>
        <v>20633105</v>
      </c>
      <c r="F53" s="1106">
        <f>+VLOOKUP(E4,'Anlage 2a_Letztverbrauch'!$A$2909:$G$2912,'LV Testat'!$B53,FALSE)</f>
        <v>41517.1</v>
      </c>
      <c r="G53" s="1107">
        <f>+VLOOKUP(E4,'Anlage 2a_Letztverbrauch'!$A$2909:$G$2912,'LV Testat'!$C53,FALSE)</f>
        <v>122303.25</v>
      </c>
      <c r="H53" s="1108">
        <f>+VLOOKUP(H4,'Anlage 2a_Letztverbrauch'!$A$2909:$G$2912,'LV Testat'!$A53,FALSE)</f>
        <v>20083905</v>
      </c>
      <c r="I53" s="1106">
        <f>+VLOOKUP(H4,'Anlage 2a_Letztverbrauch'!$A$2909:$G$2912,'LV Testat'!$B53,FALSE)</f>
        <v>40224.050000000003</v>
      </c>
      <c r="J53" s="1107">
        <f>+VLOOKUP(H4,'Anlage 2a_Letztverbrauch'!$A$2909:$G$2912,'LV Testat'!$C53,FALSE)</f>
        <v>118493.96</v>
      </c>
      <c r="K53" s="1108">
        <f>+VLOOKUP(K4,'Anlage 2a_Letztverbrauch'!$A$2909:$G$2912,'LV Testat'!$A53,FALSE)</f>
        <v>191338899</v>
      </c>
      <c r="L53" s="1106">
        <f>+VLOOKUP(K4,'Anlage 2a_Letztverbrauch'!$A$2909:$G$2912,'LV Testat'!$B53,FALSE)</f>
        <v>411169.98</v>
      </c>
      <c r="M53" s="1107">
        <f>+VLOOKUP(K4,'Anlage 2a_Letztverbrauch'!$A$2909:$G$2912,'LV Testat'!$C53,FALSE)</f>
        <v>1211244.42</v>
      </c>
      <c r="N53" s="1108">
        <f>+VLOOKUP(N4,'Anlage 2a_Letztverbrauch'!$A$2909:$G$2912,'LV Testat'!$A53,FALSE)</f>
        <v>15130787</v>
      </c>
      <c r="O53" s="1106">
        <f>+VLOOKUP(N4,'Anlage 2a_Letztverbrauch'!$A$2909:$G$2912,'LV Testat'!$B53,FALSE)</f>
        <v>33270.94</v>
      </c>
      <c r="P53" s="1107">
        <f>+VLOOKUP(N4,'Anlage 2a_Letztverbrauch'!$A$2909:$G$2912,'LV Testat'!$C53,FALSE)</f>
        <v>98011.14</v>
      </c>
    </row>
    <row r="54" spans="1:17" ht="12" hidden="1" outlineLevel="2" thickBot="1">
      <c r="A54" s="1189">
        <v>5</v>
      </c>
      <c r="B54" s="1190">
        <v>6</v>
      </c>
      <c r="C54" s="1190">
        <v>7</v>
      </c>
      <c r="D54" s="1109" t="s">
        <v>2514</v>
      </c>
      <c r="E54" s="1110">
        <f>+VLOOKUP(E4,'Anlage 2a_Letztverbrauch'!$A$2909:$G$2912,'LV Testat'!$A54,FALSE)</f>
        <v>0</v>
      </c>
      <c r="F54" s="1111">
        <f>+VLOOKUP(E4,'Anlage 2a_Letztverbrauch'!$A$2909:$G$2912,'LV Testat'!$B54,FALSE)</f>
        <v>0</v>
      </c>
      <c r="G54" s="1112">
        <f>+VLOOKUP(E4,'Anlage 2a_Letztverbrauch'!$A$2909:$G$2912,'LV Testat'!$C54,FALSE)</f>
        <v>0</v>
      </c>
      <c r="H54" s="1113">
        <f>+VLOOKUP(H4,'Anlage 2a_Letztverbrauch'!$A$2909:$G$2912,'LV Testat'!$A54,FALSE)</f>
        <v>0</v>
      </c>
      <c r="I54" s="1111">
        <f>+VLOOKUP(H4,'Anlage 2a_Letztverbrauch'!$A$2909:$G$2912,'LV Testat'!$B54,FALSE)</f>
        <v>0</v>
      </c>
      <c r="J54" s="1112">
        <f>+VLOOKUP(H4,'Anlage 2a_Letztverbrauch'!$A$2909:$G$2912,'LV Testat'!$C54,FALSE)</f>
        <v>0</v>
      </c>
      <c r="K54" s="1113">
        <f>+VLOOKUP(K4,'Anlage 2a_Letztverbrauch'!$A$2909:$G$2912,'LV Testat'!$A54,FALSE)</f>
        <v>0</v>
      </c>
      <c r="L54" s="1111">
        <f>+VLOOKUP(K4,'Anlage 2a_Letztverbrauch'!$A$2909:$G$2912,'LV Testat'!$B54,FALSE)</f>
        <v>0</v>
      </c>
      <c r="M54" s="1112">
        <f>+VLOOKUP(K4,'Anlage 2a_Letztverbrauch'!$A$2909:$G$2912,'LV Testat'!$C54,FALSE)</f>
        <v>0</v>
      </c>
      <c r="N54" s="1113">
        <f>+VLOOKUP(N4,'Anlage 2a_Letztverbrauch'!$A$2909:$G$2912,'LV Testat'!$A54,FALSE)</f>
        <v>0</v>
      </c>
      <c r="O54" s="1111">
        <f>+VLOOKUP(N4,'Anlage 2a_Letztverbrauch'!$A$2909:$G$2912,'LV Testat'!$B54,FALSE)</f>
        <v>0</v>
      </c>
      <c r="P54" s="1112">
        <f>+VLOOKUP(N4,'Anlage 2a_Letztverbrauch'!$A$2909:$G$2912,'LV Testat'!$C54,FALSE)</f>
        <v>0</v>
      </c>
    </row>
    <row r="55" spans="1:17" ht="12" collapsed="1" thickBot="1">
      <c r="A55" s="1013" t="s">
        <v>2523</v>
      </c>
      <c r="B55" s="1001"/>
      <c r="C55" s="1001"/>
      <c r="D55" s="1002"/>
      <c r="E55" s="1043"/>
      <c r="F55" s="1098" t="s">
        <v>2524</v>
      </c>
      <c r="G55" s="1018">
        <f>+F65-E65</f>
        <v>0</v>
      </c>
      <c r="H55" s="1114"/>
      <c r="I55" s="1098" t="s">
        <v>2524</v>
      </c>
      <c r="J55" s="1018">
        <f>+I65-H65</f>
        <v>0</v>
      </c>
      <c r="K55" s="1114"/>
      <c r="L55" s="1098" t="s">
        <v>2524</v>
      </c>
      <c r="M55" s="1018">
        <f>+L65-K65</f>
        <v>0</v>
      </c>
      <c r="N55" s="1114"/>
      <c r="O55" s="1098" t="s">
        <v>2524</v>
      </c>
      <c r="P55" s="1018">
        <f>+O65-N65</f>
        <v>0</v>
      </c>
    </row>
    <row r="56" spans="1:17" hidden="1" outlineLevel="1">
      <c r="A56" s="1022"/>
      <c r="D56" s="1041"/>
      <c r="E56" s="1047"/>
      <c r="F56" s="1080"/>
      <c r="G56" s="1115"/>
      <c r="H56" s="1116"/>
      <c r="I56" s="1117"/>
      <c r="J56" s="1115"/>
      <c r="K56" s="1116"/>
      <c r="L56" s="1117"/>
      <c r="M56" s="1115"/>
      <c r="N56" s="1116"/>
      <c r="O56" s="1117"/>
      <c r="P56" s="1115"/>
    </row>
    <row r="57" spans="1:17" ht="30" hidden="1" customHeight="1" outlineLevel="1">
      <c r="A57" s="1028"/>
      <c r="D57" s="1099" t="s">
        <v>2525</v>
      </c>
      <c r="E57" s="1064" t="s">
        <v>2526</v>
      </c>
      <c r="F57" s="1118" t="s">
        <v>2526</v>
      </c>
      <c r="G57" s="1115"/>
      <c r="H57" s="1065" t="s">
        <v>2526</v>
      </c>
      <c r="I57" s="1118" t="s">
        <v>2526</v>
      </c>
      <c r="J57" s="1115"/>
      <c r="K57" s="1065" t="s">
        <v>2526</v>
      </c>
      <c r="L57" s="1118" t="s">
        <v>2526</v>
      </c>
      <c r="M57" s="1115"/>
      <c r="N57" s="1065" t="s">
        <v>2526</v>
      </c>
      <c r="O57" s="1118" t="s">
        <v>2526</v>
      </c>
      <c r="P57" s="1115"/>
      <c r="Q57" s="1571" t="s">
        <v>2527</v>
      </c>
    </row>
    <row r="58" spans="1:17" hidden="1" outlineLevel="1">
      <c r="A58" s="1028"/>
      <c r="C58" s="1188">
        <v>2</v>
      </c>
      <c r="D58" s="1035" t="s">
        <v>2408</v>
      </c>
      <c r="E58" s="1100">
        <v>357493614</v>
      </c>
      <c r="F58" s="1119">
        <f>+VLOOKUP(E$4,'Anlage 2a_Letztverbrauch'!$A$2862:$H$2865,'LV Testat'!$C58,FALSE)</f>
        <v>357493614</v>
      </c>
      <c r="G58" s="1115"/>
      <c r="H58" s="1087">
        <v>940409731</v>
      </c>
      <c r="I58" s="1119">
        <f>+VLOOKUP(H$4,'Anlage 2a_Letztverbrauch'!$A$2862:$H$2865,'LV Testat'!$C58,FALSE)</f>
        <v>940409731</v>
      </c>
      <c r="J58" s="1115"/>
      <c r="K58" s="1087">
        <v>399644657</v>
      </c>
      <c r="L58" s="1119">
        <f>+VLOOKUP(K$4,'Anlage 2a_Letztverbrauch'!$A$2862:$H$2865,'LV Testat'!$C58,FALSE)</f>
        <v>399644657</v>
      </c>
      <c r="M58" s="1115"/>
      <c r="N58" s="1087">
        <v>204333266</v>
      </c>
      <c r="O58" s="1119">
        <f>+VLOOKUP(N$4,'Anlage 2a_Letztverbrauch'!$A$2862:$H$2865,'LV Testat'!$C58,FALSE)</f>
        <v>204333266</v>
      </c>
      <c r="P58" s="1115"/>
    </row>
    <row r="59" spans="1:17" hidden="1" outlineLevel="1">
      <c r="A59" s="1028"/>
      <c r="C59" s="1188">
        <f>+C58+1</f>
        <v>3</v>
      </c>
      <c r="D59" s="1035" t="s">
        <v>2500</v>
      </c>
      <c r="E59" s="1120">
        <v>0</v>
      </c>
      <c r="F59" s="1119">
        <f>+VLOOKUP(E$4,'Anlage 2a_Letztverbrauch'!$A$2862:$H$2865,'LV Testat'!$C59,FALSE)</f>
        <v>0</v>
      </c>
      <c r="G59" s="1115"/>
      <c r="H59" s="1087">
        <v>0</v>
      </c>
      <c r="I59" s="1119">
        <f>+VLOOKUP(H$4,'Anlage 2a_Letztverbrauch'!$A$2862:$H$2865,'LV Testat'!$C59,FALSE)</f>
        <v>0</v>
      </c>
      <c r="J59" s="1115"/>
      <c r="K59" s="1087"/>
      <c r="L59" s="1119">
        <f>+VLOOKUP(K$4,'Anlage 2a_Letztverbrauch'!$A$2862:$H$2865,'LV Testat'!$C59,FALSE)</f>
        <v>0</v>
      </c>
      <c r="M59" s="1115"/>
      <c r="N59" s="1087">
        <v>0</v>
      </c>
      <c r="O59" s="1119">
        <f>+VLOOKUP(N$4,'Anlage 2a_Letztverbrauch'!$A$2862:$H$2865,'LV Testat'!$C59,FALSE)</f>
        <v>0</v>
      </c>
      <c r="P59" s="1115"/>
    </row>
    <row r="60" spans="1:17" hidden="1" outlineLevel="1">
      <c r="A60" s="1028"/>
      <c r="C60" s="1188">
        <f t="shared" ref="C60:C64" si="1">+C59+1</f>
        <v>4</v>
      </c>
      <c r="D60" s="1035" t="s">
        <v>2418</v>
      </c>
      <c r="E60" s="1120">
        <v>0</v>
      </c>
      <c r="F60" s="1119">
        <f>+VLOOKUP(E$4,'Anlage 2a_Letztverbrauch'!$A$2862:$H$2865,'LV Testat'!$C60,FALSE)</f>
        <v>0</v>
      </c>
      <c r="G60" s="1115"/>
      <c r="H60" s="1087">
        <v>0</v>
      </c>
      <c r="I60" s="1119">
        <f>+VLOOKUP(H$4,'Anlage 2a_Letztverbrauch'!$A$2862:$H$2865,'LV Testat'!$C60,FALSE)</f>
        <v>0</v>
      </c>
      <c r="J60" s="1115"/>
      <c r="K60" s="1087"/>
      <c r="L60" s="1119">
        <f>+VLOOKUP(K$4,'Anlage 2a_Letztverbrauch'!$A$2862:$H$2865,'LV Testat'!$C60,FALSE)</f>
        <v>0</v>
      </c>
      <c r="M60" s="1115"/>
      <c r="N60" s="1087">
        <v>0</v>
      </c>
      <c r="O60" s="1119">
        <f>+VLOOKUP(N$4,'Anlage 2a_Letztverbrauch'!$A$2862:$H$2865,'LV Testat'!$C60,FALSE)</f>
        <v>0</v>
      </c>
      <c r="P60" s="1115"/>
    </row>
    <row r="61" spans="1:17" hidden="1" outlineLevel="1">
      <c r="A61" s="1028"/>
      <c r="C61" s="1188">
        <f t="shared" si="1"/>
        <v>5</v>
      </c>
      <c r="D61" s="1035" t="s">
        <v>2501</v>
      </c>
      <c r="E61" s="1120">
        <v>0</v>
      </c>
      <c r="F61" s="1119">
        <f>+VLOOKUP(E$4,'Anlage 2a_Letztverbrauch'!$A$2862:$H$2865,'LV Testat'!$C61,FALSE)</f>
        <v>0</v>
      </c>
      <c r="G61" s="1115"/>
      <c r="H61" s="1087">
        <v>0</v>
      </c>
      <c r="I61" s="1119">
        <f>+VLOOKUP(H$4,'Anlage 2a_Letztverbrauch'!$A$2862:$H$2865,'LV Testat'!$C61,FALSE)</f>
        <v>0</v>
      </c>
      <c r="J61" s="1115"/>
      <c r="K61" s="1087"/>
      <c r="L61" s="1119">
        <f>+VLOOKUP(K$4,'Anlage 2a_Letztverbrauch'!$A$2862:$H$2865,'LV Testat'!$C61,FALSE)</f>
        <v>0</v>
      </c>
      <c r="M61" s="1115"/>
      <c r="N61" s="1087">
        <v>0</v>
      </c>
      <c r="O61" s="1119">
        <f>+VLOOKUP(N$4,'Anlage 2a_Letztverbrauch'!$A$2862:$H$2865,'LV Testat'!$C61,FALSE)</f>
        <v>0</v>
      </c>
      <c r="P61" s="1115"/>
    </row>
    <row r="62" spans="1:17" ht="17.25" hidden="1" customHeight="1" outlineLevel="1">
      <c r="A62" s="1028"/>
      <c r="C62" s="1188">
        <f t="shared" si="1"/>
        <v>6</v>
      </c>
      <c r="D62" s="1035" t="s">
        <v>2409</v>
      </c>
      <c r="E62" s="1120">
        <v>0</v>
      </c>
      <c r="F62" s="1119">
        <f>+VLOOKUP(E$4,'Anlage 2a_Letztverbrauch'!$A$2862:$H$2865,'LV Testat'!$C62,FALSE)</f>
        <v>0</v>
      </c>
      <c r="G62" s="1115"/>
      <c r="H62" s="1087">
        <v>0</v>
      </c>
      <c r="I62" s="1119">
        <f>+VLOOKUP(H$4,'Anlage 2a_Letztverbrauch'!$A$2862:$H$2865,'LV Testat'!$C62,FALSE)</f>
        <v>0</v>
      </c>
      <c r="J62" s="1115"/>
      <c r="K62" s="1087"/>
      <c r="L62" s="1119">
        <f>+VLOOKUP(K$4,'Anlage 2a_Letztverbrauch'!$A$2862:$H$2865,'LV Testat'!$C62,FALSE)</f>
        <v>0</v>
      </c>
      <c r="M62" s="1115"/>
      <c r="N62" s="1087">
        <v>0</v>
      </c>
      <c r="O62" s="1119">
        <f>+VLOOKUP(N$4,'Anlage 2a_Letztverbrauch'!$A$2862:$H$2865,'LV Testat'!$C62,FALSE)</f>
        <v>0</v>
      </c>
      <c r="P62" s="1115"/>
    </row>
    <row r="63" spans="1:17" hidden="1" outlineLevel="1">
      <c r="A63" s="1028"/>
      <c r="C63" s="1188">
        <f t="shared" si="1"/>
        <v>7</v>
      </c>
      <c r="D63" s="1035" t="s">
        <v>2419</v>
      </c>
      <c r="E63" s="1120">
        <v>0</v>
      </c>
      <c r="F63" s="1119">
        <f>+VLOOKUP(E$4,'Anlage 2a_Letztverbrauch'!$A$2862:$H$2865,'LV Testat'!$C63,FALSE)</f>
        <v>0</v>
      </c>
      <c r="G63" s="1115"/>
      <c r="H63" s="1087">
        <v>0</v>
      </c>
      <c r="I63" s="1119">
        <f>+VLOOKUP(H$4,'Anlage 2a_Letztverbrauch'!$A$2862:$H$2865,'LV Testat'!$C63,FALSE)</f>
        <v>0</v>
      </c>
      <c r="J63" s="1115"/>
      <c r="K63" s="1087"/>
      <c r="L63" s="1119">
        <f>+VLOOKUP(K$4,'Anlage 2a_Letztverbrauch'!$A$2862:$H$2865,'LV Testat'!$C63,FALSE)</f>
        <v>0</v>
      </c>
      <c r="M63" s="1115"/>
      <c r="N63" s="1087">
        <v>0</v>
      </c>
      <c r="O63" s="1119">
        <f>+VLOOKUP(N$4,'Anlage 2a_Letztverbrauch'!$A$2862:$H$2865,'LV Testat'!$C63,FALSE)</f>
        <v>0</v>
      </c>
      <c r="P63" s="1115"/>
    </row>
    <row r="64" spans="1:17" hidden="1" outlineLevel="1">
      <c r="A64" s="1028"/>
      <c r="C64" s="1188">
        <f t="shared" si="1"/>
        <v>8</v>
      </c>
      <c r="D64" s="1035" t="s">
        <v>2412</v>
      </c>
      <c r="E64" s="1120">
        <v>0</v>
      </c>
      <c r="F64" s="1119">
        <f>+VLOOKUP(E$4,'Anlage 2a_Letztverbrauch'!$A$2862:$H$2865,'LV Testat'!$C64,FALSE)</f>
        <v>0</v>
      </c>
      <c r="G64" s="1115"/>
      <c r="H64" s="1087">
        <v>0</v>
      </c>
      <c r="I64" s="1119">
        <f>+VLOOKUP(H$4,'Anlage 2a_Letztverbrauch'!$A$2862:$H$2865,'LV Testat'!$C64,FALSE)</f>
        <v>0</v>
      </c>
      <c r="J64" s="1115"/>
      <c r="K64" s="1087"/>
      <c r="L64" s="1119">
        <f>+VLOOKUP(K$4,'Anlage 2a_Letztverbrauch'!$A$2862:$H$2865,'LV Testat'!$C64,FALSE)</f>
        <v>0</v>
      </c>
      <c r="M64" s="1115"/>
      <c r="N64" s="1087">
        <v>0</v>
      </c>
      <c r="O64" s="1119">
        <f>+VLOOKUP(N$4,'Anlage 2a_Letztverbrauch'!$A$2862:$H$2865,'LV Testat'!$C64,FALSE)</f>
        <v>0</v>
      </c>
      <c r="P64" s="1115"/>
    </row>
    <row r="65" spans="1:16" ht="12" hidden="1" outlineLevel="1" thickBot="1">
      <c r="A65" s="1090"/>
      <c r="B65" s="1091"/>
      <c r="C65" s="1190"/>
      <c r="D65" s="1062" t="s">
        <v>2503</v>
      </c>
      <c r="E65" s="1093">
        <f>+SUM(E58:E64)</f>
        <v>357493614</v>
      </c>
      <c r="F65" s="1094">
        <f>+SUM(F58:F64)</f>
        <v>357493614</v>
      </c>
      <c r="G65" s="1121"/>
      <c r="H65" s="1097">
        <f>+SUM(H58:H64)</f>
        <v>940409731</v>
      </c>
      <c r="I65" s="1094">
        <f>+SUM(I58:I64)</f>
        <v>940409731</v>
      </c>
      <c r="J65" s="1121"/>
      <c r="K65" s="1097">
        <f>+SUM(K58:K64)</f>
        <v>399644657</v>
      </c>
      <c r="L65" s="1094">
        <f>+SUM(L58:L64)</f>
        <v>399644657</v>
      </c>
      <c r="M65" s="1121"/>
      <c r="N65" s="1097">
        <f>+SUM(N58:N64)</f>
        <v>204333266</v>
      </c>
      <c r="O65" s="1094">
        <f>+SUM(O58:O64)</f>
        <v>204333266</v>
      </c>
      <c r="P65" s="1121"/>
    </row>
    <row r="66" spans="1:16" ht="12" collapsed="1" thickBot="1">
      <c r="A66" s="1013" t="s">
        <v>2528</v>
      </c>
      <c r="B66" s="1001"/>
      <c r="C66" s="1001"/>
      <c r="D66" s="1002"/>
      <c r="E66" s="1001"/>
      <c r="F66" s="1098" t="s">
        <v>2529</v>
      </c>
      <c r="G66" s="1018">
        <f>+SUM(E69:G71)-SUM(E74:G76)</f>
        <v>0</v>
      </c>
      <c r="H66" s="1000"/>
      <c r="I66" s="1098" t="s">
        <v>2529</v>
      </c>
      <c r="J66" s="1018">
        <f>+SUM(H69:J71)-SUM(H74:J76)</f>
        <v>0</v>
      </c>
      <c r="K66" s="1000"/>
      <c r="L66" s="1098" t="s">
        <v>2529</v>
      </c>
      <c r="M66" s="1018">
        <f>+SUM(K69:M71)-SUM(K74:M76)</f>
        <v>0</v>
      </c>
      <c r="N66" s="1000"/>
      <c r="O66" s="1098" t="s">
        <v>2529</v>
      </c>
      <c r="P66" s="1018">
        <f>+SUM(N69:P71)-SUM(N74:P76)</f>
        <v>0</v>
      </c>
    </row>
    <row r="67" spans="1:16" hidden="1" outlineLevel="1">
      <c r="A67" s="1028"/>
      <c r="D67" s="1041"/>
      <c r="F67" s="1012"/>
      <c r="G67" s="1041"/>
      <c r="H67" s="1028"/>
      <c r="I67" s="1012"/>
      <c r="J67" s="1041"/>
      <c r="K67" s="1028"/>
      <c r="L67" s="1012"/>
      <c r="M67" s="1041"/>
      <c r="N67" s="1028"/>
      <c r="O67" s="1012"/>
      <c r="P67" s="1041"/>
    </row>
    <row r="68" spans="1:16" ht="33.75" hidden="1" outlineLevel="1">
      <c r="A68" s="1028"/>
      <c r="D68" s="1030" t="s">
        <v>2506</v>
      </c>
      <c r="E68" s="1031" t="s">
        <v>2499</v>
      </c>
      <c r="F68" s="1032" t="s">
        <v>2507</v>
      </c>
      <c r="G68" s="1049" t="s">
        <v>2508</v>
      </c>
      <c r="H68" s="1034" t="s">
        <v>2499</v>
      </c>
      <c r="I68" s="1032" t="s">
        <v>2507</v>
      </c>
      <c r="J68" s="1049" t="s">
        <v>2508</v>
      </c>
      <c r="K68" s="1034" t="s">
        <v>2499</v>
      </c>
      <c r="L68" s="1032" t="s">
        <v>2507</v>
      </c>
      <c r="M68" s="1049" t="s">
        <v>2508</v>
      </c>
      <c r="N68" s="1034" t="s">
        <v>2499</v>
      </c>
      <c r="O68" s="1032" t="s">
        <v>2507</v>
      </c>
      <c r="P68" s="1049" t="s">
        <v>2508</v>
      </c>
    </row>
    <row r="69" spans="1:16" hidden="1" outlineLevel="1">
      <c r="A69" s="1028"/>
      <c r="D69" s="1050" t="s">
        <v>2411</v>
      </c>
      <c r="E69" s="1103">
        <v>29436</v>
      </c>
      <c r="F69" s="1067">
        <v>-12.23</v>
      </c>
      <c r="G69" s="1068">
        <v>-36.03</v>
      </c>
      <c r="H69" s="1103">
        <v>37492</v>
      </c>
      <c r="I69" s="1067">
        <v>-85.06</v>
      </c>
      <c r="J69" s="1068">
        <v>-250.59</v>
      </c>
      <c r="K69" s="1103">
        <v>167100</v>
      </c>
      <c r="L69" s="1067">
        <v>-69.430000000000007</v>
      </c>
      <c r="M69" s="1068">
        <v>-204.53</v>
      </c>
      <c r="N69" s="1103">
        <v>106250</v>
      </c>
      <c r="O69" s="1067">
        <v>-34.630000000000003</v>
      </c>
      <c r="P69" s="1068">
        <v>-102.02</v>
      </c>
    </row>
    <row r="70" spans="1:16" hidden="1" outlineLevel="1">
      <c r="A70" s="1028"/>
      <c r="D70" s="1050" t="s">
        <v>2375</v>
      </c>
      <c r="E70" s="1103"/>
      <c r="F70" s="1067"/>
      <c r="G70" s="1068"/>
      <c r="H70" s="1103">
        <v>9881</v>
      </c>
      <c r="I70" s="1067">
        <v>-27.17</v>
      </c>
      <c r="J70" s="1068">
        <v>-64.819999999999993</v>
      </c>
      <c r="K70" s="1103">
        <v>0</v>
      </c>
      <c r="L70" s="1067">
        <v>0</v>
      </c>
      <c r="M70" s="1068">
        <v>0</v>
      </c>
      <c r="N70" s="1103">
        <v>0</v>
      </c>
      <c r="O70" s="1067">
        <v>0</v>
      </c>
      <c r="P70" s="1068">
        <v>0</v>
      </c>
    </row>
    <row r="71" spans="1:16" hidden="1" outlineLevel="1">
      <c r="A71" s="1028"/>
      <c r="D71" s="1050" t="s">
        <v>2431</v>
      </c>
      <c r="E71" s="1103"/>
      <c r="F71" s="1067"/>
      <c r="G71" s="1068"/>
      <c r="H71" s="1103">
        <v>0</v>
      </c>
      <c r="I71" s="1067">
        <v>0</v>
      </c>
      <c r="J71" s="1068">
        <v>0</v>
      </c>
      <c r="K71" s="1103">
        <v>0</v>
      </c>
      <c r="L71" s="1067">
        <v>0</v>
      </c>
      <c r="M71" s="1068">
        <v>0</v>
      </c>
      <c r="N71" s="1103">
        <v>0</v>
      </c>
      <c r="O71" s="1067">
        <v>0</v>
      </c>
      <c r="P71" s="1068">
        <v>0</v>
      </c>
    </row>
    <row r="72" spans="1:16" hidden="1" outlineLevel="1">
      <c r="A72" s="1028"/>
      <c r="D72" s="1041"/>
      <c r="F72" s="1855" t="s">
        <v>2530</v>
      </c>
      <c r="G72" s="1856"/>
      <c r="H72" s="1028"/>
      <c r="I72" s="1012" t="s">
        <v>2530</v>
      </c>
      <c r="J72" s="1122"/>
      <c r="K72" s="1028"/>
      <c r="L72" s="1012" t="s">
        <v>2530</v>
      </c>
      <c r="M72" s="1122"/>
      <c r="N72" s="1028"/>
      <c r="O72" s="1012" t="s">
        <v>2530</v>
      </c>
      <c r="P72" s="1122"/>
    </row>
    <row r="73" spans="1:16" ht="33.75" hidden="1" outlineLevel="1">
      <c r="A73" s="1028"/>
      <c r="D73" s="1030" t="s">
        <v>2506</v>
      </c>
      <c r="E73" s="1031" t="s">
        <v>2499</v>
      </c>
      <c r="F73" s="1032" t="s">
        <v>2507</v>
      </c>
      <c r="G73" s="1049" t="s">
        <v>2508</v>
      </c>
      <c r="H73" s="1034" t="s">
        <v>2499</v>
      </c>
      <c r="I73" s="1032" t="s">
        <v>2507</v>
      </c>
      <c r="J73" s="1049" t="s">
        <v>2508</v>
      </c>
      <c r="K73" s="1034" t="s">
        <v>2499</v>
      </c>
      <c r="L73" s="1032" t="s">
        <v>2507</v>
      </c>
      <c r="M73" s="1049" t="s">
        <v>2508</v>
      </c>
      <c r="N73" s="1034" t="s">
        <v>2499</v>
      </c>
      <c r="O73" s="1032" t="s">
        <v>2507</v>
      </c>
      <c r="P73" s="1049" t="s">
        <v>2508</v>
      </c>
    </row>
    <row r="74" spans="1:16" hidden="1" outlineLevel="1">
      <c r="A74" s="1184">
        <v>2</v>
      </c>
      <c r="B74" s="1183">
        <v>3</v>
      </c>
      <c r="C74" s="1183">
        <v>4</v>
      </c>
      <c r="D74" s="1050" t="s">
        <v>2411</v>
      </c>
      <c r="E74" s="1105">
        <f>+VLOOKUP($E$4,'Anlage 2a_Letztverbrauch'!$A$2896:$J$2899,$A74,FALSE)</f>
        <v>29436</v>
      </c>
      <c r="F74" s="1119">
        <f>+VLOOKUP($E$4,'Anlage 2a_Letztverbrauch'!$A$2896:$J$2899,$B74,FALSE)</f>
        <v>-12.23</v>
      </c>
      <c r="G74" s="1123">
        <f>+VLOOKUP($E$4,'Anlage 2a_Letztverbrauch'!$A$2896:$J$2899,$C74,FALSE)</f>
        <v>-36.03</v>
      </c>
      <c r="H74" s="1108">
        <f>+VLOOKUP($H$4,'Anlage 2a_Letztverbrauch'!$A$2896:$J$2899,$A74,FALSE)</f>
        <v>37492</v>
      </c>
      <c r="I74" s="1119">
        <f>+VLOOKUP($H$4,'Anlage 2a_Letztverbrauch'!$A$2896:$J$2899,$B74,FALSE)</f>
        <v>-85.06</v>
      </c>
      <c r="J74" s="1123">
        <f>+VLOOKUP($H$4,'Anlage 2a_Letztverbrauch'!$A$2896:$J$2899,$C74,FALSE)</f>
        <v>-250.59</v>
      </c>
      <c r="K74" s="1108">
        <f>+VLOOKUP($K$4,'Anlage 2a_Letztverbrauch'!$A$2896:$J$2899,$A74,FALSE)</f>
        <v>167100</v>
      </c>
      <c r="L74" s="1119">
        <f>+VLOOKUP($K$4,'Anlage 2a_Letztverbrauch'!$A$2896:$J$2899,$B74,FALSE)</f>
        <v>-69.430000000000007</v>
      </c>
      <c r="M74" s="1123">
        <f>+VLOOKUP($K$4,'Anlage 2a_Letztverbrauch'!$A$2896:$J$2899,$C74,FALSE)</f>
        <v>-204.53</v>
      </c>
      <c r="N74" s="1108">
        <f>+VLOOKUP($N$4,'Anlage 2a_Letztverbrauch'!$A$2896:$J$2899,$A74,FALSE)</f>
        <v>106250</v>
      </c>
      <c r="O74" s="1119">
        <f>+VLOOKUP($N$4,'Anlage 2a_Letztverbrauch'!$A$2896:$J$2899,$B74,FALSE)</f>
        <v>-34.630000000000003</v>
      </c>
      <c r="P74" s="1123">
        <f>+VLOOKUP($N$4,'Anlage 2a_Letztverbrauch'!$A$2896:$J$2899,$C74,FALSE)</f>
        <v>-102.02</v>
      </c>
    </row>
    <row r="75" spans="1:16" hidden="1" outlineLevel="1">
      <c r="A75" s="1184">
        <v>5</v>
      </c>
      <c r="B75" s="1183">
        <v>6</v>
      </c>
      <c r="C75" s="1183">
        <v>7</v>
      </c>
      <c r="D75" s="1050" t="s">
        <v>2375</v>
      </c>
      <c r="E75" s="1105">
        <f>+VLOOKUP($E$4,'Anlage 2a_Letztverbrauch'!$A$2896:$J$2899,$A75,FALSE)</f>
        <v>0</v>
      </c>
      <c r="F75" s="1119">
        <f>+VLOOKUP($E$4,'Anlage 2a_Letztverbrauch'!$A$2896:$J$2899,$B75,FALSE)</f>
        <v>0</v>
      </c>
      <c r="G75" s="1123">
        <f>+VLOOKUP($E$4,'Anlage 2a_Letztverbrauch'!$A$2896:$J$2899,$C75,FALSE)</f>
        <v>0</v>
      </c>
      <c r="H75" s="1108">
        <f>+VLOOKUP($H$4,'Anlage 2a_Letztverbrauch'!$A$2896:$J$2899,$A75,FALSE)</f>
        <v>9881</v>
      </c>
      <c r="I75" s="1119">
        <f>+VLOOKUP($H$4,'Anlage 2a_Letztverbrauch'!$A$2896:$J$2899,$B75,FALSE)</f>
        <v>-27.17</v>
      </c>
      <c r="J75" s="1123">
        <f>+VLOOKUP($H$4,'Anlage 2a_Letztverbrauch'!$A$2896:$J$2899,$C75,FALSE)</f>
        <v>-64.819999999999993</v>
      </c>
      <c r="K75" s="1108">
        <f>+VLOOKUP($K$4,'Anlage 2a_Letztverbrauch'!$A$2896:$J$2899,$A75,FALSE)</f>
        <v>0</v>
      </c>
      <c r="L75" s="1119">
        <f>+VLOOKUP($K$4,'Anlage 2a_Letztverbrauch'!$A$2896:$J$2899,$B75,FALSE)</f>
        <v>0</v>
      </c>
      <c r="M75" s="1123">
        <f>+VLOOKUP($K$4,'Anlage 2a_Letztverbrauch'!$A$2896:$J$2899,$C75,FALSE)</f>
        <v>0</v>
      </c>
      <c r="N75" s="1108">
        <f>+VLOOKUP($N$4,'Anlage 2a_Letztverbrauch'!$A$2896:$J$2899,$A75,FALSE)</f>
        <v>0</v>
      </c>
      <c r="O75" s="1119">
        <f>+VLOOKUP($N$4,'Anlage 2a_Letztverbrauch'!$A$2896:$J$2899,$B75,FALSE)</f>
        <v>0</v>
      </c>
      <c r="P75" s="1123">
        <f>+VLOOKUP($N$4,'Anlage 2a_Letztverbrauch'!$A$2896:$J$2899,$C75,FALSE)</f>
        <v>0</v>
      </c>
    </row>
    <row r="76" spans="1:16" ht="12" hidden="1" outlineLevel="1" thickBot="1">
      <c r="A76" s="1185">
        <v>8</v>
      </c>
      <c r="B76" s="1186">
        <v>9</v>
      </c>
      <c r="C76" s="1186">
        <v>10</v>
      </c>
      <c r="D76" s="1062" t="s">
        <v>2431</v>
      </c>
      <c r="E76" s="1110">
        <f>+VLOOKUP($E$4,'Anlage 2a_Letztverbrauch'!$A$2896:$J$2899,$A76,FALSE)</f>
        <v>0</v>
      </c>
      <c r="F76" s="1124">
        <f>+VLOOKUP($E$4,'Anlage 2a_Letztverbrauch'!$A$2896:$J$2899,$B76,FALSE)</f>
        <v>0</v>
      </c>
      <c r="G76" s="1125">
        <f>+VLOOKUP($E$4,'Anlage 2a_Letztverbrauch'!$A$2896:$J$2899,$C76,FALSE)</f>
        <v>0</v>
      </c>
      <c r="H76" s="1113">
        <f>+VLOOKUP($H$4,'Anlage 2a_Letztverbrauch'!$A$2896:$J$2899,$A76,FALSE)</f>
        <v>0</v>
      </c>
      <c r="I76" s="1124">
        <f>+VLOOKUP($H$4,'Anlage 2a_Letztverbrauch'!$A$2896:$J$2899,$B76,FALSE)</f>
        <v>0</v>
      </c>
      <c r="J76" s="1125">
        <f>+VLOOKUP($H$4,'Anlage 2a_Letztverbrauch'!$A$2896:$J$2899,$C76,FALSE)</f>
        <v>0</v>
      </c>
      <c r="K76" s="1113">
        <f>+VLOOKUP($K$4,'Anlage 2a_Letztverbrauch'!$A$2896:$J$2899,$A76,FALSE)</f>
        <v>0</v>
      </c>
      <c r="L76" s="1124">
        <f>+VLOOKUP($K$4,'Anlage 2a_Letztverbrauch'!$A$2896:$J$2899,$B76,FALSE)</f>
        <v>0</v>
      </c>
      <c r="M76" s="1125">
        <f>+VLOOKUP($K$4,'Anlage 2a_Letztverbrauch'!$A$2896:$J$2899,$C76,FALSE)</f>
        <v>0</v>
      </c>
      <c r="N76" s="1113">
        <f>+VLOOKUP($N$4,'Anlage 2a_Letztverbrauch'!$A$2896:$J$2899,$A76,FALSE)</f>
        <v>0</v>
      </c>
      <c r="O76" s="1124">
        <f>+VLOOKUP($N$4,'Anlage 2a_Letztverbrauch'!$A$2896:$J$2899,$B76,FALSE)</f>
        <v>0</v>
      </c>
      <c r="P76" s="1125">
        <f>+VLOOKUP($N$4,'Anlage 2a_Letztverbrauch'!$A$2896:$J$2899,$C76,FALSE)</f>
        <v>0</v>
      </c>
    </row>
    <row r="77" spans="1:16" s="1132" customFormat="1" ht="18" collapsed="1">
      <c r="A77" s="1126" t="s">
        <v>2531</v>
      </c>
      <c r="B77" s="1127"/>
      <c r="C77" s="1127"/>
      <c r="D77" s="1128"/>
      <c r="E77" s="1129"/>
      <c r="F77" s="1129"/>
      <c r="G77" s="1130"/>
      <c r="H77" s="1131"/>
      <c r="I77" s="1129"/>
      <c r="J77" s="1130"/>
      <c r="K77" s="1131"/>
      <c r="L77" s="1129"/>
      <c r="M77" s="1130"/>
      <c r="N77" s="1131"/>
      <c r="O77" s="1129"/>
      <c r="P77" s="1130"/>
    </row>
    <row r="78" spans="1:16" ht="15.75" thickBot="1">
      <c r="A78" s="1841">
        <f>A1-1</f>
        <v>2024</v>
      </c>
      <c r="B78" s="1842"/>
      <c r="C78" s="1842"/>
      <c r="D78" s="1843"/>
      <c r="E78" s="1091"/>
      <c r="F78" s="1091"/>
      <c r="G78" s="1121"/>
      <c r="H78" s="1090"/>
      <c r="I78" s="1091"/>
      <c r="J78" s="1121"/>
      <c r="K78" s="1090"/>
      <c r="L78" s="1091"/>
      <c r="M78" s="1121"/>
      <c r="N78" s="1090"/>
      <c r="O78" s="1091"/>
      <c r="P78" s="1121"/>
    </row>
    <row r="79" spans="1:16" ht="13.5" thickBot="1">
      <c r="A79" s="1013" t="s">
        <v>2532</v>
      </c>
      <c r="B79" s="1133"/>
      <c r="C79" s="1133"/>
      <c r="D79" s="1134"/>
      <c r="E79" s="1001"/>
      <c r="F79" s="1017" t="str">
        <f>+"Check LV NT "&amp;C82</f>
        <v>Check LV NT 2024</v>
      </c>
      <c r="G79" s="1018">
        <f>+F90-E90</f>
        <v>0</v>
      </c>
      <c r="H79" s="1000"/>
      <c r="I79" s="1017" t="str">
        <f>+"Check LV NT "&amp;C82</f>
        <v>Check LV NT 2024</v>
      </c>
      <c r="J79" s="1018">
        <f>+I90-H90</f>
        <v>0</v>
      </c>
      <c r="K79" s="1000"/>
      <c r="L79" s="1017" t="str">
        <f>+"Check LV NT "&amp;C82</f>
        <v>Check LV NT 2024</v>
      </c>
      <c r="M79" s="1018">
        <f>+L90-K90</f>
        <v>0.43100002408027649</v>
      </c>
      <c r="N79" s="1000"/>
      <c r="O79" s="1017" t="str">
        <f>+"Check LV NT "&amp;C82</f>
        <v>Check LV NT 2024</v>
      </c>
      <c r="P79" s="1018">
        <f>+O90-N90</f>
        <v>0</v>
      </c>
    </row>
    <row r="80" spans="1:16" hidden="1" outlineLevel="1">
      <c r="A80" s="1028"/>
      <c r="D80" s="1041"/>
      <c r="G80" s="1041"/>
      <c r="H80" s="1028"/>
      <c r="J80" s="1041"/>
      <c r="K80" s="1028"/>
      <c r="M80" s="1041"/>
      <c r="N80" s="1028"/>
      <c r="P80" s="1041"/>
    </row>
    <row r="81" spans="1:16" ht="34.5" hidden="1" outlineLevel="1" thickBot="1">
      <c r="A81" s="1028"/>
      <c r="D81" s="1135"/>
      <c r="E81" s="1032" t="s">
        <v>2499</v>
      </c>
      <c r="F81" s="1032" t="s">
        <v>2499</v>
      </c>
      <c r="H81" s="1032" t="s">
        <v>2499</v>
      </c>
      <c r="I81" s="1032" t="s">
        <v>2499</v>
      </c>
      <c r="J81" s="1041"/>
      <c r="K81" s="1034" t="s">
        <v>2499</v>
      </c>
      <c r="L81" s="1032" t="s">
        <v>2499</v>
      </c>
      <c r="M81" s="1041"/>
      <c r="N81" s="1034" t="s">
        <v>2499</v>
      </c>
      <c r="O81" s="1032" t="s">
        <v>2499</v>
      </c>
      <c r="P81" s="1041"/>
    </row>
    <row r="82" spans="1:16" hidden="1" outlineLevel="1">
      <c r="A82" s="1136"/>
      <c r="C82" s="1137">
        <f>+A78</f>
        <v>2024</v>
      </c>
      <c r="D82" s="1138" t="s">
        <v>2408</v>
      </c>
      <c r="E82" s="1139">
        <v>534096351</v>
      </c>
      <c r="F82" s="1119">
        <f>+SUMIFS('Anlage 2b_Korrekturen'!$D:$D,'Anlage 2b_Korrekturen'!$H:$H,'LV Testat'!$E$4,'Anlage 2b_Korrekturen'!$C:$C,'LV Testat'!$D82,'Anlage 2b_Korrekturen'!$A:$A,'LV Testat'!C82)</f>
        <v>534096351</v>
      </c>
      <c r="H82" s="1139">
        <v>14257037</v>
      </c>
      <c r="I82" s="1119">
        <f>+SUMIFS('Anlage 2b_Korrekturen'!$D:$D,'Anlage 2b_Korrekturen'!$H:$H,'LV Testat'!$H$4,'Anlage 2b_Korrekturen'!$C:$C,'LV Testat'!$D82,'Anlage 2b_Korrekturen'!$A:$A,'LV Testat'!C82)</f>
        <v>14257037</v>
      </c>
      <c r="J82" s="1041"/>
      <c r="K82" s="1140">
        <v>61901414</v>
      </c>
      <c r="L82" s="1119">
        <f>+SUMIFS('Anlage 2b_Korrekturen'!$D:$D,'Anlage 2b_Korrekturen'!$H:$H,'LV Testat'!$K$4,'Anlage 2b_Korrekturen'!$C:$C,'LV Testat'!$D82,'Anlage 2b_Korrekturen'!$A:$A,'LV Testat'!C82)</f>
        <v>61901414.431000024</v>
      </c>
      <c r="M82" s="1041"/>
      <c r="N82" s="1140">
        <v>226003671</v>
      </c>
      <c r="O82" s="1119">
        <f>+SUMIFS('Anlage 2b_Korrekturen'!$D:$D,'Anlage 2b_Korrekturen'!$H:$H,'LV Testat'!$N$4,'Anlage 2b_Korrekturen'!$C:$C,'LV Testat'!$D82,'Anlage 2b_Korrekturen'!$A:$A,'LV Testat'!C82)</f>
        <v>226003671</v>
      </c>
      <c r="P82" s="1041"/>
    </row>
    <row r="83" spans="1:16" hidden="1" outlineLevel="1">
      <c r="A83" s="1136"/>
      <c r="C83" s="1137">
        <f>+C82</f>
        <v>2024</v>
      </c>
      <c r="D83" s="1138" t="s">
        <v>2500</v>
      </c>
      <c r="E83" s="1139"/>
      <c r="F83" s="1119">
        <f>+SUMIFS('Anlage 2b_Korrekturen'!$D:$D,'Anlage 2b_Korrekturen'!$H:$H,'LV Testat'!$E$4,'Anlage 2b_Korrekturen'!$C:$C,'LV Testat'!$D83,'Anlage 2b_Korrekturen'!$A:$A,'LV Testat'!C83)</f>
        <v>0</v>
      </c>
      <c r="H83" s="1139">
        <v>0</v>
      </c>
      <c r="I83" s="1119">
        <f>+SUMIFS('Anlage 2b_Korrekturen'!$D:$D,'Anlage 2b_Korrekturen'!$H:$H,'LV Testat'!$H$4,'Anlage 2b_Korrekturen'!$C:$C,'LV Testat'!$D83,'Anlage 2b_Korrekturen'!$A:$A,'LV Testat'!C83)</f>
        <v>0</v>
      </c>
      <c r="J83" s="1041"/>
      <c r="K83" s="1038">
        <v>0</v>
      </c>
      <c r="L83" s="1119">
        <f>+SUMIFS('Anlage 2b_Korrekturen'!$D:$D,'Anlage 2b_Korrekturen'!$H:$H,'LV Testat'!$K$4,'Anlage 2b_Korrekturen'!$C:$C,'LV Testat'!$D83,'Anlage 2b_Korrekturen'!$A:$A,'LV Testat'!C83)</f>
        <v>0</v>
      </c>
      <c r="M83" s="1041"/>
      <c r="N83" s="1038">
        <v>0</v>
      </c>
      <c r="O83" s="1119">
        <f>+SUMIFS('Anlage 2b_Korrekturen'!$D:$D,'Anlage 2b_Korrekturen'!$H:$H,'LV Testat'!$N$4,'Anlage 2b_Korrekturen'!$C:$C,'LV Testat'!$D83,'Anlage 2b_Korrekturen'!$A:$A,'LV Testat'!C83)</f>
        <v>0</v>
      </c>
      <c r="P83" s="1041"/>
    </row>
    <row r="84" spans="1:16" hidden="1" outlineLevel="1">
      <c r="A84" s="1136"/>
      <c r="C84" s="1137">
        <f t="shared" ref="C84:C90" si="2">+C83</f>
        <v>2024</v>
      </c>
      <c r="D84" s="1138" t="s">
        <v>2418</v>
      </c>
      <c r="E84" s="1139"/>
      <c r="F84" s="1119">
        <f>+SUMIFS('Anlage 2b_Korrekturen'!$D:$D,'Anlage 2b_Korrekturen'!$H:$H,'LV Testat'!$E$4,'Anlage 2b_Korrekturen'!$C:$C,'LV Testat'!$D84,'Anlage 2b_Korrekturen'!$A:$A,'LV Testat'!C84)</f>
        <v>0</v>
      </c>
      <c r="H84" s="1139">
        <v>-1601414</v>
      </c>
      <c r="I84" s="1119">
        <f>+SUMIFS('Anlage 2b_Korrekturen'!$D:$D,'Anlage 2b_Korrekturen'!$H:$H,'LV Testat'!$H$4,'Anlage 2b_Korrekturen'!$C:$C,'LV Testat'!$D84,'Anlage 2b_Korrekturen'!$A:$A,'LV Testat'!C84)</f>
        <v>-1601414</v>
      </c>
      <c r="J84" s="1041"/>
      <c r="K84" s="1038">
        <v>0</v>
      </c>
      <c r="L84" s="1119">
        <f>+SUMIFS('Anlage 2b_Korrekturen'!$D:$D,'Anlage 2b_Korrekturen'!$H:$H,'LV Testat'!$K$4,'Anlage 2b_Korrekturen'!$C:$C,'LV Testat'!$D84,'Anlage 2b_Korrekturen'!$A:$A,'LV Testat'!C84)</f>
        <v>0</v>
      </c>
      <c r="M84" s="1041"/>
      <c r="N84" s="1038">
        <v>0</v>
      </c>
      <c r="O84" s="1119">
        <f>+SUMIFS('Anlage 2b_Korrekturen'!$D:$D,'Anlage 2b_Korrekturen'!$H:$H,'LV Testat'!$N$4,'Anlage 2b_Korrekturen'!$C:$C,'LV Testat'!$D84,'Anlage 2b_Korrekturen'!$A:$A,'LV Testat'!C84)</f>
        <v>0</v>
      </c>
      <c r="P84" s="1041"/>
    </row>
    <row r="85" spans="1:16" hidden="1" outlineLevel="1">
      <c r="A85" s="1136"/>
      <c r="C85" s="1137">
        <f t="shared" si="2"/>
        <v>2024</v>
      </c>
      <c r="D85" s="1141" t="s">
        <v>2501</v>
      </c>
      <c r="E85" s="1139"/>
      <c r="F85" s="1119">
        <f>+SUMIFS('Anlage 2b_Korrekturen'!$D:$D,'Anlage 2b_Korrekturen'!$H:$H,'LV Testat'!$E$4,'Anlage 2b_Korrekturen'!$C:$C,'LV Testat'!$D85,'Anlage 2b_Korrekturen'!$A:$A,'LV Testat'!C85)</f>
        <v>0</v>
      </c>
      <c r="H85" s="1139">
        <v>0</v>
      </c>
      <c r="I85" s="1119">
        <f>+SUMIFS('Anlage 2b_Korrekturen'!$D:$D,'Anlage 2b_Korrekturen'!$H:$H,'LV Testat'!$H$4,'Anlage 2b_Korrekturen'!$C:$C,'LV Testat'!$D85,'Anlage 2b_Korrekturen'!$A:$A,'LV Testat'!C85)</f>
        <v>0</v>
      </c>
      <c r="J85" s="1041"/>
      <c r="K85" s="1038">
        <v>0</v>
      </c>
      <c r="L85" s="1119">
        <f>+SUMIFS('Anlage 2b_Korrekturen'!$D:$D,'Anlage 2b_Korrekturen'!$H:$H,'LV Testat'!$K$4,'Anlage 2b_Korrekturen'!$C:$C,'LV Testat'!$D85,'Anlage 2b_Korrekturen'!$A:$A,'LV Testat'!C85)</f>
        <v>0</v>
      </c>
      <c r="M85" s="1041"/>
      <c r="N85" s="1038">
        <v>0</v>
      </c>
      <c r="O85" s="1119">
        <f>+SUMIFS('Anlage 2b_Korrekturen'!$D:$D,'Anlage 2b_Korrekturen'!$H:$H,'LV Testat'!$N$4,'Anlage 2b_Korrekturen'!$C:$C,'LV Testat'!$D85,'Anlage 2b_Korrekturen'!$A:$A,'LV Testat'!C85)</f>
        <v>0</v>
      </c>
      <c r="P85" s="1041"/>
    </row>
    <row r="86" spans="1:16" hidden="1" outlineLevel="1">
      <c r="A86" s="1136"/>
      <c r="C86" s="1137">
        <f t="shared" si="2"/>
        <v>2024</v>
      </c>
      <c r="D86" s="1138" t="s">
        <v>2409</v>
      </c>
      <c r="E86" s="1139">
        <v>-21852160</v>
      </c>
      <c r="F86" s="1119">
        <f>+SUMIFS('Anlage 2b_Korrekturen'!$D:$D,'Anlage 2b_Korrekturen'!$H:$H,'LV Testat'!$E$4,'Anlage 2b_Korrekturen'!$C:$C,'LV Testat'!$D86,'Anlage 2b_Korrekturen'!$A:$A,'LV Testat'!C86)</f>
        <v>-21852160</v>
      </c>
      <c r="H86" s="1139">
        <v>31927682</v>
      </c>
      <c r="I86" s="1119">
        <f>+SUMIFS('Anlage 2b_Korrekturen'!$D:$D,'Anlage 2b_Korrekturen'!$H:$H,'LV Testat'!$H$4,'Anlage 2b_Korrekturen'!$C:$C,'LV Testat'!$D86,'Anlage 2b_Korrekturen'!$A:$A,'LV Testat'!C86)</f>
        <v>31927682</v>
      </c>
      <c r="J86" s="1041"/>
      <c r="K86" s="1038">
        <v>-50230064</v>
      </c>
      <c r="L86" s="1119">
        <f>+SUMIFS('Anlage 2b_Korrekturen'!$D:$D,'Anlage 2b_Korrekturen'!$H:$H,'LV Testat'!$K$4,'Anlage 2b_Korrekturen'!$C:$C,'LV Testat'!$D86,'Anlage 2b_Korrekturen'!$A:$A,'LV Testat'!C86)</f>
        <v>-50230064</v>
      </c>
      <c r="M86" s="1041"/>
      <c r="N86" s="1038">
        <v>9428769</v>
      </c>
      <c r="O86" s="1119">
        <f>+SUMIFS('Anlage 2b_Korrekturen'!$D:$D,'Anlage 2b_Korrekturen'!$H:$H,'LV Testat'!$N$4,'Anlage 2b_Korrekturen'!$C:$C,'LV Testat'!$D86,'Anlage 2b_Korrekturen'!$A:$A,'LV Testat'!C86)</f>
        <v>9428769</v>
      </c>
      <c r="P86" s="1041"/>
    </row>
    <row r="87" spans="1:16" hidden="1" outlineLevel="1">
      <c r="A87" s="1136"/>
      <c r="C87" s="1137">
        <f t="shared" si="2"/>
        <v>2024</v>
      </c>
      <c r="D87" s="1138" t="s">
        <v>2419</v>
      </c>
      <c r="E87" s="1139"/>
      <c r="F87" s="1119">
        <f>+SUMIFS('Anlage 2b_Korrekturen'!$D:$D,'Anlage 2b_Korrekturen'!$H:$H,'LV Testat'!$E$4,'Anlage 2b_Korrekturen'!$C:$C,'LV Testat'!$D87,'Anlage 2b_Korrekturen'!$A:$A,'LV Testat'!C87)</f>
        <v>0</v>
      </c>
      <c r="H87" s="1139">
        <v>1030496</v>
      </c>
      <c r="I87" s="1119">
        <f>+SUMIFS('Anlage 2b_Korrekturen'!$D:$D,'Anlage 2b_Korrekturen'!$H:$H,'LV Testat'!$H$4,'Anlage 2b_Korrekturen'!$C:$C,'LV Testat'!$D87,'Anlage 2b_Korrekturen'!$A:$A,'LV Testat'!C87)</f>
        <v>1030496</v>
      </c>
      <c r="J87" s="1041"/>
      <c r="K87" s="1142">
        <v>4878460</v>
      </c>
      <c r="L87" s="1119">
        <f>+SUMIFS('Anlage 2b_Korrekturen'!$D:$D,'Anlage 2b_Korrekturen'!$H:$H,'LV Testat'!$K$4,'Anlage 2b_Korrekturen'!$C:$C,'LV Testat'!$D87,'Anlage 2b_Korrekturen'!$A:$A,'LV Testat'!C87)</f>
        <v>4878460</v>
      </c>
      <c r="M87" s="1041"/>
      <c r="N87" s="1142">
        <v>0</v>
      </c>
      <c r="O87" s="1119">
        <f>+SUMIFS('Anlage 2b_Korrekturen'!$D:$D,'Anlage 2b_Korrekturen'!$H:$H,'LV Testat'!$N$4,'Anlage 2b_Korrekturen'!$C:$C,'LV Testat'!$D87,'Anlage 2b_Korrekturen'!$A:$A,'LV Testat'!C87)</f>
        <v>0</v>
      </c>
      <c r="P87" s="1041"/>
    </row>
    <row r="88" spans="1:16" hidden="1" outlineLevel="1">
      <c r="A88" s="1136"/>
      <c r="C88" s="1137">
        <f t="shared" si="2"/>
        <v>2024</v>
      </c>
      <c r="D88" s="1138" t="s">
        <v>2412</v>
      </c>
      <c r="E88" s="1139">
        <v>58900</v>
      </c>
      <c r="F88" s="1119">
        <f>+SUMIFS('Anlage 2b_Korrekturen'!$D:$D,'Anlage 2b_Korrekturen'!$H:$H,'LV Testat'!$E$4,'Anlage 2b_Korrekturen'!$C:$C,'LV Testat'!$D88,'Anlage 2b_Korrekturen'!$A:$A,'LV Testat'!C88)</f>
        <v>58900</v>
      </c>
      <c r="H88" s="1139">
        <v>0</v>
      </c>
      <c r="I88" s="1119">
        <f>+SUMIFS('Anlage 2b_Korrekturen'!$D:$D,'Anlage 2b_Korrekturen'!$H:$H,'LV Testat'!$H$4,'Anlage 2b_Korrekturen'!$C:$C,'LV Testat'!$D88,'Anlage 2b_Korrekturen'!$A:$A,'LV Testat'!C88)</f>
        <v>0</v>
      </c>
      <c r="J88" s="1041"/>
      <c r="K88" s="1142">
        <v>93060</v>
      </c>
      <c r="L88" s="1119">
        <f>+SUMIFS('Anlage 2b_Korrekturen'!$D:$D,'Anlage 2b_Korrekturen'!$H:$H,'LV Testat'!$K$4,'Anlage 2b_Korrekturen'!$C:$C,'LV Testat'!$D88,'Anlage 2b_Korrekturen'!$A:$A,'LV Testat'!C88)</f>
        <v>93060</v>
      </c>
      <c r="M88" s="1041"/>
      <c r="N88" s="1142">
        <v>0</v>
      </c>
      <c r="O88" s="1119">
        <f>+SUMIFS('Anlage 2b_Korrekturen'!$D:$D,'Anlage 2b_Korrekturen'!$H:$H,'LV Testat'!$N$4,'Anlage 2b_Korrekturen'!$C:$C,'LV Testat'!$D88,'Anlage 2b_Korrekturen'!$A:$A,'LV Testat'!C88)</f>
        <v>0</v>
      </c>
      <c r="P88" s="1041"/>
    </row>
    <row r="89" spans="1:16" hidden="1" outlineLevel="1">
      <c r="A89" s="1028"/>
      <c r="C89" s="1137">
        <f t="shared" si="2"/>
        <v>2024</v>
      </c>
      <c r="D89" s="1141" t="s">
        <v>2410</v>
      </c>
      <c r="E89" s="1139"/>
      <c r="F89" s="1119">
        <f>+SUMIFS('Anlage 2b_Korrekturen'!$D:$D,'Anlage 2b_Korrekturen'!$H:$H,'LV Testat'!$E$4,'Anlage 2b_Korrekturen'!$C:$C,'LV Testat'!$D89,'Anlage 2b_Korrekturen'!$A:$A,'LV Testat'!C89)</f>
        <v>0</v>
      </c>
      <c r="H89" s="1139"/>
      <c r="I89" s="1119">
        <f>+SUMIFS('Anlage 2b_Korrekturen'!$D:$D,'Anlage 2b_Korrekturen'!$H:$H,'LV Testat'!$H$4,'Anlage 2b_Korrekturen'!$C:$C,'LV Testat'!$D89,'Anlage 2b_Korrekturen'!$A:$A,'LV Testat'!C89)</f>
        <v>0</v>
      </c>
      <c r="J89" s="1041"/>
      <c r="K89" s="1142">
        <v>0</v>
      </c>
      <c r="L89" s="1119">
        <f>+SUMIFS('Anlage 2b_Korrekturen'!$D:$D,'Anlage 2b_Korrekturen'!$H:$H,'LV Testat'!$K$4,'Anlage 2b_Korrekturen'!$C:$C,'LV Testat'!$D89,'Anlage 2b_Korrekturen'!$A:$A,'LV Testat'!C89)</f>
        <v>0</v>
      </c>
      <c r="M89" s="1041"/>
      <c r="N89" s="1142"/>
      <c r="O89" s="1119">
        <f>+SUMIFS('Anlage 2b_Korrekturen'!$D:$D,'Anlage 2b_Korrekturen'!$H:$H,'LV Testat'!$N$4,'Anlage 2b_Korrekturen'!$C:$C,'LV Testat'!$D89,'Anlage 2b_Korrekturen'!$A:$A,'LV Testat'!C89)</f>
        <v>0</v>
      </c>
      <c r="P89" s="1041"/>
    </row>
    <row r="90" spans="1:16" ht="12" hidden="1" outlineLevel="1" thickBot="1">
      <c r="A90" s="1143"/>
      <c r="B90" s="1091"/>
      <c r="C90" s="1137">
        <f t="shared" si="2"/>
        <v>2024</v>
      </c>
      <c r="D90" s="1144" t="s">
        <v>2503</v>
      </c>
      <c r="E90" s="1124">
        <f>+SUM(E82:E89)</f>
        <v>512303091</v>
      </c>
      <c r="F90" s="1124">
        <f>+SUM(F82:F89)</f>
        <v>512303091</v>
      </c>
      <c r="G90" s="1091"/>
      <c r="H90" s="1124">
        <f>+SUM(H82:H89)</f>
        <v>45613801</v>
      </c>
      <c r="I90" s="1124">
        <f>+SUM(I82:I89)</f>
        <v>45613801</v>
      </c>
      <c r="J90" s="1121"/>
      <c r="K90" s="1125">
        <f>+SUM(K82:K89)</f>
        <v>16642870</v>
      </c>
      <c r="L90" s="1125">
        <f>+SUM(L82:L89)</f>
        <v>16642870.431000024</v>
      </c>
      <c r="M90" s="1121"/>
      <c r="N90" s="1125">
        <f>+SUM(N82:N89)</f>
        <v>235432440</v>
      </c>
      <c r="O90" s="1125">
        <f>+SUM(O82:O89)</f>
        <v>235432440</v>
      </c>
      <c r="P90" s="1121"/>
    </row>
    <row r="91" spans="1:16" ht="12" collapsed="1" thickBot="1">
      <c r="A91" s="1013" t="s">
        <v>2504</v>
      </c>
      <c r="B91" s="1001"/>
      <c r="C91" s="1001"/>
      <c r="D91" s="1002"/>
      <c r="E91" s="1001"/>
      <c r="F91" s="1017" t="str">
        <f>+"Check Saldierungsbetrag NT "&amp;C99</f>
        <v>Check Saldierungsbetrag NT 2024</v>
      </c>
      <c r="G91" s="1018">
        <f>+SUM(E94:G96)-SUM(E99:G101)</f>
        <v>0</v>
      </c>
      <c r="H91" s="1000"/>
      <c r="I91" s="1017" t="str">
        <f>+"Check Saldierungsbetrag NT "&amp;C99</f>
        <v>Check Saldierungsbetrag NT 2024</v>
      </c>
      <c r="J91" s="1018">
        <f>+SUM(H94:J96)-SUM(H99:J101)</f>
        <v>0</v>
      </c>
      <c r="K91" s="1000"/>
      <c r="L91" s="1017" t="str">
        <f>+"Check Saldierungsbetrag NT "&amp;C99</f>
        <v>Check Saldierungsbetrag NT 2024</v>
      </c>
      <c r="M91" s="1018">
        <f>+SUM(K94:M96)-SUM(K99:M101)</f>
        <v>0</v>
      </c>
      <c r="N91" s="1000"/>
      <c r="O91" s="1017" t="str">
        <f>+"Check Saldierungsbetrag NT "&amp;C99</f>
        <v>Check Saldierungsbetrag NT 2024</v>
      </c>
      <c r="P91" s="1018">
        <f>+SUM(N94:P96)-SUM(N99:P101)</f>
        <v>0</v>
      </c>
    </row>
    <row r="92" spans="1:16" ht="12" hidden="1" outlineLevel="1" thickBot="1">
      <c r="A92" s="1028"/>
      <c r="D92" s="1041"/>
      <c r="E92" s="1012"/>
      <c r="G92" s="1041"/>
      <c r="H92" s="1028"/>
      <c r="J92" s="1041"/>
      <c r="K92" s="1028"/>
      <c r="M92" s="1041"/>
      <c r="N92" s="1028"/>
      <c r="P92" s="1041"/>
    </row>
    <row r="93" spans="1:16" ht="33.75" hidden="1" outlineLevel="1">
      <c r="A93" s="1028"/>
      <c r="D93" s="1030" t="s">
        <v>2506</v>
      </c>
      <c r="E93" s="1145" t="s">
        <v>2499</v>
      </c>
      <c r="F93" s="1146" t="s">
        <v>2507</v>
      </c>
      <c r="G93" s="1147" t="s">
        <v>2508</v>
      </c>
      <c r="H93" s="1148" t="s">
        <v>2499</v>
      </c>
      <c r="I93" s="1146" t="s">
        <v>2507</v>
      </c>
      <c r="J93" s="1147" t="s">
        <v>2508</v>
      </c>
      <c r="K93" s="1148" t="s">
        <v>2499</v>
      </c>
      <c r="L93" s="1146" t="s">
        <v>2507</v>
      </c>
      <c r="M93" s="1147" t="s">
        <v>2508</v>
      </c>
      <c r="N93" s="1148" t="s">
        <v>2499</v>
      </c>
      <c r="O93" s="1146" t="s">
        <v>2507</v>
      </c>
      <c r="P93" s="1147" t="s">
        <v>2508</v>
      </c>
    </row>
    <row r="94" spans="1:16" hidden="1" outlineLevel="1">
      <c r="A94" s="1028"/>
      <c r="D94" s="1050" t="s">
        <v>2411</v>
      </c>
      <c r="E94" s="1051">
        <v>18704629</v>
      </c>
      <c r="F94" s="1052">
        <v>-51437.73</v>
      </c>
      <c r="G94" s="1053">
        <v>-122702.38</v>
      </c>
      <c r="H94" s="1051">
        <v>8325665</v>
      </c>
      <c r="I94" s="1052">
        <v>-22895.58</v>
      </c>
      <c r="J94" s="1053">
        <v>-54616.37</v>
      </c>
      <c r="K94" s="1051">
        <v>3934202</v>
      </c>
      <c r="L94" s="1052">
        <v>-10819.05</v>
      </c>
      <c r="M94" s="1053">
        <v>-25808.37</v>
      </c>
      <c r="N94" s="1051">
        <v>976481</v>
      </c>
      <c r="O94" s="1052">
        <v>-2684.64</v>
      </c>
      <c r="P94" s="1053">
        <v>-6404.08</v>
      </c>
    </row>
    <row r="95" spans="1:16" hidden="1" outlineLevel="1">
      <c r="A95" s="1028"/>
      <c r="D95" s="1050" t="s">
        <v>2375</v>
      </c>
      <c r="E95" s="1051"/>
      <c r="F95" s="1052"/>
      <c r="G95" s="1053"/>
      <c r="H95" s="1051">
        <v>0</v>
      </c>
      <c r="I95" s="1052">
        <v>0</v>
      </c>
      <c r="J95" s="1053">
        <v>0</v>
      </c>
      <c r="K95" s="1051">
        <v>0</v>
      </c>
      <c r="L95" s="1052">
        <v>0</v>
      </c>
      <c r="M95" s="1053">
        <v>0</v>
      </c>
      <c r="N95" s="1051">
        <v>0</v>
      </c>
      <c r="O95" s="1052">
        <v>0</v>
      </c>
      <c r="P95" s="1053">
        <v>0</v>
      </c>
    </row>
    <row r="96" spans="1:16" ht="12" hidden="1" outlineLevel="1" thickBot="1">
      <c r="A96" s="1028"/>
      <c r="D96" s="1050" t="s">
        <v>2431</v>
      </c>
      <c r="E96" s="1149"/>
      <c r="F96" s="1150"/>
      <c r="G96" s="1151"/>
      <c r="H96" s="1149">
        <v>0</v>
      </c>
      <c r="I96" s="1150">
        <v>0</v>
      </c>
      <c r="J96" s="1151">
        <v>0</v>
      </c>
      <c r="K96" s="1149">
        <v>0</v>
      </c>
      <c r="L96" s="1150">
        <v>0</v>
      </c>
      <c r="M96" s="1151">
        <v>0</v>
      </c>
      <c r="N96" s="1149">
        <v>0</v>
      </c>
      <c r="O96" s="1150">
        <v>0</v>
      </c>
      <c r="P96" s="1151">
        <v>0</v>
      </c>
    </row>
    <row r="97" spans="1:16" ht="12" hidden="1" outlineLevel="1" thickBot="1">
      <c r="A97" s="1028"/>
      <c r="D97" s="1041"/>
      <c r="F97" s="1847"/>
      <c r="G97" s="1848"/>
      <c r="H97" s="1028"/>
      <c r="I97" s="1012"/>
      <c r="J97" s="1122"/>
      <c r="K97" s="1028"/>
      <c r="L97" s="1012"/>
      <c r="M97" s="1122"/>
      <c r="N97" s="1028"/>
      <c r="O97" s="1012"/>
      <c r="P97" s="1122"/>
    </row>
    <row r="98" spans="1:16" ht="33.75" hidden="1" outlineLevel="1">
      <c r="A98" s="1028"/>
      <c r="D98" s="1099" t="s">
        <v>2506</v>
      </c>
      <c r="E98" s="1152" t="s">
        <v>2499</v>
      </c>
      <c r="F98" s="1153" t="s">
        <v>2507</v>
      </c>
      <c r="G98" s="1154" t="s">
        <v>2508</v>
      </c>
      <c r="H98" s="1148" t="s">
        <v>2499</v>
      </c>
      <c r="I98" s="1146" t="s">
        <v>2507</v>
      </c>
      <c r="J98" s="1147" t="s">
        <v>2508</v>
      </c>
      <c r="K98" s="1148" t="s">
        <v>2499</v>
      </c>
      <c r="L98" s="1146" t="s">
        <v>2507</v>
      </c>
      <c r="M98" s="1147" t="s">
        <v>2508</v>
      </c>
      <c r="N98" s="1148" t="s">
        <v>2499</v>
      </c>
      <c r="O98" s="1146" t="s">
        <v>2507</v>
      </c>
      <c r="P98" s="1147" t="s">
        <v>2508</v>
      </c>
    </row>
    <row r="99" spans="1:16" hidden="1" outlineLevel="1">
      <c r="A99" s="1028"/>
      <c r="C99" s="1137">
        <f>+A78</f>
        <v>2024</v>
      </c>
      <c r="D99" s="1050" t="s">
        <v>2411</v>
      </c>
      <c r="E99" s="1105">
        <f>+SUMIFS('Anlage 2b_Korrekturen'!$D:$D,'Anlage 2b_Korrekturen'!$H:$H,'LV Testat'!$E$4,'Anlage 2b_Korrekturen'!$C:$C,'LV Testat'!$D99,'Anlage 2b_Korrekturen'!$A:$A,C99)</f>
        <v>18704629</v>
      </c>
      <c r="F99" s="1119">
        <f>+SUMIFS('Anlage 2b_Korrekturen'!$E:$E,'Anlage 2b_Korrekturen'!$H:$H,'LV Testat'!$E$4,'Anlage 2b_Korrekturen'!$C:$C,'LV Testat'!$D99,'Anlage 2b_Korrekturen'!$A:$A,C99)</f>
        <v>-51437.73</v>
      </c>
      <c r="G99" s="1123">
        <f>+SUMIFS('Anlage 2b_Korrekturen'!$F:$F,'Anlage 2b_Korrekturen'!$H:$H,'LV Testat'!$E$4,'Anlage 2b_Korrekturen'!$C:$C,'LV Testat'!$D99,'Anlage 2b_Korrekturen'!$A:$A,C99)</f>
        <v>-122702.38</v>
      </c>
      <c r="H99" s="1105">
        <f>+SUMIFS('Anlage 2b_Korrekturen'!$D:$D,'Anlage 2b_Korrekturen'!$H:$H,'LV Testat'!$H$4,'Anlage 2b_Korrekturen'!$C:$C,'LV Testat'!$D99,'Anlage 2b_Korrekturen'!$A:$A,C99)</f>
        <v>8325665</v>
      </c>
      <c r="I99" s="1119">
        <f>+SUMIFS('Anlage 2b_Korrekturen'!$E:$E,'Anlage 2b_Korrekturen'!$H:$H,'LV Testat'!$H$4,'Anlage 2b_Korrekturen'!$C:$C,'LV Testat'!$D99,'Anlage 2b_Korrekturen'!$A:$A,C99)</f>
        <v>-22895.58</v>
      </c>
      <c r="J99" s="1123">
        <f>+SUMIFS('Anlage 2b_Korrekturen'!$F:$F,'Anlage 2b_Korrekturen'!$H:$H,'LV Testat'!$H$4,'Anlage 2b_Korrekturen'!$C:$C,'LV Testat'!$D99,'Anlage 2b_Korrekturen'!$A:$A,C99)</f>
        <v>-54616.37</v>
      </c>
      <c r="K99" s="1105">
        <f>+SUMIFS('Anlage 2b_Korrekturen'!$D:$D,'Anlage 2b_Korrekturen'!$H:$H,'LV Testat'!$K$4,'Anlage 2b_Korrekturen'!$C:$C,'LV Testat'!$D99,'Anlage 2b_Korrekturen'!$A:$A,C99)</f>
        <v>3934202</v>
      </c>
      <c r="L99" s="1119">
        <f>+SUMIFS('Anlage 2b_Korrekturen'!$E:$E,'Anlage 2b_Korrekturen'!$H:$H,'LV Testat'!$K$4,'Anlage 2b_Korrekturen'!$C:$C,'LV Testat'!$D99,'Anlage 2b_Korrekturen'!$A:$A,C99)</f>
        <v>-10819.05</v>
      </c>
      <c r="M99" s="1123">
        <f>+SUMIFS('Anlage 2b_Korrekturen'!$F:$F,'Anlage 2b_Korrekturen'!$H:$H,'LV Testat'!$K$4,'Anlage 2b_Korrekturen'!$C:$C,'LV Testat'!$D99,'Anlage 2b_Korrekturen'!$A:$A,C99)</f>
        <v>-25808.37</v>
      </c>
      <c r="N99" s="1105">
        <f>+SUMIFS('Anlage 2b_Korrekturen'!$D:$D,'Anlage 2b_Korrekturen'!$H:$H,'LV Testat'!$N$4,'Anlage 2b_Korrekturen'!$C:$C,'LV Testat'!$D99,'Anlage 2b_Korrekturen'!$A:$A,C99)</f>
        <v>976481</v>
      </c>
      <c r="O99" s="1119">
        <f>+SUMIFS('Anlage 2b_Korrekturen'!$E:$E,'Anlage 2b_Korrekturen'!$H:$H,'LV Testat'!$N$4,'Anlage 2b_Korrekturen'!$C:$C,'LV Testat'!$D99,'Anlage 2b_Korrekturen'!$A:$A,C99)</f>
        <v>-2684.64</v>
      </c>
      <c r="P99" s="1123">
        <f>+SUMIFS('Anlage 2b_Korrekturen'!$F:$F,'Anlage 2b_Korrekturen'!$H:$H,'LV Testat'!$N$4,'Anlage 2b_Korrekturen'!$C:$C,'LV Testat'!$D99,'Anlage 2b_Korrekturen'!$A:$A,C99)</f>
        <v>-6404.08</v>
      </c>
    </row>
    <row r="100" spans="1:16" hidden="1" outlineLevel="1">
      <c r="A100" s="1028"/>
      <c r="C100" s="1137">
        <f>+C99</f>
        <v>2024</v>
      </c>
      <c r="D100" s="1050" t="s">
        <v>2375</v>
      </c>
      <c r="E100" s="1105">
        <f>+SUMIFS('Anlage 2b_Korrekturen'!$D:$D,'Anlage 2b_Korrekturen'!$H:$H,'LV Testat'!$E$4,'Anlage 2b_Korrekturen'!$C:$C,'LV Testat'!$D100,'Anlage 2b_Korrekturen'!$A:$A,C100)</f>
        <v>0</v>
      </c>
      <c r="F100" s="1119">
        <f>+SUMIFS('Anlage 2b_Korrekturen'!$E:$E,'Anlage 2b_Korrekturen'!$H:$H,'LV Testat'!$E$4,'Anlage 2b_Korrekturen'!$C:$C,'LV Testat'!$D100,'Anlage 2b_Korrekturen'!$A:$A,C100)</f>
        <v>0</v>
      </c>
      <c r="G100" s="1123">
        <f>+SUMIFS('Anlage 2b_Korrekturen'!$F:$F,'Anlage 2b_Korrekturen'!$H:$H,'LV Testat'!$E$4,'Anlage 2b_Korrekturen'!$C:$C,'LV Testat'!$D100,'Anlage 2b_Korrekturen'!$A:$A,C100)</f>
        <v>0</v>
      </c>
      <c r="H100" s="1105">
        <f>+SUMIFS('Anlage 2b_Korrekturen'!$D:$D,'Anlage 2b_Korrekturen'!$H:$H,'LV Testat'!$H$4,'Anlage 2b_Korrekturen'!$C:$C,'LV Testat'!$D100,'Anlage 2b_Korrekturen'!$A:$A,C100)</f>
        <v>0</v>
      </c>
      <c r="I100" s="1119">
        <f>+SUMIFS('Anlage 2b_Korrekturen'!$E:$E,'Anlage 2b_Korrekturen'!$H:$H,'LV Testat'!$H$4,'Anlage 2b_Korrekturen'!$C:$C,'LV Testat'!$D100,'Anlage 2b_Korrekturen'!$A:$A,C100)</f>
        <v>0</v>
      </c>
      <c r="J100" s="1123">
        <f>+SUMIFS('Anlage 2b_Korrekturen'!$F:$F,'Anlage 2b_Korrekturen'!$H:$H,'LV Testat'!$H$4,'Anlage 2b_Korrekturen'!$C:$C,'LV Testat'!$D100,'Anlage 2b_Korrekturen'!$A:$A,C100)</f>
        <v>0</v>
      </c>
      <c r="K100" s="1105">
        <f>+SUMIFS('Anlage 2b_Korrekturen'!$D:$D,'Anlage 2b_Korrekturen'!$H:$H,'LV Testat'!$K$4,'Anlage 2b_Korrekturen'!$C:$C,'LV Testat'!$D100,'Anlage 2b_Korrekturen'!$A:$A,C100)</f>
        <v>0</v>
      </c>
      <c r="L100" s="1119">
        <f>+SUMIFS('Anlage 2b_Korrekturen'!$E:$E,'Anlage 2b_Korrekturen'!$H:$H,'LV Testat'!$K$4,'Anlage 2b_Korrekturen'!$C:$C,'LV Testat'!$D100,'Anlage 2b_Korrekturen'!$A:$A,C100)</f>
        <v>0</v>
      </c>
      <c r="M100" s="1123">
        <f>+SUMIFS('Anlage 2b_Korrekturen'!$F:$F,'Anlage 2b_Korrekturen'!$H:$H,'LV Testat'!$K$4,'Anlage 2b_Korrekturen'!$C:$C,'LV Testat'!$D100,'Anlage 2b_Korrekturen'!$A:$A,C100)</f>
        <v>0</v>
      </c>
      <c r="N100" s="1105">
        <f>+SUMIFS('Anlage 2b_Korrekturen'!$D:$D,'Anlage 2b_Korrekturen'!$H:$H,'LV Testat'!$N$4,'Anlage 2b_Korrekturen'!$C:$C,'LV Testat'!$D100,'Anlage 2b_Korrekturen'!$A:$A,C100)</f>
        <v>0</v>
      </c>
      <c r="O100" s="1119">
        <f>+SUMIFS('Anlage 2b_Korrekturen'!$E:$E,'Anlage 2b_Korrekturen'!$H:$H,'LV Testat'!$N$4,'Anlage 2b_Korrekturen'!$C:$C,'LV Testat'!$D100,'Anlage 2b_Korrekturen'!$A:$A,C100)</f>
        <v>0</v>
      </c>
      <c r="P100" s="1123">
        <f>+SUMIFS('Anlage 2b_Korrekturen'!$F:$F,'Anlage 2b_Korrekturen'!$H:$H,'LV Testat'!$N$4,'Anlage 2b_Korrekturen'!$C:$C,'LV Testat'!$D100,'Anlage 2b_Korrekturen'!$A:$A,C100)</f>
        <v>0</v>
      </c>
    </row>
    <row r="101" spans="1:16" ht="12" hidden="1" outlineLevel="1" thickBot="1">
      <c r="A101" s="1090"/>
      <c r="B101" s="1091"/>
      <c r="C101" s="1137">
        <f>+C100</f>
        <v>2024</v>
      </c>
      <c r="D101" s="1062" t="s">
        <v>2431</v>
      </c>
      <c r="E101" s="1105">
        <f>+SUMIFS('Anlage 2b_Korrekturen'!$D:$D,'Anlage 2b_Korrekturen'!$H:$H,'LV Testat'!$E$4,'Anlage 2b_Korrekturen'!$C:$C,'LV Testat'!$D101,'Anlage 2b_Korrekturen'!$A:$A,C101)</f>
        <v>0</v>
      </c>
      <c r="F101" s="1119">
        <f>+SUMIFS('Anlage 2b_Korrekturen'!$E:$E,'Anlage 2b_Korrekturen'!$H:$H,'LV Testat'!$E$4,'Anlage 2b_Korrekturen'!$C:$C,'LV Testat'!$D101,'Anlage 2b_Korrekturen'!$A:$A,C101)</f>
        <v>0</v>
      </c>
      <c r="G101" s="1123">
        <f>+SUMIFS('Anlage 2b_Korrekturen'!$F:$F,'Anlage 2b_Korrekturen'!$H:$H,'LV Testat'!$E$4,'Anlage 2b_Korrekturen'!$C:$C,'LV Testat'!$D101,'Anlage 2b_Korrekturen'!$A:$A,C101)</f>
        <v>0</v>
      </c>
      <c r="H101" s="1105">
        <f>+SUMIFS('Anlage 2b_Korrekturen'!$D:$D,'Anlage 2b_Korrekturen'!$H:$H,'LV Testat'!$H$4,'Anlage 2b_Korrekturen'!$C:$C,'LV Testat'!$D101,'Anlage 2b_Korrekturen'!$A:$A,C101)</f>
        <v>0</v>
      </c>
      <c r="I101" s="1119">
        <f>+SUMIFS('Anlage 2b_Korrekturen'!$E:$E,'Anlage 2b_Korrekturen'!$H:$H,'LV Testat'!$H$4,'Anlage 2b_Korrekturen'!$C:$C,'LV Testat'!$D101,'Anlage 2b_Korrekturen'!$A:$A,C101)</f>
        <v>0</v>
      </c>
      <c r="J101" s="1123">
        <f>+SUMIFS('Anlage 2b_Korrekturen'!$F:$F,'Anlage 2b_Korrekturen'!$H:$H,'LV Testat'!$H$4,'Anlage 2b_Korrekturen'!$C:$C,'LV Testat'!$D101,'Anlage 2b_Korrekturen'!$A:$A,C101)</f>
        <v>0</v>
      </c>
      <c r="K101" s="1105">
        <f>+SUMIFS('Anlage 2b_Korrekturen'!$D:$D,'Anlage 2b_Korrekturen'!$H:$H,'LV Testat'!$K$4,'Anlage 2b_Korrekturen'!$C:$C,'LV Testat'!$D101,'Anlage 2b_Korrekturen'!$A:$A,C101)</f>
        <v>0</v>
      </c>
      <c r="L101" s="1119">
        <f>+SUMIFS('Anlage 2b_Korrekturen'!$E:$E,'Anlage 2b_Korrekturen'!$H:$H,'LV Testat'!$K$4,'Anlage 2b_Korrekturen'!$C:$C,'LV Testat'!$D101,'Anlage 2b_Korrekturen'!$A:$A,C101)</f>
        <v>0</v>
      </c>
      <c r="M101" s="1123">
        <f>+SUMIFS('Anlage 2b_Korrekturen'!$F:$F,'Anlage 2b_Korrekturen'!$H:$H,'LV Testat'!$K$4,'Anlage 2b_Korrekturen'!$C:$C,'LV Testat'!$D101,'Anlage 2b_Korrekturen'!$A:$A,C101)</f>
        <v>0</v>
      </c>
      <c r="N101" s="1105">
        <f>+SUMIFS('Anlage 2b_Korrekturen'!$D:$D,'Anlage 2b_Korrekturen'!$H:$H,'LV Testat'!$N$4,'Anlage 2b_Korrekturen'!$C:$C,'LV Testat'!$D101,'Anlage 2b_Korrekturen'!$A:$A,C101)</f>
        <v>0</v>
      </c>
      <c r="O101" s="1119">
        <f>+SUMIFS('Anlage 2b_Korrekturen'!$E:$E,'Anlage 2b_Korrekturen'!$H:$H,'LV Testat'!$N$4,'Anlage 2b_Korrekturen'!$C:$C,'LV Testat'!$D101,'Anlage 2b_Korrekturen'!$A:$A,C101)</f>
        <v>0</v>
      </c>
      <c r="P101" s="1123">
        <f>+SUMIFS('Anlage 2b_Korrekturen'!$F:$F,'Anlage 2b_Korrekturen'!$H:$H,'LV Testat'!$N$4,'Anlage 2b_Korrekturen'!$C:$C,'LV Testat'!$D101,'Anlage 2b_Korrekturen'!$A:$A,C101)</f>
        <v>0</v>
      </c>
    </row>
    <row r="102" spans="1:16" ht="12" collapsed="1" thickBot="1">
      <c r="A102" s="1013" t="s">
        <v>2509</v>
      </c>
      <c r="B102" s="1001"/>
      <c r="C102" s="1001"/>
      <c r="D102" s="1002"/>
      <c r="E102" s="1001"/>
      <c r="F102" s="1017" t="str">
        <f>+"Check Verstoß VNB NT "&amp;C109</f>
        <v>Check Verstoß VNB NT 2024</v>
      </c>
      <c r="G102" s="1018">
        <f>+SUM(E109:G110)-SUM(E105:G106)</f>
        <v>0</v>
      </c>
      <c r="H102" s="1000"/>
      <c r="I102" s="1017" t="str">
        <f>+"Check Verstoß VNB NT "&amp;C109</f>
        <v>Check Verstoß VNB NT 2024</v>
      </c>
      <c r="J102" s="1018">
        <f>+SUM(H105:J106)-SUM(H109:J110)</f>
        <v>0</v>
      </c>
      <c r="K102" s="1000"/>
      <c r="L102" s="1017" t="str">
        <f>+"Check Verstoß VNB NT "&amp;C109</f>
        <v>Check Verstoß VNB NT 2024</v>
      </c>
      <c r="M102" s="1018">
        <f>+SUM(K105:M106)-SUM(K109:M110)</f>
        <v>0</v>
      </c>
      <c r="N102" s="1000"/>
      <c r="O102" s="1017" t="str">
        <f>+"Check Verstoß VNB NT "&amp;C109</f>
        <v>Check Verstoß VNB NT 2024</v>
      </c>
      <c r="P102" s="1018">
        <f>+SUM(N105:P106)-SUM(N109:P110)</f>
        <v>0</v>
      </c>
    </row>
    <row r="103" spans="1:16" ht="12" hidden="1" outlineLevel="1" thickBot="1">
      <c r="A103" s="1028"/>
      <c r="D103" s="1041"/>
      <c r="G103" s="1041"/>
      <c r="H103" s="1028"/>
      <c r="J103" s="1041"/>
      <c r="K103" s="1028"/>
      <c r="M103" s="1041"/>
      <c r="N103" s="1028"/>
      <c r="P103" s="1041"/>
    </row>
    <row r="104" spans="1:16" ht="33.75" hidden="1" outlineLevel="1">
      <c r="A104" s="1028"/>
      <c r="D104" s="1099" t="s">
        <v>2511</v>
      </c>
      <c r="E104" s="1155" t="s">
        <v>2512</v>
      </c>
      <c r="F104" s="1146" t="s">
        <v>2507</v>
      </c>
      <c r="G104" s="1147" t="s">
        <v>2508</v>
      </c>
      <c r="H104" s="1156" t="s">
        <v>2512</v>
      </c>
      <c r="I104" s="1146" t="s">
        <v>2507</v>
      </c>
      <c r="J104" s="1147" t="s">
        <v>2508</v>
      </c>
      <c r="K104" s="1156" t="s">
        <v>2512</v>
      </c>
      <c r="L104" s="1146" t="s">
        <v>2507</v>
      </c>
      <c r="M104" s="1147" t="s">
        <v>2508</v>
      </c>
      <c r="N104" s="1156" t="s">
        <v>2512</v>
      </c>
      <c r="O104" s="1146" t="s">
        <v>2507</v>
      </c>
      <c r="P104" s="1147" t="s">
        <v>2508</v>
      </c>
    </row>
    <row r="105" spans="1:16" hidden="1" outlineLevel="1">
      <c r="A105" s="1028"/>
      <c r="D105" s="1066" t="s">
        <v>2513</v>
      </c>
      <c r="E105" s="1087">
        <v>0</v>
      </c>
      <c r="F105" s="1052">
        <v>0</v>
      </c>
      <c r="G105" s="1053">
        <v>0</v>
      </c>
      <c r="H105" s="1087">
        <v>0</v>
      </c>
      <c r="I105" s="1052">
        <v>0</v>
      </c>
      <c r="J105" s="1053">
        <v>0</v>
      </c>
      <c r="K105" s="1087">
        <v>0</v>
      </c>
      <c r="L105" s="1052">
        <v>0</v>
      </c>
      <c r="M105" s="1053">
        <v>0</v>
      </c>
      <c r="N105" s="1087">
        <v>0</v>
      </c>
      <c r="O105" s="1052">
        <v>0</v>
      </c>
      <c r="P105" s="1053">
        <v>0</v>
      </c>
    </row>
    <row r="106" spans="1:16" ht="12" hidden="1" outlineLevel="1" thickBot="1">
      <c r="A106" s="1028"/>
      <c r="D106" s="1066" t="s">
        <v>2514</v>
      </c>
      <c r="E106" s="1157">
        <v>0</v>
      </c>
      <c r="F106" s="1150">
        <v>0</v>
      </c>
      <c r="G106" s="1151">
        <v>0</v>
      </c>
      <c r="H106" s="1157">
        <v>0</v>
      </c>
      <c r="I106" s="1150">
        <v>0</v>
      </c>
      <c r="J106" s="1151">
        <v>0</v>
      </c>
      <c r="K106" s="1157">
        <v>0</v>
      </c>
      <c r="L106" s="1150">
        <v>0</v>
      </c>
      <c r="M106" s="1151">
        <v>0</v>
      </c>
      <c r="N106" s="1157">
        <v>0</v>
      </c>
      <c r="O106" s="1150">
        <v>0</v>
      </c>
      <c r="P106" s="1151">
        <v>0</v>
      </c>
    </row>
    <row r="107" spans="1:16" ht="12" hidden="1" outlineLevel="1" thickBot="1">
      <c r="A107" s="1028"/>
      <c r="D107" s="1041"/>
      <c r="G107" s="1041"/>
      <c r="H107" s="1028"/>
      <c r="J107" s="1041"/>
      <c r="K107" s="1028"/>
      <c r="M107" s="1041"/>
      <c r="N107" s="1028"/>
      <c r="P107" s="1041"/>
    </row>
    <row r="108" spans="1:16" ht="33.75" hidden="1" outlineLevel="1">
      <c r="A108" s="1028"/>
      <c r="D108" s="1099" t="s">
        <v>2511</v>
      </c>
      <c r="E108" s="1155" t="s">
        <v>2512</v>
      </c>
      <c r="F108" s="1146" t="s">
        <v>2507</v>
      </c>
      <c r="G108" s="1147" t="s">
        <v>2508</v>
      </c>
      <c r="H108" s="1156" t="s">
        <v>2512</v>
      </c>
      <c r="I108" s="1146" t="s">
        <v>2507</v>
      </c>
      <c r="J108" s="1147" t="s">
        <v>2508</v>
      </c>
      <c r="K108" s="1156" t="s">
        <v>2512</v>
      </c>
      <c r="L108" s="1146" t="s">
        <v>2507</v>
      </c>
      <c r="M108" s="1147" t="s">
        <v>2508</v>
      </c>
      <c r="N108" s="1156" t="s">
        <v>2512</v>
      </c>
      <c r="O108" s="1146" t="s">
        <v>2507</v>
      </c>
      <c r="P108" s="1147" t="s">
        <v>2508</v>
      </c>
    </row>
    <row r="109" spans="1:16" hidden="1" outlineLevel="1">
      <c r="A109" s="1028"/>
      <c r="B109" s="1071"/>
      <c r="C109" s="1137">
        <f>+A78</f>
        <v>2024</v>
      </c>
      <c r="D109" s="1066" t="s">
        <v>2513</v>
      </c>
      <c r="E109" s="1105">
        <f>+SUMIFS('Anlage 2b_Korrekturen'!$D:$D,'Anlage 2b_Korrekturen'!$H:$H,'LV Testat'!$E$4,'Anlage 2b_Korrekturen'!$C:$C,'LV Testat'!$D109,'Anlage 2b_Korrekturen'!$A:$A,C109)</f>
        <v>0</v>
      </c>
      <c r="F109" s="1119">
        <f>+SUMIFS('Anlage 2b_Korrekturen'!$E:$E,'Anlage 2b_Korrekturen'!$H:$H,'LV Testat'!$E$4,'Anlage 2b_Korrekturen'!$C:$C,'LV Testat'!$D109,'Anlage 2b_Korrekturen'!$A:$A,C109)</f>
        <v>0</v>
      </c>
      <c r="G109" s="1123">
        <f>+SUMIFS('Anlage 2b_Korrekturen'!$F:$F,'Anlage 2b_Korrekturen'!$H:$H,'LV Testat'!$E$4,'Anlage 2b_Korrekturen'!$C:$C,'LV Testat'!$D109,'Anlage 2b_Korrekturen'!$A:$A,C109)</f>
        <v>0</v>
      </c>
      <c r="H109" s="1105">
        <f>+SUMIFS('Anlage 2b_Korrekturen'!$D:$D,'Anlage 2b_Korrekturen'!$H:$H,'LV Testat'!$H$4,'Anlage 2b_Korrekturen'!$C:$C,'LV Testat'!$D109,'Anlage 2b_Korrekturen'!$A:$A,C109)</f>
        <v>0</v>
      </c>
      <c r="I109" s="1119">
        <f>+SUMIFS('Anlage 2b_Korrekturen'!$E:$E,'Anlage 2b_Korrekturen'!$H:$H,'LV Testat'!$H$4,'Anlage 2b_Korrekturen'!$C:$C,'LV Testat'!$D109,'Anlage 2b_Korrekturen'!$A:$A,C109)</f>
        <v>0</v>
      </c>
      <c r="J109" s="1123">
        <f>+SUMIFS('Anlage 2b_Korrekturen'!$F:$F,'Anlage 2b_Korrekturen'!$H:$H,'LV Testat'!$H$4,'Anlage 2b_Korrekturen'!$C:$C,'LV Testat'!$D109,'Anlage 2b_Korrekturen'!$A:$A,C109)</f>
        <v>0</v>
      </c>
      <c r="K109" s="1105">
        <f>+SUMIFS('Anlage 2b_Korrekturen'!$D:$D,'Anlage 2b_Korrekturen'!$H:$H,'LV Testat'!$K$4,'Anlage 2b_Korrekturen'!$C:$C,'LV Testat'!$D109,'Anlage 2b_Korrekturen'!$A:$A,C109)</f>
        <v>0</v>
      </c>
      <c r="L109" s="1119">
        <f>+SUMIFS('Anlage 2b_Korrekturen'!$E:$E,'Anlage 2b_Korrekturen'!$H:$H,'LV Testat'!$K$4,'Anlage 2b_Korrekturen'!$C:$C,'LV Testat'!$D109,'Anlage 2b_Korrekturen'!$A:$A,C109)</f>
        <v>0</v>
      </c>
      <c r="M109" s="1123">
        <f>+SUMIFS('Anlage 2b_Korrekturen'!$F:$F,'Anlage 2b_Korrekturen'!$H:$H,'LV Testat'!$K$4,'Anlage 2b_Korrekturen'!$C:$C,'LV Testat'!$D109,'Anlage 2b_Korrekturen'!$A:$A,C109)</f>
        <v>0</v>
      </c>
      <c r="N109" s="1105">
        <f>+SUMIFS('Anlage 2b_Korrekturen'!$D:$D,'Anlage 2b_Korrekturen'!$H:$H,'LV Testat'!$N$4,'Anlage 2b_Korrekturen'!$C:$C,'LV Testat'!$D109,'Anlage 2b_Korrekturen'!$A:$A,C109)</f>
        <v>0</v>
      </c>
      <c r="O109" s="1119">
        <f>+SUMIFS('Anlage 2b_Korrekturen'!$E:$E,'Anlage 2b_Korrekturen'!$H:$H,'LV Testat'!$N$4,'Anlage 2b_Korrekturen'!$C:$C,'LV Testat'!$D109,'Anlage 2b_Korrekturen'!$A:$A,C109)</f>
        <v>0</v>
      </c>
      <c r="P109" s="1123">
        <f>+SUMIFS('Anlage 2b_Korrekturen'!$F:$F,'Anlage 2b_Korrekturen'!$H:$H,'LV Testat'!$N$4,'Anlage 2b_Korrekturen'!$C:$C,'LV Testat'!$D109,'Anlage 2b_Korrekturen'!$A:$A,C109)</f>
        <v>0</v>
      </c>
    </row>
    <row r="110" spans="1:16" ht="12" hidden="1" outlineLevel="1" thickBot="1">
      <c r="A110" s="1090"/>
      <c r="B110" s="1092"/>
      <c r="C110" s="1137">
        <f>+C109</f>
        <v>2024</v>
      </c>
      <c r="D110" s="1158" t="s">
        <v>2514</v>
      </c>
      <c r="E110" s="1105">
        <f>+SUMIFS('Anlage 2b_Korrekturen'!$D:$D,'Anlage 2b_Korrekturen'!$H:$H,'LV Testat'!$E$4,'Anlage 2b_Korrekturen'!$C:$C,'LV Testat'!$D110,'Anlage 2b_Korrekturen'!$A:$A,C110)</f>
        <v>0</v>
      </c>
      <c r="F110" s="1119">
        <f>+SUMIFS('Anlage 2b_Korrekturen'!$E:$E,'Anlage 2b_Korrekturen'!$H:$H,'LV Testat'!$E$4,'Anlage 2b_Korrekturen'!$C:$C,'LV Testat'!$D110,'Anlage 2b_Korrekturen'!$A:$A,C110)</f>
        <v>0</v>
      </c>
      <c r="G110" s="1123">
        <f>+SUMIFS('Anlage 2b_Korrekturen'!$F:$F,'Anlage 2b_Korrekturen'!$H:$H,'LV Testat'!$E$4,'Anlage 2b_Korrekturen'!$C:$C,'LV Testat'!$D110,'Anlage 2b_Korrekturen'!$A:$A,C110)</f>
        <v>0</v>
      </c>
      <c r="H110" s="1105">
        <f>+SUMIFS('Anlage 2b_Korrekturen'!$D:$D,'Anlage 2b_Korrekturen'!$H:$H,'LV Testat'!$H$4,'Anlage 2b_Korrekturen'!$C:$C,'LV Testat'!$D110,'Anlage 2b_Korrekturen'!$A:$A,C110)</f>
        <v>0</v>
      </c>
      <c r="I110" s="1119">
        <f>+SUMIFS('Anlage 2b_Korrekturen'!$E:$E,'Anlage 2b_Korrekturen'!$H:$H,'LV Testat'!$H$4,'Anlage 2b_Korrekturen'!$C:$C,'LV Testat'!$D110,'Anlage 2b_Korrekturen'!$A:$A,C110)</f>
        <v>0</v>
      </c>
      <c r="J110" s="1123">
        <f>+SUMIFS('Anlage 2b_Korrekturen'!$F:$F,'Anlage 2b_Korrekturen'!$H:$H,'LV Testat'!$H$4,'Anlage 2b_Korrekturen'!$C:$C,'LV Testat'!$D110,'Anlage 2b_Korrekturen'!$A:$A,C110)</f>
        <v>0</v>
      </c>
      <c r="K110" s="1105">
        <f>+SUMIFS('Anlage 2b_Korrekturen'!$D:$D,'Anlage 2b_Korrekturen'!$H:$H,'LV Testat'!$K$4,'Anlage 2b_Korrekturen'!$C:$C,'LV Testat'!$D110,'Anlage 2b_Korrekturen'!$A:$A,C110)</f>
        <v>0</v>
      </c>
      <c r="L110" s="1119">
        <f>+SUMIFS('Anlage 2b_Korrekturen'!$E:$E,'Anlage 2b_Korrekturen'!$H:$H,'LV Testat'!$K$4,'Anlage 2b_Korrekturen'!$C:$C,'LV Testat'!$D110,'Anlage 2b_Korrekturen'!$A:$A,C110)</f>
        <v>0</v>
      </c>
      <c r="M110" s="1123">
        <f>+SUMIFS('Anlage 2b_Korrekturen'!$F:$F,'Anlage 2b_Korrekturen'!$H:$H,'LV Testat'!$K$4,'Anlage 2b_Korrekturen'!$C:$C,'LV Testat'!$D110,'Anlage 2b_Korrekturen'!$A:$A,C110)</f>
        <v>0</v>
      </c>
      <c r="N110" s="1105">
        <f>+SUMIFS('Anlage 2b_Korrekturen'!$D:$D,'Anlage 2b_Korrekturen'!$H:$H,'LV Testat'!$N$4,'Anlage 2b_Korrekturen'!$C:$C,'LV Testat'!$D110,'Anlage 2b_Korrekturen'!$A:$A,C110)</f>
        <v>0</v>
      </c>
      <c r="O110" s="1119">
        <f>+SUMIFS('Anlage 2b_Korrekturen'!$E:$E,'Anlage 2b_Korrekturen'!$H:$H,'LV Testat'!$N$4,'Anlage 2b_Korrekturen'!$C:$C,'LV Testat'!$D110,'Anlage 2b_Korrekturen'!$A:$A,C110)</f>
        <v>0</v>
      </c>
      <c r="P110" s="1123">
        <f>+SUMIFS('Anlage 2b_Korrekturen'!$F:$F,'Anlage 2b_Korrekturen'!$H:$H,'LV Testat'!$N$4,'Anlage 2b_Korrekturen'!$C:$C,'LV Testat'!$D110,'Anlage 2b_Korrekturen'!$A:$A,C110)</f>
        <v>0</v>
      </c>
    </row>
    <row r="111" spans="1:16" ht="12" collapsed="1" thickBot="1">
      <c r="A111" s="1013" t="s">
        <v>2515</v>
      </c>
      <c r="B111" s="1001"/>
      <c r="C111" s="1001"/>
      <c r="D111" s="1002"/>
      <c r="E111" s="1001"/>
      <c r="F111" s="1017" t="str">
        <f>+"Check SV BesAR NT "&amp;A114</f>
        <v>Check SV BesAR NT 2024</v>
      </c>
      <c r="G111" s="1018">
        <f>+SUM(F114:F116)-SUM(E114:E116)</f>
        <v>0</v>
      </c>
      <c r="H111" s="1000"/>
      <c r="I111" s="1017" t="str">
        <f>+"Check SV BesAR NT "&amp;A114</f>
        <v>Check SV BesAR NT 2024</v>
      </c>
      <c r="J111" s="1018">
        <f>+SUM(I114:I116)-SUM(H114:H116)</f>
        <v>0</v>
      </c>
      <c r="K111" s="1000"/>
      <c r="L111" s="1017" t="str">
        <f>+"Check SV BesAR NT "&amp;A114</f>
        <v>Check SV BesAR NT 2024</v>
      </c>
      <c r="M111" s="1018">
        <f>+SUM(L114:L116)-SUM(K114:K116)</f>
        <v>68.700000010430813</v>
      </c>
      <c r="N111" s="1000"/>
      <c r="O111" s="1017" t="str">
        <f>+"Check SV BesAR NT "&amp;A114</f>
        <v>Check SV BesAR NT 2024</v>
      </c>
      <c r="P111" s="1018">
        <f>+SUM(O114:O116)-SUM(N114:N116)</f>
        <v>0</v>
      </c>
    </row>
    <row r="112" spans="1:16" ht="12" hidden="1" outlineLevel="1" thickBot="1">
      <c r="A112" s="1028"/>
      <c r="D112" s="1041"/>
      <c r="G112" s="1081"/>
      <c r="H112" s="1028"/>
      <c r="J112" s="1081"/>
      <c r="K112" s="1028"/>
      <c r="M112" s="1081"/>
      <c r="N112" s="1028"/>
      <c r="P112" s="1081"/>
    </row>
    <row r="113" spans="1:17" hidden="1" outlineLevel="1">
      <c r="A113" s="1028"/>
      <c r="D113" s="1041"/>
      <c r="E113" s="1159" t="s">
        <v>2517</v>
      </c>
      <c r="F113" s="1160" t="s">
        <v>2517</v>
      </c>
      <c r="G113" s="1081"/>
      <c r="H113" s="1161" t="s">
        <v>2517</v>
      </c>
      <c r="I113" s="1160" t="s">
        <v>2517</v>
      </c>
      <c r="J113" s="1081"/>
      <c r="K113" s="1161" t="s">
        <v>2517</v>
      </c>
      <c r="L113" s="1160" t="s">
        <v>2517</v>
      </c>
      <c r="M113" s="1081"/>
      <c r="N113" s="1161"/>
      <c r="O113" s="1160" t="s">
        <v>2517</v>
      </c>
      <c r="P113" s="1081"/>
    </row>
    <row r="114" spans="1:17" ht="15" hidden="1" customHeight="1" outlineLevel="1">
      <c r="A114" s="1137">
        <f>+A78</f>
        <v>2024</v>
      </c>
      <c r="C114" s="1071">
        <v>2</v>
      </c>
      <c r="D114" s="1050" t="s">
        <v>2518</v>
      </c>
      <c r="E114" s="1100">
        <v>-2745277</v>
      </c>
      <c r="F114" s="1162">
        <f>+SUMIFS('Anlage 2b_Korrekturen'!$D:$D,'Anlage 2b_Korrekturen'!$A:$A,A114,'Anlage 2b_Korrekturen'!$H:$H,'LV Testat'!$E$4,'Anlage 2b_Korrekturen'!$B:$B,"")</f>
        <v>-2745277</v>
      </c>
      <c r="G114" s="1081"/>
      <c r="H114" s="1100">
        <v>34672436</v>
      </c>
      <c r="I114" s="1162">
        <f>+SUMIFS('Anlage 2b_Korrekturen'!$D:$D,'Anlage 2b_Korrekturen'!$A:$A,A114,'Anlage 2b_Korrekturen'!$H:$H,'LV Testat'!$H$4,'Anlage 2b_Korrekturen'!$B:$B,"")</f>
        <v>34672436</v>
      </c>
      <c r="J114" s="1081"/>
      <c r="K114" s="1100">
        <v>-55034715</v>
      </c>
      <c r="L114" s="1162">
        <f>+SUMIFS('Anlage 2b_Korrekturen'!$D:$D,'Anlage 2b_Korrekturen'!$A:$A,A114,'Anlage 2b_Korrekturen'!$H:$H,'LV Testat'!$K$4,'Anlage 2b_Korrekturen'!$B:$B,"")</f>
        <v>-55034715</v>
      </c>
      <c r="M114" s="1081"/>
      <c r="N114" s="1100">
        <v>-1776072</v>
      </c>
      <c r="O114" s="1162">
        <f>+SUMIFS('Anlage 2b_Korrekturen'!$D:$D,'Anlage 2b_Korrekturen'!$A:$A,A114,'Anlage 2b_Korrekturen'!$H:$H,'LV Testat'!$N$4,'Anlage 2b_Korrekturen'!$B:$B,"")</f>
        <v>-1776072</v>
      </c>
      <c r="P114" s="1081"/>
    </row>
    <row r="115" spans="1:17" ht="15" hidden="1" customHeight="1" outlineLevel="1">
      <c r="A115" s="1163">
        <f>+A114</f>
        <v>2024</v>
      </c>
      <c r="C115" s="1071">
        <v>3</v>
      </c>
      <c r="D115" s="1050" t="s">
        <v>2519</v>
      </c>
      <c r="E115" s="1164">
        <v>-7253.83</v>
      </c>
      <c r="F115" s="1162">
        <f>+SUMIFS('Anlage 2b_Korrekturen'!$E:$E,'Anlage 2b_Korrekturen'!$A:$A,A115,'Anlage 2b_Korrekturen'!$H:$H,'LV Testat'!$E$4,'Anlage 2b_Korrekturen'!$B:$B,"")</f>
        <v>-7253.83</v>
      </c>
      <c r="G115" s="1081"/>
      <c r="H115" s="1164">
        <v>16929.25</v>
      </c>
      <c r="I115" s="1162">
        <f>+SUMIFS('Anlage 2b_Korrekturen'!$E:$E,'Anlage 2b_Korrekturen'!$A:$A,A115,'Anlage 2b_Korrekturen'!$H:$H,'LV Testat'!$H$4,'Anlage 2b_Korrekturen'!$B:$B,"")</f>
        <v>16929.25</v>
      </c>
      <c r="J115" s="1081"/>
      <c r="K115" s="1164">
        <v>-22614.27</v>
      </c>
      <c r="L115" s="1162">
        <f>+SUMIFS('Anlage 2b_Korrekturen'!$E:$E,'Anlage 2b_Korrekturen'!$A:$A,A115,'Anlage 2b_Korrekturen'!$H:$H,'LV Testat'!$K$4,'Anlage 2b_Korrekturen'!$B:$B,"")</f>
        <v>-22593.98</v>
      </c>
      <c r="M115" s="1081"/>
      <c r="N115" s="1164">
        <v>-732.63</v>
      </c>
      <c r="O115" s="1162">
        <f>+SUMIFS('Anlage 2b_Korrekturen'!$E:$E,'Anlage 2b_Korrekturen'!$A:$A,A115,'Anlage 2b_Korrekturen'!$H:$H,'LV Testat'!$N$4,'Anlage 2b_Korrekturen'!$B:$B,"")</f>
        <v>-732.63</v>
      </c>
      <c r="P115" s="1081"/>
    </row>
    <row r="116" spans="1:17" ht="15" hidden="1" customHeight="1" outlineLevel="1" thickBot="1">
      <c r="A116" s="1163">
        <f>+A115</f>
        <v>2024</v>
      </c>
      <c r="B116" s="1091"/>
      <c r="C116" s="1092">
        <v>4</v>
      </c>
      <c r="D116" s="1062" t="s">
        <v>2520</v>
      </c>
      <c r="E116" s="1165">
        <v>-17303.75</v>
      </c>
      <c r="F116" s="1166">
        <f>+SUMIFS('Anlage 2b_Korrekturen'!$F:$F,'Anlage 2b_Korrekturen'!$A:$A,A116,'Anlage 2b_Korrekturen'!$H:$H,'LV Testat'!$E$4,'Anlage 2b_Korrekturen'!$B:$B,"")</f>
        <v>-17303.75</v>
      </c>
      <c r="G116" s="1095"/>
      <c r="H116" s="1165">
        <v>40383.949999999997</v>
      </c>
      <c r="I116" s="1166">
        <f>+SUMIFS('Anlage 2b_Korrekturen'!$F:$F,'Anlage 2b_Korrekturen'!$A:$A,A116,'Anlage 2b_Korrekturen'!$H:$H,'LV Testat'!$H$4,'Anlage 2b_Korrekturen'!$B:$B,"")</f>
        <v>40383.949999999997</v>
      </c>
      <c r="J116" s="1095"/>
      <c r="K116" s="1165">
        <v>-53945.31</v>
      </c>
      <c r="L116" s="1166">
        <f>+SUMIFS('Anlage 2b_Korrekturen'!$F:$F,'Anlage 2b_Korrekturen'!$A:$A,A116,'Anlage 2b_Korrekturen'!$H:$H,'LV Testat'!$K$4,'Anlage 2b_Korrekturen'!$B:$B,"")</f>
        <v>-53896.899999999994</v>
      </c>
      <c r="M116" s="1095"/>
      <c r="N116" s="1165">
        <v>-1747.66</v>
      </c>
      <c r="O116" s="1166">
        <f>+SUMIFS('Anlage 2b_Korrekturen'!$F:$F,'Anlage 2b_Korrekturen'!$A:$A,A116,'Anlage 2b_Korrekturen'!$H:$H,'LV Testat'!$N$4,'Anlage 2b_Korrekturen'!$B:$B,"")</f>
        <v>-1747.66</v>
      </c>
      <c r="P116" s="1095"/>
    </row>
    <row r="117" spans="1:17" ht="12" collapsed="1" thickBot="1">
      <c r="A117" s="1013" t="s">
        <v>2523</v>
      </c>
      <c r="B117" s="1001"/>
      <c r="C117" s="1001"/>
      <c r="D117" s="1002"/>
      <c r="E117" s="1001"/>
      <c r="F117" s="1017" t="str">
        <f>+"Check WL BesAR NT "&amp;C120</f>
        <v>Check WL BesAR NT 2024</v>
      </c>
      <c r="G117" s="1018">
        <f>+F128-E128</f>
        <v>0</v>
      </c>
      <c r="H117" s="1001"/>
      <c r="I117" s="1017" t="str">
        <f>+"Check WL BesAR NT "&amp;C120</f>
        <v>Check WL BesAR NT 2024</v>
      </c>
      <c r="J117" s="1018">
        <f>+I128-H128</f>
        <v>0</v>
      </c>
      <c r="K117" s="1001"/>
      <c r="L117" s="1017" t="str">
        <f>+"Check WL BesAR NT "&amp;C120</f>
        <v>Check WL BesAR NT 2024</v>
      </c>
      <c r="M117" s="1018">
        <f>+L128-K128</f>
        <v>0</v>
      </c>
      <c r="N117" s="1001"/>
      <c r="O117" s="1017" t="str">
        <f>+"Check WL BesAR NT "&amp;C120</f>
        <v>Check WL BesAR NT 2024</v>
      </c>
      <c r="P117" s="1018">
        <f>+O128-N128</f>
        <v>0</v>
      </c>
      <c r="Q117" s="1577" t="s">
        <v>2533</v>
      </c>
    </row>
    <row r="118" spans="1:17" hidden="1" outlineLevel="1">
      <c r="A118" s="1022"/>
      <c r="D118" s="1041"/>
      <c r="H118" s="1028"/>
      <c r="J118" s="1041"/>
      <c r="K118" s="1028"/>
      <c r="M118" s="1041"/>
      <c r="N118" s="1028"/>
      <c r="P118" s="1041"/>
    </row>
    <row r="119" spans="1:17" ht="30" hidden="1" customHeight="1" outlineLevel="1">
      <c r="A119" s="1028"/>
      <c r="D119" s="1099" t="s">
        <v>2525</v>
      </c>
      <c r="E119" s="1064" t="s">
        <v>2526</v>
      </c>
      <c r="F119" s="1118" t="s">
        <v>2526</v>
      </c>
      <c r="H119" s="1118" t="s">
        <v>2526</v>
      </c>
      <c r="I119" s="1118" t="s">
        <v>2526</v>
      </c>
      <c r="K119" s="1118" t="s">
        <v>2526</v>
      </c>
      <c r="L119" s="1118" t="s">
        <v>2526</v>
      </c>
      <c r="N119" s="1118" t="s">
        <v>2526</v>
      </c>
      <c r="O119" s="1118" t="s">
        <v>2526</v>
      </c>
      <c r="P119" s="1041"/>
    </row>
    <row r="120" spans="1:17" hidden="1" outlineLevel="1">
      <c r="A120" s="1028"/>
      <c r="C120" s="1137">
        <f>+A78</f>
        <v>2024</v>
      </c>
      <c r="D120" s="1035" t="s">
        <v>2408</v>
      </c>
      <c r="E120" s="1100">
        <v>-607320</v>
      </c>
      <c r="F120" s="1119">
        <f>+SUMIFS('Anlage 2b_Korrekturen'!$D:$D,'Anlage 2b_Korrekturen'!$H:$H,'LV Testat'!$E$4,'Anlage 2b_Korrekturen'!$B:$B,'LV Testat'!$D120,'Anlage 2b_Korrekturen'!$A:$A,C120)</f>
        <v>-607320</v>
      </c>
      <c r="H120" s="1167">
        <v>-19162455</v>
      </c>
      <c r="I120" s="1119">
        <f>+SUMIFS('Anlage 2b_Korrekturen'!$D:$D,'Anlage 2b_Korrekturen'!$H:$H,'LV Testat'!$H$4,'Anlage 2b_Korrekturen'!$B:$B,'LV Testat'!$D120,'Anlage 2b_Korrekturen'!$A:$A,C120)</f>
        <v>-19162455</v>
      </c>
      <c r="K120" s="1167">
        <v>-68784681</v>
      </c>
      <c r="L120" s="1119">
        <f>+SUMIFS('Anlage 2b_Korrekturen'!$D:$D,'Anlage 2b_Korrekturen'!$H:$H,'LV Testat'!$K$4,'Anlage 2b_Korrekturen'!$B:$B,'LV Testat'!$D120,'Anlage 2b_Korrekturen'!$A:$A,C120)</f>
        <v>-68784681</v>
      </c>
      <c r="N120" s="1167">
        <v>214916</v>
      </c>
      <c r="O120" s="1119">
        <f>+SUMIFS('Anlage 2b_Korrekturen'!$D:$D,'Anlage 2b_Korrekturen'!$H:$H,'LV Testat'!$N$4,'Anlage 2b_Korrekturen'!$B:$B,'LV Testat'!$D120,'Anlage 2b_Korrekturen'!$A:$A,C120)</f>
        <v>214916</v>
      </c>
      <c r="P120" s="1041"/>
    </row>
    <row r="121" spans="1:17" hidden="1" outlineLevel="1">
      <c r="A121" s="1028"/>
      <c r="C121" s="1137">
        <f>+C120</f>
        <v>2024</v>
      </c>
      <c r="D121" s="1035" t="s">
        <v>2500</v>
      </c>
      <c r="E121" s="1100"/>
      <c r="F121" s="1119">
        <f>+SUMIFS('Anlage 2b_Korrekturen'!$D:$D,'Anlage 2b_Korrekturen'!$H:$H,'LV Testat'!$E$4,'Anlage 2b_Korrekturen'!$B:$B,'LV Testat'!$D121,'Anlage 2b_Korrekturen'!$A:$A,C121)</f>
        <v>0</v>
      </c>
      <c r="H121" s="1167"/>
      <c r="I121" s="1119">
        <f>+SUMIFS('Anlage 2b_Korrekturen'!$D:$D,'Anlage 2b_Korrekturen'!$H:$H,'LV Testat'!$H$4,'Anlage 2b_Korrekturen'!$B:$B,'LV Testat'!$D121,'Anlage 2b_Korrekturen'!$A:$A,C121)</f>
        <v>0</v>
      </c>
      <c r="K121" s="1167">
        <v>0</v>
      </c>
      <c r="L121" s="1119">
        <f>+SUMIFS('Anlage 2b_Korrekturen'!$D:$D,'Anlage 2b_Korrekturen'!$H:$H,'LV Testat'!$K$4,'Anlage 2b_Korrekturen'!$B:$B,'LV Testat'!$D121,'Anlage 2b_Korrekturen'!$A:$A,C121)</f>
        <v>0</v>
      </c>
      <c r="N121" s="1167">
        <v>0</v>
      </c>
      <c r="O121" s="1119">
        <f>+SUMIFS('Anlage 2b_Korrekturen'!$D:$D,'Anlage 2b_Korrekturen'!$H:$H,'LV Testat'!$N$4,'Anlage 2b_Korrekturen'!$B:$B,'LV Testat'!$D121,'Anlage 2b_Korrekturen'!$A:$A,C121)</f>
        <v>0</v>
      </c>
      <c r="P121" s="1041"/>
    </row>
    <row r="122" spans="1:17" hidden="1" outlineLevel="1">
      <c r="A122" s="1028"/>
      <c r="C122" s="1137">
        <f t="shared" ref="C122:C127" si="3">+C121</f>
        <v>2024</v>
      </c>
      <c r="D122" s="1035" t="s">
        <v>2418</v>
      </c>
      <c r="E122" s="1100"/>
      <c r="F122" s="1119">
        <f>+SUMIFS('Anlage 2b_Korrekturen'!$D:$D,'Anlage 2b_Korrekturen'!$H:$H,'LV Testat'!$E$4,'Anlage 2b_Korrekturen'!$B:$B,'LV Testat'!$D122,'Anlage 2b_Korrekturen'!$A:$A,C122)</f>
        <v>0</v>
      </c>
      <c r="H122" s="1167"/>
      <c r="I122" s="1119">
        <f>+SUMIFS('Anlage 2b_Korrekturen'!$D:$D,'Anlage 2b_Korrekturen'!$H:$H,'LV Testat'!$H$4,'Anlage 2b_Korrekturen'!$B:$B,'LV Testat'!$D122,'Anlage 2b_Korrekturen'!$A:$A,C122)</f>
        <v>0</v>
      </c>
      <c r="K122" s="1167">
        <v>0</v>
      </c>
      <c r="L122" s="1119">
        <f>+SUMIFS('Anlage 2b_Korrekturen'!$D:$D,'Anlage 2b_Korrekturen'!$H:$H,'LV Testat'!$K$4,'Anlage 2b_Korrekturen'!$B:$B,'LV Testat'!$D122,'Anlage 2b_Korrekturen'!$A:$A,C122)</f>
        <v>0</v>
      </c>
      <c r="N122" s="1167">
        <v>0</v>
      </c>
      <c r="O122" s="1119">
        <f>+SUMIFS('Anlage 2b_Korrekturen'!$D:$D,'Anlage 2b_Korrekturen'!$H:$H,'LV Testat'!$N$4,'Anlage 2b_Korrekturen'!$B:$B,'LV Testat'!$D122,'Anlage 2b_Korrekturen'!$A:$A,C122)</f>
        <v>0</v>
      </c>
      <c r="P122" s="1041"/>
    </row>
    <row r="123" spans="1:17" hidden="1" outlineLevel="1">
      <c r="A123" s="1028"/>
      <c r="C123" s="1137">
        <f t="shared" si="3"/>
        <v>2024</v>
      </c>
      <c r="D123" s="1168" t="s">
        <v>2501</v>
      </c>
      <c r="E123" s="1100"/>
      <c r="F123" s="1119">
        <f>+SUMIFS('Anlage 2b_Korrekturen'!$D:$D,'Anlage 2b_Korrekturen'!$H:$H,'LV Testat'!$E$4,'Anlage 2b_Korrekturen'!$B:$B,'LV Testat'!$D123,'Anlage 2b_Korrekturen'!$A:$A,C123)</f>
        <v>0</v>
      </c>
      <c r="H123" s="1167"/>
      <c r="I123" s="1119">
        <f>+SUMIFS('Anlage 2b_Korrekturen'!$D:$D,'Anlage 2b_Korrekturen'!$H:$H,'LV Testat'!$H$4,'Anlage 2b_Korrekturen'!$B:$B,'LV Testat'!$D123,'Anlage 2b_Korrekturen'!$A:$A,C123)</f>
        <v>0</v>
      </c>
      <c r="K123" s="1167">
        <v>0</v>
      </c>
      <c r="L123" s="1119">
        <f>+SUMIFS('Anlage 2b_Korrekturen'!$D:$D,'Anlage 2b_Korrekturen'!$H:$H,'LV Testat'!$K$4,'Anlage 2b_Korrekturen'!$B:$B,'LV Testat'!$D123,'Anlage 2b_Korrekturen'!$A:$A,C123)</f>
        <v>0</v>
      </c>
      <c r="N123" s="1167">
        <v>0</v>
      </c>
      <c r="O123" s="1119">
        <f>+SUMIFS('Anlage 2b_Korrekturen'!$D:$D,'Anlage 2b_Korrekturen'!$H:$H,'LV Testat'!$N$4,'Anlage 2b_Korrekturen'!$B:$B,'LV Testat'!$D123,'Anlage 2b_Korrekturen'!$A:$A,C123)</f>
        <v>0</v>
      </c>
      <c r="P123" s="1041"/>
    </row>
    <row r="124" spans="1:17" hidden="1" outlineLevel="1">
      <c r="A124" s="1028"/>
      <c r="C124" s="1137">
        <f t="shared" si="3"/>
        <v>2024</v>
      </c>
      <c r="D124" s="1035" t="s">
        <v>2409</v>
      </c>
      <c r="E124" s="1100"/>
      <c r="F124" s="1119">
        <f>+SUMIFS('Anlage 2b_Korrekturen'!$D:$D,'Anlage 2b_Korrekturen'!$H:$H,'LV Testat'!$E$4,'Anlage 2b_Korrekturen'!$B:$B,'LV Testat'!$D124,'Anlage 2b_Korrekturen'!$A:$A,C124)</f>
        <v>0</v>
      </c>
      <c r="H124" s="1167"/>
      <c r="I124" s="1119">
        <f>+SUMIFS('Anlage 2b_Korrekturen'!$D:$D,'Anlage 2b_Korrekturen'!$H:$H,'LV Testat'!$H$4,'Anlage 2b_Korrekturen'!$B:$B,'LV Testat'!$D124,'Anlage 2b_Korrekturen'!$A:$A,C124)</f>
        <v>0</v>
      </c>
      <c r="K124" s="1167">
        <v>0</v>
      </c>
      <c r="L124" s="1119">
        <f>+SUMIFS('Anlage 2b_Korrekturen'!$D:$D,'Anlage 2b_Korrekturen'!$H:$H,'LV Testat'!$K$4,'Anlage 2b_Korrekturen'!$B:$B,'LV Testat'!$D124,'Anlage 2b_Korrekturen'!$A:$A,C124)</f>
        <v>0</v>
      </c>
      <c r="N124" s="1167">
        <v>0</v>
      </c>
      <c r="O124" s="1119">
        <f>+SUMIFS('Anlage 2b_Korrekturen'!$D:$D,'Anlage 2b_Korrekturen'!$H:$H,'LV Testat'!$N$4,'Anlage 2b_Korrekturen'!$B:$B,'LV Testat'!$D124,'Anlage 2b_Korrekturen'!$A:$A,C124)</f>
        <v>0</v>
      </c>
      <c r="P124" s="1041"/>
    </row>
    <row r="125" spans="1:17" hidden="1" outlineLevel="1">
      <c r="A125" s="1028"/>
      <c r="C125" s="1137">
        <f t="shared" si="3"/>
        <v>2024</v>
      </c>
      <c r="D125" s="1035" t="s">
        <v>2419</v>
      </c>
      <c r="E125" s="1100"/>
      <c r="F125" s="1119">
        <f>+SUMIFS('Anlage 2b_Korrekturen'!$D:$D,'Anlage 2b_Korrekturen'!$H:$H,'LV Testat'!$E$4,'Anlage 2b_Korrekturen'!$B:$B,'LV Testat'!$D125,'Anlage 2b_Korrekturen'!$A:$A,C125)</f>
        <v>0</v>
      </c>
      <c r="H125" s="1167"/>
      <c r="I125" s="1119">
        <f>+SUMIFS('Anlage 2b_Korrekturen'!$D:$D,'Anlage 2b_Korrekturen'!$H:$H,'LV Testat'!$H$4,'Anlage 2b_Korrekturen'!$B:$B,'LV Testat'!$D125,'Anlage 2b_Korrekturen'!$A:$A,C125)</f>
        <v>0</v>
      </c>
      <c r="K125" s="1167">
        <v>0</v>
      </c>
      <c r="L125" s="1119">
        <f>+SUMIFS('Anlage 2b_Korrekturen'!$D:$D,'Anlage 2b_Korrekturen'!$H:$H,'LV Testat'!$K$4,'Anlage 2b_Korrekturen'!$B:$B,'LV Testat'!$D125,'Anlage 2b_Korrekturen'!$A:$A,C125)</f>
        <v>0</v>
      </c>
      <c r="N125" s="1167">
        <v>0</v>
      </c>
      <c r="O125" s="1119">
        <f>+SUMIFS('Anlage 2b_Korrekturen'!$D:$D,'Anlage 2b_Korrekturen'!$H:$H,'LV Testat'!$N$4,'Anlage 2b_Korrekturen'!$B:$B,'LV Testat'!$D125,'Anlage 2b_Korrekturen'!$A:$A,C125)</f>
        <v>0</v>
      </c>
      <c r="P125" s="1041"/>
    </row>
    <row r="126" spans="1:17" hidden="1" outlineLevel="1">
      <c r="A126" s="1028"/>
      <c r="C126" s="1137">
        <f t="shared" si="3"/>
        <v>2024</v>
      </c>
      <c r="D126" s="1035" t="s">
        <v>2412</v>
      </c>
      <c r="E126" s="1100"/>
      <c r="F126" s="1119">
        <f>+SUMIFS('Anlage 2b_Korrekturen'!$D:$D,'Anlage 2b_Korrekturen'!$H:$H,'LV Testat'!$E$4,'Anlage 2b_Korrekturen'!$B:$B,'LV Testat'!$D126,'Anlage 2b_Korrekturen'!$A:$A,C126)</f>
        <v>0</v>
      </c>
      <c r="H126" s="1167"/>
      <c r="I126" s="1119">
        <f>+SUMIFS('Anlage 2b_Korrekturen'!$D:$D,'Anlage 2b_Korrekturen'!$H:$H,'LV Testat'!$H$4,'Anlage 2b_Korrekturen'!$B:$B,'LV Testat'!$D126,'Anlage 2b_Korrekturen'!$A:$A,C126)</f>
        <v>0</v>
      </c>
      <c r="K126" s="1167">
        <v>0</v>
      </c>
      <c r="L126" s="1119">
        <f>+SUMIFS('Anlage 2b_Korrekturen'!$D:$D,'Anlage 2b_Korrekturen'!$H:$H,'LV Testat'!$K$4,'Anlage 2b_Korrekturen'!$B:$B,'LV Testat'!$D126,'Anlage 2b_Korrekturen'!$A:$A,C126)</f>
        <v>0</v>
      </c>
      <c r="N126" s="1167">
        <v>0</v>
      </c>
      <c r="O126" s="1119">
        <f>+SUMIFS('Anlage 2b_Korrekturen'!$D:$D,'Anlage 2b_Korrekturen'!$H:$H,'LV Testat'!$N$4,'Anlage 2b_Korrekturen'!$B:$B,'LV Testat'!$D126,'Anlage 2b_Korrekturen'!$A:$A,C126)</f>
        <v>0</v>
      </c>
      <c r="P126" s="1041"/>
    </row>
    <row r="127" spans="1:17" hidden="1" outlineLevel="1">
      <c r="A127" s="1028"/>
      <c r="C127" s="1137">
        <f t="shared" si="3"/>
        <v>2024</v>
      </c>
      <c r="D127" s="1168" t="s">
        <v>2410</v>
      </c>
      <c r="E127" s="1100"/>
      <c r="F127" s="1119">
        <f>+SUMIFS('Anlage 2b_Korrekturen'!$D:$D,'Anlage 2b_Korrekturen'!$H:$H,'LV Testat'!$E$4,'Anlage 2b_Korrekturen'!$B:$B,'LV Testat'!$D127,'Anlage 2b_Korrekturen'!$A:$A,C127)</f>
        <v>0</v>
      </c>
      <c r="H127" s="1167"/>
      <c r="I127" s="1119">
        <f>+SUMIFS('Anlage 2b_Korrekturen'!$D:$D,'Anlage 2b_Korrekturen'!$H:$H,'LV Testat'!$H$4,'Anlage 2b_Korrekturen'!$B:$B,'LV Testat'!$D127,'Anlage 2b_Korrekturen'!$A:$A,C127)</f>
        <v>0</v>
      </c>
      <c r="K127" s="1167">
        <v>0</v>
      </c>
      <c r="L127" s="1119">
        <f>+SUMIFS('Anlage 2b_Korrekturen'!$D:$D,'Anlage 2b_Korrekturen'!$H:$H,'LV Testat'!$K$4,'Anlage 2b_Korrekturen'!$B:$B,'LV Testat'!$D127,'Anlage 2b_Korrekturen'!$A:$A,C127)</f>
        <v>0</v>
      </c>
      <c r="N127" s="1167">
        <v>0</v>
      </c>
      <c r="O127" s="1119">
        <f>+SUMIFS('Anlage 2b_Korrekturen'!$D:$D,'Anlage 2b_Korrekturen'!$H:$H,'LV Testat'!$N$4,'Anlage 2b_Korrekturen'!$B:$B,'LV Testat'!$D127,'Anlage 2b_Korrekturen'!$A:$A,C127)</f>
        <v>0</v>
      </c>
      <c r="P127" s="1041"/>
    </row>
    <row r="128" spans="1:17" ht="12" hidden="1" outlineLevel="1" thickBot="1">
      <c r="A128" s="1090"/>
      <c r="B128" s="1091"/>
      <c r="C128" s="1091"/>
      <c r="D128" s="1121"/>
      <c r="E128" s="1110">
        <f>+SUM(E120:E127)</f>
        <v>-607320</v>
      </c>
      <c r="F128" s="1124">
        <f>+SUM(F120:F127)</f>
        <v>-607320</v>
      </c>
      <c r="G128" s="1091"/>
      <c r="H128" s="1124">
        <f>+SUM(H120:H127)</f>
        <v>-19162455</v>
      </c>
      <c r="I128" s="1124">
        <f>+SUM(I120:I127)</f>
        <v>-19162455</v>
      </c>
      <c r="J128" s="1091"/>
      <c r="K128" s="1124">
        <f>+SUM(K120:K127)</f>
        <v>-68784681</v>
      </c>
      <c r="L128" s="1124">
        <f>+SUM(L120:L127)</f>
        <v>-68784681</v>
      </c>
      <c r="M128" s="1091"/>
      <c r="N128" s="1124">
        <f>+SUM(N120:N127)</f>
        <v>214916</v>
      </c>
      <c r="O128" s="1124">
        <f>+SUM(O120:O127)</f>
        <v>214916</v>
      </c>
      <c r="P128" s="1121"/>
      <c r="Q128" s="1577" t="s">
        <v>2534</v>
      </c>
    </row>
    <row r="129" spans="1:16" ht="12" collapsed="1" thickBot="1">
      <c r="A129" s="1013" t="s">
        <v>2528</v>
      </c>
      <c r="B129" s="1001"/>
      <c r="C129" s="1001"/>
      <c r="D129" s="1002"/>
      <c r="E129" s="1001"/>
      <c r="F129" s="1098" t="str">
        <f>+"Check Speicher BesAR NT "&amp;C137</f>
        <v>Check Speicher BesAR NT 2024</v>
      </c>
      <c r="G129" s="1018">
        <f>+SUM(E132:G134)-SUM(E137:G139)</f>
        <v>0</v>
      </c>
      <c r="H129" s="1000"/>
      <c r="I129" s="1098" t="str">
        <f>+"Check Speicher BesAR NT "&amp;C137</f>
        <v>Check Speicher BesAR NT 2024</v>
      </c>
      <c r="J129" s="1018">
        <f>+SUM(H132:J134)-SUM(H137:J139)</f>
        <v>0</v>
      </c>
      <c r="K129" s="1000"/>
      <c r="L129" s="1098" t="str">
        <f>+"Check Speicher BesAR NT "&amp;C137</f>
        <v>Check Speicher BesAR NT 2024</v>
      </c>
      <c r="M129" s="1018">
        <f>+SUM(K132:M134)-SUM(K137:M139)</f>
        <v>0</v>
      </c>
      <c r="N129" s="1000"/>
      <c r="O129" s="1098" t="str">
        <f>+"Check Speicher BesAR NT "&amp;C137</f>
        <v>Check Speicher BesAR NT 2024</v>
      </c>
      <c r="P129" s="1018">
        <f>+SUM(N132:P134)-SUM(N137:P139)</f>
        <v>0</v>
      </c>
    </row>
    <row r="130" spans="1:16" hidden="1" outlineLevel="1">
      <c r="A130" s="1028"/>
      <c r="D130" s="1041"/>
      <c r="F130" s="1012"/>
      <c r="G130" s="1041"/>
      <c r="H130" s="1028"/>
      <c r="I130" s="1012"/>
      <c r="J130" s="1041"/>
      <c r="K130" s="1028"/>
      <c r="L130" s="1012"/>
      <c r="M130" s="1041"/>
      <c r="N130" s="1028"/>
      <c r="O130" s="1012"/>
      <c r="P130" s="1041"/>
    </row>
    <row r="131" spans="1:16" ht="33.75" hidden="1" outlineLevel="1">
      <c r="A131" s="1028"/>
      <c r="D131" s="1030" t="s">
        <v>2506</v>
      </c>
      <c r="E131" s="1031" t="s">
        <v>2499</v>
      </c>
      <c r="F131" s="1032" t="s">
        <v>2507</v>
      </c>
      <c r="G131" s="1049" t="s">
        <v>2508</v>
      </c>
      <c r="H131" s="1034" t="s">
        <v>2499</v>
      </c>
      <c r="I131" s="1032" t="s">
        <v>2507</v>
      </c>
      <c r="J131" s="1049" t="s">
        <v>2508</v>
      </c>
      <c r="K131" s="1034" t="s">
        <v>2499</v>
      </c>
      <c r="L131" s="1032" t="s">
        <v>2507</v>
      </c>
      <c r="M131" s="1049" t="s">
        <v>2508</v>
      </c>
      <c r="N131" s="1034" t="s">
        <v>2499</v>
      </c>
      <c r="O131" s="1032" t="s">
        <v>2507</v>
      </c>
      <c r="P131" s="1049" t="s">
        <v>2508</v>
      </c>
    </row>
    <row r="132" spans="1:16" hidden="1" outlineLevel="1">
      <c r="A132" s="1028"/>
      <c r="D132" s="1050" t="s">
        <v>2429</v>
      </c>
      <c r="E132" s="1051"/>
      <c r="F132" s="1101"/>
      <c r="G132" s="1102"/>
      <c r="H132" s="1070">
        <v>0</v>
      </c>
      <c r="I132" s="1067">
        <v>0</v>
      </c>
      <c r="J132" s="1068">
        <v>0</v>
      </c>
      <c r="K132" s="1070">
        <v>0</v>
      </c>
      <c r="L132" s="1067">
        <v>0</v>
      </c>
      <c r="M132" s="1068">
        <v>0</v>
      </c>
      <c r="N132" s="1070">
        <v>0</v>
      </c>
      <c r="O132" s="1067">
        <v>0</v>
      </c>
      <c r="P132" s="1068">
        <v>0</v>
      </c>
    </row>
    <row r="133" spans="1:16" hidden="1" outlineLevel="1">
      <c r="A133" s="1028"/>
      <c r="D133" s="1050" t="s">
        <v>2430</v>
      </c>
      <c r="E133" s="1051"/>
      <c r="F133" s="1101"/>
      <c r="G133" s="1102"/>
      <c r="H133" s="1070">
        <v>0</v>
      </c>
      <c r="I133" s="1067">
        <v>0</v>
      </c>
      <c r="J133" s="1068">
        <v>0</v>
      </c>
      <c r="K133" s="1070">
        <v>0</v>
      </c>
      <c r="L133" s="1067">
        <v>0</v>
      </c>
      <c r="M133" s="1068">
        <v>0</v>
      </c>
      <c r="N133" s="1070">
        <v>0</v>
      </c>
      <c r="O133" s="1067">
        <v>0</v>
      </c>
      <c r="P133" s="1068">
        <v>0</v>
      </c>
    </row>
    <row r="134" spans="1:16" hidden="1" outlineLevel="1">
      <c r="A134" s="1028"/>
      <c r="D134" s="1050" t="s">
        <v>2431</v>
      </c>
      <c r="E134" s="1051"/>
      <c r="F134" s="1101"/>
      <c r="G134" s="1102"/>
      <c r="H134" s="1070">
        <v>0</v>
      </c>
      <c r="I134" s="1067">
        <v>0</v>
      </c>
      <c r="J134" s="1068">
        <v>0</v>
      </c>
      <c r="K134" s="1070">
        <v>0</v>
      </c>
      <c r="L134" s="1067">
        <v>0</v>
      </c>
      <c r="M134" s="1068">
        <v>0</v>
      </c>
      <c r="N134" s="1070">
        <v>0</v>
      </c>
      <c r="O134" s="1067">
        <v>0</v>
      </c>
      <c r="P134" s="1068">
        <v>0</v>
      </c>
    </row>
    <row r="135" spans="1:16" hidden="1" outlineLevel="1">
      <c r="A135" s="1028"/>
      <c r="D135" s="1041"/>
      <c r="F135" s="1847"/>
      <c r="G135" s="1848"/>
      <c r="H135" s="1028"/>
      <c r="I135" s="1012"/>
      <c r="J135" s="1122"/>
      <c r="K135" s="1028"/>
      <c r="L135" s="1012"/>
      <c r="M135" s="1122"/>
      <c r="N135" s="1028"/>
      <c r="O135" s="1012"/>
      <c r="P135" s="1122"/>
    </row>
    <row r="136" spans="1:16" ht="33.75" hidden="1" outlineLevel="1">
      <c r="A136" s="1028"/>
      <c r="D136" s="1030" t="s">
        <v>2506</v>
      </c>
      <c r="E136" s="1031" t="s">
        <v>2499</v>
      </c>
      <c r="F136" s="1032" t="s">
        <v>2507</v>
      </c>
      <c r="G136" s="1049" t="s">
        <v>2508</v>
      </c>
      <c r="H136" s="1034" t="s">
        <v>2499</v>
      </c>
      <c r="I136" s="1032" t="s">
        <v>2507</v>
      </c>
      <c r="J136" s="1049" t="s">
        <v>2508</v>
      </c>
      <c r="K136" s="1034" t="s">
        <v>2499</v>
      </c>
      <c r="L136" s="1032" t="s">
        <v>2507</v>
      </c>
      <c r="M136" s="1049" t="s">
        <v>2508</v>
      </c>
      <c r="N136" s="1034" t="s">
        <v>2499</v>
      </c>
      <c r="O136" s="1032" t="s">
        <v>2507</v>
      </c>
      <c r="P136" s="1049" t="s">
        <v>2508</v>
      </c>
    </row>
    <row r="137" spans="1:16" hidden="1" outlineLevel="1">
      <c r="A137" s="1056"/>
      <c r="B137" s="1029"/>
      <c r="C137" s="1137">
        <f>+A78</f>
        <v>2024</v>
      </c>
      <c r="D137" s="1050" t="s">
        <v>2429</v>
      </c>
      <c r="E137" s="1105">
        <f>+SUMIFS('Anlage 2b_Korrekturen'!$D:$D,'Anlage 2b_Korrekturen'!$H:$H,'LV Testat'!$E$4,'Anlage 2b_Korrekturen'!$B:$B,'LV Testat'!$D137,'Anlage 2b_Korrekturen'!$A:$A,C137)</f>
        <v>0</v>
      </c>
      <c r="F137" s="1119">
        <f>+SUMIFS('Anlage 2b_Korrekturen'!$E:$E,'Anlage 2b_Korrekturen'!$H:$H,'LV Testat'!$E$4,'Anlage 2b_Korrekturen'!$B:$B,'LV Testat'!$D137,'Anlage 2b_Korrekturen'!$A:$A,C137)</f>
        <v>0</v>
      </c>
      <c r="G137" s="1123">
        <f>+SUMIFS('Anlage 2b_Korrekturen'!$F:$F,'Anlage 2b_Korrekturen'!$H:$H,'LV Testat'!$E$4,'Anlage 2b_Korrekturen'!$B:$B,'LV Testat'!$D137,'Anlage 2b_Korrekturen'!$A:$A,C137)</f>
        <v>0</v>
      </c>
      <c r="H137" s="1105">
        <f>+SUMIFS('Anlage 2b_Korrekturen'!$D:$D,'Anlage 2b_Korrekturen'!$H:$H,'LV Testat'!$H$4,'Anlage 2b_Korrekturen'!$B:$B,'LV Testat'!$D137,'Anlage 2b_Korrekturen'!$A:$A,C137)</f>
        <v>0</v>
      </c>
      <c r="I137" s="1119">
        <f>+SUMIFS('Anlage 2b_Korrekturen'!$E:$E,'Anlage 2b_Korrekturen'!$H:$H,'LV Testat'!$H$4,'Anlage 2b_Korrekturen'!$B:$B,'LV Testat'!$D137,'Anlage 2b_Korrekturen'!$A:$A,C137)</f>
        <v>0</v>
      </c>
      <c r="J137" s="1123">
        <f>+SUMIFS('Anlage 2b_Korrekturen'!$F:$F,'Anlage 2b_Korrekturen'!$H:$H,'LV Testat'!$H$4,'Anlage 2b_Korrekturen'!$B:$B,'LV Testat'!$D137,'Anlage 2b_Korrekturen'!$A:$A,C137)</f>
        <v>0</v>
      </c>
      <c r="K137" s="1105">
        <f>+SUMIFS('Anlage 2b_Korrekturen'!$D:$D,'Anlage 2b_Korrekturen'!$H:$H,'LV Testat'!$K$4,'Anlage 2b_Korrekturen'!$B:$B,'LV Testat'!$D137,'Anlage 2b_Korrekturen'!$A:$A,C137)</f>
        <v>0</v>
      </c>
      <c r="L137" s="1119">
        <f>+SUMIFS('Anlage 2b_Korrekturen'!$E:$E,'Anlage 2b_Korrekturen'!$H:$H,'LV Testat'!$K$4,'Anlage 2b_Korrekturen'!$B:$B,'LV Testat'!$D137,'Anlage 2b_Korrekturen'!$A:$A,C137)</f>
        <v>0</v>
      </c>
      <c r="M137" s="1123">
        <f>+SUMIFS('Anlage 2b_Korrekturen'!$F:$F,'Anlage 2b_Korrekturen'!$H:$H,'LV Testat'!$K$4,'Anlage 2b_Korrekturen'!$B:$B,'LV Testat'!$D137,'Anlage 2b_Korrekturen'!$A:$A,C137)</f>
        <v>0</v>
      </c>
      <c r="N137" s="1105">
        <f>+SUMIFS('Anlage 2b_Korrekturen'!$D:$D,'Anlage 2b_Korrekturen'!$H:$H,'LV Testat'!$N$4,'Anlage 2b_Korrekturen'!$B:$B,'LV Testat'!$D137,'Anlage 2b_Korrekturen'!$A:$A,C137)</f>
        <v>0</v>
      </c>
      <c r="O137" s="1119">
        <f>+SUMIFS('Anlage 2b_Korrekturen'!$E:$E,'Anlage 2b_Korrekturen'!$H:$H,'LV Testat'!$N$4,'Anlage 2b_Korrekturen'!$B:$B,'LV Testat'!$D137,'Anlage 2b_Korrekturen'!$A:$A,C137)</f>
        <v>0</v>
      </c>
      <c r="P137" s="1123">
        <f>+SUMIFS('Anlage 2b_Korrekturen'!$F:$F,'Anlage 2b_Korrekturen'!$H:$H,'LV Testat'!$N$4,'Anlage 2b_Korrekturen'!$B:$B,'LV Testat'!$D137,'Anlage 2b_Korrekturen'!$A:$A,C137)</f>
        <v>0</v>
      </c>
    </row>
    <row r="138" spans="1:16" hidden="1" outlineLevel="1">
      <c r="A138" s="1056"/>
      <c r="B138" s="1029"/>
      <c r="C138" s="1137">
        <f>+C137</f>
        <v>2024</v>
      </c>
      <c r="D138" s="1050" t="s">
        <v>2430</v>
      </c>
      <c r="E138" s="1105">
        <f>+SUMIFS('Anlage 2b_Korrekturen'!$D:$D,'Anlage 2b_Korrekturen'!$H:$H,'LV Testat'!$E$4,'Anlage 2b_Korrekturen'!$B:$B,'LV Testat'!$D138,'Anlage 2b_Korrekturen'!$A:$A,C138)</f>
        <v>0</v>
      </c>
      <c r="F138" s="1119">
        <f>+SUMIFS('Anlage 2b_Korrekturen'!$E:$E,'Anlage 2b_Korrekturen'!$H:$H,'LV Testat'!$E$4,'Anlage 2b_Korrekturen'!$B:$B,'LV Testat'!$D138,'Anlage 2b_Korrekturen'!$A:$A,C138)</f>
        <v>0</v>
      </c>
      <c r="G138" s="1123">
        <f>+SUMIFS('Anlage 2b_Korrekturen'!$F:$F,'Anlage 2b_Korrekturen'!$H:$H,'LV Testat'!$E$4,'Anlage 2b_Korrekturen'!$B:$B,'LV Testat'!$D138,'Anlage 2b_Korrekturen'!$A:$A,C138)</f>
        <v>0</v>
      </c>
      <c r="H138" s="1105">
        <f>+SUMIFS('Anlage 2b_Korrekturen'!$D:$D,'Anlage 2b_Korrekturen'!$H:$H,'LV Testat'!$H$4,'Anlage 2b_Korrekturen'!$B:$B,'LV Testat'!$D138,'Anlage 2b_Korrekturen'!$A:$A,C138)</f>
        <v>0</v>
      </c>
      <c r="I138" s="1119">
        <f>+SUMIFS('Anlage 2b_Korrekturen'!$E:$E,'Anlage 2b_Korrekturen'!$H:$H,'LV Testat'!$H$4,'Anlage 2b_Korrekturen'!$B:$B,'LV Testat'!$D138,'Anlage 2b_Korrekturen'!$A:$A,C138)</f>
        <v>0</v>
      </c>
      <c r="J138" s="1123">
        <f>+SUMIFS('Anlage 2b_Korrekturen'!$F:$F,'Anlage 2b_Korrekturen'!$H:$H,'LV Testat'!$H$4,'Anlage 2b_Korrekturen'!$B:$B,'LV Testat'!$D138,'Anlage 2b_Korrekturen'!$A:$A,C138)</f>
        <v>0</v>
      </c>
      <c r="K138" s="1105">
        <f>+SUMIFS('Anlage 2b_Korrekturen'!$D:$D,'Anlage 2b_Korrekturen'!$H:$H,'LV Testat'!$K$4,'Anlage 2b_Korrekturen'!$B:$B,'LV Testat'!$D138,'Anlage 2b_Korrekturen'!$A:$A,C138)</f>
        <v>0</v>
      </c>
      <c r="L138" s="1119">
        <f>+SUMIFS('Anlage 2b_Korrekturen'!$E:$E,'Anlage 2b_Korrekturen'!$H:$H,'LV Testat'!$K$4,'Anlage 2b_Korrekturen'!$B:$B,'LV Testat'!$D138,'Anlage 2b_Korrekturen'!$A:$A,C138)</f>
        <v>0</v>
      </c>
      <c r="M138" s="1123">
        <f>+SUMIFS('Anlage 2b_Korrekturen'!$F:$F,'Anlage 2b_Korrekturen'!$H:$H,'LV Testat'!$K$4,'Anlage 2b_Korrekturen'!$B:$B,'LV Testat'!$D138,'Anlage 2b_Korrekturen'!$A:$A,C138)</f>
        <v>0</v>
      </c>
      <c r="N138" s="1105">
        <f>+SUMIFS('Anlage 2b_Korrekturen'!$D:$D,'Anlage 2b_Korrekturen'!$H:$H,'LV Testat'!$N$4,'Anlage 2b_Korrekturen'!$B:$B,'LV Testat'!$D138,'Anlage 2b_Korrekturen'!$A:$A,C138)</f>
        <v>0</v>
      </c>
      <c r="O138" s="1119">
        <f>+SUMIFS('Anlage 2b_Korrekturen'!$E:$E,'Anlage 2b_Korrekturen'!$H:$H,'LV Testat'!$N$4,'Anlage 2b_Korrekturen'!$B:$B,'LV Testat'!$D138,'Anlage 2b_Korrekturen'!$A:$A,C138)</f>
        <v>0</v>
      </c>
      <c r="P138" s="1123">
        <f>+SUMIFS('Anlage 2b_Korrekturen'!$F:$F,'Anlage 2b_Korrekturen'!$H:$H,'LV Testat'!$N$4,'Anlage 2b_Korrekturen'!$B:$B,'LV Testat'!$D138,'Anlage 2b_Korrekturen'!$A:$A,C138)</f>
        <v>0</v>
      </c>
    </row>
    <row r="139" spans="1:16" ht="12" hidden="1" outlineLevel="1" thickBot="1">
      <c r="A139" s="1060"/>
      <c r="B139" s="1061"/>
      <c r="C139" s="1137">
        <f>+C138</f>
        <v>2024</v>
      </c>
      <c r="D139" s="1062" t="s">
        <v>2431</v>
      </c>
      <c r="E139" s="1105">
        <f>+SUMIFS('Anlage 2b_Korrekturen'!$D:$D,'Anlage 2b_Korrekturen'!$H:$H,'LV Testat'!$E$4,'Anlage 2b_Korrekturen'!$B:$B,'LV Testat'!$D139,'Anlage 2b_Korrekturen'!$A:$A,$C$137)</f>
        <v>0</v>
      </c>
      <c r="F139" s="1119">
        <f>+SUMIFS('Anlage 2b_Korrekturen'!$E:$E,'Anlage 2b_Korrekturen'!$H:$H,'LV Testat'!$E$4,'Anlage 2b_Korrekturen'!$B:$B,'LV Testat'!$D139,'Anlage 2b_Korrekturen'!$A:$A,C139)</f>
        <v>0</v>
      </c>
      <c r="G139" s="1123">
        <f>+SUMIFS('Anlage 2b_Korrekturen'!$F:$F,'Anlage 2b_Korrekturen'!$H:$H,'LV Testat'!$E$4,'Anlage 2b_Korrekturen'!$B:$B,'LV Testat'!$D139,'Anlage 2b_Korrekturen'!$A:$A,$C$137)</f>
        <v>0</v>
      </c>
      <c r="H139" s="1105">
        <f>+SUMIFS('Anlage 2b_Korrekturen'!$D:$D,'Anlage 2b_Korrekturen'!$H:$H,'LV Testat'!$H$4,'Anlage 2b_Korrekturen'!$B:$B,'LV Testat'!$D139,'Anlage 2b_Korrekturen'!$A:$A,C139)</f>
        <v>0</v>
      </c>
      <c r="I139" s="1119">
        <f>+SUMIFS('Anlage 2b_Korrekturen'!$E:$E,'Anlage 2b_Korrekturen'!$H:$H,'LV Testat'!$H$4,'Anlage 2b_Korrekturen'!$B:$B,'LV Testat'!$D139,'Anlage 2b_Korrekturen'!$A:$A,C139)</f>
        <v>0</v>
      </c>
      <c r="J139" s="1123">
        <f>+SUMIFS('Anlage 2b_Korrekturen'!$F:$F,'Anlage 2b_Korrekturen'!$H:$H,'LV Testat'!$H$4,'Anlage 2b_Korrekturen'!$B:$B,'LV Testat'!$D139,'Anlage 2b_Korrekturen'!$A:$A,C139)</f>
        <v>0</v>
      </c>
      <c r="K139" s="1105">
        <f>+SUMIFS('Anlage 2b_Korrekturen'!$D:$D,'Anlage 2b_Korrekturen'!$H:$H,'LV Testat'!$K$4,'Anlage 2b_Korrekturen'!$B:$B,'LV Testat'!$D139,'Anlage 2b_Korrekturen'!$A:$A,C139)</f>
        <v>0</v>
      </c>
      <c r="L139" s="1119">
        <f>+SUMIFS('Anlage 2b_Korrekturen'!$E:$E,'Anlage 2b_Korrekturen'!$H:$H,'LV Testat'!$K$4,'Anlage 2b_Korrekturen'!$B:$B,'LV Testat'!$D139,'Anlage 2b_Korrekturen'!$A:$A,C139)</f>
        <v>0</v>
      </c>
      <c r="M139" s="1123">
        <f>+SUMIFS('Anlage 2b_Korrekturen'!$F:$F,'Anlage 2b_Korrekturen'!$H:$H,'LV Testat'!$K$4,'Anlage 2b_Korrekturen'!$B:$B,'LV Testat'!$D139,'Anlage 2b_Korrekturen'!$A:$A,C139)</f>
        <v>0</v>
      </c>
      <c r="N139" s="1105">
        <f>+SUMIFS('Anlage 2b_Korrekturen'!$D:$D,'Anlage 2b_Korrekturen'!$H:$H,'LV Testat'!$N$4,'Anlage 2b_Korrekturen'!$B:$B,'LV Testat'!$D139,'Anlage 2b_Korrekturen'!$A:$A,C139)</f>
        <v>0</v>
      </c>
      <c r="O139" s="1119">
        <f>+SUMIFS('Anlage 2b_Korrekturen'!$E:$E,'Anlage 2b_Korrekturen'!$H:$H,'LV Testat'!$N$4,'Anlage 2b_Korrekturen'!$B:$B,'LV Testat'!$D139,'Anlage 2b_Korrekturen'!$A:$A,C139)</f>
        <v>0</v>
      </c>
      <c r="P139" s="1123">
        <f>+SUMIFS('Anlage 2b_Korrekturen'!$F:$F,'Anlage 2b_Korrekturen'!$H:$H,'LV Testat'!$N$4,'Anlage 2b_Korrekturen'!$B:$B,'LV Testat'!$D139,'Anlage 2b_Korrekturen'!$A:$A,C139)</f>
        <v>0</v>
      </c>
    </row>
    <row r="140" spans="1:16" s="1132" customFormat="1" ht="18" collapsed="1">
      <c r="A140" s="1126" t="s">
        <v>2531</v>
      </c>
      <c r="B140" s="1127"/>
      <c r="C140" s="1127"/>
      <c r="D140" s="1128"/>
      <c r="E140" s="1129"/>
      <c r="F140" s="1129"/>
      <c r="G140" s="1130"/>
      <c r="H140" s="1131"/>
      <c r="I140" s="1129"/>
      <c r="J140" s="1130"/>
      <c r="K140" s="1131"/>
      <c r="L140" s="1129"/>
      <c r="M140" s="1130"/>
      <c r="N140" s="1131"/>
      <c r="O140" s="1129"/>
      <c r="P140" s="1130"/>
    </row>
    <row r="141" spans="1:16" ht="15.75" thickBot="1">
      <c r="A141" s="1841">
        <f>+A78-1</f>
        <v>2023</v>
      </c>
      <c r="B141" s="1842"/>
      <c r="C141" s="1842"/>
      <c r="D141" s="1843"/>
      <c r="E141" s="1091"/>
      <c r="F141" s="1091"/>
      <c r="G141" s="1121"/>
      <c r="H141" s="1090"/>
      <c r="I141" s="1091"/>
      <c r="J141" s="1121"/>
      <c r="K141" s="1090"/>
      <c r="L141" s="1091"/>
      <c r="M141" s="1121"/>
      <c r="N141" s="1090"/>
      <c r="O141" s="1091"/>
      <c r="P141" s="1121"/>
    </row>
    <row r="142" spans="1:16" ht="13.5" thickBot="1">
      <c r="A142" s="1013" t="s">
        <v>2532</v>
      </c>
      <c r="B142" s="1133"/>
      <c r="C142" s="1133"/>
      <c r="D142" s="1134"/>
      <c r="E142" s="1001"/>
      <c r="F142" s="1017" t="str">
        <f>+"Check LV NT "&amp;C145</f>
        <v>Check LV NT 2023</v>
      </c>
      <c r="G142" s="1018">
        <f>+F153-E153</f>
        <v>0</v>
      </c>
      <c r="H142" s="1000"/>
      <c r="I142" s="1017" t="str">
        <f>+"Check LV NT "&amp;C145</f>
        <v>Check LV NT 2023</v>
      </c>
      <c r="J142" s="1018">
        <f>+I153-H153</f>
        <v>0</v>
      </c>
      <c r="K142" s="1000"/>
      <c r="L142" s="1017" t="str">
        <f>+"Check LV NT "&amp;C145</f>
        <v>Check LV NT 2023</v>
      </c>
      <c r="M142" s="1018">
        <f>+L153-K153</f>
        <v>-0.18400001525878906</v>
      </c>
      <c r="N142" s="1000"/>
      <c r="O142" s="1017" t="str">
        <f>+"Check LV NT "&amp;C145</f>
        <v>Check LV NT 2023</v>
      </c>
      <c r="P142" s="1018">
        <f>+O153-N153</f>
        <v>0</v>
      </c>
    </row>
    <row r="143" spans="1:16" hidden="1" outlineLevel="1">
      <c r="A143" s="1028"/>
      <c r="D143" s="1041"/>
      <c r="G143" s="1041"/>
      <c r="H143" s="1028"/>
      <c r="J143" s="1041"/>
      <c r="K143" s="1028"/>
      <c r="M143" s="1041"/>
      <c r="N143" s="1028"/>
      <c r="P143" s="1041"/>
    </row>
    <row r="144" spans="1:16" ht="33.75" hidden="1" outlineLevel="1">
      <c r="A144" s="1028"/>
      <c r="D144" s="1135"/>
      <c r="E144" s="1032" t="s">
        <v>2499</v>
      </c>
      <c r="F144" s="1032" t="s">
        <v>2499</v>
      </c>
      <c r="H144" s="1032" t="s">
        <v>2499</v>
      </c>
      <c r="I144" s="1032" t="s">
        <v>2499</v>
      </c>
      <c r="J144" s="1041"/>
      <c r="K144" s="1032" t="s">
        <v>2499</v>
      </c>
      <c r="L144" s="1032" t="s">
        <v>2499</v>
      </c>
      <c r="M144" s="1041"/>
      <c r="N144" s="1032" t="s">
        <v>2499</v>
      </c>
      <c r="O144" s="1032" t="s">
        <v>2499</v>
      </c>
      <c r="P144" s="1041"/>
    </row>
    <row r="145" spans="1:16" hidden="1" outlineLevel="1">
      <c r="A145" s="1136"/>
      <c r="C145" s="1137">
        <f>+A141</f>
        <v>2023</v>
      </c>
      <c r="D145" s="1138" t="s">
        <v>2408</v>
      </c>
      <c r="E145" s="1139">
        <v>-206720618</v>
      </c>
      <c r="F145" s="1119">
        <f>+SUMIFS('Anlage 2b_Korrekturen'!$D:$D,'Anlage 2b_Korrekturen'!$H:$H,'LV Testat'!$E$4,'Anlage 2b_Korrekturen'!$C:$C,'LV Testat'!$D145,'Anlage 2b_Korrekturen'!$A:$A,'LV Testat'!C145)</f>
        <v>-206720618</v>
      </c>
      <c r="H145" s="1139">
        <v>37820093</v>
      </c>
      <c r="I145" s="1119">
        <f>+SUMIFS('Anlage 2b_Korrekturen'!$D:$D,'Anlage 2b_Korrekturen'!$H:$H,'LV Testat'!$H$4,'Anlage 2b_Korrekturen'!$C:$C,'LV Testat'!$D145,'Anlage 2b_Korrekturen'!$A:$A,'LV Testat'!C145)</f>
        <v>37820093</v>
      </c>
      <c r="J145" s="1041"/>
      <c r="K145" s="1139">
        <v>-140360026</v>
      </c>
      <c r="L145" s="1119">
        <f>+SUMIFS('Anlage 2b_Korrekturen'!$D:$D,'Anlage 2b_Korrekturen'!$H:$H,'LV Testat'!$K$4,'Anlage 2b_Korrekturen'!$C:$C,'LV Testat'!$D145,'Anlage 2b_Korrekturen'!$A:$A,'LV Testat'!C145)</f>
        <v>-140360026.18400002</v>
      </c>
      <c r="M145" s="1041"/>
      <c r="N145" s="1139">
        <v>54003587</v>
      </c>
      <c r="O145" s="1119">
        <f>+SUMIFS('Anlage 2b_Korrekturen'!$D:$D,'Anlage 2b_Korrekturen'!$H:$H,'LV Testat'!$N$4,'Anlage 2b_Korrekturen'!$C:$C,'LV Testat'!$D145,'Anlage 2b_Korrekturen'!$A:$A,'LV Testat'!C145)</f>
        <v>54003587</v>
      </c>
      <c r="P145" s="1041"/>
    </row>
    <row r="146" spans="1:16" hidden="1" outlineLevel="1">
      <c r="A146" s="1136"/>
      <c r="C146" s="1137">
        <f>+C145</f>
        <v>2023</v>
      </c>
      <c r="D146" s="1138" t="s">
        <v>2500</v>
      </c>
      <c r="E146" s="1139"/>
      <c r="F146" s="1119">
        <f>+SUMIFS('Anlage 2b_Korrekturen'!$D:$D,'Anlage 2b_Korrekturen'!$H:$H,'LV Testat'!$E$4,'Anlage 2b_Korrekturen'!$C:$C,'LV Testat'!$D146,'Anlage 2b_Korrekturen'!$A:$A,'LV Testat'!C146)</f>
        <v>0</v>
      </c>
      <c r="H146" s="1139">
        <v>0</v>
      </c>
      <c r="I146" s="1119">
        <f>+SUMIFS('Anlage 2b_Korrekturen'!$D:$D,'Anlage 2b_Korrekturen'!$H:$H,'LV Testat'!$H$4,'Anlage 2b_Korrekturen'!$C:$C,'LV Testat'!$D146,'Anlage 2b_Korrekturen'!$A:$A,'LV Testat'!C146)</f>
        <v>0</v>
      </c>
      <c r="J146" s="1041"/>
      <c r="K146" s="1139">
        <v>0</v>
      </c>
      <c r="L146" s="1119">
        <f>+SUMIFS('Anlage 2b_Korrekturen'!$D:$D,'Anlage 2b_Korrekturen'!$H:$H,'LV Testat'!$K$4,'Anlage 2b_Korrekturen'!$C:$C,'LV Testat'!$D146,'Anlage 2b_Korrekturen'!$A:$A,'LV Testat'!C146)</f>
        <v>0</v>
      </c>
      <c r="M146" s="1041"/>
      <c r="N146" s="1139">
        <v>0</v>
      </c>
      <c r="O146" s="1119">
        <f>+SUMIFS('Anlage 2b_Korrekturen'!$D:$D,'Anlage 2b_Korrekturen'!$H:$H,'LV Testat'!$N$4,'Anlage 2b_Korrekturen'!$C:$C,'LV Testat'!$D146,'Anlage 2b_Korrekturen'!$A:$A,'LV Testat'!C146)</f>
        <v>0</v>
      </c>
      <c r="P146" s="1041"/>
    </row>
    <row r="147" spans="1:16" hidden="1" outlineLevel="1">
      <c r="A147" s="1136"/>
      <c r="C147" s="1137">
        <f t="shared" ref="C147:C153" si="4">+C146</f>
        <v>2023</v>
      </c>
      <c r="D147" s="1138" t="s">
        <v>2418</v>
      </c>
      <c r="E147" s="1139"/>
      <c r="F147" s="1119">
        <f>+SUMIFS('Anlage 2b_Korrekturen'!$D:$D,'Anlage 2b_Korrekturen'!$H:$H,'LV Testat'!$E$4,'Anlage 2b_Korrekturen'!$C:$C,'LV Testat'!$D147,'Anlage 2b_Korrekturen'!$A:$A,'LV Testat'!C147)</f>
        <v>0</v>
      </c>
      <c r="H147" s="1139">
        <v>-1908018</v>
      </c>
      <c r="I147" s="1119">
        <f>+SUMIFS('Anlage 2b_Korrekturen'!$D:$D,'Anlage 2b_Korrekturen'!$H:$H,'LV Testat'!$H$4,'Anlage 2b_Korrekturen'!$C:$C,'LV Testat'!$D147,'Anlage 2b_Korrekturen'!$A:$A,'LV Testat'!C147)</f>
        <v>-1908018</v>
      </c>
      <c r="J147" s="1041"/>
      <c r="K147" s="1139">
        <v>0</v>
      </c>
      <c r="L147" s="1119">
        <f>+SUMIFS('Anlage 2b_Korrekturen'!$D:$D,'Anlage 2b_Korrekturen'!$H:$H,'LV Testat'!$K$4,'Anlage 2b_Korrekturen'!$C:$C,'LV Testat'!$D147,'Anlage 2b_Korrekturen'!$A:$A,'LV Testat'!C147)</f>
        <v>0</v>
      </c>
      <c r="M147" s="1041"/>
      <c r="N147" s="1139">
        <v>0</v>
      </c>
      <c r="O147" s="1119">
        <f>+SUMIFS('Anlage 2b_Korrekturen'!$D:$D,'Anlage 2b_Korrekturen'!$H:$H,'LV Testat'!$N$4,'Anlage 2b_Korrekturen'!$C:$C,'LV Testat'!$D147,'Anlage 2b_Korrekturen'!$A:$A,'LV Testat'!C147)</f>
        <v>0</v>
      </c>
      <c r="P147" s="1041"/>
    </row>
    <row r="148" spans="1:16" hidden="1" outlineLevel="1">
      <c r="A148" s="1136"/>
      <c r="C148" s="1137">
        <f t="shared" si="4"/>
        <v>2023</v>
      </c>
      <c r="D148" s="1141" t="s">
        <v>2501</v>
      </c>
      <c r="E148" s="1139"/>
      <c r="F148" s="1119">
        <f>+SUMIFS('Anlage 2b_Korrekturen'!$D:$D,'Anlage 2b_Korrekturen'!$H:$H,'LV Testat'!$E$4,'Anlage 2b_Korrekturen'!$C:$C,'LV Testat'!$D148,'Anlage 2b_Korrekturen'!$A:$A,'LV Testat'!C148)</f>
        <v>0</v>
      </c>
      <c r="H148" s="1139">
        <v>8951024</v>
      </c>
      <c r="I148" s="1119">
        <f>+SUMIFS('Anlage 2b_Korrekturen'!$D:$D,'Anlage 2b_Korrekturen'!$H:$H,'LV Testat'!$H$4,'Anlage 2b_Korrekturen'!$C:$C,'LV Testat'!$D148,'Anlage 2b_Korrekturen'!$A:$A,'LV Testat'!C148)</f>
        <v>0</v>
      </c>
      <c r="J148" s="1041"/>
      <c r="K148" s="1139">
        <v>0</v>
      </c>
      <c r="L148" s="1119">
        <f>+SUMIFS('Anlage 2b_Korrekturen'!$D:$D,'Anlage 2b_Korrekturen'!$H:$H,'LV Testat'!$K$4,'Anlage 2b_Korrekturen'!$C:$C,'LV Testat'!$D148,'Anlage 2b_Korrekturen'!$A:$A,'LV Testat'!C148)</f>
        <v>0</v>
      </c>
      <c r="M148" s="1041"/>
      <c r="N148" s="1139">
        <v>0</v>
      </c>
      <c r="O148" s="1119">
        <f>+SUMIFS('Anlage 2b_Korrekturen'!$D:$D,'Anlage 2b_Korrekturen'!$H:$H,'LV Testat'!$N$4,'Anlage 2b_Korrekturen'!$C:$C,'LV Testat'!$D148,'Anlage 2b_Korrekturen'!$A:$A,'LV Testat'!C148)</f>
        <v>0</v>
      </c>
      <c r="P148" s="1041"/>
    </row>
    <row r="149" spans="1:16" hidden="1" outlineLevel="1">
      <c r="A149" s="1136"/>
      <c r="C149" s="1137">
        <f t="shared" si="4"/>
        <v>2023</v>
      </c>
      <c r="D149" s="1138" t="s">
        <v>2409</v>
      </c>
      <c r="E149" s="1139">
        <v>578431</v>
      </c>
      <c r="F149" s="1119">
        <f>+SUMIFS('Anlage 2b_Korrekturen'!$D:$D,'Anlage 2b_Korrekturen'!$H:$H,'LV Testat'!$E$4,'Anlage 2b_Korrekturen'!$C:$C,'LV Testat'!$D149,'Anlage 2b_Korrekturen'!$A:$A,'LV Testat'!C149)</f>
        <v>578431</v>
      </c>
      <c r="H149" s="1139">
        <v>-10183894</v>
      </c>
      <c r="I149" s="1119">
        <f>+SUMIFS('Anlage 2b_Korrekturen'!$D:$D,'Anlage 2b_Korrekturen'!$H:$H,'LV Testat'!$H$4,'Anlage 2b_Korrekturen'!$C:$C,'LV Testat'!$D149,'Anlage 2b_Korrekturen'!$A:$A,'LV Testat'!C149)</f>
        <v>8951024</v>
      </c>
      <c r="J149" s="1041"/>
      <c r="K149" s="1139">
        <v>111130</v>
      </c>
      <c r="L149" s="1119">
        <f>+SUMIFS('Anlage 2b_Korrekturen'!$D:$D,'Anlage 2b_Korrekturen'!$H:$H,'LV Testat'!$K$4,'Anlage 2b_Korrekturen'!$C:$C,'LV Testat'!$D149,'Anlage 2b_Korrekturen'!$A:$A,'LV Testat'!C149)</f>
        <v>111130</v>
      </c>
      <c r="M149" s="1041"/>
      <c r="N149" s="1139">
        <v>-575613</v>
      </c>
      <c r="O149" s="1119">
        <f>+SUMIFS('Anlage 2b_Korrekturen'!$D:$D,'Anlage 2b_Korrekturen'!$H:$H,'LV Testat'!$N$4,'Anlage 2b_Korrekturen'!$C:$C,'LV Testat'!$D149,'Anlage 2b_Korrekturen'!$A:$A,'LV Testat'!C149)</f>
        <v>-575613</v>
      </c>
      <c r="P149" s="1041"/>
    </row>
    <row r="150" spans="1:16" hidden="1" outlineLevel="1">
      <c r="A150" s="1136"/>
      <c r="C150" s="1137">
        <f t="shared" si="4"/>
        <v>2023</v>
      </c>
      <c r="D150" s="1138" t="s">
        <v>2419</v>
      </c>
      <c r="E150" s="1139"/>
      <c r="F150" s="1119">
        <f>+SUMIFS('Anlage 2b_Korrekturen'!$D:$D,'Anlage 2b_Korrekturen'!$H:$H,'LV Testat'!$E$4,'Anlage 2b_Korrekturen'!$C:$C,'LV Testat'!$D150,'Anlage 2b_Korrekturen'!$A:$A,'LV Testat'!C150)</f>
        <v>0</v>
      </c>
      <c r="H150" s="1139"/>
      <c r="I150" s="1119">
        <f>+SUMIFS('Anlage 2b_Korrekturen'!$D:$D,'Anlage 2b_Korrekturen'!$H:$H,'LV Testat'!$H$4,'Anlage 2b_Korrekturen'!$C:$C,'LV Testat'!$D150,'Anlage 2b_Korrekturen'!$A:$A,'LV Testat'!C150)</f>
        <v>0</v>
      </c>
      <c r="J150" s="1041"/>
      <c r="K150" s="1139">
        <v>0</v>
      </c>
      <c r="L150" s="1119">
        <f>+SUMIFS('Anlage 2b_Korrekturen'!$D:$D,'Anlage 2b_Korrekturen'!$H:$H,'LV Testat'!$K$4,'Anlage 2b_Korrekturen'!$C:$C,'LV Testat'!$D150,'Anlage 2b_Korrekturen'!$A:$A,'LV Testat'!C150)</f>
        <v>0</v>
      </c>
      <c r="M150" s="1041"/>
      <c r="N150" s="1139">
        <v>0</v>
      </c>
      <c r="O150" s="1119">
        <f>+SUMIFS('Anlage 2b_Korrekturen'!$D:$D,'Anlage 2b_Korrekturen'!$H:$H,'LV Testat'!$N$4,'Anlage 2b_Korrekturen'!$C:$C,'LV Testat'!$D150,'Anlage 2b_Korrekturen'!$A:$A,'LV Testat'!C150)</f>
        <v>0</v>
      </c>
      <c r="P150" s="1041"/>
    </row>
    <row r="151" spans="1:16" hidden="1" outlineLevel="1">
      <c r="A151" s="1136"/>
      <c r="C151" s="1137">
        <f t="shared" si="4"/>
        <v>2023</v>
      </c>
      <c r="D151" s="1138" t="s">
        <v>2412</v>
      </c>
      <c r="E151" s="1139"/>
      <c r="F151" s="1119">
        <f>+SUMIFS('Anlage 2b_Korrekturen'!$D:$D,'Anlage 2b_Korrekturen'!$H:$H,'LV Testat'!$E$4,'Anlage 2b_Korrekturen'!$C:$C,'LV Testat'!$D151,'Anlage 2b_Korrekturen'!$A:$A,'LV Testat'!C151)</f>
        <v>0</v>
      </c>
      <c r="H151" s="1139"/>
      <c r="I151" s="1119">
        <f>+SUMIFS('Anlage 2b_Korrekturen'!$D:$D,'Anlage 2b_Korrekturen'!$H:$H,'LV Testat'!$H$4,'Anlage 2b_Korrekturen'!$C:$C,'LV Testat'!$D151,'Anlage 2b_Korrekturen'!$A:$A,'LV Testat'!C151)</f>
        <v>0</v>
      </c>
      <c r="J151" s="1041"/>
      <c r="K151" s="1139">
        <v>0</v>
      </c>
      <c r="L151" s="1119">
        <f>+SUMIFS('Anlage 2b_Korrekturen'!$D:$D,'Anlage 2b_Korrekturen'!$H:$H,'LV Testat'!$K$4,'Anlage 2b_Korrekturen'!$C:$C,'LV Testat'!$D151,'Anlage 2b_Korrekturen'!$A:$A,'LV Testat'!C151)</f>
        <v>0</v>
      </c>
      <c r="M151" s="1041"/>
      <c r="N151" s="1139">
        <v>0</v>
      </c>
      <c r="O151" s="1119">
        <f>+SUMIFS('Anlage 2b_Korrekturen'!$D:$D,'Anlage 2b_Korrekturen'!$H:$H,'LV Testat'!$N$4,'Anlage 2b_Korrekturen'!$C:$C,'LV Testat'!$D151,'Anlage 2b_Korrekturen'!$A:$A,'LV Testat'!C151)</f>
        <v>0</v>
      </c>
      <c r="P151" s="1041"/>
    </row>
    <row r="152" spans="1:16" hidden="1" outlineLevel="1">
      <c r="A152" s="1028"/>
      <c r="C152" s="1137">
        <f t="shared" si="4"/>
        <v>2023</v>
      </c>
      <c r="D152" s="1141" t="s">
        <v>2410</v>
      </c>
      <c r="E152" s="1139"/>
      <c r="F152" s="1119">
        <f>+SUMIFS('Anlage 2b_Korrekturen'!$D:$D,'Anlage 2b_Korrekturen'!$H:$H,'LV Testat'!$E$4,'Anlage 2b_Korrekturen'!$C:$C,'LV Testat'!$D152,'Anlage 2b_Korrekturen'!$A:$A,'LV Testat'!C152)</f>
        <v>0</v>
      </c>
      <c r="H152" s="1139"/>
      <c r="I152" s="1119">
        <f>+SUMIFS('Anlage 2b_Korrekturen'!$D:$D,'Anlage 2b_Korrekturen'!$H:$H,'LV Testat'!$H$4,'Anlage 2b_Korrekturen'!$C:$C,'LV Testat'!$D152,'Anlage 2b_Korrekturen'!$A:$A,'LV Testat'!C152)</f>
        <v>-10183894</v>
      </c>
      <c r="J152" s="1041"/>
      <c r="K152" s="1139">
        <v>-587482</v>
      </c>
      <c r="L152" s="1119">
        <f>+SUMIFS('Anlage 2b_Korrekturen'!$D:$D,'Anlage 2b_Korrekturen'!$H:$H,'LV Testat'!$K$4,'Anlage 2b_Korrekturen'!$C:$C,'LV Testat'!$D152,'Anlage 2b_Korrekturen'!$A:$A,'LV Testat'!C152)</f>
        <v>-587482</v>
      </c>
      <c r="M152" s="1041"/>
      <c r="N152" s="1139">
        <v>-306022</v>
      </c>
      <c r="O152" s="1119">
        <f>+SUMIFS('Anlage 2b_Korrekturen'!$D:$D,'Anlage 2b_Korrekturen'!$H:$H,'LV Testat'!$N$4,'Anlage 2b_Korrekturen'!$C:$C,'LV Testat'!$D152,'Anlage 2b_Korrekturen'!$A:$A,'LV Testat'!C152)</f>
        <v>-306022</v>
      </c>
      <c r="P152" s="1041"/>
    </row>
    <row r="153" spans="1:16" ht="12" hidden="1" outlineLevel="1" thickBot="1">
      <c r="A153" s="1143"/>
      <c r="B153" s="1091"/>
      <c r="C153" s="1137">
        <f t="shared" si="4"/>
        <v>2023</v>
      </c>
      <c r="D153" s="1144" t="s">
        <v>2503</v>
      </c>
      <c r="E153" s="1124">
        <f>+SUM(E145:E152)</f>
        <v>-206142187</v>
      </c>
      <c r="F153" s="1124">
        <f>+SUM(F145:F152)</f>
        <v>-206142187</v>
      </c>
      <c r="G153" s="1091"/>
      <c r="H153" s="1124">
        <f>+SUM(H145:H152)</f>
        <v>34679205</v>
      </c>
      <c r="I153" s="1124">
        <f>+SUM(I145:I152)</f>
        <v>34679205</v>
      </c>
      <c r="J153" s="1121"/>
      <c r="K153" s="1124">
        <f>+SUM(K145:K152)</f>
        <v>-140836378</v>
      </c>
      <c r="L153" s="1124">
        <f>+SUM(L145:L152)</f>
        <v>-140836378.18400002</v>
      </c>
      <c r="M153" s="1121"/>
      <c r="N153" s="1124">
        <f>+SUM(N145:N152)</f>
        <v>53121952</v>
      </c>
      <c r="O153" s="1124">
        <f>+SUM(O145:O152)</f>
        <v>53121952</v>
      </c>
      <c r="P153" s="1121"/>
    </row>
    <row r="154" spans="1:16" ht="12" collapsed="1" thickBot="1">
      <c r="A154" s="1013" t="s">
        <v>2504</v>
      </c>
      <c r="B154" s="1001"/>
      <c r="C154" s="1001"/>
      <c r="D154" s="1002"/>
      <c r="E154" s="1001"/>
      <c r="F154" s="1017" t="str">
        <f>+"Check Saldierungsbetrag NT "&amp;C162</f>
        <v>Check Saldierungsbetrag NT 2023</v>
      </c>
      <c r="G154" s="1018">
        <f>+SUM(E157:G159)-SUM(E162:G164)</f>
        <v>0</v>
      </c>
      <c r="H154" s="1000"/>
      <c r="I154" s="1017" t="str">
        <f>+"Check Saldierungsbetrag NT "&amp;C162</f>
        <v>Check Saldierungsbetrag NT 2023</v>
      </c>
      <c r="J154" s="1018">
        <f>+SUM(H157:J159)-SUM(H162:J164)</f>
        <v>0</v>
      </c>
      <c r="K154" s="1000"/>
      <c r="L154" s="1017" t="str">
        <f>+"Check Saldierungsbetrag NT "&amp;C162</f>
        <v>Check Saldierungsbetrag NT 2023</v>
      </c>
      <c r="M154" s="1018">
        <f>+SUM(K157:M159)-SUM(K162:M164)</f>
        <v>0</v>
      </c>
      <c r="N154" s="1000"/>
      <c r="O154" s="1017" t="str">
        <f>+"Check Saldierungsbetrag NT "&amp;C162</f>
        <v>Check Saldierungsbetrag NT 2023</v>
      </c>
      <c r="P154" s="1018">
        <f>+SUM(N157:P159)-SUM(N162:P164)</f>
        <v>0</v>
      </c>
    </row>
    <row r="155" spans="1:16" ht="12" hidden="1" outlineLevel="1" thickBot="1">
      <c r="A155" s="1028"/>
      <c r="D155" s="1041"/>
      <c r="E155" s="1012"/>
      <c r="G155" s="1041"/>
      <c r="H155" s="1028"/>
      <c r="J155" s="1041"/>
      <c r="K155" s="1028"/>
      <c r="M155" s="1041"/>
      <c r="N155" s="1028"/>
      <c r="P155" s="1041"/>
    </row>
    <row r="156" spans="1:16" ht="33.75" hidden="1" outlineLevel="1">
      <c r="A156" s="1028"/>
      <c r="D156" s="1030" t="s">
        <v>2506</v>
      </c>
      <c r="E156" s="1145" t="s">
        <v>2499</v>
      </c>
      <c r="F156" s="1146" t="s">
        <v>2507</v>
      </c>
      <c r="G156" s="1147" t="s">
        <v>2508</v>
      </c>
      <c r="H156" s="1148" t="s">
        <v>2499</v>
      </c>
      <c r="I156" s="1146" t="s">
        <v>2507</v>
      </c>
      <c r="J156" s="1147" t="s">
        <v>2508</v>
      </c>
      <c r="K156" s="1148" t="s">
        <v>2499</v>
      </c>
      <c r="L156" s="1146" t="s">
        <v>2507</v>
      </c>
      <c r="M156" s="1147" t="s">
        <v>2508</v>
      </c>
      <c r="N156" s="1148" t="s">
        <v>2499</v>
      </c>
      <c r="O156" s="1146" t="s">
        <v>2507</v>
      </c>
      <c r="P156" s="1147" t="s">
        <v>2508</v>
      </c>
    </row>
    <row r="157" spans="1:16" hidden="1" outlineLevel="1">
      <c r="A157" s="1028"/>
      <c r="D157" s="1050" t="s">
        <v>2411</v>
      </c>
      <c r="E157" s="1051">
        <v>749084</v>
      </c>
      <c r="F157" s="1101">
        <v>-2674.23</v>
      </c>
      <c r="G157" s="1102">
        <v>-4427.09</v>
      </c>
      <c r="H157" s="1070">
        <v>0</v>
      </c>
      <c r="I157" s="1067">
        <v>0</v>
      </c>
      <c r="J157" s="1068">
        <v>0</v>
      </c>
      <c r="K157" s="1070">
        <v>0</v>
      </c>
      <c r="L157" s="1067">
        <v>0</v>
      </c>
      <c r="M157" s="1068">
        <v>0</v>
      </c>
      <c r="N157" s="1070">
        <v>879743</v>
      </c>
      <c r="O157" s="1067">
        <v>-3140.6</v>
      </c>
      <c r="P157" s="1068">
        <v>-5199.1400000000003</v>
      </c>
    </row>
    <row r="158" spans="1:16" hidden="1" outlineLevel="1">
      <c r="A158" s="1028"/>
      <c r="D158" s="1050" t="s">
        <v>2375</v>
      </c>
      <c r="E158" s="1051"/>
      <c r="F158" s="1101"/>
      <c r="G158" s="1102"/>
      <c r="H158" s="1070">
        <v>0</v>
      </c>
      <c r="I158" s="1067">
        <v>0</v>
      </c>
      <c r="J158" s="1068">
        <v>0</v>
      </c>
      <c r="K158" s="1070">
        <v>0</v>
      </c>
      <c r="L158" s="1067">
        <v>0</v>
      </c>
      <c r="M158" s="1068">
        <v>0</v>
      </c>
      <c r="N158" s="1070">
        <v>0</v>
      </c>
      <c r="O158" s="1067">
        <v>0</v>
      </c>
      <c r="P158" s="1068">
        <v>0</v>
      </c>
    </row>
    <row r="159" spans="1:16" ht="12" hidden="1" outlineLevel="1" thickBot="1">
      <c r="A159" s="1028"/>
      <c r="D159" s="1050" t="s">
        <v>2431</v>
      </c>
      <c r="E159" s="1149"/>
      <c r="F159" s="1169"/>
      <c r="G159" s="1170"/>
      <c r="H159" s="1171">
        <v>0</v>
      </c>
      <c r="I159" s="1172">
        <v>0</v>
      </c>
      <c r="J159" s="1173">
        <v>0</v>
      </c>
      <c r="K159" s="1171">
        <v>0</v>
      </c>
      <c r="L159" s="1172">
        <v>0</v>
      </c>
      <c r="M159" s="1173">
        <v>0</v>
      </c>
      <c r="N159" s="1171">
        <v>0</v>
      </c>
      <c r="O159" s="1172">
        <v>0</v>
      </c>
      <c r="P159" s="1173">
        <v>0</v>
      </c>
    </row>
    <row r="160" spans="1:16" ht="12" hidden="1" outlineLevel="1" thickBot="1">
      <c r="A160" s="1028"/>
      <c r="D160" s="1041"/>
      <c r="F160" s="1847"/>
      <c r="G160" s="1848"/>
      <c r="H160" s="1028"/>
      <c r="I160" s="1012"/>
      <c r="J160" s="1122"/>
      <c r="K160" s="1028"/>
      <c r="L160" s="1012"/>
      <c r="M160" s="1122"/>
      <c r="N160" s="1028"/>
      <c r="O160" s="1012"/>
      <c r="P160" s="1122"/>
    </row>
    <row r="161" spans="1:16" ht="33.75" hidden="1" outlineLevel="1">
      <c r="A161" s="1028"/>
      <c r="D161" s="1099" t="s">
        <v>2506</v>
      </c>
      <c r="E161" s="1152" t="s">
        <v>2499</v>
      </c>
      <c r="F161" s="1153" t="s">
        <v>2507</v>
      </c>
      <c r="G161" s="1154" t="s">
        <v>2508</v>
      </c>
      <c r="H161" s="1148" t="s">
        <v>2499</v>
      </c>
      <c r="I161" s="1146" t="s">
        <v>2507</v>
      </c>
      <c r="J161" s="1147" t="s">
        <v>2508</v>
      </c>
      <c r="K161" s="1148" t="s">
        <v>2499</v>
      </c>
      <c r="L161" s="1146" t="s">
        <v>2507</v>
      </c>
      <c r="M161" s="1147" t="s">
        <v>2508</v>
      </c>
      <c r="N161" s="1148" t="s">
        <v>2499</v>
      </c>
      <c r="O161" s="1146" t="s">
        <v>2507</v>
      </c>
      <c r="P161" s="1147" t="s">
        <v>2508</v>
      </c>
    </row>
    <row r="162" spans="1:16" hidden="1" outlineLevel="1">
      <c r="A162" s="1028"/>
      <c r="C162" s="1137">
        <f>+A141</f>
        <v>2023</v>
      </c>
      <c r="D162" s="1050" t="s">
        <v>2411</v>
      </c>
      <c r="E162" s="1105">
        <f>+SUMIFS('Anlage 2b_Korrekturen'!$D:$D,'Anlage 2b_Korrekturen'!$H:$H,'LV Testat'!$E$4,'Anlage 2b_Korrekturen'!$C:$C,'LV Testat'!$D162,'Anlage 2b_Korrekturen'!$A:$A,C162)</f>
        <v>749084</v>
      </c>
      <c r="F162" s="1119">
        <f>+SUMIFS('Anlage 2b_Korrekturen'!$E:$E,'Anlage 2b_Korrekturen'!$H:$H,'LV Testat'!$E$4,'Anlage 2b_Korrekturen'!$C:$C,'LV Testat'!$D162,'Anlage 2b_Korrekturen'!$A:$A,C162)</f>
        <v>-2674.23</v>
      </c>
      <c r="G162" s="1123">
        <f>+SUMIFS('Anlage 2b_Korrekturen'!$F:$F,'Anlage 2b_Korrekturen'!$H:$H,'LV Testat'!$E$4,'Anlage 2b_Korrekturen'!$C:$C,'LV Testat'!$D162,'Anlage 2b_Korrekturen'!$A:$A,C162)</f>
        <v>-4427.09</v>
      </c>
      <c r="H162" s="1105">
        <f>+SUMIFS('Anlage 2b_Korrekturen'!$D:$D,'Anlage 2b_Korrekturen'!$H:$H,'LV Testat'!$H$4,'Anlage 2b_Korrekturen'!$C:$C,'LV Testat'!$D162,'Anlage 2b_Korrekturen'!$A:$A,C162)</f>
        <v>0</v>
      </c>
      <c r="I162" s="1119">
        <f>+SUMIFS('Anlage 2b_Korrekturen'!$E:$E,'Anlage 2b_Korrekturen'!$H:$H,'LV Testat'!$H$4,'Anlage 2b_Korrekturen'!$C:$C,'LV Testat'!$D162,'Anlage 2b_Korrekturen'!$A:$A,C162)</f>
        <v>0</v>
      </c>
      <c r="J162" s="1123">
        <f>+SUMIFS('Anlage 2b_Korrekturen'!$F:$F,'Anlage 2b_Korrekturen'!$H:$H,'LV Testat'!$H$4,'Anlage 2b_Korrekturen'!$C:$C,'LV Testat'!$D162,'Anlage 2b_Korrekturen'!$A:$A,C162)</f>
        <v>0</v>
      </c>
      <c r="K162" s="1105">
        <f>+SUMIFS('Anlage 2b_Korrekturen'!$D:$D,'Anlage 2b_Korrekturen'!$H:$H,'LV Testat'!$K$4,'Anlage 2b_Korrekturen'!$C:$C,'LV Testat'!$D162,'Anlage 2b_Korrekturen'!$A:$A,C162)</f>
        <v>0</v>
      </c>
      <c r="L162" s="1119">
        <f>+SUMIFS('Anlage 2b_Korrekturen'!$E:$E,'Anlage 2b_Korrekturen'!$H:$H,'LV Testat'!$K$4,'Anlage 2b_Korrekturen'!$C:$C,'LV Testat'!$D162,'Anlage 2b_Korrekturen'!$A:$A,C162)</f>
        <v>0</v>
      </c>
      <c r="M162" s="1123">
        <f>+SUMIFS('Anlage 2b_Korrekturen'!$F:$F,'Anlage 2b_Korrekturen'!$H:$H,'LV Testat'!$K$4,'Anlage 2b_Korrekturen'!$C:$C,'LV Testat'!$D162,'Anlage 2b_Korrekturen'!$A:$A,C162)</f>
        <v>0</v>
      </c>
      <c r="N162" s="1105">
        <f>+SUMIFS('Anlage 2b_Korrekturen'!$D:$D,'Anlage 2b_Korrekturen'!$H:$H,'LV Testat'!$N$4,'Anlage 2b_Korrekturen'!$C:$C,'LV Testat'!$D162,'Anlage 2b_Korrekturen'!$A:$A,C162)</f>
        <v>879743</v>
      </c>
      <c r="O162" s="1119">
        <f>+SUMIFS('Anlage 2b_Korrekturen'!$E:$E,'Anlage 2b_Korrekturen'!$H:$H,'LV Testat'!$N$4,'Anlage 2b_Korrekturen'!$C:$C,'LV Testat'!$D162,'Anlage 2b_Korrekturen'!$A:$A,C162)</f>
        <v>-3140.6</v>
      </c>
      <c r="P162" s="1123">
        <f>+SUMIFS('Anlage 2b_Korrekturen'!$F:$F,'Anlage 2b_Korrekturen'!$H:$H,'LV Testat'!$N$4,'Anlage 2b_Korrekturen'!$C:$C,'LV Testat'!$D162,'Anlage 2b_Korrekturen'!$A:$A,C162)</f>
        <v>-5199.1400000000003</v>
      </c>
    </row>
    <row r="163" spans="1:16" hidden="1" outlineLevel="1">
      <c r="A163" s="1028"/>
      <c r="C163" s="1137">
        <f>+C162</f>
        <v>2023</v>
      </c>
      <c r="D163" s="1050" t="s">
        <v>2375</v>
      </c>
      <c r="E163" s="1105">
        <f>+SUMIFS('Anlage 2b_Korrekturen'!$D:$D,'Anlage 2b_Korrekturen'!$H:$H,'LV Testat'!$E$4,'Anlage 2b_Korrekturen'!$C:$C,'LV Testat'!$D163,'Anlage 2b_Korrekturen'!$A:$A,C163)</f>
        <v>0</v>
      </c>
      <c r="F163" s="1119">
        <f>+SUMIFS('Anlage 2b_Korrekturen'!$E:$E,'Anlage 2b_Korrekturen'!$H:$H,'LV Testat'!$E$4,'Anlage 2b_Korrekturen'!$C:$C,'LV Testat'!$D163,'Anlage 2b_Korrekturen'!$A:$A,C163)</f>
        <v>0</v>
      </c>
      <c r="G163" s="1123">
        <f>+SUMIFS('Anlage 2b_Korrekturen'!$F:$F,'Anlage 2b_Korrekturen'!$H:$H,'LV Testat'!$E$4,'Anlage 2b_Korrekturen'!$C:$C,'LV Testat'!$D163,'Anlage 2b_Korrekturen'!$A:$A,C163)</f>
        <v>0</v>
      </c>
      <c r="H163" s="1105">
        <f>+SUMIFS('Anlage 2b_Korrekturen'!$D:$D,'Anlage 2b_Korrekturen'!$H:$H,'LV Testat'!$H$4,'Anlage 2b_Korrekturen'!$C:$C,'LV Testat'!$D163,'Anlage 2b_Korrekturen'!$A:$A,C163)</f>
        <v>0</v>
      </c>
      <c r="I163" s="1119">
        <f>+SUMIFS('Anlage 2b_Korrekturen'!$E:$E,'Anlage 2b_Korrekturen'!$H:$H,'LV Testat'!$H$4,'Anlage 2b_Korrekturen'!$C:$C,'LV Testat'!$D163,'Anlage 2b_Korrekturen'!$A:$A,C163)</f>
        <v>0</v>
      </c>
      <c r="J163" s="1123">
        <f>+SUMIFS('Anlage 2b_Korrekturen'!$F:$F,'Anlage 2b_Korrekturen'!$H:$H,'LV Testat'!$H$4,'Anlage 2b_Korrekturen'!$C:$C,'LV Testat'!$D163,'Anlage 2b_Korrekturen'!$A:$A,C163)</f>
        <v>0</v>
      </c>
      <c r="K163" s="1105">
        <f>+SUMIFS('Anlage 2b_Korrekturen'!$D:$D,'Anlage 2b_Korrekturen'!$H:$H,'LV Testat'!$K$4,'Anlage 2b_Korrekturen'!$C:$C,'LV Testat'!$D163,'Anlage 2b_Korrekturen'!$A:$A,C163)</f>
        <v>0</v>
      </c>
      <c r="L163" s="1119">
        <f>+SUMIFS('Anlage 2b_Korrekturen'!$E:$E,'Anlage 2b_Korrekturen'!$H:$H,'LV Testat'!$K$4,'Anlage 2b_Korrekturen'!$C:$C,'LV Testat'!$D163,'Anlage 2b_Korrekturen'!$A:$A,C163)</f>
        <v>0</v>
      </c>
      <c r="M163" s="1123">
        <f>+SUMIFS('Anlage 2b_Korrekturen'!$F:$F,'Anlage 2b_Korrekturen'!$H:$H,'LV Testat'!$K$4,'Anlage 2b_Korrekturen'!$C:$C,'LV Testat'!$D163,'Anlage 2b_Korrekturen'!$A:$A,C163)</f>
        <v>0</v>
      </c>
      <c r="N163" s="1105">
        <f>+SUMIFS('Anlage 2b_Korrekturen'!$D:$D,'Anlage 2b_Korrekturen'!$H:$H,'LV Testat'!$N$4,'Anlage 2b_Korrekturen'!$C:$C,'LV Testat'!$D163,'Anlage 2b_Korrekturen'!$A:$A,C163)</f>
        <v>0</v>
      </c>
      <c r="O163" s="1119">
        <f>+SUMIFS('Anlage 2b_Korrekturen'!$E:$E,'Anlage 2b_Korrekturen'!$H:$H,'LV Testat'!$N$4,'Anlage 2b_Korrekturen'!$C:$C,'LV Testat'!$D163,'Anlage 2b_Korrekturen'!$A:$A,C163)</f>
        <v>0</v>
      </c>
      <c r="P163" s="1123">
        <f>+SUMIFS('Anlage 2b_Korrekturen'!$F:$F,'Anlage 2b_Korrekturen'!$H:$H,'LV Testat'!$N$4,'Anlage 2b_Korrekturen'!$C:$C,'LV Testat'!$D163,'Anlage 2b_Korrekturen'!$A:$A,C163)</f>
        <v>0</v>
      </c>
    </row>
    <row r="164" spans="1:16" ht="12" hidden="1" outlineLevel="1" thickBot="1">
      <c r="A164" s="1090"/>
      <c r="B164" s="1091"/>
      <c r="C164" s="1137">
        <f>+C163</f>
        <v>2023</v>
      </c>
      <c r="D164" s="1062" t="s">
        <v>2431</v>
      </c>
      <c r="E164" s="1105">
        <f>+SUMIFS('Anlage 2b_Korrekturen'!$D:$D,'Anlage 2b_Korrekturen'!$H:$H,'LV Testat'!$E$4,'Anlage 2b_Korrekturen'!$C:$C,'LV Testat'!$D164,'Anlage 2b_Korrekturen'!$A:$A,C164)</f>
        <v>0</v>
      </c>
      <c r="F164" s="1119">
        <f>+SUMIFS('Anlage 2b_Korrekturen'!$E:$E,'Anlage 2b_Korrekturen'!$H:$H,'LV Testat'!$E$4,'Anlage 2b_Korrekturen'!$C:$C,'LV Testat'!$D164,'Anlage 2b_Korrekturen'!$A:$A,C164)</f>
        <v>0</v>
      </c>
      <c r="G164" s="1123">
        <f>+SUMIFS('Anlage 2b_Korrekturen'!$F:$F,'Anlage 2b_Korrekturen'!$H:$H,'LV Testat'!$E$4,'Anlage 2b_Korrekturen'!$C:$C,'LV Testat'!$D164,'Anlage 2b_Korrekturen'!$A:$A,C164)</f>
        <v>0</v>
      </c>
      <c r="H164" s="1105">
        <f>+SUMIFS('Anlage 2b_Korrekturen'!$D:$D,'Anlage 2b_Korrekturen'!$H:$H,'LV Testat'!$H$4,'Anlage 2b_Korrekturen'!$C:$C,'LV Testat'!$D164,'Anlage 2b_Korrekturen'!$A:$A,C164)</f>
        <v>0</v>
      </c>
      <c r="I164" s="1119">
        <f>+SUMIFS('Anlage 2b_Korrekturen'!$E:$E,'Anlage 2b_Korrekturen'!$H:$H,'LV Testat'!$H$4,'Anlage 2b_Korrekturen'!$C:$C,'LV Testat'!$D164,'Anlage 2b_Korrekturen'!$A:$A,C164)</f>
        <v>0</v>
      </c>
      <c r="J164" s="1123">
        <f>+SUMIFS('Anlage 2b_Korrekturen'!$F:$F,'Anlage 2b_Korrekturen'!$H:$H,'LV Testat'!$H$4,'Anlage 2b_Korrekturen'!$C:$C,'LV Testat'!$D164,'Anlage 2b_Korrekturen'!$A:$A,C164)</f>
        <v>0</v>
      </c>
      <c r="K164" s="1105">
        <f>+SUMIFS('Anlage 2b_Korrekturen'!$D:$D,'Anlage 2b_Korrekturen'!$H:$H,'LV Testat'!$K$4,'Anlage 2b_Korrekturen'!$C:$C,'LV Testat'!$D164,'Anlage 2b_Korrekturen'!$A:$A,C164)</f>
        <v>0</v>
      </c>
      <c r="L164" s="1119">
        <f>+SUMIFS('Anlage 2b_Korrekturen'!$E:$E,'Anlage 2b_Korrekturen'!$H:$H,'LV Testat'!$K$4,'Anlage 2b_Korrekturen'!$C:$C,'LV Testat'!$D164,'Anlage 2b_Korrekturen'!$A:$A,C164)</f>
        <v>0</v>
      </c>
      <c r="M164" s="1123">
        <f>+SUMIFS('Anlage 2b_Korrekturen'!$F:$F,'Anlage 2b_Korrekturen'!$H:$H,'LV Testat'!$K$4,'Anlage 2b_Korrekturen'!$C:$C,'LV Testat'!$D164,'Anlage 2b_Korrekturen'!$A:$A,C164)</f>
        <v>0</v>
      </c>
      <c r="N164" s="1105">
        <f>+SUMIFS('Anlage 2b_Korrekturen'!$D:$D,'Anlage 2b_Korrekturen'!$H:$H,'LV Testat'!$N$4,'Anlage 2b_Korrekturen'!$C:$C,'LV Testat'!$D164,'Anlage 2b_Korrekturen'!$A:$A,C164)</f>
        <v>0</v>
      </c>
      <c r="O164" s="1119">
        <f>+SUMIFS('Anlage 2b_Korrekturen'!$E:$E,'Anlage 2b_Korrekturen'!$H:$H,'LV Testat'!$N$4,'Anlage 2b_Korrekturen'!$C:$C,'LV Testat'!$D164,'Anlage 2b_Korrekturen'!$A:$A,C164)</f>
        <v>0</v>
      </c>
      <c r="P164" s="1123">
        <f>+SUMIFS('Anlage 2b_Korrekturen'!$F:$F,'Anlage 2b_Korrekturen'!$H:$H,'LV Testat'!$N$4,'Anlage 2b_Korrekturen'!$C:$C,'LV Testat'!$D164,'Anlage 2b_Korrekturen'!$A:$A,C164)</f>
        <v>0</v>
      </c>
    </row>
    <row r="165" spans="1:16" ht="12" collapsed="1" thickBot="1">
      <c r="A165" s="1013" t="s">
        <v>2535</v>
      </c>
      <c r="B165" s="1001"/>
      <c r="C165" s="1001"/>
      <c r="D165" s="1002"/>
      <c r="E165" s="1001"/>
      <c r="F165" s="1017" t="str">
        <f>+"Check Verstoß VNB NT "&amp;C172</f>
        <v>Check Verstoß VNB NT 2023</v>
      </c>
      <c r="G165" s="1018">
        <f>+SUM(E172:G173)-SUM(E168:G169)</f>
        <v>0</v>
      </c>
      <c r="H165" s="1000"/>
      <c r="I165" s="1017" t="str">
        <f>+"Check Verstoß VNB NT "&amp;C172</f>
        <v>Check Verstoß VNB NT 2023</v>
      </c>
      <c r="J165" s="1018">
        <f>+SUM(H168:J169)-SUM(H172:J173)</f>
        <v>0</v>
      </c>
      <c r="K165" s="1000"/>
      <c r="L165" s="1017" t="str">
        <f>+"Check Verstoß VNB NT "&amp;C172</f>
        <v>Check Verstoß VNB NT 2023</v>
      </c>
      <c r="M165" s="1018">
        <f>+SUM(K168:M169)-SUM(K172:M173)</f>
        <v>0</v>
      </c>
      <c r="N165" s="1000"/>
      <c r="O165" s="1017" t="str">
        <f>+"Check Verstoß VNB NT "&amp;C172</f>
        <v>Check Verstoß VNB NT 2023</v>
      </c>
      <c r="P165" s="1018">
        <f>+SUM(N168:P169)-SUM(N172:P173)</f>
        <v>0</v>
      </c>
    </row>
    <row r="166" spans="1:16" ht="12" hidden="1" outlineLevel="1" thickBot="1">
      <c r="A166" s="1028"/>
      <c r="D166" s="1041"/>
      <c r="G166" s="1041"/>
      <c r="H166" s="1028"/>
      <c r="J166" s="1041"/>
      <c r="K166" s="1028"/>
      <c r="M166" s="1041"/>
      <c r="N166" s="1028"/>
      <c r="P166" s="1041"/>
    </row>
    <row r="167" spans="1:16" ht="33.75" hidden="1" outlineLevel="1">
      <c r="A167" s="1028"/>
      <c r="D167" s="1099" t="s">
        <v>2511</v>
      </c>
      <c r="E167" s="1155" t="s">
        <v>2512</v>
      </c>
      <c r="F167" s="1146" t="s">
        <v>2507</v>
      </c>
      <c r="G167" s="1147" t="s">
        <v>2508</v>
      </c>
      <c r="H167" s="1156" t="s">
        <v>2512</v>
      </c>
      <c r="I167" s="1146" t="s">
        <v>2507</v>
      </c>
      <c r="J167" s="1147" t="s">
        <v>2508</v>
      </c>
      <c r="K167" s="1156" t="s">
        <v>2512</v>
      </c>
      <c r="L167" s="1146" t="s">
        <v>2507</v>
      </c>
      <c r="M167" s="1147" t="s">
        <v>2508</v>
      </c>
      <c r="N167" s="1156" t="s">
        <v>2512</v>
      </c>
      <c r="O167" s="1146" t="s">
        <v>2507</v>
      </c>
      <c r="P167" s="1147" t="s">
        <v>2508</v>
      </c>
    </row>
    <row r="168" spans="1:16" hidden="1" outlineLevel="1">
      <c r="A168" s="1028"/>
      <c r="D168" s="1066" t="s">
        <v>2513</v>
      </c>
      <c r="E168" s="1100"/>
      <c r="F168" s="1101"/>
      <c r="G168" s="1102"/>
      <c r="H168" s="1069">
        <v>0</v>
      </c>
      <c r="I168" s="1067">
        <v>0</v>
      </c>
      <c r="J168" s="1068">
        <v>0</v>
      </c>
      <c r="K168" s="1069">
        <v>0</v>
      </c>
      <c r="L168" s="1067">
        <v>0</v>
      </c>
      <c r="M168" s="1068">
        <v>0</v>
      </c>
      <c r="N168" s="1069">
        <v>0</v>
      </c>
      <c r="O168" s="1067">
        <v>0</v>
      </c>
      <c r="P168" s="1068">
        <v>0</v>
      </c>
    </row>
    <row r="169" spans="1:16" ht="12" hidden="1" outlineLevel="1" thickBot="1">
      <c r="A169" s="1028"/>
      <c r="D169" s="1066" t="s">
        <v>2514</v>
      </c>
      <c r="E169" s="1149"/>
      <c r="F169" s="1169"/>
      <c r="G169" s="1170"/>
      <c r="H169" s="1171">
        <v>0</v>
      </c>
      <c r="I169" s="1172">
        <v>0</v>
      </c>
      <c r="J169" s="1173">
        <v>0</v>
      </c>
      <c r="K169" s="1171">
        <v>0</v>
      </c>
      <c r="L169" s="1172">
        <v>0</v>
      </c>
      <c r="M169" s="1173">
        <v>0</v>
      </c>
      <c r="N169" s="1171">
        <v>0</v>
      </c>
      <c r="O169" s="1172">
        <v>0</v>
      </c>
      <c r="P169" s="1173">
        <v>0</v>
      </c>
    </row>
    <row r="170" spans="1:16" ht="12" hidden="1" outlineLevel="1" thickBot="1">
      <c r="A170" s="1028"/>
      <c r="D170" s="1041"/>
      <c r="G170" s="1041"/>
      <c r="H170" s="1028"/>
      <c r="J170" s="1041"/>
      <c r="K170" s="1028"/>
      <c r="M170" s="1041"/>
      <c r="N170" s="1028"/>
      <c r="P170" s="1041"/>
    </row>
    <row r="171" spans="1:16" ht="33.75" hidden="1" outlineLevel="1">
      <c r="A171" s="1028"/>
      <c r="D171" s="1099" t="s">
        <v>2511</v>
      </c>
      <c r="E171" s="1155" t="s">
        <v>2512</v>
      </c>
      <c r="F171" s="1146" t="s">
        <v>2507</v>
      </c>
      <c r="G171" s="1147" t="s">
        <v>2508</v>
      </c>
      <c r="H171" s="1156" t="s">
        <v>2512</v>
      </c>
      <c r="I171" s="1146" t="s">
        <v>2507</v>
      </c>
      <c r="J171" s="1147" t="s">
        <v>2508</v>
      </c>
      <c r="K171" s="1156" t="s">
        <v>2512</v>
      </c>
      <c r="L171" s="1146" t="s">
        <v>2507</v>
      </c>
      <c r="M171" s="1147" t="s">
        <v>2508</v>
      </c>
      <c r="N171" s="1156" t="s">
        <v>2512</v>
      </c>
      <c r="O171" s="1146" t="s">
        <v>2507</v>
      </c>
      <c r="P171" s="1147" t="s">
        <v>2508</v>
      </c>
    </row>
    <row r="172" spans="1:16" hidden="1" outlineLevel="1">
      <c r="A172" s="1028"/>
      <c r="B172" s="1071"/>
      <c r="C172" s="1137">
        <f>+A141</f>
        <v>2023</v>
      </c>
      <c r="D172" s="1066" t="s">
        <v>2513</v>
      </c>
      <c r="E172" s="1105">
        <f>+SUMIFS('Anlage 2b_Korrekturen'!$D:$D,'Anlage 2b_Korrekturen'!$H:$H,'LV Testat'!$E$4,'Anlage 2b_Korrekturen'!$C:$C,'LV Testat'!$D172,'Anlage 2b_Korrekturen'!$A:$A,C172)</f>
        <v>0</v>
      </c>
      <c r="F172" s="1119">
        <f>+SUMIFS('Anlage 2b_Korrekturen'!$E:$E,'Anlage 2b_Korrekturen'!$H:$H,'LV Testat'!$E$4,'Anlage 2b_Korrekturen'!$C:$C,'LV Testat'!$D172,'Anlage 2b_Korrekturen'!$A:$A,C172)</f>
        <v>0</v>
      </c>
      <c r="G172" s="1123">
        <f>+SUMIFS('Anlage 2b_Korrekturen'!$F:$F,'Anlage 2b_Korrekturen'!$H:$H,'LV Testat'!$E$4,'Anlage 2b_Korrekturen'!$C:$C,'LV Testat'!$D172,'Anlage 2b_Korrekturen'!$A:$A,C172)</f>
        <v>0</v>
      </c>
      <c r="H172" s="1105">
        <f>+SUMIFS('Anlage 2b_Korrekturen'!$D:$D,'Anlage 2b_Korrekturen'!$H:$H,'LV Testat'!$H$4,'Anlage 2b_Korrekturen'!$C:$C,'LV Testat'!$D172,'Anlage 2b_Korrekturen'!$A:$A,B172)</f>
        <v>0</v>
      </c>
      <c r="I172" s="1119">
        <f>+SUMIFS('Anlage 2b_Korrekturen'!$E:$E,'Anlage 2b_Korrekturen'!$H:$H,'LV Testat'!$H$4,'Anlage 2b_Korrekturen'!$C:$C,'LV Testat'!$D172,'Anlage 2b_Korrekturen'!$A:$A,C172)</f>
        <v>0</v>
      </c>
      <c r="J172" s="1123">
        <f>+SUMIFS('Anlage 2b_Korrekturen'!$F:$F,'Anlage 2b_Korrekturen'!$H:$H,'LV Testat'!$H$4,'Anlage 2b_Korrekturen'!$C:$C,'LV Testat'!$D172,'Anlage 2b_Korrekturen'!$A:$A,C172)</f>
        <v>0</v>
      </c>
      <c r="K172" s="1105">
        <f>+SUMIFS('Anlage 2b_Korrekturen'!$D:$D,'Anlage 2b_Korrekturen'!$H:$H,'LV Testat'!$K$4,'Anlage 2b_Korrekturen'!$C:$C,'LV Testat'!$D172,'Anlage 2b_Korrekturen'!$A:$A,C172)</f>
        <v>0</v>
      </c>
      <c r="L172" s="1119">
        <f>+SUMIFS('Anlage 2b_Korrekturen'!$E:$E,'Anlage 2b_Korrekturen'!$H:$H,'LV Testat'!$K$4,'Anlage 2b_Korrekturen'!$C:$C,'LV Testat'!$D172,'Anlage 2b_Korrekturen'!$A:$A,C172)</f>
        <v>0</v>
      </c>
      <c r="M172" s="1123">
        <f>+SUMIFS('Anlage 2b_Korrekturen'!$F:$F,'Anlage 2b_Korrekturen'!$H:$H,'LV Testat'!$K$4,'Anlage 2b_Korrekturen'!$C:$C,'LV Testat'!$D172,'Anlage 2b_Korrekturen'!$A:$A,C172)</f>
        <v>0</v>
      </c>
      <c r="N172" s="1105">
        <f>+SUMIFS('Anlage 2b_Korrekturen'!$D:$D,'Anlage 2b_Korrekturen'!$H:$H,'LV Testat'!$N$4,'Anlage 2b_Korrekturen'!$C:$C,'LV Testat'!$D172,'Anlage 2b_Korrekturen'!$A:$A,C172)</f>
        <v>0</v>
      </c>
      <c r="O172" s="1119">
        <f>+SUMIFS('Anlage 2b_Korrekturen'!$E:$E,'Anlage 2b_Korrekturen'!$H:$H,'LV Testat'!$N$4,'Anlage 2b_Korrekturen'!$C:$C,'LV Testat'!$D172,'Anlage 2b_Korrekturen'!$A:$A,C172)</f>
        <v>0</v>
      </c>
      <c r="P172" s="1123">
        <f>+SUMIFS('Anlage 2b_Korrekturen'!$F:$F,'Anlage 2b_Korrekturen'!$H:$H,'LV Testat'!$N$4,'Anlage 2b_Korrekturen'!$C:$C,'LV Testat'!$D172,'Anlage 2b_Korrekturen'!$A:$A,C172)</f>
        <v>0</v>
      </c>
    </row>
    <row r="173" spans="1:16" ht="12" hidden="1" outlineLevel="1" thickBot="1">
      <c r="A173" s="1090"/>
      <c r="B173" s="1092"/>
      <c r="C173" s="1137">
        <f>+C172</f>
        <v>2023</v>
      </c>
      <c r="D173" s="1158" t="s">
        <v>2514</v>
      </c>
      <c r="E173" s="1105">
        <f>+SUMIFS('Anlage 2b_Korrekturen'!$D:$D,'Anlage 2b_Korrekturen'!$H:$H,'LV Testat'!$E$4,'Anlage 2b_Korrekturen'!$C:$C,'LV Testat'!$D173,'Anlage 2b_Korrekturen'!$A:$A,C173)</f>
        <v>0</v>
      </c>
      <c r="F173" s="1119">
        <f>+SUMIFS('Anlage 2b_Korrekturen'!$E:$E,'Anlage 2b_Korrekturen'!$H:$H,'LV Testat'!$E$4,'Anlage 2b_Korrekturen'!$C:$C,'LV Testat'!$D173,'Anlage 2b_Korrekturen'!$A:$A,C173)</f>
        <v>0</v>
      </c>
      <c r="G173" s="1123">
        <f>+SUMIFS('Anlage 2b_Korrekturen'!$F:$F,'Anlage 2b_Korrekturen'!$H:$H,'LV Testat'!$E$4,'Anlage 2b_Korrekturen'!$C:$C,'LV Testat'!$D173,'Anlage 2b_Korrekturen'!$A:$A,C173)</f>
        <v>0</v>
      </c>
      <c r="H173" s="1105">
        <f>+SUMIFS('Anlage 2b_Korrekturen'!$D:$D,'Anlage 2b_Korrekturen'!$H:$H,'LV Testat'!$H$4,'Anlage 2b_Korrekturen'!$C:$C,'LV Testat'!$D173,'Anlage 2b_Korrekturen'!$A:$A,B173)</f>
        <v>0</v>
      </c>
      <c r="I173" s="1119">
        <f>+SUMIFS('Anlage 2b_Korrekturen'!$E:$E,'Anlage 2b_Korrekturen'!$H:$H,'LV Testat'!$H$4,'Anlage 2b_Korrekturen'!$C:$C,'LV Testat'!$D173,'Anlage 2b_Korrekturen'!$A:$A,C173)</f>
        <v>0</v>
      </c>
      <c r="J173" s="1123">
        <f>+SUMIFS('Anlage 2b_Korrekturen'!$F:$F,'Anlage 2b_Korrekturen'!$H:$H,'LV Testat'!$H$4,'Anlage 2b_Korrekturen'!$C:$C,'LV Testat'!$D173,'Anlage 2b_Korrekturen'!$A:$A,C173)</f>
        <v>0</v>
      </c>
      <c r="K173" s="1105">
        <f>+SUMIFS('Anlage 2b_Korrekturen'!$D:$D,'Anlage 2b_Korrekturen'!$H:$H,'LV Testat'!$K$4,'Anlage 2b_Korrekturen'!$C:$C,'LV Testat'!$D173,'Anlage 2b_Korrekturen'!$A:$A,C173)</f>
        <v>0</v>
      </c>
      <c r="L173" s="1119">
        <f>+SUMIFS('Anlage 2b_Korrekturen'!$E:$E,'Anlage 2b_Korrekturen'!$H:$H,'LV Testat'!$K$4,'Anlage 2b_Korrekturen'!$C:$C,'LV Testat'!$D173,'Anlage 2b_Korrekturen'!$A:$A,C173)</f>
        <v>0</v>
      </c>
      <c r="M173" s="1123">
        <f>+SUMIFS('Anlage 2b_Korrekturen'!$F:$F,'Anlage 2b_Korrekturen'!$H:$H,'LV Testat'!$K$4,'Anlage 2b_Korrekturen'!$C:$C,'LV Testat'!$D173,'Anlage 2b_Korrekturen'!$A:$A,C173)</f>
        <v>0</v>
      </c>
      <c r="N173" s="1105">
        <f>+SUMIFS('Anlage 2b_Korrekturen'!$D:$D,'Anlage 2b_Korrekturen'!$H:$H,'LV Testat'!$N$4,'Anlage 2b_Korrekturen'!$C:$C,'LV Testat'!$D173,'Anlage 2b_Korrekturen'!$A:$A,C173)</f>
        <v>0</v>
      </c>
      <c r="O173" s="1119">
        <f>+SUMIFS('Anlage 2b_Korrekturen'!$E:$E,'Anlage 2b_Korrekturen'!$H:$H,'LV Testat'!$N$4,'Anlage 2b_Korrekturen'!$C:$C,'LV Testat'!$D173,'Anlage 2b_Korrekturen'!$A:$A,C173)</f>
        <v>0</v>
      </c>
      <c r="P173" s="1123">
        <f>+SUMIFS('Anlage 2b_Korrekturen'!$F:$F,'Anlage 2b_Korrekturen'!$H:$H,'LV Testat'!$N$4,'Anlage 2b_Korrekturen'!$C:$C,'LV Testat'!$D173,'Anlage 2b_Korrekturen'!$A:$A,C173)</f>
        <v>0</v>
      </c>
    </row>
    <row r="174" spans="1:16" ht="12" collapsed="1" thickBot="1">
      <c r="A174" s="1013" t="s">
        <v>2515</v>
      </c>
      <c r="B174" s="1001"/>
      <c r="C174" s="1001"/>
      <c r="D174" s="1002"/>
      <c r="E174" s="1001"/>
      <c r="F174" s="1017" t="str">
        <f>+"Check SV BesAR NT "&amp;A177</f>
        <v>Check SV BesAR NT 2023</v>
      </c>
      <c r="G174" s="1018">
        <f>+SUM(F177:F179)-SUM(E177:E179)</f>
        <v>0</v>
      </c>
      <c r="H174" s="1000"/>
      <c r="I174" s="1017" t="str">
        <f>+"Check SV BesAR NT "&amp;A177</f>
        <v>Check SV BesAR NT 2023</v>
      </c>
      <c r="J174" s="1018">
        <f>+SUM(I177:I179)-SUM(H177:H179)</f>
        <v>0</v>
      </c>
      <c r="K174" s="1000"/>
      <c r="L174" s="1017" t="str">
        <f>+"Check SV BesAR NT "&amp;A177</f>
        <v>Check SV BesAR NT 2023</v>
      </c>
      <c r="M174" s="1018">
        <f>+SUM(L177:L179)-SUM(K177:K179)</f>
        <v>0</v>
      </c>
      <c r="N174" s="1000"/>
      <c r="O174" s="1017" t="str">
        <f>+"Check SV BesAR NT "&amp;A177</f>
        <v>Check SV BesAR NT 2023</v>
      </c>
      <c r="P174" s="1018">
        <f>+SUM(O177:O179)-SUM(N177:N179)</f>
        <v>0</v>
      </c>
    </row>
    <row r="175" spans="1:16" ht="12" hidden="1" outlineLevel="1" thickBot="1">
      <c r="A175" s="1028"/>
      <c r="D175" s="1041"/>
      <c r="G175" s="1081"/>
      <c r="H175" s="1028"/>
      <c r="J175" s="1081"/>
      <c r="K175" s="1028"/>
      <c r="M175" s="1081"/>
      <c r="N175" s="1028"/>
      <c r="P175" s="1081"/>
    </row>
    <row r="176" spans="1:16" hidden="1" outlineLevel="1">
      <c r="A176" s="1028"/>
      <c r="D176" s="1041"/>
      <c r="E176" s="1159" t="s">
        <v>2517</v>
      </c>
      <c r="F176" s="1160" t="s">
        <v>2517</v>
      </c>
      <c r="G176" s="1081"/>
      <c r="H176" s="1161" t="s">
        <v>2517</v>
      </c>
      <c r="I176" s="1160" t="s">
        <v>2517</v>
      </c>
      <c r="J176" s="1081"/>
      <c r="K176" s="1161" t="s">
        <v>2517</v>
      </c>
      <c r="L176" s="1160" t="s">
        <v>2517</v>
      </c>
      <c r="M176" s="1081"/>
      <c r="N176" s="1161"/>
      <c r="O176" s="1160" t="s">
        <v>2517</v>
      </c>
      <c r="P176" s="1081"/>
    </row>
    <row r="177" spans="1:16" ht="15" hidden="1" customHeight="1" outlineLevel="1">
      <c r="A177" s="1137">
        <f>+A141</f>
        <v>2023</v>
      </c>
      <c r="C177" s="1071">
        <v>2</v>
      </c>
      <c r="D177" s="1050" t="s">
        <v>2518</v>
      </c>
      <c r="E177" s="1100">
        <v>-12634275</v>
      </c>
      <c r="F177" s="1162">
        <f>+SUMIFS('Anlage 2b_Korrekturen'!$D:$D,'Anlage 2b_Korrekturen'!$A:$A,A177,'Anlage 2b_Korrekturen'!$H:$H,'LV Testat'!$E$4,'Anlage 2b_Korrekturen'!$B:$B,"")</f>
        <v>-12634275</v>
      </c>
      <c r="G177" s="1081"/>
      <c r="H177" s="1100">
        <v>-855</v>
      </c>
      <c r="I177" s="1162">
        <f>+SUMIFS('Anlage 2b_Korrekturen'!$D:$D,'Anlage 2b_Korrekturen'!$A:$A,A177,'Anlage 2b_Korrekturen'!$H:$H,'LV Testat'!$H$4,'Anlage 2b_Korrekturen'!$B:$B,"")</f>
        <v>-855</v>
      </c>
      <c r="J177" s="1081"/>
      <c r="K177" s="1100">
        <v>-4793</v>
      </c>
      <c r="L177" s="1162">
        <f>+SUMIFS('Anlage 2b_Korrekturen'!$D:$D,'Anlage 2b_Korrekturen'!$A:$A,A177,'Anlage 2b_Korrekturen'!$H:$H,'LV Testat'!$K$4,'Anlage 2b_Korrekturen'!$B:$B,"")</f>
        <v>-4793</v>
      </c>
      <c r="M177" s="1081"/>
      <c r="N177" s="1100">
        <v>0</v>
      </c>
      <c r="O177" s="1162">
        <f>+SUMIFS('Anlage 2b_Korrekturen'!$D:$D,'Anlage 2b_Korrekturen'!$A:$A,A177,'Anlage 2b_Korrekturen'!$H:$H,'LV Testat'!$N$4,'Anlage 2b_Korrekturen'!$B:$B,"")</f>
        <v>0</v>
      </c>
      <c r="P177" s="1081"/>
    </row>
    <row r="178" spans="1:16" ht="15" hidden="1" customHeight="1" outlineLevel="1">
      <c r="A178" s="1163">
        <f>+A177</f>
        <v>2023</v>
      </c>
      <c r="C178" s="1071">
        <v>3</v>
      </c>
      <c r="D178" s="1050" t="s">
        <v>2519</v>
      </c>
      <c r="E178" s="1164">
        <v>29285.89</v>
      </c>
      <c r="F178" s="1162">
        <f>+SUMIFS('Anlage 2b_Korrekturen'!$E:$E,'Anlage 2b_Korrekturen'!$A:$A,A178,'Anlage 2b_Korrekturen'!$H:$H,'LV Testat'!$E$4,'Anlage 2b_Korrekturen'!$B:$B,"")</f>
        <v>29285.89</v>
      </c>
      <c r="G178" s="1081"/>
      <c r="H178" s="1164">
        <v>-0.46</v>
      </c>
      <c r="I178" s="1162">
        <f>+SUMIFS('Anlage 2b_Korrekturen'!$E:$E,'Anlage 2b_Korrekturen'!$A:$A,A178,'Anlage 2b_Korrekturen'!$H:$H,'LV Testat'!$H$4,'Anlage 2b_Korrekturen'!$B:$B,"")</f>
        <v>-0.46</v>
      </c>
      <c r="J178" s="1081"/>
      <c r="K178" s="1164">
        <v>-2.57</v>
      </c>
      <c r="L178" s="1162">
        <f>+SUMIFS('Anlage 2b_Korrekturen'!$E:$E,'Anlage 2b_Korrekturen'!$A:$A,A178,'Anlage 2b_Korrekturen'!$H:$H,'LV Testat'!$K$4,'Anlage 2b_Korrekturen'!$B:$B,"")</f>
        <v>-2.57</v>
      </c>
      <c r="M178" s="1081"/>
      <c r="N178" s="1164">
        <v>0</v>
      </c>
      <c r="O178" s="1162">
        <f>+SUMIFS('Anlage 2b_Korrekturen'!$E:$E,'Anlage 2b_Korrekturen'!$A:$A,A178,'Anlage 2b_Korrekturen'!$H:$H,'LV Testat'!$N$4,'Anlage 2b_Korrekturen'!$B:$B,"")</f>
        <v>0</v>
      </c>
      <c r="P178" s="1081"/>
    </row>
    <row r="179" spans="1:16" ht="15" hidden="1" customHeight="1" outlineLevel="1" thickBot="1">
      <c r="A179" s="1163">
        <f>+A178</f>
        <v>2023</v>
      </c>
      <c r="B179" s="1091"/>
      <c r="C179" s="1092">
        <v>4</v>
      </c>
      <c r="D179" s="1062" t="s">
        <v>2520</v>
      </c>
      <c r="E179" s="1165">
        <v>52955.07</v>
      </c>
      <c r="F179" s="1166">
        <f>+SUMIFS('Anlage 2b_Korrekturen'!$F:$F,'Anlage 2b_Korrekturen'!$A:$A,A179,'Anlage 2b_Korrekturen'!$H:$H,'LV Testat'!$E$4,'Anlage 2b_Korrekturen'!$B:$B,"")</f>
        <v>52955.07</v>
      </c>
      <c r="G179" s="1095"/>
      <c r="H179" s="1165">
        <v>-0.76</v>
      </c>
      <c r="I179" s="1166">
        <f>+SUMIFS('Anlage 2b_Korrekturen'!$F:$F,'Anlage 2b_Korrekturen'!$A:$A,A179,'Anlage 2b_Korrekturen'!$H:$H,'LV Testat'!$H$4,'Anlage 2b_Korrekturen'!$B:$B,"")</f>
        <v>-0.76</v>
      </c>
      <c r="J179" s="1095"/>
      <c r="K179" s="1165">
        <v>-4.25</v>
      </c>
      <c r="L179" s="1166">
        <f>+SUMIFS('Anlage 2b_Korrekturen'!$F:$F,'Anlage 2b_Korrekturen'!$A:$A,A179,'Anlage 2b_Korrekturen'!$H:$H,'LV Testat'!$K$4,'Anlage 2b_Korrekturen'!$B:$B,"")</f>
        <v>-4.25</v>
      </c>
      <c r="M179" s="1095"/>
      <c r="N179" s="1165">
        <v>0</v>
      </c>
      <c r="O179" s="1166">
        <f>+SUMIFS('Anlage 2b_Korrekturen'!$F:$F,'Anlage 2b_Korrekturen'!$A:$A,A179,'Anlage 2b_Korrekturen'!$H:$H,'LV Testat'!$N$4,'Anlage 2b_Korrekturen'!$B:$B,"")</f>
        <v>0</v>
      </c>
      <c r="P179" s="1095"/>
    </row>
    <row r="180" spans="1:16" ht="12" collapsed="1" thickBot="1">
      <c r="A180" s="1013" t="s">
        <v>2523</v>
      </c>
      <c r="B180" s="1001"/>
      <c r="C180" s="1001"/>
      <c r="D180" s="1002"/>
      <c r="E180" s="1001"/>
      <c r="F180" s="1017" t="str">
        <f>+"Check WL BesAR NT "&amp;C183</f>
        <v>Check WL BesAR NT 2023</v>
      </c>
      <c r="G180" s="1018">
        <f>+F191-E191</f>
        <v>0</v>
      </c>
      <c r="H180" s="1001"/>
      <c r="I180" s="1017" t="str">
        <f>+"Check WL BesAR NT "&amp;C183</f>
        <v>Check WL BesAR NT 2023</v>
      </c>
      <c r="J180" s="1018">
        <f>+I191-H191</f>
        <v>0</v>
      </c>
      <c r="K180" s="1001"/>
      <c r="L180" s="1017" t="str">
        <f>+"Check WL BesAR NT "&amp;C183</f>
        <v>Check WL BesAR NT 2023</v>
      </c>
      <c r="M180" s="1018">
        <f>+L191-K191</f>
        <v>0</v>
      </c>
      <c r="N180" s="1001"/>
      <c r="O180" s="1017" t="str">
        <f>+"Check WL BesAR NT "&amp;C183</f>
        <v>Check WL BesAR NT 2023</v>
      </c>
      <c r="P180" s="1018">
        <f>+O191-N191</f>
        <v>0</v>
      </c>
    </row>
    <row r="181" spans="1:16" hidden="1" outlineLevel="1">
      <c r="A181" s="1022"/>
      <c r="D181" s="1041"/>
      <c r="H181" s="1028"/>
      <c r="J181" s="1041"/>
      <c r="K181" s="1028"/>
      <c r="M181" s="1041"/>
      <c r="N181" s="1028"/>
      <c r="P181" s="1041"/>
    </row>
    <row r="182" spans="1:16" ht="30" hidden="1" customHeight="1" outlineLevel="1">
      <c r="A182" s="1028"/>
      <c r="D182" s="1099" t="s">
        <v>2525</v>
      </c>
      <c r="E182" s="1064" t="s">
        <v>2526</v>
      </c>
      <c r="F182" s="1118" t="s">
        <v>2526</v>
      </c>
      <c r="H182" s="1118" t="s">
        <v>2526</v>
      </c>
      <c r="I182" s="1118" t="s">
        <v>2526</v>
      </c>
      <c r="K182" s="1118" t="s">
        <v>2526</v>
      </c>
      <c r="L182" s="1118" t="s">
        <v>2526</v>
      </c>
      <c r="N182" s="1118" t="s">
        <v>2526</v>
      </c>
      <c r="O182" s="1118" t="s">
        <v>2526</v>
      </c>
      <c r="P182" s="1041"/>
    </row>
    <row r="183" spans="1:16" hidden="1" outlineLevel="1">
      <c r="A183" s="1028"/>
      <c r="C183" s="1137">
        <f>+A141</f>
        <v>2023</v>
      </c>
      <c r="D183" s="1035" t="s">
        <v>2408</v>
      </c>
      <c r="E183" s="1100"/>
      <c r="F183" s="1119">
        <f>+SUMIFS('Anlage 2b_Korrekturen'!$D:$D,'Anlage 2b_Korrekturen'!$H:$H,'LV Testat'!$E$4,'Anlage 2b_Korrekturen'!$B:$B,'LV Testat'!$D183,'Anlage 2b_Korrekturen'!$A:$A,C183)</f>
        <v>0</v>
      </c>
      <c r="H183" s="1167">
        <v>2539948</v>
      </c>
      <c r="I183" s="1119">
        <f>+SUMIFS('Anlage 2b_Korrekturen'!$D:$D,'Anlage 2b_Korrekturen'!$H:$H,'LV Testat'!$H$4,'Anlage 2b_Korrekturen'!$B:$B,'LV Testat'!$D183,'Anlage 2b_Korrekturen'!$A:$A,C183)</f>
        <v>2539948</v>
      </c>
      <c r="K183" s="1167">
        <v>8293</v>
      </c>
      <c r="L183" s="1119">
        <f>+SUMIFS('Anlage 2b_Korrekturen'!$D:$D,'Anlage 2b_Korrekturen'!$H:$H,'LV Testat'!$K$4,'Anlage 2b_Korrekturen'!$B:$B,'LV Testat'!$D183,'Anlage 2b_Korrekturen'!$A:$A,C183)</f>
        <v>8293</v>
      </c>
      <c r="N183" s="1167">
        <v>0</v>
      </c>
      <c r="O183" s="1119">
        <f>+SUMIFS('Anlage 2b_Korrekturen'!$D:$D,'Anlage 2b_Korrekturen'!$H:$H,'LV Testat'!$N$4,'Anlage 2b_Korrekturen'!$B:$B,'LV Testat'!$D183,'Anlage 2b_Korrekturen'!$A:$A,C183)</f>
        <v>0</v>
      </c>
      <c r="P183" s="1041"/>
    </row>
    <row r="184" spans="1:16" hidden="1" outlineLevel="1">
      <c r="A184" s="1028"/>
      <c r="C184" s="1137">
        <f>+C183</f>
        <v>2023</v>
      </c>
      <c r="D184" s="1035" t="s">
        <v>2500</v>
      </c>
      <c r="E184" s="1100"/>
      <c r="F184" s="1119">
        <f>+SUMIFS('Anlage 2b_Korrekturen'!$D:$D,'Anlage 2b_Korrekturen'!$H:$H,'LV Testat'!$E$4,'Anlage 2b_Korrekturen'!$B:$B,'LV Testat'!$D184,'Anlage 2b_Korrekturen'!$A:$A,C184)</f>
        <v>0</v>
      </c>
      <c r="H184" s="1167"/>
      <c r="I184" s="1119">
        <f>+SUMIFS('Anlage 2b_Korrekturen'!$D:$D,'Anlage 2b_Korrekturen'!$H:$H,'LV Testat'!$H$4,'Anlage 2b_Korrekturen'!$B:$B,'LV Testat'!$D184,'Anlage 2b_Korrekturen'!$A:$A,C184)</f>
        <v>0</v>
      </c>
      <c r="K184" s="1167">
        <v>0</v>
      </c>
      <c r="L184" s="1119">
        <f>+SUMIFS('Anlage 2b_Korrekturen'!$D:$D,'Anlage 2b_Korrekturen'!$H:$H,'LV Testat'!$K$4,'Anlage 2b_Korrekturen'!$B:$B,'LV Testat'!$D184,'Anlage 2b_Korrekturen'!$A:$A,C184)</f>
        <v>0</v>
      </c>
      <c r="N184" s="1167">
        <v>0</v>
      </c>
      <c r="O184" s="1119">
        <f>+SUMIFS('Anlage 2b_Korrekturen'!$D:$D,'Anlage 2b_Korrekturen'!$H:$H,'LV Testat'!$N$4,'Anlage 2b_Korrekturen'!$B:$B,'LV Testat'!$D184,'Anlage 2b_Korrekturen'!$A:$A,C184)</f>
        <v>0</v>
      </c>
      <c r="P184" s="1041"/>
    </row>
    <row r="185" spans="1:16" hidden="1" outlineLevel="1">
      <c r="A185" s="1028"/>
      <c r="C185" s="1137">
        <f t="shared" ref="C185:C190" si="5">+C184</f>
        <v>2023</v>
      </c>
      <c r="D185" s="1035" t="s">
        <v>2418</v>
      </c>
      <c r="E185" s="1100"/>
      <c r="F185" s="1119">
        <f>+SUMIFS('Anlage 2b_Korrekturen'!$D:$D,'Anlage 2b_Korrekturen'!$H:$H,'LV Testat'!$E$4,'Anlage 2b_Korrekturen'!$B:$B,'LV Testat'!$D185,'Anlage 2b_Korrekturen'!$A:$A,C185)</f>
        <v>0</v>
      </c>
      <c r="H185" s="1167"/>
      <c r="I185" s="1119">
        <f>+SUMIFS('Anlage 2b_Korrekturen'!$D:$D,'Anlage 2b_Korrekturen'!$H:$H,'LV Testat'!$H$4,'Anlage 2b_Korrekturen'!$B:$B,'LV Testat'!$D185,'Anlage 2b_Korrekturen'!$A:$A,C185)</f>
        <v>0</v>
      </c>
      <c r="K185" s="1167">
        <v>0</v>
      </c>
      <c r="L185" s="1119">
        <f>+SUMIFS('Anlage 2b_Korrekturen'!$D:$D,'Anlage 2b_Korrekturen'!$H:$H,'LV Testat'!$K$4,'Anlage 2b_Korrekturen'!$B:$B,'LV Testat'!$D185,'Anlage 2b_Korrekturen'!$A:$A,C185)</f>
        <v>0</v>
      </c>
      <c r="N185" s="1167">
        <v>0</v>
      </c>
      <c r="O185" s="1119">
        <f>+SUMIFS('Anlage 2b_Korrekturen'!$D:$D,'Anlage 2b_Korrekturen'!$H:$H,'LV Testat'!$N$4,'Anlage 2b_Korrekturen'!$B:$B,'LV Testat'!$D185,'Anlage 2b_Korrekturen'!$A:$A,C185)</f>
        <v>0</v>
      </c>
      <c r="P185" s="1041"/>
    </row>
    <row r="186" spans="1:16" hidden="1" outlineLevel="1">
      <c r="A186" s="1028"/>
      <c r="C186" s="1137">
        <f t="shared" si="5"/>
        <v>2023</v>
      </c>
      <c r="D186" s="1168" t="s">
        <v>2501</v>
      </c>
      <c r="E186" s="1100"/>
      <c r="F186" s="1119">
        <f>+SUMIFS('Anlage 2b_Korrekturen'!$D:$D,'Anlage 2b_Korrekturen'!$H:$H,'LV Testat'!$E$4,'Anlage 2b_Korrekturen'!$B:$B,'LV Testat'!$D186,'Anlage 2b_Korrekturen'!$A:$A,C186)</f>
        <v>0</v>
      </c>
      <c r="H186" s="1167"/>
      <c r="I186" s="1119">
        <f>+SUMIFS('Anlage 2b_Korrekturen'!$D:$D,'Anlage 2b_Korrekturen'!$H:$H,'LV Testat'!$H$4,'Anlage 2b_Korrekturen'!$B:$B,'LV Testat'!$D186,'Anlage 2b_Korrekturen'!$A:$A,C186)</f>
        <v>0</v>
      </c>
      <c r="K186" s="1167">
        <v>0</v>
      </c>
      <c r="L186" s="1119">
        <f>+SUMIFS('Anlage 2b_Korrekturen'!$D:$D,'Anlage 2b_Korrekturen'!$H:$H,'LV Testat'!$K$4,'Anlage 2b_Korrekturen'!$B:$B,'LV Testat'!$D186,'Anlage 2b_Korrekturen'!$A:$A,C186)</f>
        <v>0</v>
      </c>
      <c r="N186" s="1167">
        <v>0</v>
      </c>
      <c r="O186" s="1119">
        <f>+SUMIFS('Anlage 2b_Korrekturen'!$D:$D,'Anlage 2b_Korrekturen'!$H:$H,'LV Testat'!$N$4,'Anlage 2b_Korrekturen'!$B:$B,'LV Testat'!$D186,'Anlage 2b_Korrekturen'!$A:$A,C186)</f>
        <v>0</v>
      </c>
      <c r="P186" s="1041"/>
    </row>
    <row r="187" spans="1:16" hidden="1" outlineLevel="1">
      <c r="A187" s="1028"/>
      <c r="C187" s="1137">
        <f t="shared" si="5"/>
        <v>2023</v>
      </c>
      <c r="D187" s="1035" t="s">
        <v>2409</v>
      </c>
      <c r="E187" s="1100"/>
      <c r="F187" s="1119">
        <f>+SUMIFS('Anlage 2b_Korrekturen'!$D:$D,'Anlage 2b_Korrekturen'!$H:$H,'LV Testat'!$E$4,'Anlage 2b_Korrekturen'!$B:$B,'LV Testat'!$D187,'Anlage 2b_Korrekturen'!$A:$A,C187)</f>
        <v>0</v>
      </c>
      <c r="H187" s="1167"/>
      <c r="I187" s="1119">
        <f>+SUMIFS('Anlage 2b_Korrekturen'!$D:$D,'Anlage 2b_Korrekturen'!$H:$H,'LV Testat'!$H$4,'Anlage 2b_Korrekturen'!$B:$B,'LV Testat'!$D187,'Anlage 2b_Korrekturen'!$A:$A,C187)</f>
        <v>0</v>
      </c>
      <c r="K187" s="1167">
        <v>0</v>
      </c>
      <c r="L187" s="1119">
        <f>+SUMIFS('Anlage 2b_Korrekturen'!$D:$D,'Anlage 2b_Korrekturen'!$H:$H,'LV Testat'!$K$4,'Anlage 2b_Korrekturen'!$B:$B,'LV Testat'!$D187,'Anlage 2b_Korrekturen'!$A:$A,C187)</f>
        <v>0</v>
      </c>
      <c r="N187" s="1167">
        <v>0</v>
      </c>
      <c r="O187" s="1119">
        <f>+SUMIFS('Anlage 2b_Korrekturen'!$D:$D,'Anlage 2b_Korrekturen'!$H:$H,'LV Testat'!$N$4,'Anlage 2b_Korrekturen'!$B:$B,'LV Testat'!$D187,'Anlage 2b_Korrekturen'!$A:$A,C187)</f>
        <v>0</v>
      </c>
      <c r="P187" s="1041"/>
    </row>
    <row r="188" spans="1:16" hidden="1" outlineLevel="1">
      <c r="A188" s="1028"/>
      <c r="C188" s="1137">
        <f t="shared" si="5"/>
        <v>2023</v>
      </c>
      <c r="D188" s="1035" t="s">
        <v>2419</v>
      </c>
      <c r="E188" s="1100"/>
      <c r="F188" s="1119">
        <f>+SUMIFS('Anlage 2b_Korrekturen'!$D:$D,'Anlage 2b_Korrekturen'!$H:$H,'LV Testat'!$E$4,'Anlage 2b_Korrekturen'!$B:$B,'LV Testat'!$D188,'Anlage 2b_Korrekturen'!$A:$A,C188)</f>
        <v>0</v>
      </c>
      <c r="H188" s="1167"/>
      <c r="I188" s="1119">
        <f>+SUMIFS('Anlage 2b_Korrekturen'!$D:$D,'Anlage 2b_Korrekturen'!$H:$H,'LV Testat'!$H$4,'Anlage 2b_Korrekturen'!$B:$B,'LV Testat'!$D188,'Anlage 2b_Korrekturen'!$A:$A,C188)</f>
        <v>0</v>
      </c>
      <c r="K188" s="1167">
        <v>0</v>
      </c>
      <c r="L188" s="1119">
        <f>+SUMIFS('Anlage 2b_Korrekturen'!$D:$D,'Anlage 2b_Korrekturen'!$H:$H,'LV Testat'!$K$4,'Anlage 2b_Korrekturen'!$B:$B,'LV Testat'!$D188,'Anlage 2b_Korrekturen'!$A:$A,C188)</f>
        <v>0</v>
      </c>
      <c r="N188" s="1167">
        <v>0</v>
      </c>
      <c r="O188" s="1119">
        <f>+SUMIFS('Anlage 2b_Korrekturen'!$D:$D,'Anlage 2b_Korrekturen'!$H:$H,'LV Testat'!$N$4,'Anlage 2b_Korrekturen'!$B:$B,'LV Testat'!$D188,'Anlage 2b_Korrekturen'!$A:$A,C188)</f>
        <v>0</v>
      </c>
      <c r="P188" s="1041"/>
    </row>
    <row r="189" spans="1:16" hidden="1" outlineLevel="1">
      <c r="A189" s="1028"/>
      <c r="C189" s="1137">
        <f t="shared" si="5"/>
        <v>2023</v>
      </c>
      <c r="D189" s="1035" t="s">
        <v>2412</v>
      </c>
      <c r="E189" s="1100"/>
      <c r="F189" s="1119">
        <f>+SUMIFS('Anlage 2b_Korrekturen'!$D:$D,'Anlage 2b_Korrekturen'!$H:$H,'LV Testat'!$E$4,'Anlage 2b_Korrekturen'!$B:$B,'LV Testat'!$D189,'Anlage 2b_Korrekturen'!$A:$A,C189)</f>
        <v>0</v>
      </c>
      <c r="H189" s="1167"/>
      <c r="I189" s="1119">
        <f>+SUMIFS('Anlage 2b_Korrekturen'!$D:$D,'Anlage 2b_Korrekturen'!$H:$H,'LV Testat'!$H$4,'Anlage 2b_Korrekturen'!$B:$B,'LV Testat'!$D189,'Anlage 2b_Korrekturen'!$A:$A,C189)</f>
        <v>0</v>
      </c>
      <c r="K189" s="1167">
        <v>0</v>
      </c>
      <c r="L189" s="1119">
        <f>+SUMIFS('Anlage 2b_Korrekturen'!$D:$D,'Anlage 2b_Korrekturen'!$H:$H,'LV Testat'!$K$4,'Anlage 2b_Korrekturen'!$B:$B,'LV Testat'!$D189,'Anlage 2b_Korrekturen'!$A:$A,C189)</f>
        <v>0</v>
      </c>
      <c r="N189" s="1167">
        <v>0</v>
      </c>
      <c r="O189" s="1119">
        <f>+SUMIFS('Anlage 2b_Korrekturen'!$D:$D,'Anlage 2b_Korrekturen'!$H:$H,'LV Testat'!$N$4,'Anlage 2b_Korrekturen'!$B:$B,'LV Testat'!$D189,'Anlage 2b_Korrekturen'!$A:$A,C189)</f>
        <v>0</v>
      </c>
      <c r="P189" s="1041"/>
    </row>
    <row r="190" spans="1:16" hidden="1" outlineLevel="1">
      <c r="A190" s="1028"/>
      <c r="C190" s="1137">
        <f t="shared" si="5"/>
        <v>2023</v>
      </c>
      <c r="D190" s="1168" t="s">
        <v>2410</v>
      </c>
      <c r="E190" s="1100"/>
      <c r="F190" s="1119">
        <f>+SUMIFS('Anlage 2b_Korrekturen'!$D:$D,'Anlage 2b_Korrekturen'!$H:$H,'LV Testat'!$E$4,'Anlage 2b_Korrekturen'!$B:$B,'LV Testat'!$D190,'Anlage 2b_Korrekturen'!$A:$A,C190)</f>
        <v>0</v>
      </c>
      <c r="H190" s="1167"/>
      <c r="I190" s="1119">
        <f>+SUMIFS('Anlage 2b_Korrekturen'!$D:$D,'Anlage 2b_Korrekturen'!$H:$H,'LV Testat'!$H$4,'Anlage 2b_Korrekturen'!$B:$B,'LV Testat'!$D190,'Anlage 2b_Korrekturen'!$A:$A,C190)</f>
        <v>0</v>
      </c>
      <c r="K190" s="1167">
        <v>0</v>
      </c>
      <c r="L190" s="1119">
        <f>+SUMIFS('Anlage 2b_Korrekturen'!$D:$D,'Anlage 2b_Korrekturen'!$H:$H,'LV Testat'!$K$4,'Anlage 2b_Korrekturen'!$B:$B,'LV Testat'!$D190,'Anlage 2b_Korrekturen'!$A:$A,C190)</f>
        <v>0</v>
      </c>
      <c r="N190" s="1167">
        <v>0</v>
      </c>
      <c r="O190" s="1119">
        <f>+SUMIFS('Anlage 2b_Korrekturen'!$D:$D,'Anlage 2b_Korrekturen'!$H:$H,'LV Testat'!$N$4,'Anlage 2b_Korrekturen'!$B:$B,'LV Testat'!$D190,'Anlage 2b_Korrekturen'!$A:$A,C190)</f>
        <v>0</v>
      </c>
      <c r="P190" s="1041"/>
    </row>
    <row r="191" spans="1:16" ht="12" hidden="1" outlineLevel="1" thickBot="1">
      <c r="A191" s="1090"/>
      <c r="B191" s="1091"/>
      <c r="C191" s="1091"/>
      <c r="D191" s="1121"/>
      <c r="E191" s="1110">
        <f>+SUM(E183:E190)</f>
        <v>0</v>
      </c>
      <c r="F191" s="1124">
        <f>+SUM(F183:F190)</f>
        <v>0</v>
      </c>
      <c r="G191" s="1091"/>
      <c r="H191" s="1124">
        <f>+SUM(H183:H190)</f>
        <v>2539948</v>
      </c>
      <c r="I191" s="1124">
        <f>+SUM(I183:I190)</f>
        <v>2539948</v>
      </c>
      <c r="J191" s="1091"/>
      <c r="K191" s="1124">
        <f>+SUM(K183:K190)</f>
        <v>8293</v>
      </c>
      <c r="L191" s="1124">
        <f>+SUM(L183:L190)</f>
        <v>8293</v>
      </c>
      <c r="M191" s="1091"/>
      <c r="N191" s="1124">
        <f>+SUM(N183:N190)</f>
        <v>0</v>
      </c>
      <c r="O191" s="1124">
        <f>+SUM(O183:O190)</f>
        <v>0</v>
      </c>
      <c r="P191" s="1121"/>
    </row>
    <row r="192" spans="1:16" ht="12" collapsed="1" thickBot="1">
      <c r="A192" s="1013" t="s">
        <v>2528</v>
      </c>
      <c r="B192" s="1001"/>
      <c r="C192" s="1001"/>
      <c r="D192" s="1002"/>
      <c r="E192" s="1001"/>
      <c r="F192" s="1098" t="str">
        <f>+"Check Speicher BesAR NT "&amp;C200</f>
        <v>Check Speicher BesAR NT 2023</v>
      </c>
      <c r="G192" s="1018">
        <f>+SUM(E195:G197)-SUM(E200:G202)</f>
        <v>0</v>
      </c>
      <c r="H192" s="1000"/>
      <c r="I192" s="1098" t="str">
        <f>+"Check Speicher BesAR NT "&amp;C200</f>
        <v>Check Speicher BesAR NT 2023</v>
      </c>
      <c r="J192" s="1018">
        <f>+SUM(H195:J197)-SUM(H200:J202)</f>
        <v>0</v>
      </c>
      <c r="K192" s="1000"/>
      <c r="L192" s="1098" t="str">
        <f>+"Check Speicher BesAR NT "&amp;C200</f>
        <v>Check Speicher BesAR NT 2023</v>
      </c>
      <c r="M192" s="1018">
        <f>+SUM(K195:M197)-SUM(K200:M202)</f>
        <v>0</v>
      </c>
      <c r="N192" s="1000"/>
      <c r="O192" s="1098" t="str">
        <f>+"Check Speicher BesAR NT "&amp;C200</f>
        <v>Check Speicher BesAR NT 2023</v>
      </c>
      <c r="P192" s="1018">
        <f>+SUM(N195:P197)-SUM(N200:P202)</f>
        <v>0</v>
      </c>
    </row>
    <row r="193" spans="1:16" hidden="1" outlineLevel="1">
      <c r="A193" s="1028"/>
      <c r="D193" s="1041"/>
      <c r="F193" s="1012"/>
      <c r="G193" s="1041"/>
      <c r="H193" s="1028"/>
      <c r="I193" s="1012"/>
      <c r="J193" s="1041"/>
      <c r="K193" s="1028"/>
      <c r="L193" s="1012"/>
      <c r="M193" s="1041"/>
      <c r="N193" s="1028"/>
      <c r="O193" s="1012"/>
      <c r="P193" s="1041"/>
    </row>
    <row r="194" spans="1:16" ht="33.75" hidden="1" outlineLevel="1">
      <c r="A194" s="1028"/>
      <c r="D194" s="1030" t="s">
        <v>2506</v>
      </c>
      <c r="E194" s="1031" t="s">
        <v>2499</v>
      </c>
      <c r="F194" s="1032" t="s">
        <v>2507</v>
      </c>
      <c r="G194" s="1049" t="s">
        <v>2508</v>
      </c>
      <c r="H194" s="1034" t="s">
        <v>2499</v>
      </c>
      <c r="I194" s="1032" t="s">
        <v>2507</v>
      </c>
      <c r="J194" s="1049" t="s">
        <v>2508</v>
      </c>
      <c r="K194" s="1034" t="s">
        <v>2499</v>
      </c>
      <c r="L194" s="1032" t="s">
        <v>2507</v>
      </c>
      <c r="M194" s="1049" t="s">
        <v>2508</v>
      </c>
      <c r="N194" s="1034" t="s">
        <v>2499</v>
      </c>
      <c r="O194" s="1032" t="s">
        <v>2507</v>
      </c>
      <c r="P194" s="1049" t="s">
        <v>2508</v>
      </c>
    </row>
    <row r="195" spans="1:16" hidden="1" outlineLevel="1">
      <c r="A195" s="1028"/>
      <c r="D195" s="1050" t="s">
        <v>2429</v>
      </c>
      <c r="E195" s="1051"/>
      <c r="F195" s="1101"/>
      <c r="G195" s="1102"/>
      <c r="H195" s="1070">
        <v>0</v>
      </c>
      <c r="I195" s="1067">
        <v>0</v>
      </c>
      <c r="J195" s="1068">
        <v>0</v>
      </c>
      <c r="K195" s="1070">
        <v>0</v>
      </c>
      <c r="L195" s="1067">
        <v>0</v>
      </c>
      <c r="M195" s="1068">
        <v>0</v>
      </c>
      <c r="N195" s="1070">
        <v>0</v>
      </c>
      <c r="O195" s="1067">
        <v>0</v>
      </c>
      <c r="P195" s="1068">
        <v>0</v>
      </c>
    </row>
    <row r="196" spans="1:16" hidden="1" outlineLevel="1">
      <c r="A196" s="1028"/>
      <c r="D196" s="1050" t="s">
        <v>2430</v>
      </c>
      <c r="E196" s="1051"/>
      <c r="F196" s="1101"/>
      <c r="G196" s="1102"/>
      <c r="H196" s="1070">
        <v>0</v>
      </c>
      <c r="I196" s="1067">
        <v>0</v>
      </c>
      <c r="J196" s="1068">
        <v>0</v>
      </c>
      <c r="K196" s="1070">
        <v>0</v>
      </c>
      <c r="L196" s="1067">
        <v>0</v>
      </c>
      <c r="M196" s="1068">
        <v>0</v>
      </c>
      <c r="N196" s="1070">
        <v>0</v>
      </c>
      <c r="O196" s="1067">
        <v>0</v>
      </c>
      <c r="P196" s="1068">
        <v>0</v>
      </c>
    </row>
    <row r="197" spans="1:16" hidden="1" outlineLevel="1">
      <c r="A197" s="1028"/>
      <c r="D197" s="1050" t="s">
        <v>2431</v>
      </c>
      <c r="E197" s="1051"/>
      <c r="F197" s="1101"/>
      <c r="G197" s="1102"/>
      <c r="H197" s="1070">
        <v>0</v>
      </c>
      <c r="I197" s="1067">
        <v>0</v>
      </c>
      <c r="J197" s="1068">
        <v>0</v>
      </c>
      <c r="K197" s="1070">
        <v>0</v>
      </c>
      <c r="L197" s="1067">
        <v>0</v>
      </c>
      <c r="M197" s="1068">
        <v>0</v>
      </c>
      <c r="N197" s="1070">
        <v>0</v>
      </c>
      <c r="O197" s="1067">
        <v>0</v>
      </c>
      <c r="P197" s="1068">
        <v>0</v>
      </c>
    </row>
    <row r="198" spans="1:16" hidden="1" outlineLevel="1">
      <c r="A198" s="1028"/>
      <c r="D198" s="1041"/>
      <c r="F198" s="1847"/>
      <c r="G198" s="1848"/>
      <c r="H198" s="1028"/>
      <c r="I198" s="1012"/>
      <c r="J198" s="1122"/>
      <c r="K198" s="1028"/>
      <c r="L198" s="1012"/>
      <c r="M198" s="1122"/>
      <c r="N198" s="1028"/>
      <c r="O198" s="1012"/>
      <c r="P198" s="1122"/>
    </row>
    <row r="199" spans="1:16" ht="33.75" hidden="1" outlineLevel="1">
      <c r="A199" s="1028"/>
      <c r="D199" s="1030" t="s">
        <v>2506</v>
      </c>
      <c r="E199" s="1031" t="s">
        <v>2499</v>
      </c>
      <c r="F199" s="1032" t="s">
        <v>2507</v>
      </c>
      <c r="G199" s="1049" t="s">
        <v>2508</v>
      </c>
      <c r="H199" s="1034" t="s">
        <v>2499</v>
      </c>
      <c r="I199" s="1032" t="s">
        <v>2507</v>
      </c>
      <c r="J199" s="1049" t="s">
        <v>2508</v>
      </c>
      <c r="K199" s="1034" t="s">
        <v>2499</v>
      </c>
      <c r="L199" s="1032" t="s">
        <v>2507</v>
      </c>
      <c r="M199" s="1049" t="s">
        <v>2508</v>
      </c>
      <c r="N199" s="1034" t="s">
        <v>2499</v>
      </c>
      <c r="O199" s="1032" t="s">
        <v>2507</v>
      </c>
      <c r="P199" s="1049" t="s">
        <v>2508</v>
      </c>
    </row>
    <row r="200" spans="1:16" hidden="1" outlineLevel="1">
      <c r="A200" s="1056"/>
      <c r="B200" s="1029"/>
      <c r="C200" s="1137">
        <f>+A141</f>
        <v>2023</v>
      </c>
      <c r="D200" s="1050" t="s">
        <v>2429</v>
      </c>
      <c r="E200" s="1105">
        <f>+SUMIFS('Anlage 2b_Korrekturen'!$D:$D,'Anlage 2b_Korrekturen'!$H:$H,'LV Testat'!$E$4,'Anlage 2b_Korrekturen'!$B:$B,'LV Testat'!$D200,'Anlage 2b_Korrekturen'!$A:$A,C200)</f>
        <v>0</v>
      </c>
      <c r="F200" s="1119">
        <f>+SUMIFS('Anlage 2b_Korrekturen'!$E:$E,'Anlage 2b_Korrekturen'!$H:$H,'LV Testat'!$E$4,'Anlage 2b_Korrekturen'!$B:$B,'LV Testat'!$D200,'Anlage 2b_Korrekturen'!$A:$A,C200)</f>
        <v>0</v>
      </c>
      <c r="G200" s="1123">
        <f>+SUMIFS('Anlage 2b_Korrekturen'!$F:$F,'Anlage 2b_Korrekturen'!$H:$H,'LV Testat'!$E$4,'Anlage 2b_Korrekturen'!$B:$B,'LV Testat'!$D200,'Anlage 2b_Korrekturen'!$A:$A,C200)</f>
        <v>0</v>
      </c>
      <c r="H200" s="1105">
        <f>+SUMIFS('Anlage 2b_Korrekturen'!$D:$D,'Anlage 2b_Korrekturen'!$H:$H,'LV Testat'!$H$4,'Anlage 2b_Korrekturen'!$B:$B,'LV Testat'!$D200,'Anlage 2b_Korrekturen'!$A:$A,C200)</f>
        <v>0</v>
      </c>
      <c r="I200" s="1119">
        <f>+SUMIFS('Anlage 2b_Korrekturen'!$E:$E,'Anlage 2b_Korrekturen'!$H:$H,'LV Testat'!$H$4,'Anlage 2b_Korrekturen'!$B:$B,'LV Testat'!$D200,'Anlage 2b_Korrekturen'!$A:$A,C200)</f>
        <v>0</v>
      </c>
      <c r="J200" s="1123">
        <f>+SUMIFS('Anlage 2b_Korrekturen'!$F:$F,'Anlage 2b_Korrekturen'!$H:$H,'LV Testat'!$H$4,'Anlage 2b_Korrekturen'!$B:$B,'LV Testat'!$D200,'Anlage 2b_Korrekturen'!$A:$A,C200)</f>
        <v>0</v>
      </c>
      <c r="K200" s="1105">
        <f>+SUMIFS('Anlage 2b_Korrekturen'!$D:$D,'Anlage 2b_Korrekturen'!$H:$H,'LV Testat'!$K$4,'Anlage 2b_Korrekturen'!$B:$B,'LV Testat'!$D200,'Anlage 2b_Korrekturen'!$A:$A,C200)</f>
        <v>0</v>
      </c>
      <c r="L200" s="1119">
        <f>+SUMIFS('Anlage 2b_Korrekturen'!$E:$E,'Anlage 2b_Korrekturen'!$H:$H,'LV Testat'!$K$4,'Anlage 2b_Korrekturen'!$B:$B,'LV Testat'!$D200,'Anlage 2b_Korrekturen'!$A:$A,C200)</f>
        <v>0</v>
      </c>
      <c r="M200" s="1123">
        <f>+SUMIFS('Anlage 2b_Korrekturen'!$F:$F,'Anlage 2b_Korrekturen'!$H:$H,'LV Testat'!$K$4,'Anlage 2b_Korrekturen'!$B:$B,'LV Testat'!$D200,'Anlage 2b_Korrekturen'!$A:$A,C200)</f>
        <v>0</v>
      </c>
      <c r="N200" s="1105">
        <f>+SUMIFS('Anlage 2b_Korrekturen'!$D:$D,'Anlage 2b_Korrekturen'!$H:$H,'LV Testat'!$N$4,'Anlage 2b_Korrekturen'!$B:$B,'LV Testat'!$D200,'Anlage 2b_Korrekturen'!$A:$A,C200)</f>
        <v>0</v>
      </c>
      <c r="O200" s="1119">
        <f>+SUMIFS('Anlage 2b_Korrekturen'!$E:$E,'Anlage 2b_Korrekturen'!$H:$H,'LV Testat'!$N$4,'Anlage 2b_Korrekturen'!$B:$B,'LV Testat'!$D200,'Anlage 2b_Korrekturen'!$A:$A,C200)</f>
        <v>0</v>
      </c>
      <c r="P200" s="1123">
        <f>+SUMIFS('Anlage 2b_Korrekturen'!$F:$F,'Anlage 2b_Korrekturen'!$H:$H,'LV Testat'!$N$4,'Anlage 2b_Korrekturen'!$B:$B,'LV Testat'!$D200,'Anlage 2b_Korrekturen'!$A:$A,C200)</f>
        <v>0</v>
      </c>
    </row>
    <row r="201" spans="1:16" hidden="1" outlineLevel="1">
      <c r="A201" s="1056"/>
      <c r="B201" s="1029"/>
      <c r="C201" s="1137">
        <f>+C200</f>
        <v>2023</v>
      </c>
      <c r="D201" s="1050" t="s">
        <v>2430</v>
      </c>
      <c r="E201" s="1105">
        <f>+SUMIFS('Anlage 2b_Korrekturen'!$D:$D,'Anlage 2b_Korrekturen'!$H:$H,'LV Testat'!$E$4,'Anlage 2b_Korrekturen'!$B:$B,'LV Testat'!$D201,'Anlage 2b_Korrekturen'!$A:$A,C201)</f>
        <v>0</v>
      </c>
      <c r="F201" s="1119">
        <f>+SUMIFS('Anlage 2b_Korrekturen'!$E:$E,'Anlage 2b_Korrekturen'!$H:$H,'LV Testat'!$E$4,'Anlage 2b_Korrekturen'!$B:$B,'LV Testat'!$D201,'Anlage 2b_Korrekturen'!$A:$A,C201)</f>
        <v>0</v>
      </c>
      <c r="G201" s="1123">
        <f>+SUMIFS('Anlage 2b_Korrekturen'!$F:$F,'Anlage 2b_Korrekturen'!$H:$H,'LV Testat'!$E$4,'Anlage 2b_Korrekturen'!$B:$B,'LV Testat'!$D201,'Anlage 2b_Korrekturen'!$A:$A,C201)</f>
        <v>0</v>
      </c>
      <c r="H201" s="1105">
        <f>+SUMIFS('Anlage 2b_Korrekturen'!$D:$D,'Anlage 2b_Korrekturen'!$H:$H,'LV Testat'!$H$4,'Anlage 2b_Korrekturen'!$B:$B,'LV Testat'!$D201,'Anlage 2b_Korrekturen'!$A:$A,C201)</f>
        <v>0</v>
      </c>
      <c r="I201" s="1119">
        <f>+SUMIFS('Anlage 2b_Korrekturen'!$E:$E,'Anlage 2b_Korrekturen'!$H:$H,'LV Testat'!$H$4,'Anlage 2b_Korrekturen'!$B:$B,'LV Testat'!$D201,'Anlage 2b_Korrekturen'!$A:$A,C201)</f>
        <v>0</v>
      </c>
      <c r="J201" s="1123">
        <f>+SUMIFS('Anlage 2b_Korrekturen'!$F:$F,'Anlage 2b_Korrekturen'!$H:$H,'LV Testat'!$H$4,'Anlage 2b_Korrekturen'!$B:$B,'LV Testat'!$D201,'Anlage 2b_Korrekturen'!$A:$A,C201)</f>
        <v>0</v>
      </c>
      <c r="K201" s="1105">
        <f>+SUMIFS('Anlage 2b_Korrekturen'!$D:$D,'Anlage 2b_Korrekturen'!$H:$H,'LV Testat'!$K$4,'Anlage 2b_Korrekturen'!$B:$B,'LV Testat'!$D201,'Anlage 2b_Korrekturen'!$A:$A,C201)</f>
        <v>0</v>
      </c>
      <c r="L201" s="1119">
        <f>+SUMIFS('Anlage 2b_Korrekturen'!$E:$E,'Anlage 2b_Korrekturen'!$H:$H,'LV Testat'!$K$4,'Anlage 2b_Korrekturen'!$B:$B,'LV Testat'!$D201,'Anlage 2b_Korrekturen'!$A:$A,C201)</f>
        <v>0</v>
      </c>
      <c r="M201" s="1123">
        <f>+SUMIFS('Anlage 2b_Korrekturen'!$F:$F,'Anlage 2b_Korrekturen'!$H:$H,'LV Testat'!$K$4,'Anlage 2b_Korrekturen'!$B:$B,'LV Testat'!$D201,'Anlage 2b_Korrekturen'!$A:$A,C201)</f>
        <v>0</v>
      </c>
      <c r="N201" s="1105">
        <f>+SUMIFS('Anlage 2b_Korrekturen'!$D:$D,'Anlage 2b_Korrekturen'!$H:$H,'LV Testat'!$N$4,'Anlage 2b_Korrekturen'!$B:$B,'LV Testat'!$D201,'Anlage 2b_Korrekturen'!$A:$A,C201)</f>
        <v>0</v>
      </c>
      <c r="O201" s="1119">
        <f>+SUMIFS('Anlage 2b_Korrekturen'!$E:$E,'Anlage 2b_Korrekturen'!$H:$H,'LV Testat'!$N$4,'Anlage 2b_Korrekturen'!$B:$B,'LV Testat'!$D201,'Anlage 2b_Korrekturen'!$A:$A,C201)</f>
        <v>0</v>
      </c>
      <c r="P201" s="1123">
        <f>+SUMIFS('Anlage 2b_Korrekturen'!$F:$F,'Anlage 2b_Korrekturen'!$H:$H,'LV Testat'!$N$4,'Anlage 2b_Korrekturen'!$B:$B,'LV Testat'!$D201,'Anlage 2b_Korrekturen'!$A:$A,C201)</f>
        <v>0</v>
      </c>
    </row>
    <row r="202" spans="1:16" ht="12" hidden="1" outlineLevel="1" thickBot="1">
      <c r="A202" s="1060"/>
      <c r="B202" s="1061"/>
      <c r="C202" s="1137">
        <f>+C201</f>
        <v>2023</v>
      </c>
      <c r="D202" s="1062" t="s">
        <v>2431</v>
      </c>
      <c r="E202" s="1105">
        <f>+SUMIFS('Anlage 2b_Korrekturen'!$D:$D,'Anlage 2b_Korrekturen'!$H:$H,'LV Testat'!$E$4,'Anlage 2b_Korrekturen'!$B:$B,'LV Testat'!$D202,'Anlage 2b_Korrekturen'!$A:$A,$C$137)</f>
        <v>0</v>
      </c>
      <c r="F202" s="1119">
        <f>+SUMIFS('Anlage 2b_Korrekturen'!$E:$E,'Anlage 2b_Korrekturen'!$H:$H,'LV Testat'!$E$4,'Anlage 2b_Korrekturen'!$B:$B,'LV Testat'!$D202,'Anlage 2b_Korrekturen'!$A:$A,C202)</f>
        <v>0</v>
      </c>
      <c r="G202" s="1123">
        <f>+SUMIFS('Anlage 2b_Korrekturen'!$F:$F,'Anlage 2b_Korrekturen'!$H:$H,'LV Testat'!$E$4,'Anlage 2b_Korrekturen'!$B:$B,'LV Testat'!$D202,'Anlage 2b_Korrekturen'!$A:$A,$C$137)</f>
        <v>0</v>
      </c>
      <c r="H202" s="1105">
        <f>+SUMIFS('Anlage 2b_Korrekturen'!$D:$D,'Anlage 2b_Korrekturen'!$H:$H,'LV Testat'!$H$4,'Anlage 2b_Korrekturen'!$B:$B,'LV Testat'!$D202,'Anlage 2b_Korrekturen'!$A:$A,C202)</f>
        <v>0</v>
      </c>
      <c r="I202" s="1119">
        <f>+SUMIFS('Anlage 2b_Korrekturen'!$E:$E,'Anlage 2b_Korrekturen'!$H:$H,'LV Testat'!$H$4,'Anlage 2b_Korrekturen'!$B:$B,'LV Testat'!$D202,'Anlage 2b_Korrekturen'!$A:$A,C202)</f>
        <v>0</v>
      </c>
      <c r="J202" s="1123">
        <f>+SUMIFS('Anlage 2b_Korrekturen'!$F:$F,'Anlage 2b_Korrekturen'!$H:$H,'LV Testat'!$H$4,'Anlage 2b_Korrekturen'!$B:$B,'LV Testat'!$D202,'Anlage 2b_Korrekturen'!$A:$A,C202)</f>
        <v>0</v>
      </c>
      <c r="K202" s="1105">
        <f>+SUMIFS('Anlage 2b_Korrekturen'!$D:$D,'Anlage 2b_Korrekturen'!$H:$H,'LV Testat'!$K$4,'Anlage 2b_Korrekturen'!$B:$B,'LV Testat'!$D202,'Anlage 2b_Korrekturen'!$A:$A,C202)</f>
        <v>0</v>
      </c>
      <c r="L202" s="1119">
        <f>+SUMIFS('Anlage 2b_Korrekturen'!$E:$E,'Anlage 2b_Korrekturen'!$H:$H,'LV Testat'!$K$4,'Anlage 2b_Korrekturen'!$B:$B,'LV Testat'!$D202,'Anlage 2b_Korrekturen'!$A:$A,C202)</f>
        <v>0</v>
      </c>
      <c r="M202" s="1123">
        <f>+SUMIFS('Anlage 2b_Korrekturen'!$F:$F,'Anlage 2b_Korrekturen'!$H:$H,'LV Testat'!$K$4,'Anlage 2b_Korrekturen'!$B:$B,'LV Testat'!$D202,'Anlage 2b_Korrekturen'!$A:$A,C202)</f>
        <v>0</v>
      </c>
      <c r="N202" s="1105">
        <f>+SUMIFS('Anlage 2b_Korrekturen'!$D:$D,'Anlage 2b_Korrekturen'!$H:$H,'LV Testat'!$N$4,'Anlage 2b_Korrekturen'!$B:$B,'LV Testat'!$D202,'Anlage 2b_Korrekturen'!$A:$A,C202)</f>
        <v>0</v>
      </c>
      <c r="O202" s="1119">
        <f>+SUMIFS('Anlage 2b_Korrekturen'!$E:$E,'Anlage 2b_Korrekturen'!$H:$H,'LV Testat'!$N$4,'Anlage 2b_Korrekturen'!$B:$B,'LV Testat'!$D202,'Anlage 2b_Korrekturen'!$A:$A,C202)</f>
        <v>0</v>
      </c>
      <c r="P202" s="1123">
        <f>+SUMIFS('Anlage 2b_Korrekturen'!$F:$F,'Anlage 2b_Korrekturen'!$H:$H,'LV Testat'!$N$4,'Anlage 2b_Korrekturen'!$B:$B,'LV Testat'!$D202,'Anlage 2b_Korrekturen'!$A:$A,C202)</f>
        <v>0</v>
      </c>
    </row>
    <row r="203" spans="1:16" s="1132" customFormat="1" ht="18" collapsed="1">
      <c r="A203" s="1126" t="s">
        <v>2531</v>
      </c>
      <c r="B203" s="1127"/>
      <c r="C203" s="1127"/>
      <c r="D203" s="1128"/>
      <c r="E203" s="1129"/>
      <c r="F203" s="1129"/>
      <c r="G203" s="1130"/>
      <c r="H203" s="1131"/>
      <c r="I203" s="1129"/>
      <c r="J203" s="1130"/>
      <c r="K203" s="1131"/>
      <c r="L203" s="1129"/>
      <c r="M203" s="1130"/>
      <c r="N203" s="1131"/>
      <c r="O203" s="1129"/>
      <c r="P203" s="1130"/>
    </row>
    <row r="204" spans="1:16" ht="15.75" thickBot="1">
      <c r="A204" s="1841">
        <f>+A141-1</f>
        <v>2022</v>
      </c>
      <c r="B204" s="1842"/>
      <c r="C204" s="1842"/>
      <c r="D204" s="1843"/>
      <c r="E204" s="1091"/>
      <c r="F204" s="1091"/>
      <c r="G204" s="1121"/>
      <c r="H204" s="1090"/>
      <c r="I204" s="1091"/>
      <c r="J204" s="1121"/>
      <c r="K204" s="1090"/>
      <c r="L204" s="1091"/>
      <c r="M204" s="1121"/>
      <c r="N204" s="1090"/>
      <c r="O204" s="1091"/>
      <c r="P204" s="1121"/>
    </row>
    <row r="205" spans="1:16" ht="13.5" thickBot="1">
      <c r="A205" s="1013" t="s">
        <v>2532</v>
      </c>
      <c r="B205" s="1133"/>
      <c r="C205" s="1133"/>
      <c r="D205" s="1134"/>
      <c r="E205" s="1001"/>
      <c r="F205" s="1017" t="str">
        <f>+"Check LV NT "&amp;C208</f>
        <v>Check LV NT 2022</v>
      </c>
      <c r="G205" s="1018">
        <f>+F216-E216</f>
        <v>0</v>
      </c>
      <c r="H205" s="1000"/>
      <c r="I205" s="1017" t="str">
        <f>+"Check LV NT "&amp;C208</f>
        <v>Check LV NT 2022</v>
      </c>
      <c r="J205" s="1018">
        <f>+I216-H216</f>
        <v>0</v>
      </c>
      <c r="K205" s="1000"/>
      <c r="L205" s="1017" t="str">
        <f>+"Check LV NT "&amp;C208</f>
        <v>Check LV NT 2022</v>
      </c>
      <c r="M205" s="1018">
        <f>+L216-K216</f>
        <v>0.42299999296665192</v>
      </c>
      <c r="N205" s="1000"/>
      <c r="O205" s="1017" t="str">
        <f>+"Check LV NT "&amp;C208</f>
        <v>Check LV NT 2022</v>
      </c>
      <c r="P205" s="1018">
        <f>+O216-N216</f>
        <v>0</v>
      </c>
    </row>
    <row r="206" spans="1:16" hidden="1" outlineLevel="1">
      <c r="A206" s="1028"/>
      <c r="D206" s="1041"/>
      <c r="G206" s="1041"/>
      <c r="H206" s="1028"/>
      <c r="J206" s="1041"/>
      <c r="K206" s="1028"/>
      <c r="M206" s="1041"/>
      <c r="N206" s="1028"/>
      <c r="P206" s="1041"/>
    </row>
    <row r="207" spans="1:16" ht="33.75" hidden="1" outlineLevel="1">
      <c r="A207" s="1028"/>
      <c r="D207" s="1135"/>
      <c r="E207" s="1032" t="s">
        <v>2499</v>
      </c>
      <c r="F207" s="1032" t="s">
        <v>2499</v>
      </c>
      <c r="H207" s="1032" t="s">
        <v>2499</v>
      </c>
      <c r="I207" s="1032" t="s">
        <v>2499</v>
      </c>
      <c r="J207" s="1041"/>
      <c r="K207" s="1034" t="s">
        <v>2499</v>
      </c>
      <c r="L207" s="1032" t="s">
        <v>2499</v>
      </c>
      <c r="M207" s="1041"/>
      <c r="N207" s="1034" t="s">
        <v>2499</v>
      </c>
      <c r="O207" s="1032" t="s">
        <v>2499</v>
      </c>
      <c r="P207" s="1041"/>
    </row>
    <row r="208" spans="1:16" hidden="1" outlineLevel="1">
      <c r="A208" s="1136"/>
      <c r="C208" s="1137">
        <f>+A204</f>
        <v>2022</v>
      </c>
      <c r="D208" s="1138" t="s">
        <v>2408</v>
      </c>
      <c r="E208" s="1139">
        <v>13715771</v>
      </c>
      <c r="F208" s="1119">
        <f>+SUMIFS('Anlage 2b_Korrekturen'!$D:$D,'Anlage 2b_Korrekturen'!$H:$H,'LV Testat'!$E$4,'Anlage 2b_Korrekturen'!$C:$C,'LV Testat'!$D208,'Anlage 2b_Korrekturen'!$A:$A,'LV Testat'!C208)</f>
        <v>13715771</v>
      </c>
      <c r="H208" s="1139">
        <v>-68833938</v>
      </c>
      <c r="I208" s="1119">
        <f>+SUMIFS('Anlage 2b_Korrekturen'!$D:$D,'Anlage 2b_Korrekturen'!$H:$H,'LV Testat'!$H$4,'Anlage 2b_Korrekturen'!$C:$C,'LV Testat'!$D208,'Anlage 2b_Korrekturen'!$A:$A,'LV Testat'!C208)</f>
        <v>-68833938</v>
      </c>
      <c r="J208" s="1041"/>
      <c r="K208" s="1139">
        <v>76754505</v>
      </c>
      <c r="L208" s="1119">
        <f>+SUMIFS('Anlage 2b_Korrekturen'!$D:$D,'Anlage 2b_Korrekturen'!$H:$H,'LV Testat'!$K$4,'Anlage 2b_Korrekturen'!$C:$C,'LV Testat'!$D208,'Anlage 2b_Korrekturen'!$A:$A,'LV Testat'!C208)</f>
        <v>76754505.422999993</v>
      </c>
      <c r="M208" s="1041"/>
      <c r="N208" s="1139">
        <v>86360601</v>
      </c>
      <c r="O208" s="1119">
        <f>+SUMIFS('Anlage 2b_Korrekturen'!$D:$D,'Anlage 2b_Korrekturen'!$H:$H,'LV Testat'!$N$4,'Anlage 2b_Korrekturen'!$C:$C,'LV Testat'!$D208,'Anlage 2b_Korrekturen'!$A:$A,'LV Testat'!C208)</f>
        <v>86360601</v>
      </c>
      <c r="P208" s="1041"/>
    </row>
    <row r="209" spans="1:16" hidden="1" outlineLevel="1">
      <c r="A209" s="1136"/>
      <c r="C209" s="1137">
        <f>+C208</f>
        <v>2022</v>
      </c>
      <c r="D209" s="1138" t="s">
        <v>2500</v>
      </c>
      <c r="E209" s="1139"/>
      <c r="F209" s="1119">
        <f>+SUMIFS('Anlage 2b_Korrekturen'!$D:$D,'Anlage 2b_Korrekturen'!$H:$H,'LV Testat'!$E$4,'Anlage 2b_Korrekturen'!$C:$C,'LV Testat'!$D209,'Anlage 2b_Korrekturen'!$A:$A,'LV Testat'!C209)</f>
        <v>0</v>
      </c>
      <c r="H209" s="1139"/>
      <c r="I209" s="1119">
        <f>+SUMIFS('Anlage 2b_Korrekturen'!$D:$D,'Anlage 2b_Korrekturen'!$H:$H,'LV Testat'!$H$4,'Anlage 2b_Korrekturen'!$C:$C,'LV Testat'!$D209,'Anlage 2b_Korrekturen'!$A:$A,'LV Testat'!C209)</f>
        <v>0</v>
      </c>
      <c r="J209" s="1041"/>
      <c r="K209" s="1139">
        <v>0</v>
      </c>
      <c r="L209" s="1119">
        <f>+SUMIFS('Anlage 2b_Korrekturen'!$D:$D,'Anlage 2b_Korrekturen'!$H:$H,'LV Testat'!$K$4,'Anlage 2b_Korrekturen'!$C:$C,'LV Testat'!$D209,'Anlage 2b_Korrekturen'!$A:$A,'LV Testat'!C209)</f>
        <v>0</v>
      </c>
      <c r="M209" s="1041"/>
      <c r="N209" s="1139">
        <v>0</v>
      </c>
      <c r="O209" s="1119">
        <f>+SUMIFS('Anlage 2b_Korrekturen'!$D:$D,'Anlage 2b_Korrekturen'!$H:$H,'LV Testat'!$N$4,'Anlage 2b_Korrekturen'!$C:$C,'LV Testat'!$D209,'Anlage 2b_Korrekturen'!$A:$A,'LV Testat'!C209)</f>
        <v>0</v>
      </c>
      <c r="P209" s="1041"/>
    </row>
    <row r="210" spans="1:16" hidden="1" outlineLevel="1">
      <c r="A210" s="1136"/>
      <c r="C210" s="1137">
        <f t="shared" ref="C210:C216" si="6">+C209</f>
        <v>2022</v>
      </c>
      <c r="D210" s="1138" t="s">
        <v>2418</v>
      </c>
      <c r="E210" s="1139"/>
      <c r="F210" s="1119">
        <f>+SUMIFS('Anlage 2b_Korrekturen'!$D:$D,'Anlage 2b_Korrekturen'!$H:$H,'LV Testat'!$E$4,'Anlage 2b_Korrekturen'!$C:$C,'LV Testat'!$D210,'Anlage 2b_Korrekturen'!$A:$A,'LV Testat'!C210)</f>
        <v>0</v>
      </c>
      <c r="H210" s="1139">
        <v>0</v>
      </c>
      <c r="I210" s="1119">
        <f>+SUMIFS('Anlage 2b_Korrekturen'!$D:$D,'Anlage 2b_Korrekturen'!$H:$H,'LV Testat'!$H$4,'Anlage 2b_Korrekturen'!$C:$C,'LV Testat'!$D210,'Anlage 2b_Korrekturen'!$A:$A,'LV Testat'!C210)</f>
        <v>0</v>
      </c>
      <c r="J210" s="1041"/>
      <c r="K210" s="1139">
        <v>0</v>
      </c>
      <c r="L210" s="1119">
        <f>+SUMIFS('Anlage 2b_Korrekturen'!$D:$D,'Anlage 2b_Korrekturen'!$H:$H,'LV Testat'!$K$4,'Anlage 2b_Korrekturen'!$C:$C,'LV Testat'!$D210,'Anlage 2b_Korrekturen'!$A:$A,'LV Testat'!C210)</f>
        <v>0</v>
      </c>
      <c r="M210" s="1041"/>
      <c r="N210" s="1139">
        <v>0</v>
      </c>
      <c r="O210" s="1119">
        <f>+SUMIFS('Anlage 2b_Korrekturen'!$D:$D,'Anlage 2b_Korrekturen'!$H:$H,'LV Testat'!$N$4,'Anlage 2b_Korrekturen'!$C:$C,'LV Testat'!$D210,'Anlage 2b_Korrekturen'!$A:$A,'LV Testat'!C210)</f>
        <v>0</v>
      </c>
      <c r="P210" s="1041"/>
    </row>
    <row r="211" spans="1:16" hidden="1" outlineLevel="1">
      <c r="A211" s="1136"/>
      <c r="C211" s="1137">
        <f t="shared" si="6"/>
        <v>2022</v>
      </c>
      <c r="D211" s="1141" t="s">
        <v>2501</v>
      </c>
      <c r="E211" s="1139"/>
      <c r="F211" s="1119">
        <f>+SUMIFS('Anlage 2b_Korrekturen'!$D:$D,'Anlage 2b_Korrekturen'!$H:$H,'LV Testat'!$E$4,'Anlage 2b_Korrekturen'!$C:$C,'LV Testat'!$D211,'Anlage 2b_Korrekturen'!$A:$A,'LV Testat'!C211)</f>
        <v>0</v>
      </c>
      <c r="H211" s="1139"/>
      <c r="I211" s="1119">
        <f>+SUMIFS('Anlage 2b_Korrekturen'!$D:$D,'Anlage 2b_Korrekturen'!$H:$H,'LV Testat'!$H$4,'Anlage 2b_Korrekturen'!$C:$C,'LV Testat'!$D211,'Anlage 2b_Korrekturen'!$A:$A,'LV Testat'!C211)</f>
        <v>0</v>
      </c>
      <c r="J211" s="1041"/>
      <c r="K211" s="1139">
        <v>0</v>
      </c>
      <c r="L211" s="1119">
        <f>+SUMIFS('Anlage 2b_Korrekturen'!$D:$D,'Anlage 2b_Korrekturen'!$H:$H,'LV Testat'!$K$4,'Anlage 2b_Korrekturen'!$C:$C,'LV Testat'!$D211,'Anlage 2b_Korrekturen'!$A:$A,'LV Testat'!C211)</f>
        <v>0</v>
      </c>
      <c r="M211" s="1041"/>
      <c r="N211" s="1139">
        <v>0</v>
      </c>
      <c r="O211" s="1119">
        <f>+SUMIFS('Anlage 2b_Korrekturen'!$D:$D,'Anlage 2b_Korrekturen'!$H:$H,'LV Testat'!$N$4,'Anlage 2b_Korrekturen'!$C:$C,'LV Testat'!$D211,'Anlage 2b_Korrekturen'!$A:$A,'LV Testat'!C211)</f>
        <v>0</v>
      </c>
      <c r="P211" s="1041"/>
    </row>
    <row r="212" spans="1:16" hidden="1" outlineLevel="1">
      <c r="A212" s="1136"/>
      <c r="C212" s="1137">
        <f t="shared" si="6"/>
        <v>2022</v>
      </c>
      <c r="D212" s="1138" t="s">
        <v>2409</v>
      </c>
      <c r="E212" s="1139">
        <v>-73903</v>
      </c>
      <c r="F212" s="1119">
        <f>+SUMIFS('Anlage 2b_Korrekturen'!$D:$D,'Anlage 2b_Korrekturen'!$H:$H,'LV Testat'!$E$4,'Anlage 2b_Korrekturen'!$C:$C,'LV Testat'!$D212,'Anlage 2b_Korrekturen'!$A:$A,'LV Testat'!C212)</f>
        <v>-73903</v>
      </c>
      <c r="H212" s="1139">
        <v>-47485</v>
      </c>
      <c r="I212" s="1119">
        <f>+SUMIFS('Anlage 2b_Korrekturen'!$D:$D,'Anlage 2b_Korrekturen'!$H:$H,'LV Testat'!$H$4,'Anlage 2b_Korrekturen'!$C:$C,'LV Testat'!$D212,'Anlage 2b_Korrekturen'!$A:$A,'LV Testat'!C212)</f>
        <v>-47485</v>
      </c>
      <c r="J212" s="1041"/>
      <c r="K212" s="1139">
        <v>-68841</v>
      </c>
      <c r="L212" s="1119">
        <f>+SUMIFS('Anlage 2b_Korrekturen'!$D:$D,'Anlage 2b_Korrekturen'!$H:$H,'LV Testat'!$K$4,'Anlage 2b_Korrekturen'!$C:$C,'LV Testat'!$D212,'Anlage 2b_Korrekturen'!$A:$A,'LV Testat'!C212)</f>
        <v>-68841</v>
      </c>
      <c r="M212" s="1041"/>
      <c r="N212" s="1139">
        <v>-22935</v>
      </c>
      <c r="O212" s="1119">
        <f>+SUMIFS('Anlage 2b_Korrekturen'!$D:$D,'Anlage 2b_Korrekturen'!$H:$H,'LV Testat'!$N$4,'Anlage 2b_Korrekturen'!$C:$C,'LV Testat'!$D212,'Anlage 2b_Korrekturen'!$A:$A,'LV Testat'!C212)</f>
        <v>-22935</v>
      </c>
      <c r="P212" s="1041"/>
    </row>
    <row r="213" spans="1:16" hidden="1" outlineLevel="1">
      <c r="A213" s="1136"/>
      <c r="C213" s="1137">
        <f t="shared" si="6"/>
        <v>2022</v>
      </c>
      <c r="D213" s="1138" t="s">
        <v>2419</v>
      </c>
      <c r="E213" s="1139"/>
      <c r="F213" s="1119">
        <f>+SUMIFS('Anlage 2b_Korrekturen'!$D:$D,'Anlage 2b_Korrekturen'!$H:$H,'LV Testat'!$E$4,'Anlage 2b_Korrekturen'!$C:$C,'LV Testat'!$D213,'Anlage 2b_Korrekturen'!$A:$A,'LV Testat'!C213)</f>
        <v>0</v>
      </c>
      <c r="H213" s="1139"/>
      <c r="I213" s="1119">
        <f>+SUMIFS('Anlage 2b_Korrekturen'!$D:$D,'Anlage 2b_Korrekturen'!$H:$H,'LV Testat'!$H$4,'Anlage 2b_Korrekturen'!$C:$C,'LV Testat'!$D213,'Anlage 2b_Korrekturen'!$A:$A,'LV Testat'!C213)</f>
        <v>0</v>
      </c>
      <c r="J213" s="1041"/>
      <c r="K213" s="1139">
        <v>0</v>
      </c>
      <c r="L213" s="1119">
        <f>+SUMIFS('Anlage 2b_Korrekturen'!$D:$D,'Anlage 2b_Korrekturen'!$H:$H,'LV Testat'!$K$4,'Anlage 2b_Korrekturen'!$C:$C,'LV Testat'!$D213,'Anlage 2b_Korrekturen'!$A:$A,'LV Testat'!C213)</f>
        <v>0</v>
      </c>
      <c r="M213" s="1041"/>
      <c r="N213" s="1139">
        <v>0</v>
      </c>
      <c r="O213" s="1119">
        <f>+SUMIFS('Anlage 2b_Korrekturen'!$D:$D,'Anlage 2b_Korrekturen'!$H:$H,'LV Testat'!$N$4,'Anlage 2b_Korrekturen'!$C:$C,'LV Testat'!$D213,'Anlage 2b_Korrekturen'!$A:$A,'LV Testat'!C213)</f>
        <v>0</v>
      </c>
      <c r="P213" s="1041"/>
    </row>
    <row r="214" spans="1:16" hidden="1" outlineLevel="1">
      <c r="A214" s="1136"/>
      <c r="C214" s="1137">
        <f t="shared" si="6"/>
        <v>2022</v>
      </c>
      <c r="D214" s="1138" t="s">
        <v>2412</v>
      </c>
      <c r="E214" s="1139"/>
      <c r="F214" s="1119">
        <f>+SUMIFS('Anlage 2b_Korrekturen'!$D:$D,'Anlage 2b_Korrekturen'!$H:$H,'LV Testat'!$E$4,'Anlage 2b_Korrekturen'!$C:$C,'LV Testat'!$D214,'Anlage 2b_Korrekturen'!$A:$A,'LV Testat'!C214)</f>
        <v>0</v>
      </c>
      <c r="H214" s="1139"/>
      <c r="I214" s="1119">
        <f>+SUMIFS('Anlage 2b_Korrekturen'!$D:$D,'Anlage 2b_Korrekturen'!$H:$H,'LV Testat'!$H$4,'Anlage 2b_Korrekturen'!$C:$C,'LV Testat'!$D214,'Anlage 2b_Korrekturen'!$A:$A,'LV Testat'!C214)</f>
        <v>0</v>
      </c>
      <c r="J214" s="1041"/>
      <c r="K214" s="1139">
        <v>0</v>
      </c>
      <c r="L214" s="1119">
        <f>+SUMIFS('Anlage 2b_Korrekturen'!$D:$D,'Anlage 2b_Korrekturen'!$H:$H,'LV Testat'!$K$4,'Anlage 2b_Korrekturen'!$C:$C,'LV Testat'!$D214,'Anlage 2b_Korrekturen'!$A:$A,'LV Testat'!C214)</f>
        <v>0</v>
      </c>
      <c r="M214" s="1041"/>
      <c r="N214" s="1139">
        <v>0</v>
      </c>
      <c r="O214" s="1119">
        <f>+SUMIFS('Anlage 2b_Korrekturen'!$D:$D,'Anlage 2b_Korrekturen'!$H:$H,'LV Testat'!$N$4,'Anlage 2b_Korrekturen'!$C:$C,'LV Testat'!$D214,'Anlage 2b_Korrekturen'!$A:$A,'LV Testat'!C214)</f>
        <v>0</v>
      </c>
      <c r="P214" s="1041"/>
    </row>
    <row r="215" spans="1:16" hidden="1" outlineLevel="1">
      <c r="A215" s="1028"/>
      <c r="C215" s="1137">
        <f t="shared" si="6"/>
        <v>2022</v>
      </c>
      <c r="D215" s="1141" t="s">
        <v>2410</v>
      </c>
      <c r="E215" s="1139">
        <v>-123035</v>
      </c>
      <c r="F215" s="1119">
        <f>+SUMIFS('Anlage 2b_Korrekturen'!$D:$D,'Anlage 2b_Korrekturen'!$H:$H,'LV Testat'!$E$4,'Anlage 2b_Korrekturen'!$C:$C,'LV Testat'!$D215,'Anlage 2b_Korrekturen'!$A:$A,'LV Testat'!C215)</f>
        <v>-123035</v>
      </c>
      <c r="H215" s="1139">
        <v>18527105</v>
      </c>
      <c r="I215" s="1119">
        <f>+SUMIFS('Anlage 2b_Korrekturen'!$D:$D,'Anlage 2b_Korrekturen'!$H:$H,'LV Testat'!$H$4,'Anlage 2b_Korrekturen'!$C:$C,'LV Testat'!$D215,'Anlage 2b_Korrekturen'!$A:$A,'LV Testat'!C215)</f>
        <v>18527105</v>
      </c>
      <c r="J215" s="1041"/>
      <c r="K215" s="1139">
        <v>-212543</v>
      </c>
      <c r="L215" s="1119">
        <f>+SUMIFS('Anlage 2b_Korrekturen'!$D:$D,'Anlage 2b_Korrekturen'!$H:$H,'LV Testat'!$K$4,'Anlage 2b_Korrekturen'!$C:$C,'LV Testat'!$D215,'Anlage 2b_Korrekturen'!$A:$A,'LV Testat'!C215)</f>
        <v>-212543</v>
      </c>
      <c r="M215" s="1041"/>
      <c r="N215" s="1139">
        <v>-108754</v>
      </c>
      <c r="O215" s="1119">
        <f>+SUMIFS('Anlage 2b_Korrekturen'!$D:$D,'Anlage 2b_Korrekturen'!$H:$H,'LV Testat'!$N$4,'Anlage 2b_Korrekturen'!$C:$C,'LV Testat'!$D215,'Anlage 2b_Korrekturen'!$A:$A,'LV Testat'!C215)</f>
        <v>-108754</v>
      </c>
      <c r="P215" s="1041"/>
    </row>
    <row r="216" spans="1:16" ht="12" hidden="1" outlineLevel="1" thickBot="1">
      <c r="A216" s="1143"/>
      <c r="B216" s="1091"/>
      <c r="C216" s="1137">
        <f t="shared" si="6"/>
        <v>2022</v>
      </c>
      <c r="D216" s="1144" t="s">
        <v>2503</v>
      </c>
      <c r="E216" s="1124">
        <f>+SUM(E208:E215)</f>
        <v>13518833</v>
      </c>
      <c r="F216" s="1124">
        <f>+SUM(F208:F215)</f>
        <v>13518833</v>
      </c>
      <c r="G216" s="1091"/>
      <c r="H216" s="1124">
        <f>+SUM(H208:H215)</f>
        <v>-50354318</v>
      </c>
      <c r="I216" s="1124">
        <f>+SUM(I208:I215)</f>
        <v>-50354318</v>
      </c>
      <c r="J216" s="1121"/>
      <c r="K216" s="1124">
        <f>+SUM(K208:K215)</f>
        <v>76473121</v>
      </c>
      <c r="L216" s="1124">
        <f>+SUM(L208:L215)</f>
        <v>76473121.422999993</v>
      </c>
      <c r="M216" s="1121"/>
      <c r="N216" s="1124">
        <f>+SUM(N208:N215)</f>
        <v>86228912</v>
      </c>
      <c r="O216" s="1124">
        <f>+SUM(O208:O215)</f>
        <v>86228912</v>
      </c>
      <c r="P216" s="1121"/>
    </row>
    <row r="217" spans="1:16" ht="12" collapsed="1" thickBot="1">
      <c r="A217" s="1013" t="s">
        <v>2504</v>
      </c>
      <c r="B217" s="1001"/>
      <c r="C217" s="1001"/>
      <c r="D217" s="1002"/>
      <c r="E217" s="1001"/>
      <c r="F217" s="1017" t="str">
        <f>+"Check Saldierungsbetrag NT "&amp;C225</f>
        <v>Check Saldierungsbetrag NT 2022</v>
      </c>
      <c r="G217" s="1018">
        <f>+SUM(E220:G222)-SUM(E225:G227)</f>
        <v>0</v>
      </c>
      <c r="H217" s="1000"/>
      <c r="I217" s="1017" t="str">
        <f>+"Check Saldierungsbetrag NT "&amp;C225</f>
        <v>Check Saldierungsbetrag NT 2022</v>
      </c>
      <c r="J217" s="1018">
        <f>+SUM(H220:J222)-SUM(H225:J227)</f>
        <v>0</v>
      </c>
      <c r="K217" s="1000"/>
      <c r="L217" s="1017" t="str">
        <f>+"Check Saldierungsbetrag NT "&amp;C225</f>
        <v>Check Saldierungsbetrag NT 2022</v>
      </c>
      <c r="M217" s="1018">
        <f>+SUM(K220:M222)-SUM(K225:M227)</f>
        <v>0</v>
      </c>
      <c r="N217" s="1000"/>
      <c r="O217" s="1017" t="str">
        <f>+"Check Saldierungsbetrag NT "&amp;C225</f>
        <v>Check Saldierungsbetrag NT 2022</v>
      </c>
      <c r="P217" s="1018">
        <f>+SUM(N220:P222)-SUM(N225:P227)</f>
        <v>0</v>
      </c>
    </row>
    <row r="218" spans="1:16" ht="12" hidden="1" outlineLevel="1" thickBot="1">
      <c r="A218" s="1028"/>
      <c r="D218" s="1041"/>
      <c r="E218" s="1012"/>
      <c r="G218" s="1041"/>
      <c r="H218" s="1028"/>
      <c r="J218" s="1041"/>
      <c r="K218" s="1028"/>
      <c r="M218" s="1041"/>
      <c r="N218" s="1028"/>
      <c r="P218" s="1041"/>
    </row>
    <row r="219" spans="1:16" ht="33.75" hidden="1" outlineLevel="1">
      <c r="A219" s="1028"/>
      <c r="D219" s="1030" t="s">
        <v>2506</v>
      </c>
      <c r="E219" s="1145" t="s">
        <v>2499</v>
      </c>
      <c r="F219" s="1146" t="s">
        <v>2507</v>
      </c>
      <c r="G219" s="1147" t="s">
        <v>2508</v>
      </c>
      <c r="H219" s="1148" t="s">
        <v>2499</v>
      </c>
      <c r="I219" s="1146" t="s">
        <v>2507</v>
      </c>
      <c r="J219" s="1147" t="s">
        <v>2508</v>
      </c>
      <c r="K219" s="1148" t="s">
        <v>2499</v>
      </c>
      <c r="L219" s="1146" t="s">
        <v>2507</v>
      </c>
      <c r="M219" s="1147" t="s">
        <v>2508</v>
      </c>
      <c r="N219" s="1148" t="s">
        <v>2499</v>
      </c>
      <c r="O219" s="1146" t="s">
        <v>2507</v>
      </c>
      <c r="P219" s="1147" t="s">
        <v>2508</v>
      </c>
    </row>
    <row r="220" spans="1:16" hidden="1" outlineLevel="1">
      <c r="A220" s="1028"/>
      <c r="D220" s="1050" t="s">
        <v>2411</v>
      </c>
      <c r="E220" s="1051">
        <v>0</v>
      </c>
      <c r="F220" s="1101">
        <v>0</v>
      </c>
      <c r="G220" s="1102">
        <v>0</v>
      </c>
      <c r="H220" s="1070">
        <v>0</v>
      </c>
      <c r="I220" s="1067">
        <v>0</v>
      </c>
      <c r="J220" s="1068">
        <v>0</v>
      </c>
      <c r="K220" s="1068">
        <v>0</v>
      </c>
      <c r="L220" s="1068">
        <v>0</v>
      </c>
      <c r="M220" s="1068">
        <v>0</v>
      </c>
      <c r="N220" s="1070">
        <v>0</v>
      </c>
      <c r="O220" s="1067">
        <v>0</v>
      </c>
      <c r="P220" s="1068">
        <v>0</v>
      </c>
    </row>
    <row r="221" spans="1:16" hidden="1" outlineLevel="1">
      <c r="A221" s="1028"/>
      <c r="D221" s="1050" t="s">
        <v>2375</v>
      </c>
      <c r="E221" s="1051"/>
      <c r="F221" s="1101"/>
      <c r="G221" s="1102"/>
      <c r="H221" s="1070"/>
      <c r="I221" s="1067"/>
      <c r="J221" s="1068"/>
      <c r="K221" s="1068">
        <v>0</v>
      </c>
      <c r="L221" s="1068">
        <v>0</v>
      </c>
      <c r="M221" s="1068">
        <v>0</v>
      </c>
      <c r="N221" s="1070">
        <v>0</v>
      </c>
      <c r="O221" s="1067">
        <v>0</v>
      </c>
      <c r="P221" s="1068">
        <v>0</v>
      </c>
    </row>
    <row r="222" spans="1:16" ht="12" hidden="1" outlineLevel="1" thickBot="1">
      <c r="A222" s="1028"/>
      <c r="D222" s="1050" t="s">
        <v>2431</v>
      </c>
      <c r="E222" s="1149"/>
      <c r="F222" s="1169"/>
      <c r="G222" s="1170"/>
      <c r="H222" s="1171"/>
      <c r="I222" s="1172"/>
      <c r="J222" s="1173"/>
      <c r="K222" s="1068">
        <v>0</v>
      </c>
      <c r="L222" s="1068">
        <v>0</v>
      </c>
      <c r="M222" s="1068">
        <v>0</v>
      </c>
      <c r="N222" s="1171">
        <v>0</v>
      </c>
      <c r="O222" s="1172">
        <v>0</v>
      </c>
      <c r="P222" s="1173">
        <v>0</v>
      </c>
    </row>
    <row r="223" spans="1:16" ht="12" hidden="1" outlineLevel="1" thickBot="1">
      <c r="A223" s="1028"/>
      <c r="D223" s="1041"/>
      <c r="F223" s="1847"/>
      <c r="G223" s="1848"/>
      <c r="H223" s="1028"/>
      <c r="I223" s="1012"/>
      <c r="J223" s="1122"/>
      <c r="K223" s="1028"/>
      <c r="L223" s="1012"/>
      <c r="M223" s="1122"/>
      <c r="N223" s="1028"/>
      <c r="O223" s="1012"/>
      <c r="P223" s="1122"/>
    </row>
    <row r="224" spans="1:16" ht="33.75" hidden="1" outlineLevel="1">
      <c r="A224" s="1028"/>
      <c r="D224" s="1099" t="s">
        <v>2506</v>
      </c>
      <c r="E224" s="1152" t="s">
        <v>2499</v>
      </c>
      <c r="F224" s="1153" t="s">
        <v>2507</v>
      </c>
      <c r="G224" s="1154" t="s">
        <v>2508</v>
      </c>
      <c r="H224" s="1148" t="s">
        <v>2499</v>
      </c>
      <c r="I224" s="1146" t="s">
        <v>2507</v>
      </c>
      <c r="J224" s="1147" t="s">
        <v>2508</v>
      </c>
      <c r="K224" s="1148" t="s">
        <v>2499</v>
      </c>
      <c r="L224" s="1146" t="s">
        <v>2507</v>
      </c>
      <c r="M224" s="1147" t="s">
        <v>2508</v>
      </c>
      <c r="N224" s="1148" t="s">
        <v>2499</v>
      </c>
      <c r="O224" s="1146" t="s">
        <v>2507</v>
      </c>
      <c r="P224" s="1147" t="s">
        <v>2508</v>
      </c>
    </row>
    <row r="225" spans="1:16" hidden="1" outlineLevel="1">
      <c r="A225" s="1028"/>
      <c r="C225" s="1137">
        <f>+A204</f>
        <v>2022</v>
      </c>
      <c r="D225" s="1050" t="s">
        <v>2411</v>
      </c>
      <c r="E225" s="1105">
        <f>+SUMIFS('Anlage 2b_Korrekturen'!$D:$D,'Anlage 2b_Korrekturen'!$H:$H,'LV Testat'!$E$4,'Anlage 2b_Korrekturen'!$C:$C,'LV Testat'!$D225,'Anlage 2b_Korrekturen'!$A:$A,C225)</f>
        <v>0</v>
      </c>
      <c r="F225" s="1119">
        <f>+SUMIFS('Anlage 2b_Korrekturen'!$E:$E,'Anlage 2b_Korrekturen'!$H:$H,'LV Testat'!$E$4,'Anlage 2b_Korrekturen'!$C:$C,'LV Testat'!$D225,'Anlage 2b_Korrekturen'!$A:$A,C225)</f>
        <v>0</v>
      </c>
      <c r="G225" s="1123">
        <f>+SUMIFS('Anlage 2b_Korrekturen'!$F:$F,'Anlage 2b_Korrekturen'!$H:$H,'LV Testat'!$E$4,'Anlage 2b_Korrekturen'!$C:$C,'LV Testat'!$D225,'Anlage 2b_Korrekturen'!$A:$A,C225)</f>
        <v>0</v>
      </c>
      <c r="H225" s="1105">
        <f>+SUMIFS('Anlage 2b_Korrekturen'!$D:$D,'Anlage 2b_Korrekturen'!$H:$H,'LV Testat'!$H$4,'Anlage 2b_Korrekturen'!$C:$C,'LV Testat'!$D225,'Anlage 2b_Korrekturen'!$A:$A,C225)</f>
        <v>0</v>
      </c>
      <c r="I225" s="1119">
        <f>+SUMIFS('Anlage 2b_Korrekturen'!$E:$E,'Anlage 2b_Korrekturen'!$H:$H,'LV Testat'!$H$4,'Anlage 2b_Korrekturen'!$C:$C,'LV Testat'!$D225,'Anlage 2b_Korrekturen'!$A:$A,C225)</f>
        <v>0</v>
      </c>
      <c r="J225" s="1123">
        <f>+SUMIFS('Anlage 2b_Korrekturen'!$F:$F,'Anlage 2b_Korrekturen'!$H:$H,'LV Testat'!$H$4,'Anlage 2b_Korrekturen'!$C:$C,'LV Testat'!$D225,'Anlage 2b_Korrekturen'!$A:$A,C225)</f>
        <v>0</v>
      </c>
      <c r="K225" s="1105">
        <f>+SUMIFS('Anlage 2b_Korrekturen'!$D:$D,'Anlage 2b_Korrekturen'!$H:$H,'LV Testat'!$K$4,'Anlage 2b_Korrekturen'!$C:$C,'LV Testat'!$D225,'Anlage 2b_Korrekturen'!$A:$A,C225)</f>
        <v>0</v>
      </c>
      <c r="L225" s="1119">
        <f>+SUMIFS('Anlage 2b_Korrekturen'!$E:$E,'Anlage 2b_Korrekturen'!$H:$H,'LV Testat'!$K$4,'Anlage 2b_Korrekturen'!$C:$C,'LV Testat'!$D225,'Anlage 2b_Korrekturen'!$A:$A,C225)</f>
        <v>0</v>
      </c>
      <c r="M225" s="1123">
        <f>+SUMIFS('Anlage 2b_Korrekturen'!$F:$F,'Anlage 2b_Korrekturen'!$H:$H,'LV Testat'!$K$4,'Anlage 2b_Korrekturen'!$C:$C,'LV Testat'!$D225,'Anlage 2b_Korrekturen'!$A:$A,C225)</f>
        <v>0</v>
      </c>
      <c r="N225" s="1105">
        <f>+SUMIFS('Anlage 2b_Korrekturen'!$D:$D,'Anlage 2b_Korrekturen'!$H:$H,'LV Testat'!$N$4,'Anlage 2b_Korrekturen'!$C:$C,'LV Testat'!$D225,'Anlage 2b_Korrekturen'!$A:$A,C225)</f>
        <v>0</v>
      </c>
      <c r="O225" s="1119">
        <f>+SUMIFS('Anlage 2b_Korrekturen'!$E:$E,'Anlage 2b_Korrekturen'!$H:$H,'LV Testat'!$N$4,'Anlage 2b_Korrekturen'!$C:$C,'LV Testat'!$D225,'Anlage 2b_Korrekturen'!$A:$A,C225)</f>
        <v>0</v>
      </c>
      <c r="P225" s="1123">
        <f>+SUMIFS('Anlage 2b_Korrekturen'!$F:$F,'Anlage 2b_Korrekturen'!$H:$H,'LV Testat'!$N$4,'Anlage 2b_Korrekturen'!$C:$C,'LV Testat'!$D225,'Anlage 2b_Korrekturen'!$A:$A,C225)</f>
        <v>0</v>
      </c>
    </row>
    <row r="226" spans="1:16" hidden="1" outlineLevel="1">
      <c r="A226" s="1028"/>
      <c r="C226" s="1137">
        <f>+C225</f>
        <v>2022</v>
      </c>
      <c r="D226" s="1050" t="s">
        <v>2375</v>
      </c>
      <c r="E226" s="1105">
        <f>+SUMIFS('Anlage 2b_Korrekturen'!$D:$D,'Anlage 2b_Korrekturen'!$H:$H,'LV Testat'!$E$4,'Anlage 2b_Korrekturen'!$C:$C,'LV Testat'!$D226,'Anlage 2b_Korrekturen'!$A:$A,C226)</f>
        <v>0</v>
      </c>
      <c r="F226" s="1119">
        <f>+SUMIFS('Anlage 2b_Korrekturen'!$E:$E,'Anlage 2b_Korrekturen'!$H:$H,'LV Testat'!$E$4,'Anlage 2b_Korrekturen'!$C:$C,'LV Testat'!$D226,'Anlage 2b_Korrekturen'!$A:$A,C226)</f>
        <v>0</v>
      </c>
      <c r="G226" s="1123">
        <f>+SUMIFS('Anlage 2b_Korrekturen'!$F:$F,'Anlage 2b_Korrekturen'!$H:$H,'LV Testat'!$E$4,'Anlage 2b_Korrekturen'!$C:$C,'LV Testat'!$D226,'Anlage 2b_Korrekturen'!$A:$A,C226)</f>
        <v>0</v>
      </c>
      <c r="H226" s="1105">
        <f>+SUMIFS('Anlage 2b_Korrekturen'!$D:$D,'Anlage 2b_Korrekturen'!$H:$H,'LV Testat'!$H$4,'Anlage 2b_Korrekturen'!$C:$C,'LV Testat'!$D226,'Anlage 2b_Korrekturen'!$A:$A,C226)</f>
        <v>0</v>
      </c>
      <c r="I226" s="1119">
        <f>+SUMIFS('Anlage 2b_Korrekturen'!$E:$E,'Anlage 2b_Korrekturen'!$H:$H,'LV Testat'!$H$4,'Anlage 2b_Korrekturen'!$C:$C,'LV Testat'!$D226,'Anlage 2b_Korrekturen'!$A:$A,C226)</f>
        <v>0</v>
      </c>
      <c r="J226" s="1123">
        <f>+SUMIFS('Anlage 2b_Korrekturen'!$F:$F,'Anlage 2b_Korrekturen'!$H:$H,'LV Testat'!$H$4,'Anlage 2b_Korrekturen'!$C:$C,'LV Testat'!$D226,'Anlage 2b_Korrekturen'!$A:$A,C226)</f>
        <v>0</v>
      </c>
      <c r="K226" s="1105">
        <f>+SUMIFS('Anlage 2b_Korrekturen'!$D:$D,'Anlage 2b_Korrekturen'!$H:$H,'LV Testat'!$K$4,'Anlage 2b_Korrekturen'!$C:$C,'LV Testat'!$D226,'Anlage 2b_Korrekturen'!$A:$A,C226)</f>
        <v>0</v>
      </c>
      <c r="L226" s="1119">
        <f>+SUMIFS('Anlage 2b_Korrekturen'!$E:$E,'Anlage 2b_Korrekturen'!$H:$H,'LV Testat'!$K$4,'Anlage 2b_Korrekturen'!$C:$C,'LV Testat'!$D226,'Anlage 2b_Korrekturen'!$A:$A,C226)</f>
        <v>0</v>
      </c>
      <c r="M226" s="1123">
        <f>+SUMIFS('Anlage 2b_Korrekturen'!$F:$F,'Anlage 2b_Korrekturen'!$H:$H,'LV Testat'!$K$4,'Anlage 2b_Korrekturen'!$C:$C,'LV Testat'!$D226,'Anlage 2b_Korrekturen'!$A:$A,C226)</f>
        <v>0</v>
      </c>
      <c r="N226" s="1105">
        <f>+SUMIFS('Anlage 2b_Korrekturen'!$D:$D,'Anlage 2b_Korrekturen'!$H:$H,'LV Testat'!$N$4,'Anlage 2b_Korrekturen'!$C:$C,'LV Testat'!$D226,'Anlage 2b_Korrekturen'!$A:$A,C226)</f>
        <v>0</v>
      </c>
      <c r="O226" s="1119">
        <f>+SUMIFS('Anlage 2b_Korrekturen'!$E:$E,'Anlage 2b_Korrekturen'!$H:$H,'LV Testat'!$N$4,'Anlage 2b_Korrekturen'!$C:$C,'LV Testat'!$D226,'Anlage 2b_Korrekturen'!$A:$A,C226)</f>
        <v>0</v>
      </c>
      <c r="P226" s="1123">
        <f>+SUMIFS('Anlage 2b_Korrekturen'!$F:$F,'Anlage 2b_Korrekturen'!$H:$H,'LV Testat'!$N$4,'Anlage 2b_Korrekturen'!$C:$C,'LV Testat'!$D226,'Anlage 2b_Korrekturen'!$A:$A,C226)</f>
        <v>0</v>
      </c>
    </row>
    <row r="227" spans="1:16" ht="12" hidden="1" outlineLevel="1" thickBot="1">
      <c r="A227" s="1090"/>
      <c r="B227" s="1091"/>
      <c r="C227" s="1137">
        <f>+C226</f>
        <v>2022</v>
      </c>
      <c r="D227" s="1062" t="s">
        <v>2431</v>
      </c>
      <c r="E227" s="1105">
        <f>+SUMIFS('Anlage 2b_Korrekturen'!$D:$D,'Anlage 2b_Korrekturen'!$H:$H,'LV Testat'!$E$4,'Anlage 2b_Korrekturen'!$C:$C,'LV Testat'!$D227,'Anlage 2b_Korrekturen'!$A:$A,C227)</f>
        <v>0</v>
      </c>
      <c r="F227" s="1119">
        <f>+SUMIFS('Anlage 2b_Korrekturen'!$E:$E,'Anlage 2b_Korrekturen'!$H:$H,'LV Testat'!$E$4,'Anlage 2b_Korrekturen'!$C:$C,'LV Testat'!$D227,'Anlage 2b_Korrekturen'!$A:$A,C227)</f>
        <v>0</v>
      </c>
      <c r="G227" s="1123">
        <f>+SUMIFS('Anlage 2b_Korrekturen'!$F:$F,'Anlage 2b_Korrekturen'!$H:$H,'LV Testat'!$E$4,'Anlage 2b_Korrekturen'!$C:$C,'LV Testat'!$D227,'Anlage 2b_Korrekturen'!$A:$A,C227)</f>
        <v>0</v>
      </c>
      <c r="H227" s="1105">
        <f>+SUMIFS('Anlage 2b_Korrekturen'!$D:$D,'Anlage 2b_Korrekturen'!$H:$H,'LV Testat'!$H$4,'Anlage 2b_Korrekturen'!$C:$C,'LV Testat'!$D227,'Anlage 2b_Korrekturen'!$A:$A,C227)</f>
        <v>0</v>
      </c>
      <c r="I227" s="1119">
        <f>+SUMIFS('Anlage 2b_Korrekturen'!$E:$E,'Anlage 2b_Korrekturen'!$H:$H,'LV Testat'!$H$4,'Anlage 2b_Korrekturen'!$C:$C,'LV Testat'!$D227,'Anlage 2b_Korrekturen'!$A:$A,C227)</f>
        <v>0</v>
      </c>
      <c r="J227" s="1123">
        <f>+SUMIFS('Anlage 2b_Korrekturen'!$F:$F,'Anlage 2b_Korrekturen'!$H:$H,'LV Testat'!$H$4,'Anlage 2b_Korrekturen'!$C:$C,'LV Testat'!$D227,'Anlage 2b_Korrekturen'!$A:$A,C227)</f>
        <v>0</v>
      </c>
      <c r="K227" s="1105">
        <f>+SUMIFS('Anlage 2b_Korrekturen'!$D:$D,'Anlage 2b_Korrekturen'!$H:$H,'LV Testat'!$K$4,'Anlage 2b_Korrekturen'!$C:$C,'LV Testat'!$D227,'Anlage 2b_Korrekturen'!$A:$A,C227)</f>
        <v>0</v>
      </c>
      <c r="L227" s="1119">
        <f>+SUMIFS('Anlage 2b_Korrekturen'!$E:$E,'Anlage 2b_Korrekturen'!$H:$H,'LV Testat'!$K$4,'Anlage 2b_Korrekturen'!$C:$C,'LV Testat'!$D227,'Anlage 2b_Korrekturen'!$A:$A,C227)</f>
        <v>0</v>
      </c>
      <c r="M227" s="1123">
        <f>+SUMIFS('Anlage 2b_Korrekturen'!$F:$F,'Anlage 2b_Korrekturen'!$H:$H,'LV Testat'!$K$4,'Anlage 2b_Korrekturen'!$C:$C,'LV Testat'!$D227,'Anlage 2b_Korrekturen'!$A:$A,C227)</f>
        <v>0</v>
      </c>
      <c r="N227" s="1105">
        <f>+SUMIFS('Anlage 2b_Korrekturen'!$D:$D,'Anlage 2b_Korrekturen'!$H:$H,'LV Testat'!$N$4,'Anlage 2b_Korrekturen'!$C:$C,'LV Testat'!$D227,'Anlage 2b_Korrekturen'!$A:$A,C227)</f>
        <v>0</v>
      </c>
      <c r="O227" s="1119">
        <f>+SUMIFS('Anlage 2b_Korrekturen'!$E:$E,'Anlage 2b_Korrekturen'!$H:$H,'LV Testat'!$N$4,'Anlage 2b_Korrekturen'!$C:$C,'LV Testat'!$D227,'Anlage 2b_Korrekturen'!$A:$A,C227)</f>
        <v>0</v>
      </c>
      <c r="P227" s="1123">
        <f>+SUMIFS('Anlage 2b_Korrekturen'!$F:$F,'Anlage 2b_Korrekturen'!$H:$H,'LV Testat'!$N$4,'Anlage 2b_Korrekturen'!$C:$C,'LV Testat'!$D227,'Anlage 2b_Korrekturen'!$A:$A,C227)</f>
        <v>0</v>
      </c>
    </row>
    <row r="228" spans="1:16" ht="12" collapsed="1" thickBot="1">
      <c r="A228" s="1013" t="s">
        <v>2535</v>
      </c>
      <c r="B228" s="1001"/>
      <c r="C228" s="1001"/>
      <c r="D228" s="1002"/>
      <c r="E228" s="1001"/>
      <c r="F228" s="1017" t="str">
        <f>+"Check Verstoß VNB NT "&amp;C235</f>
        <v>Check Verstoß VNB NT 2022</v>
      </c>
      <c r="G228" s="1018">
        <f>+SUM(E235:G236)-SUM(E231:G232)</f>
        <v>0</v>
      </c>
      <c r="H228" s="1000"/>
      <c r="I228" s="1017" t="str">
        <f>+"Check Verstoß VNB NT "&amp;C235</f>
        <v>Check Verstoß VNB NT 2022</v>
      </c>
      <c r="J228" s="1018">
        <f>+SUM(H231:J232)-SUM(H235:J236)</f>
        <v>0</v>
      </c>
      <c r="K228" s="1000"/>
      <c r="L228" s="1017" t="str">
        <f>+"Check Verstoß VNB NT "&amp;C235</f>
        <v>Check Verstoß VNB NT 2022</v>
      </c>
      <c r="M228" s="1018">
        <f>+SUM(K231:M232)-SUM(K235:M236)</f>
        <v>0</v>
      </c>
      <c r="N228" s="1000"/>
      <c r="O228" s="1017" t="str">
        <f>+"Check Verstoß VNB NT "&amp;C235</f>
        <v>Check Verstoß VNB NT 2022</v>
      </c>
      <c r="P228" s="1018">
        <f>+SUM(N231:P232)-SUM(N235:P236)</f>
        <v>0</v>
      </c>
    </row>
    <row r="229" spans="1:16" ht="12" hidden="1" outlineLevel="1" thickBot="1">
      <c r="A229" s="1028"/>
      <c r="D229" s="1041"/>
      <c r="G229" s="1041"/>
      <c r="H229" s="1028"/>
      <c r="J229" s="1041"/>
      <c r="K229" s="1028"/>
      <c r="M229" s="1041"/>
      <c r="N229" s="1028"/>
      <c r="P229" s="1041"/>
    </row>
    <row r="230" spans="1:16" ht="33.75" hidden="1" outlineLevel="1">
      <c r="A230" s="1028"/>
      <c r="D230" s="1099" t="s">
        <v>2511</v>
      </c>
      <c r="E230" s="1155" t="s">
        <v>2512</v>
      </c>
      <c r="F230" s="1146" t="s">
        <v>2507</v>
      </c>
      <c r="G230" s="1147" t="s">
        <v>2508</v>
      </c>
      <c r="H230" s="1156" t="s">
        <v>2512</v>
      </c>
      <c r="I230" s="1146" t="s">
        <v>2507</v>
      </c>
      <c r="J230" s="1147" t="s">
        <v>2508</v>
      </c>
      <c r="K230" s="1156" t="s">
        <v>2512</v>
      </c>
      <c r="L230" s="1146" t="s">
        <v>2507</v>
      </c>
      <c r="M230" s="1147" t="s">
        <v>2508</v>
      </c>
      <c r="N230" s="1156" t="s">
        <v>2512</v>
      </c>
      <c r="O230" s="1146" t="s">
        <v>2507</v>
      </c>
      <c r="P230" s="1147" t="s">
        <v>2508</v>
      </c>
    </row>
    <row r="231" spans="1:16" hidden="1" outlineLevel="1">
      <c r="A231" s="1028"/>
      <c r="D231" s="1066" t="s">
        <v>2513</v>
      </c>
      <c r="E231" s="1100"/>
      <c r="F231" s="1101"/>
      <c r="G231" s="1102"/>
      <c r="H231" s="1069"/>
      <c r="I231" s="1067"/>
      <c r="J231" s="1068"/>
      <c r="K231" s="1068">
        <v>0</v>
      </c>
      <c r="L231" s="1068">
        <v>0</v>
      </c>
      <c r="M231" s="1068">
        <v>0</v>
      </c>
      <c r="N231" s="1069">
        <v>0</v>
      </c>
      <c r="O231" s="1067">
        <v>0</v>
      </c>
      <c r="P231" s="1068">
        <v>0</v>
      </c>
    </row>
    <row r="232" spans="1:16" ht="12" hidden="1" outlineLevel="1" thickBot="1">
      <c r="A232" s="1028"/>
      <c r="D232" s="1066" t="s">
        <v>2514</v>
      </c>
      <c r="E232" s="1149"/>
      <c r="F232" s="1169"/>
      <c r="G232" s="1170"/>
      <c r="H232" s="1171"/>
      <c r="I232" s="1172"/>
      <c r="J232" s="1173"/>
      <c r="K232" s="1068">
        <v>0</v>
      </c>
      <c r="L232" s="1068">
        <v>0</v>
      </c>
      <c r="M232" s="1068">
        <v>0</v>
      </c>
      <c r="N232" s="1171">
        <v>0</v>
      </c>
      <c r="O232" s="1172">
        <v>0</v>
      </c>
      <c r="P232" s="1173">
        <v>0</v>
      </c>
    </row>
    <row r="233" spans="1:16" ht="12" hidden="1" outlineLevel="1" thickBot="1">
      <c r="A233" s="1028"/>
      <c r="D233" s="1041"/>
      <c r="G233" s="1041"/>
      <c r="H233" s="1028"/>
      <c r="J233" s="1041"/>
      <c r="K233" s="1028"/>
      <c r="M233" s="1041"/>
      <c r="N233" s="1028"/>
      <c r="P233" s="1041"/>
    </row>
    <row r="234" spans="1:16" ht="33.75" hidden="1" outlineLevel="1">
      <c r="A234" s="1028"/>
      <c r="D234" s="1099" t="s">
        <v>2511</v>
      </c>
      <c r="E234" s="1155" t="s">
        <v>2512</v>
      </c>
      <c r="F234" s="1146" t="s">
        <v>2507</v>
      </c>
      <c r="G234" s="1147" t="s">
        <v>2508</v>
      </c>
      <c r="H234" s="1156" t="s">
        <v>2512</v>
      </c>
      <c r="I234" s="1146" t="s">
        <v>2507</v>
      </c>
      <c r="J234" s="1147" t="s">
        <v>2508</v>
      </c>
      <c r="K234" s="1156" t="s">
        <v>2512</v>
      </c>
      <c r="L234" s="1146" t="s">
        <v>2507</v>
      </c>
      <c r="M234" s="1147" t="s">
        <v>2508</v>
      </c>
      <c r="N234" s="1156" t="s">
        <v>2512</v>
      </c>
      <c r="O234" s="1146" t="s">
        <v>2507</v>
      </c>
      <c r="P234" s="1147" t="s">
        <v>2508</v>
      </c>
    </row>
    <row r="235" spans="1:16" hidden="1" outlineLevel="1">
      <c r="A235" s="1028"/>
      <c r="B235" s="1071"/>
      <c r="C235" s="1137">
        <f>+A204</f>
        <v>2022</v>
      </c>
      <c r="D235" s="1066" t="s">
        <v>2513</v>
      </c>
      <c r="E235" s="1105">
        <f>+SUMIFS('Anlage 2b_Korrekturen'!$D:$D,'Anlage 2b_Korrekturen'!$H:$H,'LV Testat'!$E$4,'Anlage 2b_Korrekturen'!$C:$C,'LV Testat'!$D235,'Anlage 2b_Korrekturen'!$A:$A,C235)</f>
        <v>0</v>
      </c>
      <c r="F235" s="1119">
        <f>+SUMIFS('Anlage 2b_Korrekturen'!$E:$E,'Anlage 2b_Korrekturen'!$H:$H,'LV Testat'!$E$4,'Anlage 2b_Korrekturen'!$C:$C,'LV Testat'!$D235,'Anlage 2b_Korrekturen'!$A:$A,C235)</f>
        <v>0</v>
      </c>
      <c r="G235" s="1123">
        <f>+SUMIFS('Anlage 2b_Korrekturen'!$F:$F,'Anlage 2b_Korrekturen'!$H:$H,'LV Testat'!$E$4,'Anlage 2b_Korrekturen'!$C:$C,'LV Testat'!$D235,'Anlage 2b_Korrekturen'!$A:$A,C235)</f>
        <v>0</v>
      </c>
      <c r="H235" s="1105">
        <f>+SUMIFS('Anlage 2b_Korrekturen'!$D:$D,'Anlage 2b_Korrekturen'!$H:$H,'LV Testat'!$H$4,'Anlage 2b_Korrekturen'!$C:$C,'LV Testat'!$D235,'Anlage 2b_Korrekturen'!$A:$A,B235)</f>
        <v>0</v>
      </c>
      <c r="I235" s="1119">
        <f>+SUMIFS('Anlage 2b_Korrekturen'!$E:$E,'Anlage 2b_Korrekturen'!$H:$H,'LV Testat'!$H$4,'Anlage 2b_Korrekturen'!$C:$C,'LV Testat'!$D235,'Anlage 2b_Korrekturen'!$A:$A,C235)</f>
        <v>0</v>
      </c>
      <c r="J235" s="1123">
        <f>+SUMIFS('Anlage 2b_Korrekturen'!$F:$F,'Anlage 2b_Korrekturen'!$H:$H,'LV Testat'!$H$4,'Anlage 2b_Korrekturen'!$C:$C,'LV Testat'!$D235,'Anlage 2b_Korrekturen'!$A:$A,C235)</f>
        <v>0</v>
      </c>
      <c r="K235" s="1105">
        <f>+SUMIFS('Anlage 2b_Korrekturen'!$D:$D,'Anlage 2b_Korrekturen'!$H:$H,'LV Testat'!$K$4,'Anlage 2b_Korrekturen'!$C:$C,'LV Testat'!$D235,'Anlage 2b_Korrekturen'!$A:$A,C235)</f>
        <v>0</v>
      </c>
      <c r="L235" s="1119">
        <f>+SUMIFS('Anlage 2b_Korrekturen'!$E:$E,'Anlage 2b_Korrekturen'!$H:$H,'LV Testat'!$K$4,'Anlage 2b_Korrekturen'!$C:$C,'LV Testat'!$D235,'Anlage 2b_Korrekturen'!$A:$A,C235)</f>
        <v>0</v>
      </c>
      <c r="M235" s="1123">
        <f>+SUMIFS('Anlage 2b_Korrekturen'!$F:$F,'Anlage 2b_Korrekturen'!$H:$H,'LV Testat'!$K$4,'Anlage 2b_Korrekturen'!$C:$C,'LV Testat'!$D235,'Anlage 2b_Korrekturen'!$A:$A,C235)</f>
        <v>0</v>
      </c>
      <c r="N235" s="1105">
        <f>+SUMIFS('Anlage 2b_Korrekturen'!$D:$D,'Anlage 2b_Korrekturen'!$H:$H,'LV Testat'!$N$4,'Anlage 2b_Korrekturen'!$C:$C,'LV Testat'!$D235,'Anlage 2b_Korrekturen'!$A:$A,C235)</f>
        <v>0</v>
      </c>
      <c r="O235" s="1119">
        <f>+SUMIFS('Anlage 2b_Korrekturen'!$E:$E,'Anlage 2b_Korrekturen'!$H:$H,'LV Testat'!$N$4,'Anlage 2b_Korrekturen'!$C:$C,'LV Testat'!$D235,'Anlage 2b_Korrekturen'!$A:$A,C235)</f>
        <v>0</v>
      </c>
      <c r="P235" s="1123">
        <f>+SUMIFS('Anlage 2b_Korrekturen'!$F:$F,'Anlage 2b_Korrekturen'!$H:$H,'LV Testat'!$N$4,'Anlage 2b_Korrekturen'!$C:$C,'LV Testat'!$D235,'Anlage 2b_Korrekturen'!$A:$A,C235)</f>
        <v>0</v>
      </c>
    </row>
    <row r="236" spans="1:16" ht="12" hidden="1" outlineLevel="1" thickBot="1">
      <c r="A236" s="1090"/>
      <c r="B236" s="1092"/>
      <c r="C236" s="1137">
        <f>+C235</f>
        <v>2022</v>
      </c>
      <c r="D236" s="1158" t="s">
        <v>2514</v>
      </c>
      <c r="E236" s="1105">
        <f>+SUMIFS('Anlage 2b_Korrekturen'!$D:$D,'Anlage 2b_Korrekturen'!$H:$H,'LV Testat'!$E$4,'Anlage 2b_Korrekturen'!$C:$C,'LV Testat'!$D236,'Anlage 2b_Korrekturen'!$A:$A,C236)</f>
        <v>0</v>
      </c>
      <c r="F236" s="1119">
        <f>+SUMIFS('Anlage 2b_Korrekturen'!$E:$E,'Anlage 2b_Korrekturen'!$H:$H,'LV Testat'!$E$4,'Anlage 2b_Korrekturen'!$C:$C,'LV Testat'!$D236,'Anlage 2b_Korrekturen'!$A:$A,C236)</f>
        <v>0</v>
      </c>
      <c r="G236" s="1123">
        <f>+SUMIFS('Anlage 2b_Korrekturen'!$F:$F,'Anlage 2b_Korrekturen'!$H:$H,'LV Testat'!$E$4,'Anlage 2b_Korrekturen'!$C:$C,'LV Testat'!$D236,'Anlage 2b_Korrekturen'!$A:$A,C236)</f>
        <v>0</v>
      </c>
      <c r="H236" s="1105">
        <f>+SUMIFS('Anlage 2b_Korrekturen'!$D:$D,'Anlage 2b_Korrekturen'!$H:$H,'LV Testat'!$H$4,'Anlage 2b_Korrekturen'!$C:$C,'LV Testat'!$D236,'Anlage 2b_Korrekturen'!$A:$A,B236)</f>
        <v>0</v>
      </c>
      <c r="I236" s="1119">
        <f>+SUMIFS('Anlage 2b_Korrekturen'!$E:$E,'Anlage 2b_Korrekturen'!$H:$H,'LV Testat'!$H$4,'Anlage 2b_Korrekturen'!$C:$C,'LV Testat'!$D236,'Anlage 2b_Korrekturen'!$A:$A,C236)</f>
        <v>0</v>
      </c>
      <c r="J236" s="1123">
        <f>+SUMIFS('Anlage 2b_Korrekturen'!$F:$F,'Anlage 2b_Korrekturen'!$H:$H,'LV Testat'!$H$4,'Anlage 2b_Korrekturen'!$C:$C,'LV Testat'!$D236,'Anlage 2b_Korrekturen'!$A:$A,C236)</f>
        <v>0</v>
      </c>
      <c r="K236" s="1105">
        <f>+SUMIFS('Anlage 2b_Korrekturen'!$D:$D,'Anlage 2b_Korrekturen'!$H:$H,'LV Testat'!$K$4,'Anlage 2b_Korrekturen'!$C:$C,'LV Testat'!$D236,'Anlage 2b_Korrekturen'!$A:$A,C236)</f>
        <v>0</v>
      </c>
      <c r="L236" s="1119">
        <f>+SUMIFS('Anlage 2b_Korrekturen'!$E:$E,'Anlage 2b_Korrekturen'!$H:$H,'LV Testat'!$K$4,'Anlage 2b_Korrekturen'!$C:$C,'LV Testat'!$D236,'Anlage 2b_Korrekturen'!$A:$A,C236)</f>
        <v>0</v>
      </c>
      <c r="M236" s="1123">
        <f>+SUMIFS('Anlage 2b_Korrekturen'!$F:$F,'Anlage 2b_Korrekturen'!$H:$H,'LV Testat'!$K$4,'Anlage 2b_Korrekturen'!$C:$C,'LV Testat'!$D236,'Anlage 2b_Korrekturen'!$A:$A,C236)</f>
        <v>0</v>
      </c>
      <c r="N236" s="1105">
        <f>+SUMIFS('Anlage 2b_Korrekturen'!$D:$D,'Anlage 2b_Korrekturen'!$H:$H,'LV Testat'!$N$4,'Anlage 2b_Korrekturen'!$C:$C,'LV Testat'!$D236,'Anlage 2b_Korrekturen'!$A:$A,C236)</f>
        <v>0</v>
      </c>
      <c r="O236" s="1119">
        <f>+SUMIFS('Anlage 2b_Korrekturen'!$E:$E,'Anlage 2b_Korrekturen'!$H:$H,'LV Testat'!$N$4,'Anlage 2b_Korrekturen'!$C:$C,'LV Testat'!$D236,'Anlage 2b_Korrekturen'!$A:$A,C236)</f>
        <v>0</v>
      </c>
      <c r="P236" s="1123">
        <f>+SUMIFS('Anlage 2b_Korrekturen'!$F:$F,'Anlage 2b_Korrekturen'!$H:$H,'LV Testat'!$N$4,'Anlage 2b_Korrekturen'!$C:$C,'LV Testat'!$D236,'Anlage 2b_Korrekturen'!$A:$A,C236)</f>
        <v>0</v>
      </c>
    </row>
    <row r="237" spans="1:16" ht="12" collapsed="1" thickBot="1">
      <c r="A237" s="1013" t="s">
        <v>2515</v>
      </c>
      <c r="B237" s="1001"/>
      <c r="C237" s="1001"/>
      <c r="D237" s="1002"/>
      <c r="E237" s="1001"/>
      <c r="F237" s="1017" t="str">
        <f>+"Check SV BesAR NT "&amp;A240</f>
        <v>Check SV BesAR NT 2022</v>
      </c>
      <c r="G237" s="1018">
        <f>+SUM(F240:F242)-SUM(E240:E242)</f>
        <v>0</v>
      </c>
      <c r="H237" s="1000"/>
      <c r="I237" s="1017" t="str">
        <f>+"Check SV BesAR NT "&amp;A240</f>
        <v>Check SV BesAR NT 2022</v>
      </c>
      <c r="J237" s="1018">
        <f>+SUM(I240:I242)-SUM(H240:H242)</f>
        <v>0</v>
      </c>
      <c r="K237" s="1000"/>
      <c r="L237" s="1017" t="str">
        <f>+"Check SV BesAR NT "&amp;A240</f>
        <v>Check SV BesAR NT 2022</v>
      </c>
      <c r="M237" s="1018">
        <f>+SUM(L240:L242)-SUM(K240:K242)</f>
        <v>0</v>
      </c>
      <c r="N237" s="1000"/>
      <c r="O237" s="1017" t="str">
        <f>+"Check SV BesAR NT "&amp;A240</f>
        <v>Check SV BesAR NT 2022</v>
      </c>
      <c r="P237" s="1018">
        <f>+SUM(O240:O242)-SUM(N240:N242)</f>
        <v>0</v>
      </c>
    </row>
    <row r="238" spans="1:16" ht="12" hidden="1" outlineLevel="1" thickBot="1">
      <c r="A238" s="1028"/>
      <c r="D238" s="1041"/>
      <c r="G238" s="1081"/>
      <c r="H238" s="1028"/>
      <c r="J238" s="1081"/>
      <c r="K238" s="1028"/>
      <c r="M238" s="1081"/>
      <c r="N238" s="1028"/>
      <c r="P238" s="1081"/>
    </row>
    <row r="239" spans="1:16" hidden="1" outlineLevel="1">
      <c r="A239" s="1028"/>
      <c r="D239" s="1041"/>
      <c r="E239" s="1159" t="s">
        <v>2517</v>
      </c>
      <c r="F239" s="1160" t="s">
        <v>2517</v>
      </c>
      <c r="G239" s="1081"/>
      <c r="H239" s="1161" t="s">
        <v>2517</v>
      </c>
      <c r="I239" s="1160" t="s">
        <v>2517</v>
      </c>
      <c r="J239" s="1081"/>
      <c r="K239" s="1161" t="s">
        <v>2517</v>
      </c>
      <c r="L239" s="1160" t="s">
        <v>2517</v>
      </c>
      <c r="M239" s="1081"/>
      <c r="N239" s="1161"/>
      <c r="O239" s="1160" t="s">
        <v>2517</v>
      </c>
      <c r="P239" s="1081"/>
    </row>
    <row r="240" spans="1:16" ht="15" hidden="1" customHeight="1" outlineLevel="1">
      <c r="A240" s="1137">
        <f>+A204</f>
        <v>2022</v>
      </c>
      <c r="C240" s="1071">
        <v>2</v>
      </c>
      <c r="D240" s="1050" t="s">
        <v>2518</v>
      </c>
      <c r="E240" s="1100">
        <v>-14136044</v>
      </c>
      <c r="F240" s="1162">
        <f>+SUMIFS('Anlage 2b_Korrekturen'!$D:$D,'Anlage 2b_Korrekturen'!$A:$A,A240,'Anlage 2b_Korrekturen'!$H:$H,'LV Testat'!$E$4,'Anlage 2b_Korrekturen'!$B:$B,"")</f>
        <v>-14136044</v>
      </c>
      <c r="G240" s="1081"/>
      <c r="H240" s="1100">
        <v>0</v>
      </c>
      <c r="I240" s="1162">
        <f>+SUMIFS('Anlage 2b_Korrekturen'!$D:$D,'Anlage 2b_Korrekturen'!$A:$A,A240,'Anlage 2b_Korrekturen'!$H:$H,'LV Testat'!$H$4,'Anlage 2b_Korrekturen'!$B:$B,"")</f>
        <v>0</v>
      </c>
      <c r="J240" s="1081"/>
      <c r="K240" s="1068">
        <v>0</v>
      </c>
      <c r="L240" s="1162">
        <f>+SUMIFS('Anlage 2b_Korrekturen'!$D:$D,'Anlage 2b_Korrekturen'!$A:$A,A240,'Anlage 2b_Korrekturen'!$H:$H,'LV Testat'!$K$4,'Anlage 2b_Korrekturen'!$B:$B,"")</f>
        <v>0</v>
      </c>
      <c r="M240" s="1081"/>
      <c r="N240" s="1100">
        <v>0</v>
      </c>
      <c r="O240" s="1162">
        <f>+SUMIFS('Anlage 2b_Korrekturen'!$D:$D,'Anlage 2b_Korrekturen'!$A:$A,A240,'Anlage 2b_Korrekturen'!$H:$H,'LV Testat'!$N$4,'Anlage 2b_Korrekturen'!$B:$B,"")</f>
        <v>0</v>
      </c>
      <c r="P240" s="1081"/>
    </row>
    <row r="241" spans="1:16" ht="15" hidden="1" customHeight="1" outlineLevel="1">
      <c r="A241" s="1163">
        <f>+A240</f>
        <v>2022</v>
      </c>
      <c r="C241" s="1071">
        <v>3</v>
      </c>
      <c r="D241" s="1050" t="s">
        <v>2519</v>
      </c>
      <c r="E241" s="1164">
        <v>25308.13</v>
      </c>
      <c r="F241" s="1162">
        <f>+SUMIFS('Anlage 2b_Korrekturen'!$E:$E,'Anlage 2b_Korrekturen'!$A:$A,A241,'Anlage 2b_Korrekturen'!$H:$H,'LV Testat'!$E$4,'Anlage 2b_Korrekturen'!$B:$B,"")</f>
        <v>25308.13</v>
      </c>
      <c r="G241" s="1081"/>
      <c r="H241" s="1164">
        <v>0</v>
      </c>
      <c r="I241" s="1162">
        <f>+SUMIFS('Anlage 2b_Korrekturen'!$E:$E,'Anlage 2b_Korrekturen'!$A:$A,A241,'Anlage 2b_Korrekturen'!$H:$H,'LV Testat'!$H$4,'Anlage 2b_Korrekturen'!$B:$B,"")</f>
        <v>0</v>
      </c>
      <c r="J241" s="1081"/>
      <c r="K241" s="1068">
        <v>0</v>
      </c>
      <c r="L241" s="1162">
        <f>+SUMIFS('Anlage 2b_Korrekturen'!$E:$E,'Anlage 2b_Korrekturen'!$A:$A,A241,'Anlage 2b_Korrekturen'!$H:$H,'LV Testat'!$K$4,'Anlage 2b_Korrekturen'!$B:$B,"")</f>
        <v>0</v>
      </c>
      <c r="M241" s="1081"/>
      <c r="N241" s="1164">
        <v>0</v>
      </c>
      <c r="O241" s="1162">
        <f>+SUMIFS('Anlage 2b_Korrekturen'!$E:$E,'Anlage 2b_Korrekturen'!$A:$A,A241,'Anlage 2b_Korrekturen'!$H:$H,'LV Testat'!$N$4,'Anlage 2b_Korrekturen'!$B:$B,"")</f>
        <v>0</v>
      </c>
      <c r="P241" s="1081"/>
    </row>
    <row r="242" spans="1:16" ht="15" hidden="1" customHeight="1" outlineLevel="1" thickBot="1">
      <c r="A242" s="1163">
        <f>+A241</f>
        <v>2022</v>
      </c>
      <c r="B242" s="1091"/>
      <c r="C242" s="1092">
        <v>4</v>
      </c>
      <c r="D242" s="1062" t="s">
        <v>2520</v>
      </c>
      <c r="E242" s="1165">
        <v>28789.47</v>
      </c>
      <c r="F242" s="1166">
        <f>+SUMIFS('Anlage 2b_Korrekturen'!$F:$F,'Anlage 2b_Korrekturen'!$A:$A,A242,'Anlage 2b_Korrekturen'!$H:$H,'LV Testat'!$E$4,'Anlage 2b_Korrekturen'!$B:$B,"")</f>
        <v>28789.47</v>
      </c>
      <c r="G242" s="1095"/>
      <c r="H242" s="1165">
        <v>0</v>
      </c>
      <c r="I242" s="1166">
        <f>+SUMIFS('Anlage 2b_Korrekturen'!$F:$F,'Anlage 2b_Korrekturen'!$A:$A,A242,'Anlage 2b_Korrekturen'!$H:$H,'LV Testat'!$H$4,'Anlage 2b_Korrekturen'!$B:$B,"")</f>
        <v>0</v>
      </c>
      <c r="J242" s="1095"/>
      <c r="K242" s="1068">
        <v>0</v>
      </c>
      <c r="L242" s="1166">
        <f>+SUMIFS('Anlage 2b_Korrekturen'!$F:$F,'Anlage 2b_Korrekturen'!$A:$A,A242,'Anlage 2b_Korrekturen'!$H:$H,'LV Testat'!$K$4,'Anlage 2b_Korrekturen'!$B:$B,"")</f>
        <v>0</v>
      </c>
      <c r="M242" s="1095"/>
      <c r="N242" s="1165">
        <v>0</v>
      </c>
      <c r="O242" s="1166">
        <f>+SUMIFS('Anlage 2b_Korrekturen'!$F:$F,'Anlage 2b_Korrekturen'!$A:$A,A242,'Anlage 2b_Korrekturen'!$H:$H,'LV Testat'!$N$4,'Anlage 2b_Korrekturen'!$B:$B,"")</f>
        <v>0</v>
      </c>
      <c r="P242" s="1095"/>
    </row>
    <row r="243" spans="1:16" ht="12" collapsed="1" thickBot="1">
      <c r="A243" s="1013" t="s">
        <v>2523</v>
      </c>
      <c r="B243" s="1001"/>
      <c r="C243" s="1001"/>
      <c r="D243" s="1002"/>
      <c r="E243" s="1001"/>
      <c r="F243" s="1017" t="str">
        <f>+"Check WL BesAR NT "&amp;C246</f>
        <v>Check WL BesAR NT 2022</v>
      </c>
      <c r="G243" s="1018">
        <f>+F254-E254</f>
        <v>0</v>
      </c>
      <c r="H243" s="1001"/>
      <c r="I243" s="1017" t="str">
        <f>+"Check WL BesAR NT "&amp;C246</f>
        <v>Check WL BesAR NT 2022</v>
      </c>
      <c r="J243" s="1018">
        <f>+I254-H254</f>
        <v>0</v>
      </c>
      <c r="K243" s="1001"/>
      <c r="L243" s="1017" t="str">
        <f>+"Check WL BesAR NT "&amp;C246</f>
        <v>Check WL BesAR NT 2022</v>
      </c>
      <c r="M243" s="1018">
        <f>+L254-K254</f>
        <v>0</v>
      </c>
      <c r="N243" s="1001"/>
      <c r="O243" s="1017" t="str">
        <f>+"Check WL BesAR NT "&amp;C246</f>
        <v>Check WL BesAR NT 2022</v>
      </c>
      <c r="P243" s="1018">
        <f>+O254-N254</f>
        <v>0</v>
      </c>
    </row>
    <row r="244" spans="1:16" hidden="1" outlineLevel="1">
      <c r="A244" s="1022"/>
      <c r="D244" s="1041"/>
      <c r="H244" s="1028"/>
      <c r="J244" s="1041"/>
      <c r="K244" s="1028"/>
      <c r="M244" s="1041"/>
      <c r="N244" s="1028"/>
      <c r="P244" s="1041"/>
    </row>
    <row r="245" spans="1:16" ht="30" hidden="1" customHeight="1" outlineLevel="1">
      <c r="A245" s="1028"/>
      <c r="D245" s="1099" t="s">
        <v>2525</v>
      </c>
      <c r="E245" s="1064" t="s">
        <v>2526</v>
      </c>
      <c r="F245" s="1118" t="s">
        <v>2526</v>
      </c>
      <c r="H245" s="1118" t="s">
        <v>2526</v>
      </c>
      <c r="I245" s="1118" t="s">
        <v>2526</v>
      </c>
      <c r="K245" s="1118" t="s">
        <v>2526</v>
      </c>
      <c r="L245" s="1118" t="s">
        <v>2526</v>
      </c>
      <c r="N245" s="1118" t="s">
        <v>2526</v>
      </c>
      <c r="O245" s="1118" t="s">
        <v>2526</v>
      </c>
      <c r="P245" s="1041"/>
    </row>
    <row r="246" spans="1:16" hidden="1" outlineLevel="1">
      <c r="A246" s="1028"/>
      <c r="C246" s="1137">
        <f>+A204</f>
        <v>2022</v>
      </c>
      <c r="D246" s="1035" t="s">
        <v>2408</v>
      </c>
      <c r="E246" s="1100"/>
      <c r="F246" s="1119">
        <f>+SUMIFS('Anlage 2b_Korrekturen'!$D:$D,'Anlage 2b_Korrekturen'!$H:$H,'LV Testat'!$E$4,'Anlage 2b_Korrekturen'!$B:$B,'LV Testat'!$D246,'Anlage 2b_Korrekturen'!$A:$A,C246)</f>
        <v>0</v>
      </c>
      <c r="H246" s="1167"/>
      <c r="I246" s="1119">
        <f>+SUMIFS('Anlage 2b_Korrekturen'!$D:$D,'Anlage 2b_Korrekturen'!$H:$H,'LV Testat'!$H$4,'Anlage 2b_Korrekturen'!$B:$B,'LV Testat'!$D246,'Anlage 2b_Korrekturen'!$A:$A,C246)</f>
        <v>0</v>
      </c>
      <c r="K246" s="1068">
        <v>0</v>
      </c>
      <c r="L246" s="1119">
        <f>+SUMIFS('Anlage 2b_Korrekturen'!$D:$D,'Anlage 2b_Korrekturen'!$H:$H,'LV Testat'!$K$4,'Anlage 2b_Korrekturen'!$B:$B,'LV Testat'!$D246,'Anlage 2b_Korrekturen'!$A:$A,C246)</f>
        <v>0</v>
      </c>
      <c r="N246" s="1167">
        <v>0</v>
      </c>
      <c r="O246" s="1119">
        <f>+SUMIFS('Anlage 2b_Korrekturen'!$D:$D,'Anlage 2b_Korrekturen'!$H:$H,'LV Testat'!$N$4,'Anlage 2b_Korrekturen'!$B:$B,'LV Testat'!$D246,'Anlage 2b_Korrekturen'!$A:$A,C246)</f>
        <v>0</v>
      </c>
      <c r="P246" s="1041"/>
    </row>
    <row r="247" spans="1:16" hidden="1" outlineLevel="1">
      <c r="A247" s="1028"/>
      <c r="C247" s="1137">
        <f>+C246</f>
        <v>2022</v>
      </c>
      <c r="D247" s="1035" t="s">
        <v>2500</v>
      </c>
      <c r="E247" s="1100"/>
      <c r="F247" s="1119">
        <f>+SUMIFS('Anlage 2b_Korrekturen'!$D:$D,'Anlage 2b_Korrekturen'!$H:$H,'LV Testat'!$E$4,'Anlage 2b_Korrekturen'!$B:$B,'LV Testat'!$D247,'Anlage 2b_Korrekturen'!$A:$A,C247)</f>
        <v>0</v>
      </c>
      <c r="H247" s="1167"/>
      <c r="I247" s="1119">
        <f>+SUMIFS('Anlage 2b_Korrekturen'!$D:$D,'Anlage 2b_Korrekturen'!$H:$H,'LV Testat'!$H$4,'Anlage 2b_Korrekturen'!$B:$B,'LV Testat'!$D247,'Anlage 2b_Korrekturen'!$A:$A,C247)</f>
        <v>0</v>
      </c>
      <c r="K247" s="1068">
        <v>0</v>
      </c>
      <c r="L247" s="1119">
        <f>+SUMIFS('Anlage 2b_Korrekturen'!$D:$D,'Anlage 2b_Korrekturen'!$H:$H,'LV Testat'!$K$4,'Anlage 2b_Korrekturen'!$B:$B,'LV Testat'!$D247,'Anlage 2b_Korrekturen'!$A:$A,C247)</f>
        <v>0</v>
      </c>
      <c r="N247" s="1167">
        <v>0</v>
      </c>
      <c r="O247" s="1119">
        <f>+SUMIFS('Anlage 2b_Korrekturen'!$D:$D,'Anlage 2b_Korrekturen'!$H:$H,'LV Testat'!$N$4,'Anlage 2b_Korrekturen'!$B:$B,'LV Testat'!$D247,'Anlage 2b_Korrekturen'!$A:$A,C247)</f>
        <v>0</v>
      </c>
      <c r="P247" s="1041"/>
    </row>
    <row r="248" spans="1:16" hidden="1" outlineLevel="1">
      <c r="A248" s="1028"/>
      <c r="C248" s="1137">
        <f t="shared" ref="C248:C253" si="7">+C247</f>
        <v>2022</v>
      </c>
      <c r="D248" s="1035" t="s">
        <v>2418</v>
      </c>
      <c r="E248" s="1100"/>
      <c r="F248" s="1119">
        <f>+SUMIFS('Anlage 2b_Korrekturen'!$D:$D,'Anlage 2b_Korrekturen'!$H:$H,'LV Testat'!$E$4,'Anlage 2b_Korrekturen'!$B:$B,'LV Testat'!$D248,'Anlage 2b_Korrekturen'!$A:$A,C248)</f>
        <v>0</v>
      </c>
      <c r="H248" s="1167"/>
      <c r="I248" s="1119">
        <f>+SUMIFS('Anlage 2b_Korrekturen'!$D:$D,'Anlage 2b_Korrekturen'!$H:$H,'LV Testat'!$H$4,'Anlage 2b_Korrekturen'!$B:$B,'LV Testat'!$D248,'Anlage 2b_Korrekturen'!$A:$A,C248)</f>
        <v>0</v>
      </c>
      <c r="K248" s="1068">
        <v>0</v>
      </c>
      <c r="L248" s="1119">
        <f>+SUMIFS('Anlage 2b_Korrekturen'!$D:$D,'Anlage 2b_Korrekturen'!$H:$H,'LV Testat'!$K$4,'Anlage 2b_Korrekturen'!$B:$B,'LV Testat'!$D248,'Anlage 2b_Korrekturen'!$A:$A,C248)</f>
        <v>0</v>
      </c>
      <c r="N248" s="1167">
        <v>0</v>
      </c>
      <c r="O248" s="1119">
        <f>+SUMIFS('Anlage 2b_Korrekturen'!$D:$D,'Anlage 2b_Korrekturen'!$H:$H,'LV Testat'!$N$4,'Anlage 2b_Korrekturen'!$B:$B,'LV Testat'!$D248,'Anlage 2b_Korrekturen'!$A:$A,C248)</f>
        <v>0</v>
      </c>
      <c r="P248" s="1041"/>
    </row>
    <row r="249" spans="1:16" hidden="1" outlineLevel="1">
      <c r="A249" s="1028"/>
      <c r="C249" s="1137">
        <f t="shared" si="7"/>
        <v>2022</v>
      </c>
      <c r="D249" s="1168" t="s">
        <v>2501</v>
      </c>
      <c r="E249" s="1100"/>
      <c r="F249" s="1119">
        <f>+SUMIFS('Anlage 2b_Korrekturen'!$D:$D,'Anlage 2b_Korrekturen'!$H:$H,'LV Testat'!$E$4,'Anlage 2b_Korrekturen'!$B:$B,'LV Testat'!$D249,'Anlage 2b_Korrekturen'!$A:$A,C249)</f>
        <v>0</v>
      </c>
      <c r="H249" s="1167"/>
      <c r="I249" s="1119">
        <f>+SUMIFS('Anlage 2b_Korrekturen'!$D:$D,'Anlage 2b_Korrekturen'!$H:$H,'LV Testat'!$H$4,'Anlage 2b_Korrekturen'!$B:$B,'LV Testat'!$D249,'Anlage 2b_Korrekturen'!$A:$A,C249)</f>
        <v>0</v>
      </c>
      <c r="K249" s="1068">
        <v>0</v>
      </c>
      <c r="L249" s="1119">
        <f>+SUMIFS('Anlage 2b_Korrekturen'!$D:$D,'Anlage 2b_Korrekturen'!$H:$H,'LV Testat'!$K$4,'Anlage 2b_Korrekturen'!$B:$B,'LV Testat'!$D249,'Anlage 2b_Korrekturen'!$A:$A,C249)</f>
        <v>0</v>
      </c>
      <c r="N249" s="1167">
        <v>0</v>
      </c>
      <c r="O249" s="1119">
        <f>+SUMIFS('Anlage 2b_Korrekturen'!$D:$D,'Anlage 2b_Korrekturen'!$H:$H,'LV Testat'!$N$4,'Anlage 2b_Korrekturen'!$B:$B,'LV Testat'!$D249,'Anlage 2b_Korrekturen'!$A:$A,C249)</f>
        <v>0</v>
      </c>
      <c r="P249" s="1041"/>
    </row>
    <row r="250" spans="1:16" hidden="1" outlineLevel="1">
      <c r="A250" s="1028"/>
      <c r="C250" s="1137">
        <f t="shared" si="7"/>
        <v>2022</v>
      </c>
      <c r="D250" s="1035" t="s">
        <v>2409</v>
      </c>
      <c r="E250" s="1100"/>
      <c r="F250" s="1119">
        <f>+SUMIFS('Anlage 2b_Korrekturen'!$D:$D,'Anlage 2b_Korrekturen'!$H:$H,'LV Testat'!$E$4,'Anlage 2b_Korrekturen'!$B:$B,'LV Testat'!$D250,'Anlage 2b_Korrekturen'!$A:$A,C250)</f>
        <v>0</v>
      </c>
      <c r="H250" s="1167"/>
      <c r="I250" s="1119">
        <f>+SUMIFS('Anlage 2b_Korrekturen'!$D:$D,'Anlage 2b_Korrekturen'!$H:$H,'LV Testat'!$H$4,'Anlage 2b_Korrekturen'!$B:$B,'LV Testat'!$D250,'Anlage 2b_Korrekturen'!$A:$A,C250)</f>
        <v>0</v>
      </c>
      <c r="K250" s="1068">
        <v>0</v>
      </c>
      <c r="L250" s="1119">
        <f>+SUMIFS('Anlage 2b_Korrekturen'!$D:$D,'Anlage 2b_Korrekturen'!$H:$H,'LV Testat'!$K$4,'Anlage 2b_Korrekturen'!$B:$B,'LV Testat'!$D250,'Anlage 2b_Korrekturen'!$A:$A,C250)</f>
        <v>0</v>
      </c>
      <c r="N250" s="1167">
        <v>0</v>
      </c>
      <c r="O250" s="1119">
        <f>+SUMIFS('Anlage 2b_Korrekturen'!$D:$D,'Anlage 2b_Korrekturen'!$H:$H,'LV Testat'!$N$4,'Anlage 2b_Korrekturen'!$B:$B,'LV Testat'!$D250,'Anlage 2b_Korrekturen'!$A:$A,C250)</f>
        <v>0</v>
      </c>
      <c r="P250" s="1041"/>
    </row>
    <row r="251" spans="1:16" hidden="1" outlineLevel="1">
      <c r="A251" s="1028"/>
      <c r="C251" s="1137">
        <f t="shared" si="7"/>
        <v>2022</v>
      </c>
      <c r="D251" s="1035" t="s">
        <v>2419</v>
      </c>
      <c r="E251" s="1100"/>
      <c r="F251" s="1119">
        <f>+SUMIFS('Anlage 2b_Korrekturen'!$D:$D,'Anlage 2b_Korrekturen'!$H:$H,'LV Testat'!$E$4,'Anlage 2b_Korrekturen'!$B:$B,'LV Testat'!$D251,'Anlage 2b_Korrekturen'!$A:$A,C251)</f>
        <v>0</v>
      </c>
      <c r="H251" s="1167"/>
      <c r="I251" s="1119">
        <f>+SUMIFS('Anlage 2b_Korrekturen'!$D:$D,'Anlage 2b_Korrekturen'!$H:$H,'LV Testat'!$H$4,'Anlage 2b_Korrekturen'!$B:$B,'LV Testat'!$D251,'Anlage 2b_Korrekturen'!$A:$A,C251)</f>
        <v>0</v>
      </c>
      <c r="K251" s="1068">
        <v>0</v>
      </c>
      <c r="L251" s="1119">
        <f>+SUMIFS('Anlage 2b_Korrekturen'!$D:$D,'Anlage 2b_Korrekturen'!$H:$H,'LV Testat'!$K$4,'Anlage 2b_Korrekturen'!$B:$B,'LV Testat'!$D251,'Anlage 2b_Korrekturen'!$A:$A,C251)</f>
        <v>0</v>
      </c>
      <c r="N251" s="1167">
        <v>0</v>
      </c>
      <c r="O251" s="1119">
        <f>+SUMIFS('Anlage 2b_Korrekturen'!$D:$D,'Anlage 2b_Korrekturen'!$H:$H,'LV Testat'!$N$4,'Anlage 2b_Korrekturen'!$B:$B,'LV Testat'!$D251,'Anlage 2b_Korrekturen'!$A:$A,C251)</f>
        <v>0</v>
      </c>
      <c r="P251" s="1041"/>
    </row>
    <row r="252" spans="1:16" hidden="1" outlineLevel="1">
      <c r="A252" s="1028"/>
      <c r="C252" s="1137">
        <f t="shared" si="7"/>
        <v>2022</v>
      </c>
      <c r="D252" s="1035" t="s">
        <v>2412</v>
      </c>
      <c r="E252" s="1100"/>
      <c r="F252" s="1119">
        <f>+SUMIFS('Anlage 2b_Korrekturen'!$D:$D,'Anlage 2b_Korrekturen'!$H:$H,'LV Testat'!$E$4,'Anlage 2b_Korrekturen'!$B:$B,'LV Testat'!$D252,'Anlage 2b_Korrekturen'!$A:$A,C252)</f>
        <v>0</v>
      </c>
      <c r="H252" s="1167"/>
      <c r="I252" s="1119">
        <f>+SUMIFS('Anlage 2b_Korrekturen'!$D:$D,'Anlage 2b_Korrekturen'!$H:$H,'LV Testat'!$H$4,'Anlage 2b_Korrekturen'!$B:$B,'LV Testat'!$D252,'Anlage 2b_Korrekturen'!$A:$A,C252)</f>
        <v>0</v>
      </c>
      <c r="K252" s="1068">
        <v>0</v>
      </c>
      <c r="L252" s="1119">
        <f>+SUMIFS('Anlage 2b_Korrekturen'!$D:$D,'Anlage 2b_Korrekturen'!$H:$H,'LV Testat'!$K$4,'Anlage 2b_Korrekturen'!$B:$B,'LV Testat'!$D252,'Anlage 2b_Korrekturen'!$A:$A,C252)</f>
        <v>0</v>
      </c>
      <c r="N252" s="1167">
        <v>0</v>
      </c>
      <c r="O252" s="1119">
        <f>+SUMIFS('Anlage 2b_Korrekturen'!$D:$D,'Anlage 2b_Korrekturen'!$H:$H,'LV Testat'!$N$4,'Anlage 2b_Korrekturen'!$B:$B,'LV Testat'!$D252,'Anlage 2b_Korrekturen'!$A:$A,C252)</f>
        <v>0</v>
      </c>
      <c r="P252" s="1041"/>
    </row>
    <row r="253" spans="1:16" hidden="1" outlineLevel="1">
      <c r="A253" s="1028"/>
      <c r="C253" s="1137">
        <f t="shared" si="7"/>
        <v>2022</v>
      </c>
      <c r="D253" s="1168" t="s">
        <v>2410</v>
      </c>
      <c r="E253" s="1100"/>
      <c r="F253" s="1119">
        <f>+SUMIFS('Anlage 2b_Korrekturen'!$D:$D,'Anlage 2b_Korrekturen'!$H:$H,'LV Testat'!$E$4,'Anlage 2b_Korrekturen'!$B:$B,'LV Testat'!$D253,'Anlage 2b_Korrekturen'!$A:$A,C253)</f>
        <v>0</v>
      </c>
      <c r="H253" s="1167"/>
      <c r="I253" s="1119">
        <f>+SUMIFS('Anlage 2b_Korrekturen'!$D:$D,'Anlage 2b_Korrekturen'!$H:$H,'LV Testat'!$H$4,'Anlage 2b_Korrekturen'!$B:$B,'LV Testat'!$D253,'Anlage 2b_Korrekturen'!$A:$A,C253)</f>
        <v>0</v>
      </c>
      <c r="K253" s="1068">
        <v>0</v>
      </c>
      <c r="L253" s="1119">
        <f>+SUMIFS('Anlage 2b_Korrekturen'!$D:$D,'Anlage 2b_Korrekturen'!$H:$H,'LV Testat'!$K$4,'Anlage 2b_Korrekturen'!$B:$B,'LV Testat'!$D253,'Anlage 2b_Korrekturen'!$A:$A,C253)</f>
        <v>0</v>
      </c>
      <c r="N253" s="1167">
        <v>0</v>
      </c>
      <c r="O253" s="1119">
        <f>+SUMIFS('Anlage 2b_Korrekturen'!$D:$D,'Anlage 2b_Korrekturen'!$H:$H,'LV Testat'!$N$4,'Anlage 2b_Korrekturen'!$B:$B,'LV Testat'!$D253,'Anlage 2b_Korrekturen'!$A:$A,C253)</f>
        <v>0</v>
      </c>
      <c r="P253" s="1041"/>
    </row>
    <row r="254" spans="1:16" ht="12" hidden="1" outlineLevel="1" thickBot="1">
      <c r="A254" s="1090"/>
      <c r="B254" s="1091"/>
      <c r="C254" s="1091"/>
      <c r="D254" s="1121"/>
      <c r="E254" s="1110">
        <f>+SUM(E246:E253)</f>
        <v>0</v>
      </c>
      <c r="F254" s="1124">
        <f>+SUM(F246:F253)</f>
        <v>0</v>
      </c>
      <c r="G254" s="1091"/>
      <c r="H254" s="1124">
        <f>+SUM(H246:H253)</f>
        <v>0</v>
      </c>
      <c r="I254" s="1124">
        <f>+SUM(I246:I253)</f>
        <v>0</v>
      </c>
      <c r="J254" s="1091"/>
      <c r="K254" s="1124">
        <f>+SUM(K246:K253)</f>
        <v>0</v>
      </c>
      <c r="L254" s="1124">
        <f>+SUM(L246:L253)</f>
        <v>0</v>
      </c>
      <c r="M254" s="1091"/>
      <c r="N254" s="1124">
        <f>+SUM(N246:N253)</f>
        <v>0</v>
      </c>
      <c r="O254" s="1124">
        <f>+SUM(O246:O253)</f>
        <v>0</v>
      </c>
      <c r="P254" s="1121"/>
    </row>
    <row r="255" spans="1:16" ht="12" collapsed="1" thickBot="1">
      <c r="A255" s="1013" t="s">
        <v>2528</v>
      </c>
      <c r="B255" s="1001"/>
      <c r="C255" s="1001"/>
      <c r="D255" s="1002"/>
      <c r="E255" s="1001"/>
      <c r="F255" s="1098" t="str">
        <f>+"Check Speicher BesAR NT "&amp;C263</f>
        <v>Check Speicher BesAR NT 2022</v>
      </c>
      <c r="G255" s="1018">
        <f>+SUM(E258:G260)-SUM(E263:G265)</f>
        <v>0</v>
      </c>
      <c r="H255" s="1000"/>
      <c r="I255" s="1098" t="str">
        <f>+"Check Speicher BesAR NT "&amp;C263</f>
        <v>Check Speicher BesAR NT 2022</v>
      </c>
      <c r="J255" s="1018">
        <f>+SUM(H258:J260)-SUM(H263:J265)</f>
        <v>0</v>
      </c>
      <c r="K255" s="1000"/>
      <c r="L255" s="1098" t="str">
        <f>+"Check Speicher BesAR NT "&amp;C263</f>
        <v>Check Speicher BesAR NT 2022</v>
      </c>
      <c r="M255" s="1018">
        <f>+SUM(K258:M260)-SUM(K263:M265)</f>
        <v>0</v>
      </c>
      <c r="N255" s="1000"/>
      <c r="O255" s="1098" t="str">
        <f>+"Check Speicher BesAR NT "&amp;C263</f>
        <v>Check Speicher BesAR NT 2022</v>
      </c>
      <c r="P255" s="1018">
        <f>+SUM(N258:P260)-SUM(N263:P265)</f>
        <v>0</v>
      </c>
    </row>
    <row r="256" spans="1:16" hidden="1" outlineLevel="1">
      <c r="A256" s="1028"/>
      <c r="D256" s="1041"/>
      <c r="F256" s="1012"/>
      <c r="G256" s="1041"/>
      <c r="H256" s="1028"/>
      <c r="I256" s="1012"/>
      <c r="J256" s="1041"/>
      <c r="K256" s="1028"/>
      <c r="L256" s="1012"/>
      <c r="M256" s="1041"/>
      <c r="N256" s="1028"/>
      <c r="O256" s="1012"/>
      <c r="P256" s="1041"/>
    </row>
    <row r="257" spans="1:16" ht="33.75" hidden="1" outlineLevel="1">
      <c r="A257" s="1028"/>
      <c r="D257" s="1030" t="s">
        <v>2506</v>
      </c>
      <c r="E257" s="1031" t="s">
        <v>2499</v>
      </c>
      <c r="F257" s="1032" t="s">
        <v>2507</v>
      </c>
      <c r="G257" s="1049" t="s">
        <v>2508</v>
      </c>
      <c r="H257" s="1034" t="s">
        <v>2499</v>
      </c>
      <c r="I257" s="1032" t="s">
        <v>2507</v>
      </c>
      <c r="J257" s="1049" t="s">
        <v>2508</v>
      </c>
      <c r="K257" s="1034" t="s">
        <v>2499</v>
      </c>
      <c r="L257" s="1032" t="s">
        <v>2507</v>
      </c>
      <c r="M257" s="1049" t="s">
        <v>2508</v>
      </c>
      <c r="N257" s="1034" t="s">
        <v>2499</v>
      </c>
      <c r="O257" s="1032" t="s">
        <v>2507</v>
      </c>
      <c r="P257" s="1049" t="s">
        <v>2508</v>
      </c>
    </row>
    <row r="258" spans="1:16" hidden="1" outlineLevel="1">
      <c r="A258" s="1028"/>
      <c r="D258" s="1050" t="s">
        <v>2429</v>
      </c>
      <c r="E258" s="1051"/>
      <c r="F258" s="1101"/>
      <c r="G258" s="1102"/>
      <c r="H258" s="1070"/>
      <c r="I258" s="1067"/>
      <c r="J258" s="1068"/>
      <c r="K258" s="1068">
        <v>0</v>
      </c>
      <c r="L258" s="1068">
        <v>0</v>
      </c>
      <c r="M258" s="1068">
        <v>0</v>
      </c>
      <c r="N258" s="1070">
        <v>0</v>
      </c>
      <c r="O258" s="1067">
        <v>0</v>
      </c>
      <c r="P258" s="1068">
        <v>0</v>
      </c>
    </row>
    <row r="259" spans="1:16" hidden="1" outlineLevel="1">
      <c r="A259" s="1028"/>
      <c r="D259" s="1050" t="s">
        <v>2430</v>
      </c>
      <c r="E259" s="1051"/>
      <c r="F259" s="1101"/>
      <c r="G259" s="1102"/>
      <c r="H259" s="1070"/>
      <c r="I259" s="1067"/>
      <c r="J259" s="1068"/>
      <c r="K259" s="1068">
        <v>0</v>
      </c>
      <c r="L259" s="1068">
        <v>0</v>
      </c>
      <c r="M259" s="1068">
        <v>0</v>
      </c>
      <c r="N259" s="1070">
        <v>0</v>
      </c>
      <c r="O259" s="1067">
        <v>0</v>
      </c>
      <c r="P259" s="1068">
        <v>0</v>
      </c>
    </row>
    <row r="260" spans="1:16" hidden="1" outlineLevel="1">
      <c r="A260" s="1028"/>
      <c r="D260" s="1050" t="s">
        <v>2431</v>
      </c>
      <c r="E260" s="1051"/>
      <c r="F260" s="1101"/>
      <c r="G260" s="1102"/>
      <c r="H260" s="1070"/>
      <c r="I260" s="1067"/>
      <c r="J260" s="1068"/>
      <c r="K260" s="1068">
        <v>0</v>
      </c>
      <c r="L260" s="1068">
        <v>0</v>
      </c>
      <c r="M260" s="1068">
        <v>0</v>
      </c>
      <c r="N260" s="1070">
        <v>0</v>
      </c>
      <c r="O260" s="1067">
        <v>0</v>
      </c>
      <c r="P260" s="1068">
        <v>0</v>
      </c>
    </row>
    <row r="261" spans="1:16" hidden="1" outlineLevel="1">
      <c r="A261" s="1028"/>
      <c r="D261" s="1041"/>
      <c r="F261" s="1847"/>
      <c r="G261" s="1848"/>
      <c r="H261" s="1028"/>
      <c r="I261" s="1012"/>
      <c r="J261" s="1122"/>
      <c r="K261" s="1028"/>
      <c r="L261" s="1012"/>
      <c r="M261" s="1122"/>
      <c r="N261" s="1028"/>
      <c r="O261" s="1012"/>
      <c r="P261" s="1122"/>
    </row>
    <row r="262" spans="1:16" ht="33.75" hidden="1" outlineLevel="1">
      <c r="A262" s="1028"/>
      <c r="D262" s="1030" t="s">
        <v>2506</v>
      </c>
      <c r="E262" s="1031" t="s">
        <v>2499</v>
      </c>
      <c r="F262" s="1032" t="s">
        <v>2507</v>
      </c>
      <c r="G262" s="1049" t="s">
        <v>2508</v>
      </c>
      <c r="H262" s="1034" t="s">
        <v>2499</v>
      </c>
      <c r="I262" s="1032" t="s">
        <v>2507</v>
      </c>
      <c r="J262" s="1049" t="s">
        <v>2508</v>
      </c>
      <c r="K262" s="1034" t="s">
        <v>2499</v>
      </c>
      <c r="L262" s="1032" t="s">
        <v>2507</v>
      </c>
      <c r="M262" s="1049" t="s">
        <v>2508</v>
      </c>
      <c r="N262" s="1034" t="s">
        <v>2499</v>
      </c>
      <c r="O262" s="1032" t="s">
        <v>2507</v>
      </c>
      <c r="P262" s="1049" t="s">
        <v>2508</v>
      </c>
    </row>
    <row r="263" spans="1:16" hidden="1" outlineLevel="1">
      <c r="A263" s="1056"/>
      <c r="B263" s="1029"/>
      <c r="C263" s="1137">
        <f>+A204</f>
        <v>2022</v>
      </c>
      <c r="D263" s="1050" t="s">
        <v>2429</v>
      </c>
      <c r="E263" s="1105">
        <f>+SUMIFS('Anlage 2b_Korrekturen'!$D:$D,'Anlage 2b_Korrekturen'!$H:$H,'LV Testat'!$E$4,'Anlage 2b_Korrekturen'!$B:$B,'LV Testat'!$D263,'Anlage 2b_Korrekturen'!$A:$A,C263)</f>
        <v>0</v>
      </c>
      <c r="F263" s="1119">
        <f>+SUMIFS('Anlage 2b_Korrekturen'!$E:$E,'Anlage 2b_Korrekturen'!$H:$H,'LV Testat'!$E$4,'Anlage 2b_Korrekturen'!$B:$B,'LV Testat'!$D263,'Anlage 2b_Korrekturen'!$A:$A,C263)</f>
        <v>0</v>
      </c>
      <c r="G263" s="1123">
        <f>+SUMIFS('Anlage 2b_Korrekturen'!$F:$F,'Anlage 2b_Korrekturen'!$H:$H,'LV Testat'!$E$4,'Anlage 2b_Korrekturen'!$B:$B,'LV Testat'!$D263,'Anlage 2b_Korrekturen'!$A:$A,C263)</f>
        <v>0</v>
      </c>
      <c r="H263" s="1105">
        <f>+SUMIFS('Anlage 2b_Korrekturen'!$D:$D,'Anlage 2b_Korrekturen'!$H:$H,'LV Testat'!$H$4,'Anlage 2b_Korrekturen'!$B:$B,'LV Testat'!$D263,'Anlage 2b_Korrekturen'!$A:$A,C263)</f>
        <v>0</v>
      </c>
      <c r="I263" s="1119">
        <f>+SUMIFS('Anlage 2b_Korrekturen'!$E:$E,'Anlage 2b_Korrekturen'!$H:$H,'LV Testat'!$H$4,'Anlage 2b_Korrekturen'!$B:$B,'LV Testat'!$D263,'Anlage 2b_Korrekturen'!$A:$A,C263)</f>
        <v>0</v>
      </c>
      <c r="J263" s="1123">
        <f>+SUMIFS('Anlage 2b_Korrekturen'!$F:$F,'Anlage 2b_Korrekturen'!$H:$H,'LV Testat'!$H$4,'Anlage 2b_Korrekturen'!$B:$B,'LV Testat'!$D263,'Anlage 2b_Korrekturen'!$A:$A,C263)</f>
        <v>0</v>
      </c>
      <c r="K263" s="1105">
        <f>+SUMIFS('Anlage 2b_Korrekturen'!$D:$D,'Anlage 2b_Korrekturen'!$H:$H,'LV Testat'!$K$4,'Anlage 2b_Korrekturen'!$B:$B,'LV Testat'!$D263,'Anlage 2b_Korrekturen'!$A:$A,C263)</f>
        <v>0</v>
      </c>
      <c r="L263" s="1119">
        <f>+SUMIFS('Anlage 2b_Korrekturen'!$E:$E,'Anlage 2b_Korrekturen'!$H:$H,'LV Testat'!$K$4,'Anlage 2b_Korrekturen'!$B:$B,'LV Testat'!$D263,'Anlage 2b_Korrekturen'!$A:$A,C263)</f>
        <v>0</v>
      </c>
      <c r="M263" s="1123">
        <f>+SUMIFS('Anlage 2b_Korrekturen'!$F:$F,'Anlage 2b_Korrekturen'!$H:$H,'LV Testat'!$K$4,'Anlage 2b_Korrekturen'!$B:$B,'LV Testat'!$D263,'Anlage 2b_Korrekturen'!$A:$A,C263)</f>
        <v>0</v>
      </c>
      <c r="N263" s="1105">
        <f>+SUMIFS('Anlage 2b_Korrekturen'!$D:$D,'Anlage 2b_Korrekturen'!$H:$H,'LV Testat'!$N$4,'Anlage 2b_Korrekturen'!$B:$B,'LV Testat'!$D263,'Anlage 2b_Korrekturen'!$A:$A,C263)</f>
        <v>0</v>
      </c>
      <c r="O263" s="1119">
        <f>+SUMIFS('Anlage 2b_Korrekturen'!$E:$E,'Anlage 2b_Korrekturen'!$H:$H,'LV Testat'!$N$4,'Anlage 2b_Korrekturen'!$B:$B,'LV Testat'!$D263,'Anlage 2b_Korrekturen'!$A:$A,C263)</f>
        <v>0</v>
      </c>
      <c r="P263" s="1123">
        <f>+SUMIFS('Anlage 2b_Korrekturen'!$F:$F,'Anlage 2b_Korrekturen'!$H:$H,'LV Testat'!$N$4,'Anlage 2b_Korrekturen'!$B:$B,'LV Testat'!$D263,'Anlage 2b_Korrekturen'!$A:$A,C263)</f>
        <v>0</v>
      </c>
    </row>
    <row r="264" spans="1:16" hidden="1" outlineLevel="1">
      <c r="A264" s="1056"/>
      <c r="B264" s="1029"/>
      <c r="C264" s="1137">
        <f>+C263</f>
        <v>2022</v>
      </c>
      <c r="D264" s="1050" t="s">
        <v>2430</v>
      </c>
      <c r="E264" s="1105">
        <f>+SUMIFS('Anlage 2b_Korrekturen'!$D:$D,'Anlage 2b_Korrekturen'!$H:$H,'LV Testat'!$E$4,'Anlage 2b_Korrekturen'!$B:$B,'LV Testat'!$D264,'Anlage 2b_Korrekturen'!$A:$A,C264)</f>
        <v>0</v>
      </c>
      <c r="F264" s="1119">
        <f>+SUMIFS('Anlage 2b_Korrekturen'!$E:$E,'Anlage 2b_Korrekturen'!$H:$H,'LV Testat'!$E$4,'Anlage 2b_Korrekturen'!$B:$B,'LV Testat'!$D264,'Anlage 2b_Korrekturen'!$A:$A,C264)</f>
        <v>0</v>
      </c>
      <c r="G264" s="1123">
        <f>+SUMIFS('Anlage 2b_Korrekturen'!$F:$F,'Anlage 2b_Korrekturen'!$H:$H,'LV Testat'!$E$4,'Anlage 2b_Korrekturen'!$B:$B,'LV Testat'!$D264,'Anlage 2b_Korrekturen'!$A:$A,C264)</f>
        <v>0</v>
      </c>
      <c r="H264" s="1105">
        <f>+SUMIFS('Anlage 2b_Korrekturen'!$D:$D,'Anlage 2b_Korrekturen'!$H:$H,'LV Testat'!$H$4,'Anlage 2b_Korrekturen'!$B:$B,'LV Testat'!$D264,'Anlage 2b_Korrekturen'!$A:$A,C264)</f>
        <v>0</v>
      </c>
      <c r="I264" s="1119">
        <f>+SUMIFS('Anlage 2b_Korrekturen'!$E:$E,'Anlage 2b_Korrekturen'!$H:$H,'LV Testat'!$H$4,'Anlage 2b_Korrekturen'!$B:$B,'LV Testat'!$D264,'Anlage 2b_Korrekturen'!$A:$A,C264)</f>
        <v>0</v>
      </c>
      <c r="J264" s="1123">
        <f>+SUMIFS('Anlage 2b_Korrekturen'!$F:$F,'Anlage 2b_Korrekturen'!$H:$H,'LV Testat'!$H$4,'Anlage 2b_Korrekturen'!$B:$B,'LV Testat'!$D264,'Anlage 2b_Korrekturen'!$A:$A,C264)</f>
        <v>0</v>
      </c>
      <c r="K264" s="1105">
        <f>+SUMIFS('Anlage 2b_Korrekturen'!$D:$D,'Anlage 2b_Korrekturen'!$H:$H,'LV Testat'!$K$4,'Anlage 2b_Korrekturen'!$B:$B,'LV Testat'!$D264,'Anlage 2b_Korrekturen'!$A:$A,C264)</f>
        <v>0</v>
      </c>
      <c r="L264" s="1119">
        <f>+SUMIFS('Anlage 2b_Korrekturen'!$E:$E,'Anlage 2b_Korrekturen'!$H:$H,'LV Testat'!$K$4,'Anlage 2b_Korrekturen'!$B:$B,'LV Testat'!$D264,'Anlage 2b_Korrekturen'!$A:$A,C264)</f>
        <v>0</v>
      </c>
      <c r="M264" s="1123">
        <f>+SUMIFS('Anlage 2b_Korrekturen'!$F:$F,'Anlage 2b_Korrekturen'!$H:$H,'LV Testat'!$K$4,'Anlage 2b_Korrekturen'!$B:$B,'LV Testat'!$D264,'Anlage 2b_Korrekturen'!$A:$A,C264)</f>
        <v>0</v>
      </c>
      <c r="N264" s="1105">
        <f>+SUMIFS('Anlage 2b_Korrekturen'!$D:$D,'Anlage 2b_Korrekturen'!$H:$H,'LV Testat'!$N$4,'Anlage 2b_Korrekturen'!$B:$B,'LV Testat'!$D264,'Anlage 2b_Korrekturen'!$A:$A,C264)</f>
        <v>0</v>
      </c>
      <c r="O264" s="1119">
        <f>+SUMIFS('Anlage 2b_Korrekturen'!$E:$E,'Anlage 2b_Korrekturen'!$H:$H,'LV Testat'!$N$4,'Anlage 2b_Korrekturen'!$B:$B,'LV Testat'!$D264,'Anlage 2b_Korrekturen'!$A:$A,C264)</f>
        <v>0</v>
      </c>
      <c r="P264" s="1123">
        <f>+SUMIFS('Anlage 2b_Korrekturen'!$F:$F,'Anlage 2b_Korrekturen'!$H:$H,'LV Testat'!$N$4,'Anlage 2b_Korrekturen'!$B:$B,'LV Testat'!$D264,'Anlage 2b_Korrekturen'!$A:$A,C264)</f>
        <v>0</v>
      </c>
    </row>
    <row r="265" spans="1:16" ht="12" hidden="1" outlineLevel="1" thickBot="1">
      <c r="A265" s="1060"/>
      <c r="B265" s="1061"/>
      <c r="C265" s="1137">
        <f>+C264</f>
        <v>2022</v>
      </c>
      <c r="D265" s="1062" t="s">
        <v>2431</v>
      </c>
      <c r="E265" s="1105">
        <f>+SUMIFS('Anlage 2b_Korrekturen'!$D:$D,'Anlage 2b_Korrekturen'!$H:$H,'LV Testat'!$E$4,'Anlage 2b_Korrekturen'!$B:$B,'LV Testat'!$D265,'Anlage 2b_Korrekturen'!$A:$A,$C$137)</f>
        <v>0</v>
      </c>
      <c r="F265" s="1119">
        <f>+SUMIFS('Anlage 2b_Korrekturen'!$E:$E,'Anlage 2b_Korrekturen'!$H:$H,'LV Testat'!$E$4,'Anlage 2b_Korrekturen'!$B:$B,'LV Testat'!$D265,'Anlage 2b_Korrekturen'!$A:$A,C265)</f>
        <v>0</v>
      </c>
      <c r="G265" s="1123">
        <f>+SUMIFS('Anlage 2b_Korrekturen'!$F:$F,'Anlage 2b_Korrekturen'!$H:$H,'LV Testat'!$E$4,'Anlage 2b_Korrekturen'!$B:$B,'LV Testat'!$D265,'Anlage 2b_Korrekturen'!$A:$A,$C$137)</f>
        <v>0</v>
      </c>
      <c r="H265" s="1105">
        <f>+SUMIFS('Anlage 2b_Korrekturen'!$D:$D,'Anlage 2b_Korrekturen'!$H:$H,'LV Testat'!$H$4,'Anlage 2b_Korrekturen'!$B:$B,'LV Testat'!$D265,'Anlage 2b_Korrekturen'!$A:$A,C265)</f>
        <v>0</v>
      </c>
      <c r="I265" s="1119">
        <f>+SUMIFS('Anlage 2b_Korrekturen'!$E:$E,'Anlage 2b_Korrekturen'!$H:$H,'LV Testat'!$H$4,'Anlage 2b_Korrekturen'!$B:$B,'LV Testat'!$D265,'Anlage 2b_Korrekturen'!$A:$A,C265)</f>
        <v>0</v>
      </c>
      <c r="J265" s="1123">
        <f>+SUMIFS('Anlage 2b_Korrekturen'!$F:$F,'Anlage 2b_Korrekturen'!$H:$H,'LV Testat'!$H$4,'Anlage 2b_Korrekturen'!$B:$B,'LV Testat'!$D265,'Anlage 2b_Korrekturen'!$A:$A,C265)</f>
        <v>0</v>
      </c>
      <c r="K265" s="1105">
        <f>+SUMIFS('Anlage 2b_Korrekturen'!$D:$D,'Anlage 2b_Korrekturen'!$H:$H,'LV Testat'!$K$4,'Anlage 2b_Korrekturen'!$B:$B,'LV Testat'!$D265,'Anlage 2b_Korrekturen'!$A:$A,C265)</f>
        <v>0</v>
      </c>
      <c r="L265" s="1119">
        <f>+SUMIFS('Anlage 2b_Korrekturen'!$E:$E,'Anlage 2b_Korrekturen'!$H:$H,'LV Testat'!$K$4,'Anlage 2b_Korrekturen'!$B:$B,'LV Testat'!$D265,'Anlage 2b_Korrekturen'!$A:$A,C265)</f>
        <v>0</v>
      </c>
      <c r="M265" s="1123">
        <f>+SUMIFS('Anlage 2b_Korrekturen'!$F:$F,'Anlage 2b_Korrekturen'!$H:$H,'LV Testat'!$K$4,'Anlage 2b_Korrekturen'!$B:$B,'LV Testat'!$D265,'Anlage 2b_Korrekturen'!$A:$A,C265)</f>
        <v>0</v>
      </c>
      <c r="N265" s="1105">
        <f>+SUMIFS('Anlage 2b_Korrekturen'!$D:$D,'Anlage 2b_Korrekturen'!$H:$H,'LV Testat'!$N$4,'Anlage 2b_Korrekturen'!$B:$B,'LV Testat'!$D265,'Anlage 2b_Korrekturen'!$A:$A,C265)</f>
        <v>0</v>
      </c>
      <c r="O265" s="1119">
        <f>+SUMIFS('Anlage 2b_Korrekturen'!$E:$E,'Anlage 2b_Korrekturen'!$H:$H,'LV Testat'!$N$4,'Anlage 2b_Korrekturen'!$B:$B,'LV Testat'!$D265,'Anlage 2b_Korrekturen'!$A:$A,C265)</f>
        <v>0</v>
      </c>
      <c r="P265" s="1123">
        <f>+SUMIFS('Anlage 2b_Korrekturen'!$F:$F,'Anlage 2b_Korrekturen'!$H:$H,'LV Testat'!$N$4,'Anlage 2b_Korrekturen'!$B:$B,'LV Testat'!$D265,'Anlage 2b_Korrekturen'!$A:$A,C265)</f>
        <v>0</v>
      </c>
    </row>
    <row r="266" spans="1:16" s="1132" customFormat="1" ht="18" collapsed="1">
      <c r="A266" s="1126" t="s">
        <v>2531</v>
      </c>
      <c r="B266" s="1127"/>
      <c r="C266" s="1127"/>
      <c r="D266" s="1128"/>
      <c r="E266" s="1129"/>
      <c r="F266" s="1129"/>
      <c r="G266" s="1130"/>
      <c r="H266" s="1131"/>
      <c r="I266" s="1129"/>
      <c r="J266" s="1130"/>
      <c r="K266" s="1131"/>
      <c r="L266" s="1129"/>
      <c r="M266" s="1130"/>
      <c r="N266" s="1131"/>
      <c r="O266" s="1129"/>
      <c r="P266" s="1130"/>
    </row>
    <row r="267" spans="1:16" ht="15.75" thickBot="1">
      <c r="A267" s="1841">
        <f>+A204-1</f>
        <v>2021</v>
      </c>
      <c r="B267" s="1842"/>
      <c r="C267" s="1842"/>
      <c r="D267" s="1843"/>
      <c r="E267" s="1091"/>
      <c r="F267" s="1091"/>
      <c r="G267" s="1121"/>
      <c r="H267" s="1090"/>
      <c r="I267" s="1091"/>
      <c r="J267" s="1121"/>
      <c r="K267" s="1090"/>
      <c r="L267" s="1091"/>
      <c r="M267" s="1121"/>
      <c r="N267" s="1090"/>
      <c r="O267" s="1091"/>
      <c r="P267" s="1121"/>
    </row>
    <row r="268" spans="1:16" ht="13.5" thickBot="1">
      <c r="A268" s="1013" t="s">
        <v>2532</v>
      </c>
      <c r="B268" s="1133"/>
      <c r="C268" s="1133"/>
      <c r="D268" s="1134"/>
      <c r="E268" s="1001"/>
      <c r="F268" s="1017" t="str">
        <f>+"Check LV NT "&amp;C271</f>
        <v>Check LV NT 2021</v>
      </c>
      <c r="G268" s="1018">
        <f>+F279-E279</f>
        <v>0</v>
      </c>
      <c r="H268" s="1000"/>
      <c r="I268" s="1017" t="str">
        <f>+"Check LV NT "&amp;C271</f>
        <v>Check LV NT 2021</v>
      </c>
      <c r="J268" s="1018">
        <f>+I279-H279</f>
        <v>0</v>
      </c>
      <c r="K268" s="1000"/>
      <c r="L268" s="1017" t="str">
        <f>+"Check LV NT "&amp;C271</f>
        <v>Check LV NT 2021</v>
      </c>
      <c r="M268" s="1018">
        <f>+L279-K279</f>
        <v>0</v>
      </c>
      <c r="N268" s="1000"/>
      <c r="O268" s="1017" t="str">
        <f>+"Check LV NT "&amp;C271</f>
        <v>Check LV NT 2021</v>
      </c>
      <c r="P268" s="1018">
        <f>+O279-N279</f>
        <v>0</v>
      </c>
    </row>
    <row r="269" spans="1:16" hidden="1" outlineLevel="1">
      <c r="A269" s="1028"/>
      <c r="D269" s="1041"/>
      <c r="G269" s="1041"/>
      <c r="H269" s="1028"/>
      <c r="J269" s="1041"/>
      <c r="K269" s="1028"/>
      <c r="M269" s="1041"/>
      <c r="N269" s="1028"/>
      <c r="P269" s="1041"/>
    </row>
    <row r="270" spans="1:16" ht="34.5" hidden="1" outlineLevel="1" thickBot="1">
      <c r="A270" s="1028"/>
      <c r="D270" s="1135"/>
      <c r="E270" s="1032" t="s">
        <v>2499</v>
      </c>
      <c r="F270" s="1032" t="s">
        <v>2499</v>
      </c>
      <c r="H270" s="1032" t="s">
        <v>2499</v>
      </c>
      <c r="I270" s="1032" t="s">
        <v>2499</v>
      </c>
      <c r="J270" s="1041"/>
      <c r="K270" s="1034" t="s">
        <v>2499</v>
      </c>
      <c r="L270" s="1032" t="s">
        <v>2499</v>
      </c>
      <c r="M270" s="1041"/>
      <c r="N270" s="1034" t="s">
        <v>2499</v>
      </c>
      <c r="O270" s="1032" t="s">
        <v>2499</v>
      </c>
      <c r="P270" s="1041"/>
    </row>
    <row r="271" spans="1:16" hidden="1" outlineLevel="1">
      <c r="A271" s="1136"/>
      <c r="C271" s="1137">
        <f>+A267</f>
        <v>2021</v>
      </c>
      <c r="D271" s="1138" t="s">
        <v>2408</v>
      </c>
      <c r="E271" s="1139"/>
      <c r="F271" s="1119">
        <f>+SUMIFS('Anlage 2b_Korrekturen'!$D:$D,'Anlage 2b_Korrekturen'!$H:$H,'LV Testat'!$E$4,'Anlage 2b_Korrekturen'!$C:$C,'LV Testat'!$D271,'Anlage 2b_Korrekturen'!$A:$A,'LV Testat'!C271)</f>
        <v>0</v>
      </c>
      <c r="H271" s="1139">
        <v>8618141</v>
      </c>
      <c r="I271" s="1119">
        <f>+SUMIFS('Anlage 2b_Korrekturen'!$D:$D,'Anlage 2b_Korrekturen'!$H:$H,'LV Testat'!$H$4,'Anlage 2b_Korrekturen'!$C:$C,'LV Testat'!$D271,'Anlage 2b_Korrekturen'!$A:$A,'LV Testat'!C271)</f>
        <v>8618141</v>
      </c>
      <c r="J271" s="1041"/>
      <c r="K271" s="1140">
        <v>-4978548</v>
      </c>
      <c r="L271" s="1119">
        <f>+SUMIFS('Anlage 2b_Korrekturen'!$D:$D,'Anlage 2b_Korrekturen'!$H:$H,'LV Testat'!$K$4,'Anlage 2b_Korrekturen'!$C:$C,'LV Testat'!$D271,'Anlage 2b_Korrekturen'!$A:$A,'LV Testat'!C271)</f>
        <v>-4978548</v>
      </c>
      <c r="M271" s="1041"/>
      <c r="N271" s="1140">
        <v>48519</v>
      </c>
      <c r="O271" s="1119">
        <f>+SUMIFS('Anlage 2b_Korrekturen'!$D:$D,'Anlage 2b_Korrekturen'!$H:$H,'LV Testat'!$N$4,'Anlage 2b_Korrekturen'!$C:$C,'LV Testat'!$D271,'Anlage 2b_Korrekturen'!$A:$A,'LV Testat'!C271)</f>
        <v>48519</v>
      </c>
      <c r="P271" s="1041"/>
    </row>
    <row r="272" spans="1:16" hidden="1" outlineLevel="1">
      <c r="A272" s="1136"/>
      <c r="C272" s="1137">
        <f>+C271</f>
        <v>2021</v>
      </c>
      <c r="D272" s="1138" t="s">
        <v>2500</v>
      </c>
      <c r="E272" s="1139"/>
      <c r="F272" s="1119">
        <f>+SUMIFS('Anlage 2b_Korrekturen'!$D:$D,'Anlage 2b_Korrekturen'!$H:$H,'LV Testat'!$E$4,'Anlage 2b_Korrekturen'!$C:$C,'LV Testat'!$D272,'Anlage 2b_Korrekturen'!$A:$A,'LV Testat'!C272)</f>
        <v>0</v>
      </c>
      <c r="H272" s="1139"/>
      <c r="I272" s="1119">
        <f>+SUMIFS('Anlage 2b_Korrekturen'!$D:$D,'Anlage 2b_Korrekturen'!$H:$H,'LV Testat'!$H$4,'Anlage 2b_Korrekturen'!$C:$C,'LV Testat'!$D272,'Anlage 2b_Korrekturen'!$A:$A,'LV Testat'!C272)</f>
        <v>0</v>
      </c>
      <c r="J272" s="1041"/>
      <c r="K272" s="1038">
        <v>0</v>
      </c>
      <c r="L272" s="1119">
        <f>+SUMIFS('Anlage 2b_Korrekturen'!$D:$D,'Anlage 2b_Korrekturen'!$H:$H,'LV Testat'!$K$4,'Anlage 2b_Korrekturen'!$C:$C,'LV Testat'!$D272,'Anlage 2b_Korrekturen'!$A:$A,'LV Testat'!C272)</f>
        <v>0</v>
      </c>
      <c r="M272" s="1041"/>
      <c r="N272" s="1038">
        <v>0</v>
      </c>
      <c r="O272" s="1119">
        <f>+SUMIFS('Anlage 2b_Korrekturen'!$D:$D,'Anlage 2b_Korrekturen'!$H:$H,'LV Testat'!$N$4,'Anlage 2b_Korrekturen'!$C:$C,'LV Testat'!$D272,'Anlage 2b_Korrekturen'!$A:$A,'LV Testat'!C272)</f>
        <v>0</v>
      </c>
      <c r="P272" s="1041"/>
    </row>
    <row r="273" spans="1:16" hidden="1" outlineLevel="1">
      <c r="A273" s="1136"/>
      <c r="C273" s="1137">
        <f t="shared" ref="C273:C279" si="8">+C272</f>
        <v>2021</v>
      </c>
      <c r="D273" s="1138" t="s">
        <v>2418</v>
      </c>
      <c r="E273" s="1139"/>
      <c r="F273" s="1119">
        <f>+SUMIFS('Anlage 2b_Korrekturen'!$D:$D,'Anlage 2b_Korrekturen'!$H:$H,'LV Testat'!$E$4,'Anlage 2b_Korrekturen'!$C:$C,'LV Testat'!$D273,'Anlage 2b_Korrekturen'!$A:$A,'LV Testat'!C273)</f>
        <v>0</v>
      </c>
      <c r="H273" s="1139">
        <v>0</v>
      </c>
      <c r="I273" s="1119">
        <f>+SUMIFS('Anlage 2b_Korrekturen'!$D:$D,'Anlage 2b_Korrekturen'!$H:$H,'LV Testat'!$H$4,'Anlage 2b_Korrekturen'!$C:$C,'LV Testat'!$D273,'Anlage 2b_Korrekturen'!$A:$A,'LV Testat'!C273)</f>
        <v>0</v>
      </c>
      <c r="J273" s="1041"/>
      <c r="K273" s="1038">
        <v>0</v>
      </c>
      <c r="L273" s="1119">
        <f>+SUMIFS('Anlage 2b_Korrekturen'!$D:$D,'Anlage 2b_Korrekturen'!$H:$H,'LV Testat'!$K$4,'Anlage 2b_Korrekturen'!$C:$C,'LV Testat'!$D273,'Anlage 2b_Korrekturen'!$A:$A,'LV Testat'!C273)</f>
        <v>0</v>
      </c>
      <c r="M273" s="1041"/>
      <c r="N273" s="1038">
        <v>0</v>
      </c>
      <c r="O273" s="1119">
        <f>+SUMIFS('Anlage 2b_Korrekturen'!$D:$D,'Anlage 2b_Korrekturen'!$H:$H,'LV Testat'!$N$4,'Anlage 2b_Korrekturen'!$C:$C,'LV Testat'!$D273,'Anlage 2b_Korrekturen'!$A:$A,'LV Testat'!C273)</f>
        <v>0</v>
      </c>
      <c r="P273" s="1041"/>
    </row>
    <row r="274" spans="1:16" hidden="1" outlineLevel="1">
      <c r="A274" s="1136"/>
      <c r="C274" s="1137">
        <f t="shared" si="8"/>
        <v>2021</v>
      </c>
      <c r="D274" s="1141" t="s">
        <v>2501</v>
      </c>
      <c r="E274" s="1139"/>
      <c r="F274" s="1119">
        <f>+SUMIFS('Anlage 2b_Korrekturen'!$D:$D,'Anlage 2b_Korrekturen'!$H:$H,'LV Testat'!$E$4,'Anlage 2b_Korrekturen'!$C:$C,'LV Testat'!$D274,'Anlage 2b_Korrekturen'!$A:$A,'LV Testat'!C274)</f>
        <v>0</v>
      </c>
      <c r="H274" s="1139"/>
      <c r="I274" s="1119">
        <f>+SUMIFS('Anlage 2b_Korrekturen'!$D:$D,'Anlage 2b_Korrekturen'!$H:$H,'LV Testat'!$H$4,'Anlage 2b_Korrekturen'!$C:$C,'LV Testat'!$D274,'Anlage 2b_Korrekturen'!$A:$A,'LV Testat'!C274)</f>
        <v>0</v>
      </c>
      <c r="J274" s="1041"/>
      <c r="K274" s="1038">
        <v>0</v>
      </c>
      <c r="L274" s="1119">
        <f>+SUMIFS('Anlage 2b_Korrekturen'!$D:$D,'Anlage 2b_Korrekturen'!$H:$H,'LV Testat'!$K$4,'Anlage 2b_Korrekturen'!$C:$C,'LV Testat'!$D274,'Anlage 2b_Korrekturen'!$A:$A,'LV Testat'!C274)</f>
        <v>0</v>
      </c>
      <c r="M274" s="1041"/>
      <c r="N274" s="1038">
        <v>0</v>
      </c>
      <c r="O274" s="1119">
        <f>+SUMIFS('Anlage 2b_Korrekturen'!$D:$D,'Anlage 2b_Korrekturen'!$H:$H,'LV Testat'!$N$4,'Anlage 2b_Korrekturen'!$C:$C,'LV Testat'!$D274,'Anlage 2b_Korrekturen'!$A:$A,'LV Testat'!C274)</f>
        <v>0</v>
      </c>
      <c r="P274" s="1041"/>
    </row>
    <row r="275" spans="1:16" hidden="1" outlineLevel="1">
      <c r="A275" s="1136"/>
      <c r="C275" s="1137">
        <f t="shared" si="8"/>
        <v>2021</v>
      </c>
      <c r="D275" s="1138" t="s">
        <v>2409</v>
      </c>
      <c r="E275" s="1139"/>
      <c r="F275" s="1119">
        <f>+SUMIFS('Anlage 2b_Korrekturen'!$D:$D,'Anlage 2b_Korrekturen'!$H:$H,'LV Testat'!$E$4,'Anlage 2b_Korrekturen'!$C:$C,'LV Testat'!$D275,'Anlage 2b_Korrekturen'!$A:$A,'LV Testat'!C275)</f>
        <v>0</v>
      </c>
      <c r="H275" s="1139">
        <v>0</v>
      </c>
      <c r="I275" s="1119">
        <f>+SUMIFS('Anlage 2b_Korrekturen'!$D:$D,'Anlage 2b_Korrekturen'!$H:$H,'LV Testat'!$H$4,'Anlage 2b_Korrekturen'!$C:$C,'LV Testat'!$D275,'Anlage 2b_Korrekturen'!$A:$A,'LV Testat'!C275)</f>
        <v>0</v>
      </c>
      <c r="J275" s="1041"/>
      <c r="K275" s="1038">
        <v>0</v>
      </c>
      <c r="L275" s="1119">
        <f>+SUMIFS('Anlage 2b_Korrekturen'!$D:$D,'Anlage 2b_Korrekturen'!$H:$H,'LV Testat'!$K$4,'Anlage 2b_Korrekturen'!$C:$C,'LV Testat'!$D275,'Anlage 2b_Korrekturen'!$A:$A,'LV Testat'!C275)</f>
        <v>0</v>
      </c>
      <c r="M275" s="1041"/>
      <c r="N275" s="1038">
        <v>0</v>
      </c>
      <c r="O275" s="1119">
        <f>+SUMIFS('Anlage 2b_Korrekturen'!$D:$D,'Anlage 2b_Korrekturen'!$H:$H,'LV Testat'!$N$4,'Anlage 2b_Korrekturen'!$C:$C,'LV Testat'!$D275,'Anlage 2b_Korrekturen'!$A:$A,'LV Testat'!C275)</f>
        <v>0</v>
      </c>
      <c r="P275" s="1041"/>
    </row>
    <row r="276" spans="1:16" hidden="1" outlineLevel="1">
      <c r="A276" s="1136"/>
      <c r="C276" s="1137">
        <f t="shared" si="8"/>
        <v>2021</v>
      </c>
      <c r="D276" s="1138" t="s">
        <v>2419</v>
      </c>
      <c r="E276" s="1139"/>
      <c r="F276" s="1119">
        <f>+SUMIFS('Anlage 2b_Korrekturen'!$D:$D,'Anlage 2b_Korrekturen'!$H:$H,'LV Testat'!$E$4,'Anlage 2b_Korrekturen'!$C:$C,'LV Testat'!$D276,'Anlage 2b_Korrekturen'!$A:$A,'LV Testat'!C276)</f>
        <v>0</v>
      </c>
      <c r="H276" s="1139"/>
      <c r="I276" s="1119">
        <f>+SUMIFS('Anlage 2b_Korrekturen'!$D:$D,'Anlage 2b_Korrekturen'!$H:$H,'LV Testat'!$H$4,'Anlage 2b_Korrekturen'!$C:$C,'LV Testat'!$D276,'Anlage 2b_Korrekturen'!$A:$A,'LV Testat'!C276)</f>
        <v>0</v>
      </c>
      <c r="J276" s="1041"/>
      <c r="K276" s="1142">
        <v>0</v>
      </c>
      <c r="L276" s="1119">
        <f>+SUMIFS('Anlage 2b_Korrekturen'!$D:$D,'Anlage 2b_Korrekturen'!$H:$H,'LV Testat'!$K$4,'Anlage 2b_Korrekturen'!$C:$C,'LV Testat'!$D276,'Anlage 2b_Korrekturen'!$A:$A,'LV Testat'!C276)</f>
        <v>0</v>
      </c>
      <c r="M276" s="1041"/>
      <c r="N276" s="1142">
        <v>0</v>
      </c>
      <c r="O276" s="1119">
        <f>+SUMIFS('Anlage 2b_Korrekturen'!$D:$D,'Anlage 2b_Korrekturen'!$H:$H,'LV Testat'!$N$4,'Anlage 2b_Korrekturen'!$C:$C,'LV Testat'!$D276,'Anlage 2b_Korrekturen'!$A:$A,'LV Testat'!C276)</f>
        <v>0</v>
      </c>
      <c r="P276" s="1041"/>
    </row>
    <row r="277" spans="1:16" hidden="1" outlineLevel="1">
      <c r="A277" s="1136"/>
      <c r="C277" s="1137">
        <f t="shared" si="8"/>
        <v>2021</v>
      </c>
      <c r="D277" s="1138" t="s">
        <v>2412</v>
      </c>
      <c r="E277" s="1139"/>
      <c r="F277" s="1119">
        <f>+SUMIFS('Anlage 2b_Korrekturen'!$D:$D,'Anlage 2b_Korrekturen'!$H:$H,'LV Testat'!$E$4,'Anlage 2b_Korrekturen'!$C:$C,'LV Testat'!$D277,'Anlage 2b_Korrekturen'!$A:$A,'LV Testat'!C277)</f>
        <v>0</v>
      </c>
      <c r="H277" s="1139"/>
      <c r="I277" s="1119">
        <f>+SUMIFS('Anlage 2b_Korrekturen'!$D:$D,'Anlage 2b_Korrekturen'!$H:$H,'LV Testat'!$H$4,'Anlage 2b_Korrekturen'!$C:$C,'LV Testat'!$D277,'Anlage 2b_Korrekturen'!$A:$A,'LV Testat'!C277)</f>
        <v>0</v>
      </c>
      <c r="J277" s="1041"/>
      <c r="K277" s="1142">
        <v>0</v>
      </c>
      <c r="L277" s="1119">
        <f>+SUMIFS('Anlage 2b_Korrekturen'!$D:$D,'Anlage 2b_Korrekturen'!$H:$H,'LV Testat'!$K$4,'Anlage 2b_Korrekturen'!$C:$C,'LV Testat'!$D277,'Anlage 2b_Korrekturen'!$A:$A,'LV Testat'!C277)</f>
        <v>0</v>
      </c>
      <c r="M277" s="1041"/>
      <c r="N277" s="1142">
        <v>0</v>
      </c>
      <c r="O277" s="1119">
        <f>+SUMIFS('Anlage 2b_Korrekturen'!$D:$D,'Anlage 2b_Korrekturen'!$H:$H,'LV Testat'!$N$4,'Anlage 2b_Korrekturen'!$C:$C,'LV Testat'!$D277,'Anlage 2b_Korrekturen'!$A:$A,'LV Testat'!C277)</f>
        <v>0</v>
      </c>
      <c r="P277" s="1041"/>
    </row>
    <row r="278" spans="1:16" hidden="1" outlineLevel="1">
      <c r="A278" s="1028"/>
      <c r="C278" s="1137">
        <f t="shared" si="8"/>
        <v>2021</v>
      </c>
      <c r="D278" s="1141" t="s">
        <v>2410</v>
      </c>
      <c r="E278" s="1139"/>
      <c r="F278" s="1119">
        <f>+SUMIFS('Anlage 2b_Korrekturen'!$D:$D,'Anlage 2b_Korrekturen'!$H:$H,'LV Testat'!$E$4,'Anlage 2b_Korrekturen'!$C:$C,'LV Testat'!$D278,'Anlage 2b_Korrekturen'!$A:$A,'LV Testat'!C278)</f>
        <v>0</v>
      </c>
      <c r="H278" s="1139">
        <v>0</v>
      </c>
      <c r="I278" s="1119">
        <f>+SUMIFS('Anlage 2b_Korrekturen'!$D:$D,'Anlage 2b_Korrekturen'!$H:$H,'LV Testat'!$H$4,'Anlage 2b_Korrekturen'!$C:$C,'LV Testat'!$D278,'Anlage 2b_Korrekturen'!$A:$A,'LV Testat'!C278)</f>
        <v>0</v>
      </c>
      <c r="J278" s="1041"/>
      <c r="K278" s="1142">
        <v>0</v>
      </c>
      <c r="L278" s="1119">
        <f>+SUMIFS('Anlage 2b_Korrekturen'!$D:$D,'Anlage 2b_Korrekturen'!$H:$H,'LV Testat'!$K$4,'Anlage 2b_Korrekturen'!$C:$C,'LV Testat'!$D278,'Anlage 2b_Korrekturen'!$A:$A,'LV Testat'!C278)</f>
        <v>0</v>
      </c>
      <c r="M278" s="1041"/>
      <c r="N278" s="1142">
        <v>0</v>
      </c>
      <c r="O278" s="1119">
        <f>+SUMIFS('Anlage 2b_Korrekturen'!$D:$D,'Anlage 2b_Korrekturen'!$H:$H,'LV Testat'!$N$4,'Anlage 2b_Korrekturen'!$C:$C,'LV Testat'!$D278,'Anlage 2b_Korrekturen'!$A:$A,'LV Testat'!C278)</f>
        <v>0</v>
      </c>
      <c r="P278" s="1041"/>
    </row>
    <row r="279" spans="1:16" ht="12" hidden="1" outlineLevel="1" thickBot="1">
      <c r="A279" s="1143"/>
      <c r="B279" s="1091"/>
      <c r="C279" s="1137">
        <f t="shared" si="8"/>
        <v>2021</v>
      </c>
      <c r="D279" s="1144" t="s">
        <v>2503</v>
      </c>
      <c r="E279" s="1124">
        <f>+SUM(E271:E278)</f>
        <v>0</v>
      </c>
      <c r="F279" s="1124">
        <f>+SUM(F271:F278)</f>
        <v>0</v>
      </c>
      <c r="G279" s="1091"/>
      <c r="H279" s="1124">
        <f>+SUM(H271:H278)</f>
        <v>8618141</v>
      </c>
      <c r="I279" s="1124">
        <f>+SUM(I271:I278)</f>
        <v>8618141</v>
      </c>
      <c r="J279" s="1121"/>
      <c r="K279" s="1125">
        <f>+SUM(K271:K278)</f>
        <v>-4978548</v>
      </c>
      <c r="L279" s="1125">
        <f>+SUM(L271:L278)</f>
        <v>-4978548</v>
      </c>
      <c r="M279" s="1121"/>
      <c r="N279" s="1125">
        <f>+SUM(N271:N278)</f>
        <v>48519</v>
      </c>
      <c r="O279" s="1125">
        <f>+SUM(O271:O278)</f>
        <v>48519</v>
      </c>
      <c r="P279" s="1121"/>
    </row>
    <row r="280" spans="1:16" ht="12" collapsed="1" thickBot="1">
      <c r="A280" s="1013" t="s">
        <v>2504</v>
      </c>
      <c r="B280" s="1001"/>
      <c r="C280" s="1001"/>
      <c r="D280" s="1002"/>
      <c r="E280" s="1001"/>
      <c r="F280" s="1017" t="str">
        <f>+"Check Saldierungsbetrag NT "&amp;C288</f>
        <v>Check Saldierungsbetrag NT 2021</v>
      </c>
      <c r="G280" s="1018">
        <f>+SUM(E283:G285)-SUM(E288:G290)</f>
        <v>0</v>
      </c>
      <c r="H280" s="1000"/>
      <c r="I280" s="1017" t="str">
        <f>+"Check Saldierungsbetrag NT "&amp;C288</f>
        <v>Check Saldierungsbetrag NT 2021</v>
      </c>
      <c r="J280" s="1018">
        <f>+SUM(H283:J285)-SUM(H288:J290)</f>
        <v>0</v>
      </c>
      <c r="K280" s="1000"/>
      <c r="L280" s="1017" t="str">
        <f>+"Check Saldierungsbetrag NT "&amp;C288</f>
        <v>Check Saldierungsbetrag NT 2021</v>
      </c>
      <c r="M280" s="1018">
        <f>+SUM(K283:M285)-SUM(K288:M290)</f>
        <v>0</v>
      </c>
      <c r="N280" s="1000"/>
      <c r="O280" s="1017" t="str">
        <f>+"Check Saldierungsbetrag NT "&amp;C288</f>
        <v>Check Saldierungsbetrag NT 2021</v>
      </c>
      <c r="P280" s="1018">
        <f>+SUM(N283:P285)-SUM(N288:P290)</f>
        <v>0</v>
      </c>
    </row>
    <row r="281" spans="1:16" ht="12" hidden="1" outlineLevel="1" thickBot="1">
      <c r="A281" s="1028"/>
      <c r="D281" s="1041"/>
      <c r="E281" s="1012"/>
      <c r="G281" s="1041"/>
      <c r="H281" s="1028"/>
      <c r="J281" s="1041"/>
      <c r="K281" s="1028"/>
      <c r="M281" s="1041"/>
      <c r="N281" s="1028"/>
      <c r="P281" s="1041"/>
    </row>
    <row r="282" spans="1:16" ht="33.75" hidden="1" outlineLevel="1">
      <c r="A282" s="1028"/>
      <c r="D282" s="1030" t="s">
        <v>2506</v>
      </c>
      <c r="E282" s="1145" t="s">
        <v>2499</v>
      </c>
      <c r="F282" s="1146" t="s">
        <v>2507</v>
      </c>
      <c r="G282" s="1147" t="s">
        <v>2508</v>
      </c>
      <c r="H282" s="1148" t="s">
        <v>2499</v>
      </c>
      <c r="I282" s="1146" t="s">
        <v>2507</v>
      </c>
      <c r="J282" s="1147" t="s">
        <v>2508</v>
      </c>
      <c r="K282" s="1148" t="s">
        <v>2499</v>
      </c>
      <c r="L282" s="1146" t="s">
        <v>2507</v>
      </c>
      <c r="M282" s="1147" t="s">
        <v>2508</v>
      </c>
      <c r="N282" s="1148" t="s">
        <v>2499</v>
      </c>
      <c r="O282" s="1146" t="s">
        <v>2507</v>
      </c>
      <c r="P282" s="1147" t="s">
        <v>2508</v>
      </c>
    </row>
    <row r="283" spans="1:16" hidden="1" outlineLevel="1">
      <c r="A283" s="1028"/>
      <c r="D283" s="1050" t="s">
        <v>2411</v>
      </c>
      <c r="E283" s="1051"/>
      <c r="F283" s="1101"/>
      <c r="G283" s="1102"/>
      <c r="H283" s="1070">
        <v>0</v>
      </c>
      <c r="I283" s="1067">
        <v>0</v>
      </c>
      <c r="J283" s="1068">
        <v>0</v>
      </c>
      <c r="K283" s="1070">
        <v>0</v>
      </c>
      <c r="L283" s="1067">
        <v>0</v>
      </c>
      <c r="M283" s="1068">
        <v>0</v>
      </c>
      <c r="N283" s="1070">
        <v>0</v>
      </c>
      <c r="O283" s="1067">
        <v>0</v>
      </c>
      <c r="P283" s="1068">
        <v>0</v>
      </c>
    </row>
    <row r="284" spans="1:16" hidden="1" outlineLevel="1">
      <c r="A284" s="1028"/>
      <c r="D284" s="1050" t="s">
        <v>2375</v>
      </c>
      <c r="E284" s="1051"/>
      <c r="F284" s="1101"/>
      <c r="G284" s="1102"/>
      <c r="H284" s="1070"/>
      <c r="I284" s="1067"/>
      <c r="J284" s="1068"/>
      <c r="K284" s="1070">
        <v>0</v>
      </c>
      <c r="L284" s="1067">
        <v>0</v>
      </c>
      <c r="M284" s="1068">
        <v>0</v>
      </c>
      <c r="N284" s="1070">
        <v>0</v>
      </c>
      <c r="O284" s="1067">
        <v>0</v>
      </c>
      <c r="P284" s="1068">
        <v>0</v>
      </c>
    </row>
    <row r="285" spans="1:16" ht="12" hidden="1" outlineLevel="1" thickBot="1">
      <c r="A285" s="1028"/>
      <c r="D285" s="1050" t="s">
        <v>2431</v>
      </c>
      <c r="E285" s="1149"/>
      <c r="F285" s="1169"/>
      <c r="G285" s="1170"/>
      <c r="H285" s="1171"/>
      <c r="I285" s="1172"/>
      <c r="J285" s="1173"/>
      <c r="K285" s="1171">
        <v>0</v>
      </c>
      <c r="L285" s="1172">
        <v>0</v>
      </c>
      <c r="M285" s="1173">
        <v>0</v>
      </c>
      <c r="N285" s="1171">
        <v>0</v>
      </c>
      <c r="O285" s="1172">
        <v>0</v>
      </c>
      <c r="P285" s="1173">
        <v>0</v>
      </c>
    </row>
    <row r="286" spans="1:16" ht="12" hidden="1" outlineLevel="1" thickBot="1">
      <c r="A286" s="1028"/>
      <c r="D286" s="1041"/>
      <c r="F286" s="1847"/>
      <c r="G286" s="1848"/>
      <c r="H286" s="1028"/>
      <c r="I286" s="1012"/>
      <c r="J286" s="1122"/>
      <c r="K286" s="1028"/>
      <c r="L286" s="1012"/>
      <c r="M286" s="1122"/>
      <c r="N286" s="1028"/>
      <c r="O286" s="1012"/>
      <c r="P286" s="1122"/>
    </row>
    <row r="287" spans="1:16" ht="33.75" hidden="1" outlineLevel="1">
      <c r="A287" s="1028"/>
      <c r="D287" s="1099" t="s">
        <v>2506</v>
      </c>
      <c r="E287" s="1152" t="s">
        <v>2499</v>
      </c>
      <c r="F287" s="1153" t="s">
        <v>2507</v>
      </c>
      <c r="G287" s="1154" t="s">
        <v>2508</v>
      </c>
      <c r="H287" s="1148" t="s">
        <v>2499</v>
      </c>
      <c r="I287" s="1146" t="s">
        <v>2507</v>
      </c>
      <c r="J287" s="1147" t="s">
        <v>2508</v>
      </c>
      <c r="K287" s="1148" t="s">
        <v>2499</v>
      </c>
      <c r="L287" s="1146" t="s">
        <v>2507</v>
      </c>
      <c r="M287" s="1147" t="s">
        <v>2508</v>
      </c>
      <c r="N287" s="1148" t="s">
        <v>2499</v>
      </c>
      <c r="O287" s="1146" t="s">
        <v>2507</v>
      </c>
      <c r="P287" s="1147" t="s">
        <v>2508</v>
      </c>
    </row>
    <row r="288" spans="1:16" hidden="1" outlineLevel="1">
      <c r="A288" s="1028"/>
      <c r="C288" s="1137">
        <f>+A267</f>
        <v>2021</v>
      </c>
      <c r="D288" s="1050" t="s">
        <v>2411</v>
      </c>
      <c r="E288" s="1105">
        <f>+SUMIFS('Anlage 2b_Korrekturen'!$D:$D,'Anlage 2b_Korrekturen'!$H:$H,'LV Testat'!$E$4,'Anlage 2b_Korrekturen'!$C:$C,'LV Testat'!$D288,'Anlage 2b_Korrekturen'!$A:$A,C288)</f>
        <v>0</v>
      </c>
      <c r="F288" s="1119">
        <f>+SUMIFS('Anlage 2b_Korrekturen'!$E:$E,'Anlage 2b_Korrekturen'!$H:$H,'LV Testat'!$E$4,'Anlage 2b_Korrekturen'!$C:$C,'LV Testat'!$D288,'Anlage 2b_Korrekturen'!$A:$A,C288)</f>
        <v>0</v>
      </c>
      <c r="G288" s="1123">
        <f>+SUMIFS('Anlage 2b_Korrekturen'!$F:$F,'Anlage 2b_Korrekturen'!$H:$H,'LV Testat'!$E$4,'Anlage 2b_Korrekturen'!$C:$C,'LV Testat'!$D288,'Anlage 2b_Korrekturen'!$A:$A,C288)</f>
        <v>0</v>
      </c>
      <c r="H288" s="1105">
        <f>+SUMIFS('Anlage 2b_Korrekturen'!$D:$D,'Anlage 2b_Korrekturen'!$H:$H,'LV Testat'!$H$4,'Anlage 2b_Korrekturen'!$C:$C,'LV Testat'!$D288,'Anlage 2b_Korrekturen'!$A:$A,C288)</f>
        <v>0</v>
      </c>
      <c r="I288" s="1119">
        <f>+SUMIFS('Anlage 2b_Korrekturen'!$E:$E,'Anlage 2b_Korrekturen'!$H:$H,'LV Testat'!$H$4,'Anlage 2b_Korrekturen'!$C:$C,'LV Testat'!$D288,'Anlage 2b_Korrekturen'!$A:$A,C288)</f>
        <v>0</v>
      </c>
      <c r="J288" s="1123">
        <f>+SUMIFS('Anlage 2b_Korrekturen'!$F:$F,'Anlage 2b_Korrekturen'!$H:$H,'LV Testat'!$H$4,'Anlage 2b_Korrekturen'!$C:$C,'LV Testat'!$D288,'Anlage 2b_Korrekturen'!$A:$A,C288)</f>
        <v>0</v>
      </c>
      <c r="K288" s="1105">
        <f>+SUMIFS('Anlage 2b_Korrekturen'!$D:$D,'Anlage 2b_Korrekturen'!$H:$H,'LV Testat'!$K$4,'Anlage 2b_Korrekturen'!$C:$C,'LV Testat'!$D288,'Anlage 2b_Korrekturen'!$A:$A,C288)</f>
        <v>0</v>
      </c>
      <c r="L288" s="1119">
        <f>+SUMIFS('Anlage 2b_Korrekturen'!$E:$E,'Anlage 2b_Korrekturen'!$H:$H,'LV Testat'!$K$4,'Anlage 2b_Korrekturen'!$C:$C,'LV Testat'!$D288,'Anlage 2b_Korrekturen'!$A:$A,C288)</f>
        <v>0</v>
      </c>
      <c r="M288" s="1123">
        <f>+SUMIFS('Anlage 2b_Korrekturen'!$F:$F,'Anlage 2b_Korrekturen'!$H:$H,'LV Testat'!$K$4,'Anlage 2b_Korrekturen'!$C:$C,'LV Testat'!$D288,'Anlage 2b_Korrekturen'!$A:$A,C288)</f>
        <v>0</v>
      </c>
      <c r="N288" s="1105">
        <f>+SUMIFS('Anlage 2b_Korrekturen'!$D:$D,'Anlage 2b_Korrekturen'!$H:$H,'LV Testat'!$N$4,'Anlage 2b_Korrekturen'!$C:$C,'LV Testat'!$D288,'Anlage 2b_Korrekturen'!$A:$A,C288)</f>
        <v>0</v>
      </c>
      <c r="O288" s="1119">
        <f>+SUMIFS('Anlage 2b_Korrekturen'!$E:$E,'Anlage 2b_Korrekturen'!$H:$H,'LV Testat'!$N$4,'Anlage 2b_Korrekturen'!$C:$C,'LV Testat'!$D288,'Anlage 2b_Korrekturen'!$A:$A,C288)</f>
        <v>0</v>
      </c>
      <c r="P288" s="1123">
        <f>+SUMIFS('Anlage 2b_Korrekturen'!$F:$F,'Anlage 2b_Korrekturen'!$H:$H,'LV Testat'!$N$4,'Anlage 2b_Korrekturen'!$C:$C,'LV Testat'!$D288,'Anlage 2b_Korrekturen'!$A:$A,C288)</f>
        <v>0</v>
      </c>
    </row>
    <row r="289" spans="1:16" hidden="1" outlineLevel="1">
      <c r="A289" s="1028"/>
      <c r="C289" s="1137">
        <f>+C288</f>
        <v>2021</v>
      </c>
      <c r="D289" s="1050" t="s">
        <v>2375</v>
      </c>
      <c r="E289" s="1105">
        <f>+SUMIFS('Anlage 2b_Korrekturen'!$D:$D,'Anlage 2b_Korrekturen'!$H:$H,'LV Testat'!$E$4,'Anlage 2b_Korrekturen'!$C:$C,'LV Testat'!$D289,'Anlage 2b_Korrekturen'!$A:$A,C289)</f>
        <v>0</v>
      </c>
      <c r="F289" s="1119">
        <f>+SUMIFS('Anlage 2b_Korrekturen'!$E:$E,'Anlage 2b_Korrekturen'!$H:$H,'LV Testat'!$E$4,'Anlage 2b_Korrekturen'!$C:$C,'LV Testat'!$D289,'Anlage 2b_Korrekturen'!$A:$A,C289)</f>
        <v>0</v>
      </c>
      <c r="G289" s="1123">
        <f>+SUMIFS('Anlage 2b_Korrekturen'!$F:$F,'Anlage 2b_Korrekturen'!$H:$H,'LV Testat'!$E$4,'Anlage 2b_Korrekturen'!$C:$C,'LV Testat'!$D289,'Anlage 2b_Korrekturen'!$A:$A,C289)</f>
        <v>0</v>
      </c>
      <c r="H289" s="1105">
        <f>+SUMIFS('Anlage 2b_Korrekturen'!$D:$D,'Anlage 2b_Korrekturen'!$H:$H,'LV Testat'!$H$4,'Anlage 2b_Korrekturen'!$C:$C,'LV Testat'!$D289,'Anlage 2b_Korrekturen'!$A:$A,C289)</f>
        <v>0</v>
      </c>
      <c r="I289" s="1119">
        <f>+SUMIFS('Anlage 2b_Korrekturen'!$E:$E,'Anlage 2b_Korrekturen'!$H:$H,'LV Testat'!$H$4,'Anlage 2b_Korrekturen'!$C:$C,'LV Testat'!$D289,'Anlage 2b_Korrekturen'!$A:$A,C289)</f>
        <v>0</v>
      </c>
      <c r="J289" s="1123">
        <f>+SUMIFS('Anlage 2b_Korrekturen'!$F:$F,'Anlage 2b_Korrekturen'!$H:$H,'LV Testat'!$H$4,'Anlage 2b_Korrekturen'!$C:$C,'LV Testat'!$D289,'Anlage 2b_Korrekturen'!$A:$A,C289)</f>
        <v>0</v>
      </c>
      <c r="K289" s="1105">
        <f>+SUMIFS('Anlage 2b_Korrekturen'!$D:$D,'Anlage 2b_Korrekturen'!$H:$H,'LV Testat'!$K$4,'Anlage 2b_Korrekturen'!$C:$C,'LV Testat'!$D289,'Anlage 2b_Korrekturen'!$A:$A,C289)</f>
        <v>0</v>
      </c>
      <c r="L289" s="1119">
        <f>+SUMIFS('Anlage 2b_Korrekturen'!$E:$E,'Anlage 2b_Korrekturen'!$H:$H,'LV Testat'!$K$4,'Anlage 2b_Korrekturen'!$C:$C,'LV Testat'!$D289,'Anlage 2b_Korrekturen'!$A:$A,C289)</f>
        <v>0</v>
      </c>
      <c r="M289" s="1123">
        <f>+SUMIFS('Anlage 2b_Korrekturen'!$F:$F,'Anlage 2b_Korrekturen'!$H:$H,'LV Testat'!$K$4,'Anlage 2b_Korrekturen'!$C:$C,'LV Testat'!$D289,'Anlage 2b_Korrekturen'!$A:$A,C289)</f>
        <v>0</v>
      </c>
      <c r="N289" s="1105">
        <f>+SUMIFS('Anlage 2b_Korrekturen'!$D:$D,'Anlage 2b_Korrekturen'!$H:$H,'LV Testat'!$N$4,'Anlage 2b_Korrekturen'!$C:$C,'LV Testat'!$D289,'Anlage 2b_Korrekturen'!$A:$A,C289)</f>
        <v>0</v>
      </c>
      <c r="O289" s="1119">
        <f>+SUMIFS('Anlage 2b_Korrekturen'!$E:$E,'Anlage 2b_Korrekturen'!$H:$H,'LV Testat'!$N$4,'Anlage 2b_Korrekturen'!$C:$C,'LV Testat'!$D289,'Anlage 2b_Korrekturen'!$A:$A,C289)</f>
        <v>0</v>
      </c>
      <c r="P289" s="1123">
        <f>+SUMIFS('Anlage 2b_Korrekturen'!$F:$F,'Anlage 2b_Korrekturen'!$H:$H,'LV Testat'!$N$4,'Anlage 2b_Korrekturen'!$C:$C,'LV Testat'!$D289,'Anlage 2b_Korrekturen'!$A:$A,C289)</f>
        <v>0</v>
      </c>
    </row>
    <row r="290" spans="1:16" ht="12" hidden="1" outlineLevel="1" thickBot="1">
      <c r="A290" s="1090"/>
      <c r="B290" s="1091"/>
      <c r="C290" s="1137">
        <f>+C289</f>
        <v>2021</v>
      </c>
      <c r="D290" s="1062" t="s">
        <v>2431</v>
      </c>
      <c r="E290" s="1105">
        <f>+SUMIFS('Anlage 2b_Korrekturen'!$D:$D,'Anlage 2b_Korrekturen'!$H:$H,'LV Testat'!$E$4,'Anlage 2b_Korrekturen'!$C:$C,'LV Testat'!$D290,'Anlage 2b_Korrekturen'!$A:$A,C290)</f>
        <v>0</v>
      </c>
      <c r="F290" s="1119">
        <f>+SUMIFS('Anlage 2b_Korrekturen'!$E:$E,'Anlage 2b_Korrekturen'!$H:$H,'LV Testat'!$E$4,'Anlage 2b_Korrekturen'!$C:$C,'LV Testat'!$D290,'Anlage 2b_Korrekturen'!$A:$A,C290)</f>
        <v>0</v>
      </c>
      <c r="G290" s="1123">
        <f>+SUMIFS('Anlage 2b_Korrekturen'!$F:$F,'Anlage 2b_Korrekturen'!$H:$H,'LV Testat'!$E$4,'Anlage 2b_Korrekturen'!$C:$C,'LV Testat'!$D290,'Anlage 2b_Korrekturen'!$A:$A,C290)</f>
        <v>0</v>
      </c>
      <c r="H290" s="1105">
        <f>+SUMIFS('Anlage 2b_Korrekturen'!$D:$D,'Anlage 2b_Korrekturen'!$H:$H,'LV Testat'!$H$4,'Anlage 2b_Korrekturen'!$C:$C,'LV Testat'!$D290,'Anlage 2b_Korrekturen'!$A:$A,C290)</f>
        <v>0</v>
      </c>
      <c r="I290" s="1119">
        <f>+SUMIFS('Anlage 2b_Korrekturen'!$E:$E,'Anlage 2b_Korrekturen'!$H:$H,'LV Testat'!$H$4,'Anlage 2b_Korrekturen'!$C:$C,'LV Testat'!$D290,'Anlage 2b_Korrekturen'!$A:$A,C290)</f>
        <v>0</v>
      </c>
      <c r="J290" s="1123">
        <f>+SUMIFS('Anlage 2b_Korrekturen'!$F:$F,'Anlage 2b_Korrekturen'!$H:$H,'LV Testat'!$H$4,'Anlage 2b_Korrekturen'!$C:$C,'LV Testat'!$D290,'Anlage 2b_Korrekturen'!$A:$A,C290)</f>
        <v>0</v>
      </c>
      <c r="K290" s="1105">
        <f>+SUMIFS('Anlage 2b_Korrekturen'!$D:$D,'Anlage 2b_Korrekturen'!$H:$H,'LV Testat'!$K$4,'Anlage 2b_Korrekturen'!$C:$C,'LV Testat'!$D290,'Anlage 2b_Korrekturen'!$A:$A,C290)</f>
        <v>0</v>
      </c>
      <c r="L290" s="1119">
        <f>+SUMIFS('Anlage 2b_Korrekturen'!$E:$E,'Anlage 2b_Korrekturen'!$H:$H,'LV Testat'!$K$4,'Anlage 2b_Korrekturen'!$C:$C,'LV Testat'!$D290,'Anlage 2b_Korrekturen'!$A:$A,C290)</f>
        <v>0</v>
      </c>
      <c r="M290" s="1123">
        <f>+SUMIFS('Anlage 2b_Korrekturen'!$F:$F,'Anlage 2b_Korrekturen'!$H:$H,'LV Testat'!$K$4,'Anlage 2b_Korrekturen'!$C:$C,'LV Testat'!$D290,'Anlage 2b_Korrekturen'!$A:$A,C290)</f>
        <v>0</v>
      </c>
      <c r="N290" s="1105">
        <f>+SUMIFS('Anlage 2b_Korrekturen'!$D:$D,'Anlage 2b_Korrekturen'!$H:$H,'LV Testat'!$N$4,'Anlage 2b_Korrekturen'!$C:$C,'LV Testat'!$D290,'Anlage 2b_Korrekturen'!$A:$A,C290)</f>
        <v>0</v>
      </c>
      <c r="O290" s="1119">
        <f>+SUMIFS('Anlage 2b_Korrekturen'!$E:$E,'Anlage 2b_Korrekturen'!$H:$H,'LV Testat'!$N$4,'Anlage 2b_Korrekturen'!$C:$C,'LV Testat'!$D290,'Anlage 2b_Korrekturen'!$A:$A,C290)</f>
        <v>0</v>
      </c>
      <c r="P290" s="1123">
        <f>+SUMIFS('Anlage 2b_Korrekturen'!$F:$F,'Anlage 2b_Korrekturen'!$H:$H,'LV Testat'!$N$4,'Anlage 2b_Korrekturen'!$C:$C,'LV Testat'!$D290,'Anlage 2b_Korrekturen'!$A:$A,C290)</f>
        <v>0</v>
      </c>
    </row>
    <row r="291" spans="1:16" ht="12" collapsed="1" thickBot="1">
      <c r="A291" s="1013" t="s">
        <v>2535</v>
      </c>
      <c r="B291" s="1001"/>
      <c r="C291" s="1001"/>
      <c r="D291" s="1002"/>
      <c r="E291" s="1001"/>
      <c r="F291" s="1017" t="str">
        <f>+"Check Verstoß VNB NT "&amp;C298</f>
        <v>Check Verstoß VNB NT 2021</v>
      </c>
      <c r="G291" s="1018">
        <f>+SUM(E298:G299)-SUM(E294:G295)</f>
        <v>0</v>
      </c>
      <c r="H291" s="1000"/>
      <c r="I291" s="1017" t="str">
        <f>+"Check Verstoß VNB NT "&amp;C298</f>
        <v>Check Verstoß VNB NT 2021</v>
      </c>
      <c r="J291" s="1018">
        <f>+SUM(H294:J295)-SUM(H298:J299)</f>
        <v>0</v>
      </c>
      <c r="K291" s="1000"/>
      <c r="L291" s="1017" t="str">
        <f>+"Check Verstoß VNB NT "&amp;C298</f>
        <v>Check Verstoß VNB NT 2021</v>
      </c>
      <c r="M291" s="1018">
        <f>+SUM(K294:M295)-SUM(K298:M299)</f>
        <v>0</v>
      </c>
      <c r="N291" s="1000"/>
      <c r="O291" s="1017" t="str">
        <f>+"Check Verstoß VNB NT "&amp;C298</f>
        <v>Check Verstoß VNB NT 2021</v>
      </c>
      <c r="P291" s="1018">
        <f>+SUM(N294:P295)-SUM(N298:P299)</f>
        <v>0</v>
      </c>
    </row>
    <row r="292" spans="1:16" ht="12" hidden="1" outlineLevel="1" thickBot="1">
      <c r="A292" s="1028"/>
      <c r="D292" s="1041"/>
      <c r="G292" s="1041"/>
      <c r="H292" s="1028"/>
      <c r="J292" s="1041"/>
      <c r="K292" s="1028"/>
      <c r="M292" s="1041"/>
      <c r="N292" s="1028"/>
      <c r="P292" s="1041"/>
    </row>
    <row r="293" spans="1:16" ht="33.75" hidden="1" outlineLevel="1">
      <c r="A293" s="1028"/>
      <c r="D293" s="1099" t="s">
        <v>2511</v>
      </c>
      <c r="E293" s="1155" t="s">
        <v>2512</v>
      </c>
      <c r="F293" s="1146" t="s">
        <v>2507</v>
      </c>
      <c r="G293" s="1147" t="s">
        <v>2508</v>
      </c>
      <c r="H293" s="1156" t="s">
        <v>2512</v>
      </c>
      <c r="I293" s="1146" t="s">
        <v>2507</v>
      </c>
      <c r="J293" s="1147" t="s">
        <v>2508</v>
      </c>
      <c r="K293" s="1156" t="s">
        <v>2512</v>
      </c>
      <c r="L293" s="1146" t="s">
        <v>2507</v>
      </c>
      <c r="M293" s="1147" t="s">
        <v>2508</v>
      </c>
      <c r="N293" s="1156" t="s">
        <v>2512</v>
      </c>
      <c r="O293" s="1146" t="s">
        <v>2507</v>
      </c>
      <c r="P293" s="1147" t="s">
        <v>2508</v>
      </c>
    </row>
    <row r="294" spans="1:16" hidden="1" outlineLevel="1">
      <c r="A294" s="1028"/>
      <c r="D294" s="1066" t="s">
        <v>2513</v>
      </c>
      <c r="E294" s="1100"/>
      <c r="F294" s="1101"/>
      <c r="G294" s="1102"/>
      <c r="H294" s="1069"/>
      <c r="I294" s="1067"/>
      <c r="J294" s="1068"/>
      <c r="K294" s="1069">
        <v>0</v>
      </c>
      <c r="L294" s="1067">
        <v>0</v>
      </c>
      <c r="M294" s="1068">
        <v>0</v>
      </c>
      <c r="N294" s="1069"/>
      <c r="O294" s="1067"/>
      <c r="P294" s="1068"/>
    </row>
    <row r="295" spans="1:16" ht="12" hidden="1" outlineLevel="1" thickBot="1">
      <c r="A295" s="1028"/>
      <c r="D295" s="1066" t="s">
        <v>2514</v>
      </c>
      <c r="E295" s="1149"/>
      <c r="F295" s="1169"/>
      <c r="G295" s="1170"/>
      <c r="H295" s="1171"/>
      <c r="I295" s="1172"/>
      <c r="J295" s="1173"/>
      <c r="K295" s="1171">
        <v>0</v>
      </c>
      <c r="L295" s="1172">
        <v>0</v>
      </c>
      <c r="M295" s="1173">
        <v>0</v>
      </c>
      <c r="N295" s="1171"/>
      <c r="O295" s="1172"/>
      <c r="P295" s="1173"/>
    </row>
    <row r="296" spans="1:16" ht="12" hidden="1" outlineLevel="1" thickBot="1">
      <c r="A296" s="1028"/>
      <c r="D296" s="1041"/>
      <c r="G296" s="1041"/>
      <c r="H296" s="1028"/>
      <c r="J296" s="1041"/>
      <c r="K296" s="1028"/>
      <c r="M296" s="1041"/>
      <c r="N296" s="1028"/>
      <c r="P296" s="1041"/>
    </row>
    <row r="297" spans="1:16" ht="33.75" hidden="1" outlineLevel="1">
      <c r="A297" s="1028"/>
      <c r="D297" s="1099" t="s">
        <v>2511</v>
      </c>
      <c r="E297" s="1155" t="s">
        <v>2512</v>
      </c>
      <c r="F297" s="1146" t="s">
        <v>2507</v>
      </c>
      <c r="G297" s="1147" t="s">
        <v>2508</v>
      </c>
      <c r="H297" s="1156" t="s">
        <v>2512</v>
      </c>
      <c r="I297" s="1146" t="s">
        <v>2507</v>
      </c>
      <c r="J297" s="1147" t="s">
        <v>2508</v>
      </c>
      <c r="K297" s="1156" t="s">
        <v>2512</v>
      </c>
      <c r="L297" s="1146" t="s">
        <v>2507</v>
      </c>
      <c r="M297" s="1147" t="s">
        <v>2508</v>
      </c>
      <c r="N297" s="1156" t="s">
        <v>2512</v>
      </c>
      <c r="O297" s="1146" t="s">
        <v>2507</v>
      </c>
      <c r="P297" s="1147" t="s">
        <v>2508</v>
      </c>
    </row>
    <row r="298" spans="1:16" hidden="1" outlineLevel="1">
      <c r="A298" s="1028"/>
      <c r="B298" s="1071"/>
      <c r="C298" s="1137">
        <f>+A267</f>
        <v>2021</v>
      </c>
      <c r="D298" s="1066" t="s">
        <v>2513</v>
      </c>
      <c r="E298" s="1105">
        <f>+SUMIFS('Anlage 2b_Korrekturen'!$D:$D,'Anlage 2b_Korrekturen'!$H:$H,'LV Testat'!$E$4,'Anlage 2b_Korrekturen'!$C:$C,'LV Testat'!$D298,'Anlage 2b_Korrekturen'!$A:$A,C298)</f>
        <v>0</v>
      </c>
      <c r="F298" s="1119">
        <f>+SUMIFS('Anlage 2b_Korrekturen'!$E:$E,'Anlage 2b_Korrekturen'!$H:$H,'LV Testat'!$E$4,'Anlage 2b_Korrekturen'!$C:$C,'LV Testat'!$D298,'Anlage 2b_Korrekturen'!$A:$A,C298)</f>
        <v>0</v>
      </c>
      <c r="G298" s="1123">
        <f>+SUMIFS('Anlage 2b_Korrekturen'!$F:$F,'Anlage 2b_Korrekturen'!$H:$H,'LV Testat'!$E$4,'Anlage 2b_Korrekturen'!$C:$C,'LV Testat'!$D298,'Anlage 2b_Korrekturen'!$A:$A,C298)</f>
        <v>0</v>
      </c>
      <c r="H298" s="1105">
        <f>+SUMIFS('Anlage 2b_Korrekturen'!$D:$D,'Anlage 2b_Korrekturen'!$H:$H,'LV Testat'!$H$4,'Anlage 2b_Korrekturen'!$C:$C,'LV Testat'!$D298,'Anlage 2b_Korrekturen'!$A:$A,B298)</f>
        <v>0</v>
      </c>
      <c r="I298" s="1119">
        <f>+SUMIFS('Anlage 2b_Korrekturen'!$E:$E,'Anlage 2b_Korrekturen'!$H:$H,'LV Testat'!$H$4,'Anlage 2b_Korrekturen'!$C:$C,'LV Testat'!$D298,'Anlage 2b_Korrekturen'!$A:$A,C298)</f>
        <v>0</v>
      </c>
      <c r="J298" s="1123">
        <f>+SUMIFS('Anlage 2b_Korrekturen'!$F:$F,'Anlage 2b_Korrekturen'!$H:$H,'LV Testat'!$H$4,'Anlage 2b_Korrekturen'!$C:$C,'LV Testat'!$D298,'Anlage 2b_Korrekturen'!$A:$A,C298)</f>
        <v>0</v>
      </c>
      <c r="K298" s="1105">
        <f>+SUMIFS('Anlage 2b_Korrekturen'!$D:$D,'Anlage 2b_Korrekturen'!$H:$H,'LV Testat'!$K$4,'Anlage 2b_Korrekturen'!$C:$C,'LV Testat'!$D298,'Anlage 2b_Korrekturen'!$A:$A,C298)</f>
        <v>0</v>
      </c>
      <c r="L298" s="1119">
        <f>+SUMIFS('Anlage 2b_Korrekturen'!$E:$E,'Anlage 2b_Korrekturen'!$H:$H,'LV Testat'!$K$4,'Anlage 2b_Korrekturen'!$C:$C,'LV Testat'!$D298,'Anlage 2b_Korrekturen'!$A:$A,C298)</f>
        <v>0</v>
      </c>
      <c r="M298" s="1123">
        <f>+SUMIFS('Anlage 2b_Korrekturen'!$F:$F,'Anlage 2b_Korrekturen'!$H:$H,'LV Testat'!$K$4,'Anlage 2b_Korrekturen'!$C:$C,'LV Testat'!$D298,'Anlage 2b_Korrekturen'!$A:$A,C298)</f>
        <v>0</v>
      </c>
      <c r="N298" s="1105">
        <f>+SUMIFS('Anlage 2b_Korrekturen'!$D:$D,'Anlage 2b_Korrekturen'!$H:$H,'LV Testat'!$N$4,'Anlage 2b_Korrekturen'!$C:$C,'LV Testat'!$D298,'Anlage 2b_Korrekturen'!$A:$A,C298)</f>
        <v>0</v>
      </c>
      <c r="O298" s="1119">
        <f>+SUMIFS('Anlage 2b_Korrekturen'!$E:$E,'Anlage 2b_Korrekturen'!$H:$H,'LV Testat'!$N$4,'Anlage 2b_Korrekturen'!$C:$C,'LV Testat'!$D298,'Anlage 2b_Korrekturen'!$A:$A,C298)</f>
        <v>0</v>
      </c>
      <c r="P298" s="1123">
        <f>+SUMIFS('Anlage 2b_Korrekturen'!$F:$F,'Anlage 2b_Korrekturen'!$H:$H,'LV Testat'!$N$4,'Anlage 2b_Korrekturen'!$C:$C,'LV Testat'!$D298,'Anlage 2b_Korrekturen'!$A:$A,C298)</f>
        <v>0</v>
      </c>
    </row>
    <row r="299" spans="1:16" ht="12" hidden="1" outlineLevel="1" thickBot="1">
      <c r="A299" s="1090"/>
      <c r="B299" s="1092"/>
      <c r="C299" s="1137">
        <f>+C298</f>
        <v>2021</v>
      </c>
      <c r="D299" s="1158" t="s">
        <v>2514</v>
      </c>
      <c r="E299" s="1105">
        <f>+SUMIFS('Anlage 2b_Korrekturen'!$D:$D,'Anlage 2b_Korrekturen'!$H:$H,'LV Testat'!$E$4,'Anlage 2b_Korrekturen'!$C:$C,'LV Testat'!$D299,'Anlage 2b_Korrekturen'!$A:$A,C299)</f>
        <v>0</v>
      </c>
      <c r="F299" s="1119">
        <f>+SUMIFS('Anlage 2b_Korrekturen'!$E:$E,'Anlage 2b_Korrekturen'!$H:$H,'LV Testat'!$E$4,'Anlage 2b_Korrekturen'!$C:$C,'LV Testat'!$D299,'Anlage 2b_Korrekturen'!$A:$A,C299)</f>
        <v>0</v>
      </c>
      <c r="G299" s="1123">
        <f>+SUMIFS('Anlage 2b_Korrekturen'!$F:$F,'Anlage 2b_Korrekturen'!$H:$H,'LV Testat'!$E$4,'Anlage 2b_Korrekturen'!$C:$C,'LV Testat'!$D299,'Anlage 2b_Korrekturen'!$A:$A,C299)</f>
        <v>0</v>
      </c>
      <c r="H299" s="1105">
        <f>+SUMIFS('Anlage 2b_Korrekturen'!$D:$D,'Anlage 2b_Korrekturen'!$H:$H,'LV Testat'!$H$4,'Anlage 2b_Korrekturen'!$C:$C,'LV Testat'!$D299,'Anlage 2b_Korrekturen'!$A:$A,B299)</f>
        <v>0</v>
      </c>
      <c r="I299" s="1119">
        <f>+SUMIFS('Anlage 2b_Korrekturen'!$E:$E,'Anlage 2b_Korrekturen'!$H:$H,'LV Testat'!$H$4,'Anlage 2b_Korrekturen'!$C:$C,'LV Testat'!$D299,'Anlage 2b_Korrekturen'!$A:$A,C299)</f>
        <v>0</v>
      </c>
      <c r="J299" s="1123">
        <f>+SUMIFS('Anlage 2b_Korrekturen'!$F:$F,'Anlage 2b_Korrekturen'!$H:$H,'LV Testat'!$H$4,'Anlage 2b_Korrekturen'!$C:$C,'LV Testat'!$D299,'Anlage 2b_Korrekturen'!$A:$A,C299)</f>
        <v>0</v>
      </c>
      <c r="K299" s="1105">
        <f>+SUMIFS('Anlage 2b_Korrekturen'!$D:$D,'Anlage 2b_Korrekturen'!$H:$H,'LV Testat'!$K$4,'Anlage 2b_Korrekturen'!$C:$C,'LV Testat'!$D299,'Anlage 2b_Korrekturen'!$A:$A,C299)</f>
        <v>0</v>
      </c>
      <c r="L299" s="1119">
        <f>+SUMIFS('Anlage 2b_Korrekturen'!$E:$E,'Anlage 2b_Korrekturen'!$H:$H,'LV Testat'!$K$4,'Anlage 2b_Korrekturen'!$C:$C,'LV Testat'!$D299,'Anlage 2b_Korrekturen'!$A:$A,C299)</f>
        <v>0</v>
      </c>
      <c r="M299" s="1123">
        <f>+SUMIFS('Anlage 2b_Korrekturen'!$F:$F,'Anlage 2b_Korrekturen'!$H:$H,'LV Testat'!$K$4,'Anlage 2b_Korrekturen'!$C:$C,'LV Testat'!$D299,'Anlage 2b_Korrekturen'!$A:$A,C299)</f>
        <v>0</v>
      </c>
      <c r="N299" s="1105">
        <f>+SUMIFS('Anlage 2b_Korrekturen'!$D:$D,'Anlage 2b_Korrekturen'!$H:$H,'LV Testat'!$N$4,'Anlage 2b_Korrekturen'!$C:$C,'LV Testat'!$D299,'Anlage 2b_Korrekturen'!$A:$A,C299)</f>
        <v>0</v>
      </c>
      <c r="O299" s="1119">
        <f>+SUMIFS('Anlage 2b_Korrekturen'!$E:$E,'Anlage 2b_Korrekturen'!$H:$H,'LV Testat'!$N$4,'Anlage 2b_Korrekturen'!$C:$C,'LV Testat'!$D299,'Anlage 2b_Korrekturen'!$A:$A,C299)</f>
        <v>0</v>
      </c>
      <c r="P299" s="1123">
        <f>+SUMIFS('Anlage 2b_Korrekturen'!$F:$F,'Anlage 2b_Korrekturen'!$H:$H,'LV Testat'!$N$4,'Anlage 2b_Korrekturen'!$C:$C,'LV Testat'!$D299,'Anlage 2b_Korrekturen'!$A:$A,C299)</f>
        <v>0</v>
      </c>
    </row>
    <row r="300" spans="1:16" ht="12" collapsed="1" thickBot="1">
      <c r="A300" s="1013" t="s">
        <v>2515</v>
      </c>
      <c r="B300" s="1001"/>
      <c r="C300" s="1001"/>
      <c r="D300" s="1002"/>
      <c r="E300" s="1001"/>
      <c r="F300" s="1017" t="str">
        <f>+"Check SV BesAR NT "&amp;A303</f>
        <v>Check SV BesAR NT 2021</v>
      </c>
      <c r="G300" s="1018">
        <f>+SUM(F303:F305)-SUM(E303:E305)</f>
        <v>0</v>
      </c>
      <c r="H300" s="1000"/>
      <c r="I300" s="1017" t="str">
        <f>+"Check SV BesAR NT "&amp;A303</f>
        <v>Check SV BesAR NT 2021</v>
      </c>
      <c r="J300" s="1018">
        <f>+SUM(I303:I305)-SUM(H303:H305)</f>
        <v>0</v>
      </c>
      <c r="K300" s="1000"/>
      <c r="L300" s="1017" t="str">
        <f>+"Check SV BesAR NT "&amp;A303</f>
        <v>Check SV BesAR NT 2021</v>
      </c>
      <c r="M300" s="1018">
        <f>+SUM(L303:L305)-SUM(K303:K305)</f>
        <v>0</v>
      </c>
      <c r="N300" s="1000"/>
      <c r="O300" s="1017" t="str">
        <f>+"Check SV BesAR NT "&amp;A303</f>
        <v>Check SV BesAR NT 2021</v>
      </c>
      <c r="P300" s="1018">
        <f>+SUM(O303:O305)-SUM(N303:N305)</f>
        <v>0</v>
      </c>
    </row>
    <row r="301" spans="1:16" ht="12" hidden="1" outlineLevel="1" thickBot="1">
      <c r="A301" s="1028"/>
      <c r="D301" s="1041"/>
      <c r="G301" s="1081"/>
      <c r="H301" s="1028"/>
      <c r="J301" s="1081"/>
      <c r="K301" s="1028"/>
      <c r="M301" s="1081"/>
      <c r="N301" s="1028"/>
      <c r="P301" s="1081"/>
    </row>
    <row r="302" spans="1:16" hidden="1" outlineLevel="1">
      <c r="A302" s="1028"/>
      <c r="D302" s="1041"/>
      <c r="E302" s="1159" t="s">
        <v>2517</v>
      </c>
      <c r="F302" s="1160" t="s">
        <v>2517</v>
      </c>
      <c r="G302" s="1081"/>
      <c r="H302" s="1161" t="s">
        <v>2517</v>
      </c>
      <c r="I302" s="1160" t="s">
        <v>2517</v>
      </c>
      <c r="J302" s="1081"/>
      <c r="K302" s="1161" t="s">
        <v>2517</v>
      </c>
      <c r="L302" s="1160" t="s">
        <v>2517</v>
      </c>
      <c r="M302" s="1081"/>
      <c r="N302" s="1161"/>
      <c r="O302" s="1160" t="s">
        <v>2517</v>
      </c>
      <c r="P302" s="1081"/>
    </row>
    <row r="303" spans="1:16" ht="15" hidden="1" customHeight="1" outlineLevel="1">
      <c r="A303" s="1137">
        <f>+A267</f>
        <v>2021</v>
      </c>
      <c r="C303" s="1071">
        <v>2</v>
      </c>
      <c r="D303" s="1050" t="s">
        <v>2518</v>
      </c>
      <c r="E303" s="1087"/>
      <c r="F303" s="1162">
        <f>+SUMIFS('Anlage 2b_Korrekturen'!$D:$D,'Anlage 2b_Korrekturen'!$A:$A,A303,'Anlage 2b_Korrekturen'!$H:$H,'LV Testat'!$E$4,'Anlage 2b_Korrekturen'!$B:$B,"")</f>
        <v>0</v>
      </c>
      <c r="G303" s="1081"/>
      <c r="H303" s="1087">
        <v>10081015</v>
      </c>
      <c r="I303" s="1162">
        <f>+SUMIFS('Anlage 2b_Korrekturen'!$D:$D,'Anlage 2b_Korrekturen'!$A:$A,A303,'Anlage 2b_Korrekturen'!$H:$H,'LV Testat'!$H$4,'Anlage 2b_Korrekturen'!$B:$B,"")</f>
        <v>10081015</v>
      </c>
      <c r="J303" s="1081"/>
      <c r="K303" s="1087">
        <v>0</v>
      </c>
      <c r="L303" s="1162">
        <f>+SUMIFS('Anlage 2b_Korrekturen'!$D:$D,'Anlage 2b_Korrekturen'!$A:$A,A303,'Anlage 2b_Korrekturen'!$H:$H,'LV Testat'!$K$4,'Anlage 2b_Korrekturen'!$B:$B,"")</f>
        <v>0</v>
      </c>
      <c r="M303" s="1081"/>
      <c r="N303" s="1087"/>
      <c r="O303" s="1162">
        <f>+SUMIFS('Anlage 2b_Korrekturen'!$D:$D,'Anlage 2b_Korrekturen'!$A:$A,A303,'Anlage 2b_Korrekturen'!$H:$H,'LV Testat'!$N$4,'Anlage 2b_Korrekturen'!$B:$B,"")</f>
        <v>0</v>
      </c>
      <c r="P303" s="1081"/>
    </row>
    <row r="304" spans="1:16" ht="15" hidden="1" customHeight="1" outlineLevel="1">
      <c r="A304" s="1163">
        <f>+A303</f>
        <v>2021</v>
      </c>
      <c r="C304" s="1071">
        <v>3</v>
      </c>
      <c r="D304" s="1050" t="s">
        <v>2519</v>
      </c>
      <c r="E304" s="1089"/>
      <c r="F304" s="1162">
        <f>+SUMIFS('Anlage 2b_Korrekturen'!$E:$E,'Anlage 2b_Korrekturen'!$A:$A,A304,'Anlage 2b_Korrekturen'!$H:$H,'LV Testat'!$E$4,'Anlage 2b_Korrekturen'!$B:$B,"")</f>
        <v>0</v>
      </c>
      <c r="G304" s="1081"/>
      <c r="H304" s="1089">
        <v>5999.87</v>
      </c>
      <c r="I304" s="1162">
        <f>+SUMIFS('Anlage 2b_Korrekturen'!$E:$E,'Anlage 2b_Korrekturen'!$A:$A,A304,'Anlage 2b_Korrekturen'!$H:$H,'LV Testat'!$H$4,'Anlage 2b_Korrekturen'!$B:$B,"")</f>
        <v>5999.87</v>
      </c>
      <c r="J304" s="1081"/>
      <c r="K304" s="1089">
        <v>0</v>
      </c>
      <c r="L304" s="1162">
        <f>+SUMIFS('Anlage 2b_Korrekturen'!$E:$E,'Anlage 2b_Korrekturen'!$A:$A,A304,'Anlage 2b_Korrekturen'!$H:$H,'LV Testat'!$K$4,'Anlage 2b_Korrekturen'!$B:$B,"")</f>
        <v>0</v>
      </c>
      <c r="M304" s="1081"/>
      <c r="N304" s="1089"/>
      <c r="O304" s="1162">
        <f>+SUMIFS('Anlage 2b_Korrekturen'!$E:$E,'Anlage 2b_Korrekturen'!$A:$A,A304,'Anlage 2b_Korrekturen'!$H:$H,'LV Testat'!$N$4,'Anlage 2b_Korrekturen'!$B:$B,"")</f>
        <v>0</v>
      </c>
      <c r="P304" s="1081"/>
    </row>
    <row r="305" spans="1:16" ht="15" hidden="1" customHeight="1" outlineLevel="1" thickBot="1">
      <c r="A305" s="1163">
        <f>+A304</f>
        <v>2021</v>
      </c>
      <c r="B305" s="1091"/>
      <c r="C305" s="1092">
        <v>4</v>
      </c>
      <c r="D305" s="1062" t="s">
        <v>2520</v>
      </c>
      <c r="E305" s="1174"/>
      <c r="F305" s="1166">
        <f>+SUMIFS('Anlage 2b_Korrekturen'!$F:$F,'Anlage 2b_Korrekturen'!$A:$A,A305,'Anlage 2b_Korrekturen'!$H:$H,'LV Testat'!$E$4,'Anlage 2b_Korrekturen'!$B:$B,"")</f>
        <v>0</v>
      </c>
      <c r="G305" s="1095"/>
      <c r="H305" s="1174">
        <v>9330.5</v>
      </c>
      <c r="I305" s="1166">
        <f>+SUMIFS('Anlage 2b_Korrekturen'!$F:$F,'Anlage 2b_Korrekturen'!$A:$A,A305,'Anlage 2b_Korrekturen'!$H:$H,'LV Testat'!$H$4,'Anlage 2b_Korrekturen'!$B:$B,"")</f>
        <v>9330.5</v>
      </c>
      <c r="J305" s="1095"/>
      <c r="K305" s="1174">
        <v>0</v>
      </c>
      <c r="L305" s="1166">
        <f>+SUMIFS('Anlage 2b_Korrekturen'!$F:$F,'Anlage 2b_Korrekturen'!$A:$A,A305,'Anlage 2b_Korrekturen'!$H:$H,'LV Testat'!$K$4,'Anlage 2b_Korrekturen'!$B:$B,"")</f>
        <v>0</v>
      </c>
      <c r="M305" s="1095"/>
      <c r="N305" s="1174"/>
      <c r="O305" s="1166">
        <f>+SUMIFS('Anlage 2b_Korrekturen'!$F:$F,'Anlage 2b_Korrekturen'!$A:$A,A305,'Anlage 2b_Korrekturen'!$H:$H,'LV Testat'!$N$4,'Anlage 2b_Korrekturen'!$B:$B,"")</f>
        <v>0</v>
      </c>
      <c r="P305" s="1095"/>
    </row>
    <row r="306" spans="1:16" ht="12" collapsed="1" thickBot="1">
      <c r="A306" s="1013" t="s">
        <v>2523</v>
      </c>
      <c r="B306" s="1001"/>
      <c r="C306" s="1001"/>
      <c r="D306" s="1002"/>
      <c r="E306" s="1001"/>
      <c r="F306" s="1017" t="str">
        <f>+"Check WL BesAR NT "&amp;C309</f>
        <v>Check WL BesAR NT 2021</v>
      </c>
      <c r="G306" s="1018">
        <f>+F317-E317</f>
        <v>0</v>
      </c>
      <c r="H306" s="1001"/>
      <c r="I306" s="1017" t="str">
        <f>+"Check WL BesAR NT "&amp;C309</f>
        <v>Check WL BesAR NT 2021</v>
      </c>
      <c r="J306" s="1018">
        <f>+I317-H317</f>
        <v>0</v>
      </c>
      <c r="K306" s="1001"/>
      <c r="L306" s="1017" t="str">
        <f>+"Check WL BesAR NT "&amp;C309</f>
        <v>Check WL BesAR NT 2021</v>
      </c>
      <c r="M306" s="1018">
        <f>+L317-K317</f>
        <v>0</v>
      </c>
      <c r="N306" s="1001"/>
      <c r="O306" s="1017" t="str">
        <f>+"Check WL BesAR NT "&amp;C309</f>
        <v>Check WL BesAR NT 2021</v>
      </c>
      <c r="P306" s="1018">
        <f>+O317-N317</f>
        <v>0</v>
      </c>
    </row>
    <row r="307" spans="1:16" hidden="1" outlineLevel="1">
      <c r="A307" s="1022"/>
      <c r="D307" s="1041"/>
      <c r="H307" s="1028"/>
      <c r="J307" s="1041"/>
      <c r="K307" s="1028"/>
      <c r="M307" s="1041"/>
      <c r="N307" s="1028"/>
      <c r="P307" s="1041"/>
    </row>
    <row r="308" spans="1:16" ht="30" hidden="1" customHeight="1" outlineLevel="1">
      <c r="A308" s="1028"/>
      <c r="D308" s="1099" t="s">
        <v>2525</v>
      </c>
      <c r="E308" s="1064" t="s">
        <v>2526</v>
      </c>
      <c r="F308" s="1118" t="s">
        <v>2526</v>
      </c>
      <c r="H308" s="1118" t="s">
        <v>2526</v>
      </c>
      <c r="I308" s="1118" t="s">
        <v>2526</v>
      </c>
      <c r="K308" s="1118" t="s">
        <v>2526</v>
      </c>
      <c r="L308" s="1118" t="s">
        <v>2526</v>
      </c>
      <c r="N308" s="1118" t="s">
        <v>2526</v>
      </c>
      <c r="O308" s="1118" t="s">
        <v>2526</v>
      </c>
      <c r="P308" s="1041"/>
    </row>
    <row r="309" spans="1:16" hidden="1" outlineLevel="1">
      <c r="A309" s="1028"/>
      <c r="C309" s="1137">
        <f>+A267</f>
        <v>2021</v>
      </c>
      <c r="D309" s="1035" t="s">
        <v>2408</v>
      </c>
      <c r="E309" s="1100"/>
      <c r="F309" s="1119">
        <f>+SUMIFS('Anlage 2b_Korrekturen'!$D:$D,'Anlage 2b_Korrekturen'!$H:$H,'LV Testat'!$E$4,'Anlage 2b_Korrekturen'!$B:$B,'LV Testat'!$D309,'Anlage 2b_Korrekturen'!$A:$A,C309)</f>
        <v>0</v>
      </c>
      <c r="H309" s="1167">
        <v>-10081015</v>
      </c>
      <c r="I309" s="1119">
        <f>+SUMIFS('Anlage 2b_Korrekturen'!$D:$D,'Anlage 2b_Korrekturen'!$H:$H,'LV Testat'!$H$4,'Anlage 2b_Korrekturen'!$B:$B,'LV Testat'!$D309,'Anlage 2b_Korrekturen'!$A:$A,C309)</f>
        <v>-10081015</v>
      </c>
      <c r="K309" s="1167">
        <v>0</v>
      </c>
      <c r="L309" s="1119">
        <f>+SUMIFS('Anlage 2b_Korrekturen'!$D:$D,'Anlage 2b_Korrekturen'!$H:$H,'LV Testat'!$K$4,'Anlage 2b_Korrekturen'!$B:$B,'LV Testat'!$D309,'Anlage 2b_Korrekturen'!$A:$A,C309)</f>
        <v>0</v>
      </c>
      <c r="N309" s="1167"/>
      <c r="O309" s="1119">
        <f>+SUMIFS('Anlage 2b_Korrekturen'!$D:$D,'Anlage 2b_Korrekturen'!$H:$H,'LV Testat'!$N$4,'Anlage 2b_Korrekturen'!$B:$B,'LV Testat'!$D309,'Anlage 2b_Korrekturen'!$A:$A,C309)</f>
        <v>0</v>
      </c>
      <c r="P309" s="1041"/>
    </row>
    <row r="310" spans="1:16" hidden="1" outlineLevel="1">
      <c r="A310" s="1028"/>
      <c r="C310" s="1137">
        <f>+C309</f>
        <v>2021</v>
      </c>
      <c r="D310" s="1035" t="s">
        <v>2500</v>
      </c>
      <c r="E310" s="1100"/>
      <c r="F310" s="1119">
        <f>+SUMIFS('Anlage 2b_Korrekturen'!$D:$D,'Anlage 2b_Korrekturen'!$H:$H,'LV Testat'!$E$4,'Anlage 2b_Korrekturen'!$B:$B,'LV Testat'!$D310,'Anlage 2b_Korrekturen'!$A:$A,C310)</f>
        <v>0</v>
      </c>
      <c r="H310" s="1167"/>
      <c r="I310" s="1119">
        <f>+SUMIFS('Anlage 2b_Korrekturen'!$D:$D,'Anlage 2b_Korrekturen'!$H:$H,'LV Testat'!$H$4,'Anlage 2b_Korrekturen'!$B:$B,'LV Testat'!$D310,'Anlage 2b_Korrekturen'!$A:$A,C310)</f>
        <v>0</v>
      </c>
      <c r="K310" s="1167">
        <v>0</v>
      </c>
      <c r="L310" s="1119">
        <f>+SUMIFS('Anlage 2b_Korrekturen'!$D:$D,'Anlage 2b_Korrekturen'!$H:$H,'LV Testat'!$K$4,'Anlage 2b_Korrekturen'!$B:$B,'LV Testat'!$D310,'Anlage 2b_Korrekturen'!$A:$A,C310)</f>
        <v>0</v>
      </c>
      <c r="N310" s="1167"/>
      <c r="O310" s="1119">
        <f>+SUMIFS('Anlage 2b_Korrekturen'!$D:$D,'Anlage 2b_Korrekturen'!$H:$H,'LV Testat'!$N$4,'Anlage 2b_Korrekturen'!$B:$B,'LV Testat'!$D310,'Anlage 2b_Korrekturen'!$A:$A,C310)</f>
        <v>0</v>
      </c>
      <c r="P310" s="1041"/>
    </row>
    <row r="311" spans="1:16" hidden="1" outlineLevel="1">
      <c r="A311" s="1028"/>
      <c r="C311" s="1137">
        <f t="shared" ref="C311:C316" si="9">+C310</f>
        <v>2021</v>
      </c>
      <c r="D311" s="1035" t="s">
        <v>2418</v>
      </c>
      <c r="E311" s="1100"/>
      <c r="F311" s="1119">
        <f>+SUMIFS('Anlage 2b_Korrekturen'!$D:$D,'Anlage 2b_Korrekturen'!$H:$H,'LV Testat'!$E$4,'Anlage 2b_Korrekturen'!$B:$B,'LV Testat'!$D311,'Anlage 2b_Korrekturen'!$A:$A,C311)</f>
        <v>0</v>
      </c>
      <c r="H311" s="1167">
        <v>0</v>
      </c>
      <c r="I311" s="1119">
        <f>+SUMIFS('Anlage 2b_Korrekturen'!$D:$D,'Anlage 2b_Korrekturen'!$H:$H,'LV Testat'!$H$4,'Anlage 2b_Korrekturen'!$B:$B,'LV Testat'!$D311,'Anlage 2b_Korrekturen'!$A:$A,C311)</f>
        <v>0</v>
      </c>
      <c r="K311" s="1167">
        <v>0</v>
      </c>
      <c r="L311" s="1119">
        <f>+SUMIFS('Anlage 2b_Korrekturen'!$D:$D,'Anlage 2b_Korrekturen'!$H:$H,'LV Testat'!$K$4,'Anlage 2b_Korrekturen'!$B:$B,'LV Testat'!$D311,'Anlage 2b_Korrekturen'!$A:$A,C311)</f>
        <v>0</v>
      </c>
      <c r="N311" s="1167"/>
      <c r="O311" s="1119">
        <f>+SUMIFS('Anlage 2b_Korrekturen'!$D:$D,'Anlage 2b_Korrekturen'!$H:$H,'LV Testat'!$N$4,'Anlage 2b_Korrekturen'!$B:$B,'LV Testat'!$D311,'Anlage 2b_Korrekturen'!$A:$A,C311)</f>
        <v>0</v>
      </c>
      <c r="P311" s="1041"/>
    </row>
    <row r="312" spans="1:16" hidden="1" outlineLevel="1">
      <c r="A312" s="1028"/>
      <c r="C312" s="1137">
        <f t="shared" si="9"/>
        <v>2021</v>
      </c>
      <c r="D312" s="1168" t="s">
        <v>2501</v>
      </c>
      <c r="E312" s="1100"/>
      <c r="F312" s="1119">
        <f>+SUMIFS('Anlage 2b_Korrekturen'!$D:$D,'Anlage 2b_Korrekturen'!$H:$H,'LV Testat'!$E$4,'Anlage 2b_Korrekturen'!$B:$B,'LV Testat'!$D312,'Anlage 2b_Korrekturen'!$A:$A,C312)</f>
        <v>0</v>
      </c>
      <c r="H312" s="1167"/>
      <c r="I312" s="1119">
        <f>+SUMIFS('Anlage 2b_Korrekturen'!$D:$D,'Anlage 2b_Korrekturen'!$H:$H,'LV Testat'!$H$4,'Anlage 2b_Korrekturen'!$B:$B,'LV Testat'!$D312,'Anlage 2b_Korrekturen'!$A:$A,C312)</f>
        <v>0</v>
      </c>
      <c r="K312" s="1167">
        <v>0</v>
      </c>
      <c r="L312" s="1119">
        <f>+SUMIFS('Anlage 2b_Korrekturen'!$D:$D,'Anlage 2b_Korrekturen'!$H:$H,'LV Testat'!$K$4,'Anlage 2b_Korrekturen'!$B:$B,'LV Testat'!$D312,'Anlage 2b_Korrekturen'!$A:$A,C312)</f>
        <v>0</v>
      </c>
      <c r="N312" s="1167"/>
      <c r="O312" s="1119">
        <f>+SUMIFS('Anlage 2b_Korrekturen'!$D:$D,'Anlage 2b_Korrekturen'!$H:$H,'LV Testat'!$N$4,'Anlage 2b_Korrekturen'!$B:$B,'LV Testat'!$D312,'Anlage 2b_Korrekturen'!$A:$A,C312)</f>
        <v>0</v>
      </c>
      <c r="P312" s="1041"/>
    </row>
    <row r="313" spans="1:16" hidden="1" outlineLevel="1">
      <c r="A313" s="1028"/>
      <c r="C313" s="1137">
        <f t="shared" si="9"/>
        <v>2021</v>
      </c>
      <c r="D313" s="1035" t="s">
        <v>2409</v>
      </c>
      <c r="E313" s="1100"/>
      <c r="F313" s="1119">
        <f>+SUMIFS('Anlage 2b_Korrekturen'!$D:$D,'Anlage 2b_Korrekturen'!$H:$H,'LV Testat'!$E$4,'Anlage 2b_Korrekturen'!$B:$B,'LV Testat'!$D313,'Anlage 2b_Korrekturen'!$A:$A,C313)</f>
        <v>0</v>
      </c>
      <c r="H313" s="1167">
        <v>0</v>
      </c>
      <c r="I313" s="1119">
        <f>+SUMIFS('Anlage 2b_Korrekturen'!$D:$D,'Anlage 2b_Korrekturen'!$H:$H,'LV Testat'!$H$4,'Anlage 2b_Korrekturen'!$B:$B,'LV Testat'!$D313,'Anlage 2b_Korrekturen'!$A:$A,C313)</f>
        <v>0</v>
      </c>
      <c r="K313" s="1167">
        <v>0</v>
      </c>
      <c r="L313" s="1119">
        <f>+SUMIFS('Anlage 2b_Korrekturen'!$D:$D,'Anlage 2b_Korrekturen'!$H:$H,'LV Testat'!$K$4,'Anlage 2b_Korrekturen'!$B:$B,'LV Testat'!$D313,'Anlage 2b_Korrekturen'!$A:$A,C313)</f>
        <v>0</v>
      </c>
      <c r="N313" s="1167"/>
      <c r="O313" s="1119">
        <f>+SUMIFS('Anlage 2b_Korrekturen'!$D:$D,'Anlage 2b_Korrekturen'!$H:$H,'LV Testat'!$N$4,'Anlage 2b_Korrekturen'!$B:$B,'LV Testat'!$D313,'Anlage 2b_Korrekturen'!$A:$A,C313)</f>
        <v>0</v>
      </c>
      <c r="P313" s="1041"/>
    </row>
    <row r="314" spans="1:16" hidden="1" outlineLevel="1">
      <c r="A314" s="1028"/>
      <c r="C314" s="1137">
        <f t="shared" si="9"/>
        <v>2021</v>
      </c>
      <c r="D314" s="1035" t="s">
        <v>2419</v>
      </c>
      <c r="E314" s="1100"/>
      <c r="F314" s="1119">
        <f>+SUMIFS('Anlage 2b_Korrekturen'!$D:$D,'Anlage 2b_Korrekturen'!$H:$H,'LV Testat'!$E$4,'Anlage 2b_Korrekturen'!$B:$B,'LV Testat'!$D314,'Anlage 2b_Korrekturen'!$A:$A,C314)</f>
        <v>0</v>
      </c>
      <c r="H314" s="1167"/>
      <c r="I314" s="1119">
        <f>+SUMIFS('Anlage 2b_Korrekturen'!$D:$D,'Anlage 2b_Korrekturen'!$H:$H,'LV Testat'!$H$4,'Anlage 2b_Korrekturen'!$B:$B,'LV Testat'!$D314,'Anlage 2b_Korrekturen'!$A:$A,C314)</f>
        <v>0</v>
      </c>
      <c r="K314" s="1167">
        <v>0</v>
      </c>
      <c r="L314" s="1119">
        <f>+SUMIFS('Anlage 2b_Korrekturen'!$D:$D,'Anlage 2b_Korrekturen'!$H:$H,'LV Testat'!$K$4,'Anlage 2b_Korrekturen'!$B:$B,'LV Testat'!$D314,'Anlage 2b_Korrekturen'!$A:$A,C314)</f>
        <v>0</v>
      </c>
      <c r="N314" s="1167"/>
      <c r="O314" s="1119">
        <f>+SUMIFS('Anlage 2b_Korrekturen'!$D:$D,'Anlage 2b_Korrekturen'!$H:$H,'LV Testat'!$N$4,'Anlage 2b_Korrekturen'!$B:$B,'LV Testat'!$D314,'Anlage 2b_Korrekturen'!$A:$A,C314)</f>
        <v>0</v>
      </c>
      <c r="P314" s="1041"/>
    </row>
    <row r="315" spans="1:16" hidden="1" outlineLevel="1">
      <c r="A315" s="1028"/>
      <c r="C315" s="1137">
        <f t="shared" si="9"/>
        <v>2021</v>
      </c>
      <c r="D315" s="1035" t="s">
        <v>2412</v>
      </c>
      <c r="E315" s="1100"/>
      <c r="F315" s="1119">
        <f>+SUMIFS('Anlage 2b_Korrekturen'!$D:$D,'Anlage 2b_Korrekturen'!$H:$H,'LV Testat'!$E$4,'Anlage 2b_Korrekturen'!$B:$B,'LV Testat'!$D315,'Anlage 2b_Korrekturen'!$A:$A,C315)</f>
        <v>0</v>
      </c>
      <c r="H315" s="1167"/>
      <c r="I315" s="1119">
        <f>+SUMIFS('Anlage 2b_Korrekturen'!$D:$D,'Anlage 2b_Korrekturen'!$H:$H,'LV Testat'!$H$4,'Anlage 2b_Korrekturen'!$B:$B,'LV Testat'!$D315,'Anlage 2b_Korrekturen'!$A:$A,C315)</f>
        <v>0</v>
      </c>
      <c r="K315" s="1167">
        <v>0</v>
      </c>
      <c r="L315" s="1119">
        <f>+SUMIFS('Anlage 2b_Korrekturen'!$D:$D,'Anlage 2b_Korrekturen'!$H:$H,'LV Testat'!$K$4,'Anlage 2b_Korrekturen'!$B:$B,'LV Testat'!$D315,'Anlage 2b_Korrekturen'!$A:$A,C315)</f>
        <v>0</v>
      </c>
      <c r="N315" s="1167"/>
      <c r="O315" s="1119">
        <f>+SUMIFS('Anlage 2b_Korrekturen'!$D:$D,'Anlage 2b_Korrekturen'!$H:$H,'LV Testat'!$N$4,'Anlage 2b_Korrekturen'!$B:$B,'LV Testat'!$D315,'Anlage 2b_Korrekturen'!$A:$A,C315)</f>
        <v>0</v>
      </c>
      <c r="P315" s="1041"/>
    </row>
    <row r="316" spans="1:16" hidden="1" outlineLevel="1">
      <c r="A316" s="1028"/>
      <c r="C316" s="1137">
        <f t="shared" si="9"/>
        <v>2021</v>
      </c>
      <c r="D316" s="1168" t="s">
        <v>2410</v>
      </c>
      <c r="E316" s="1100"/>
      <c r="F316" s="1119">
        <f>+SUMIFS('Anlage 2b_Korrekturen'!$D:$D,'Anlage 2b_Korrekturen'!$H:$H,'LV Testat'!$E$4,'Anlage 2b_Korrekturen'!$B:$B,'LV Testat'!$D316,'Anlage 2b_Korrekturen'!$A:$A,C316)</f>
        <v>0</v>
      </c>
      <c r="H316" s="1167">
        <v>0</v>
      </c>
      <c r="I316" s="1119">
        <f>+SUMIFS('Anlage 2b_Korrekturen'!$D:$D,'Anlage 2b_Korrekturen'!$H:$H,'LV Testat'!$H$4,'Anlage 2b_Korrekturen'!$B:$B,'LV Testat'!$D316,'Anlage 2b_Korrekturen'!$A:$A,C316)</f>
        <v>0</v>
      </c>
      <c r="K316" s="1167">
        <v>0</v>
      </c>
      <c r="L316" s="1119">
        <f>+SUMIFS('Anlage 2b_Korrekturen'!$D:$D,'Anlage 2b_Korrekturen'!$H:$H,'LV Testat'!$K$4,'Anlage 2b_Korrekturen'!$B:$B,'LV Testat'!$D316,'Anlage 2b_Korrekturen'!$A:$A,C316)</f>
        <v>0</v>
      </c>
      <c r="N316" s="1167"/>
      <c r="O316" s="1119">
        <f>+SUMIFS('Anlage 2b_Korrekturen'!$D:$D,'Anlage 2b_Korrekturen'!$H:$H,'LV Testat'!$N$4,'Anlage 2b_Korrekturen'!$B:$B,'LV Testat'!$D316,'Anlage 2b_Korrekturen'!$A:$A,C316)</f>
        <v>0</v>
      </c>
      <c r="P316" s="1041"/>
    </row>
    <row r="317" spans="1:16" ht="12" hidden="1" outlineLevel="1" thickBot="1">
      <c r="A317" s="1090"/>
      <c r="B317" s="1091"/>
      <c r="C317" s="1091"/>
      <c r="D317" s="1121"/>
      <c r="E317" s="1110">
        <f>+SUM(E309:E316)</f>
        <v>0</v>
      </c>
      <c r="F317" s="1124">
        <f>+SUM(F309:F316)</f>
        <v>0</v>
      </c>
      <c r="G317" s="1091"/>
      <c r="H317" s="1124">
        <f>+SUM(H309:H316)</f>
        <v>-10081015</v>
      </c>
      <c r="I317" s="1124">
        <f>+SUM(I309:I316)</f>
        <v>-10081015</v>
      </c>
      <c r="J317" s="1091"/>
      <c r="K317" s="1124">
        <f>+SUM(K309:K316)</f>
        <v>0</v>
      </c>
      <c r="L317" s="1124">
        <f>+SUM(L309:L316)</f>
        <v>0</v>
      </c>
      <c r="M317" s="1091"/>
      <c r="N317" s="1124">
        <f>+SUM(N309:N316)</f>
        <v>0</v>
      </c>
      <c r="O317" s="1124">
        <f>+SUM(O309:O316)</f>
        <v>0</v>
      </c>
      <c r="P317" s="1121"/>
    </row>
    <row r="318" spans="1:16" ht="12" collapsed="1" thickBot="1">
      <c r="A318" s="1013" t="s">
        <v>2528</v>
      </c>
      <c r="B318" s="1001"/>
      <c r="C318" s="1001"/>
      <c r="D318" s="1002"/>
      <c r="E318" s="1001"/>
      <c r="F318" s="1098" t="str">
        <f>+"Check Speicher BesAR NT "&amp;C326</f>
        <v>Check Speicher BesAR NT 2021</v>
      </c>
      <c r="G318" s="1018">
        <f>+SUM(E321:G323)-SUM(E326:G328)</f>
        <v>0</v>
      </c>
      <c r="H318" s="1000"/>
      <c r="I318" s="1098" t="str">
        <f>+"Check Speicher BesAR NT "&amp;C326</f>
        <v>Check Speicher BesAR NT 2021</v>
      </c>
      <c r="J318" s="1018">
        <f>+SUM(H321:J323)-SUM(H326:J328)</f>
        <v>0</v>
      </c>
      <c r="K318" s="1000"/>
      <c r="L318" s="1098" t="str">
        <f>+"Check Speicher BesAR NT "&amp;C326</f>
        <v>Check Speicher BesAR NT 2021</v>
      </c>
      <c r="M318" s="1018">
        <f>+SUM(K321:M323)-SUM(K326:M328)</f>
        <v>0</v>
      </c>
      <c r="N318" s="1000"/>
      <c r="O318" s="1098" t="str">
        <f>+"Check Speicher BesAR NT "&amp;C326</f>
        <v>Check Speicher BesAR NT 2021</v>
      </c>
      <c r="P318" s="1018">
        <f>+SUM(N321:P323)-SUM(N326:P328)</f>
        <v>0</v>
      </c>
    </row>
    <row r="319" spans="1:16" hidden="1" outlineLevel="1">
      <c r="A319" s="1028"/>
      <c r="D319" s="1041"/>
      <c r="F319" s="1012"/>
      <c r="G319" s="1041"/>
      <c r="H319" s="1028"/>
      <c r="I319" s="1012"/>
      <c r="J319" s="1041"/>
      <c r="K319" s="1028"/>
      <c r="L319" s="1012"/>
      <c r="M319" s="1041"/>
      <c r="N319" s="1028"/>
      <c r="O319" s="1012"/>
      <c r="P319" s="1041"/>
    </row>
    <row r="320" spans="1:16" ht="33.75" hidden="1" outlineLevel="1">
      <c r="A320" s="1028"/>
      <c r="D320" s="1030" t="s">
        <v>2506</v>
      </c>
      <c r="E320" s="1031" t="s">
        <v>2499</v>
      </c>
      <c r="F320" s="1032" t="s">
        <v>2507</v>
      </c>
      <c r="G320" s="1049" t="s">
        <v>2508</v>
      </c>
      <c r="H320" s="1034" t="s">
        <v>2499</v>
      </c>
      <c r="I320" s="1032" t="s">
        <v>2507</v>
      </c>
      <c r="J320" s="1049" t="s">
        <v>2508</v>
      </c>
      <c r="K320" s="1034" t="s">
        <v>2499</v>
      </c>
      <c r="L320" s="1032" t="s">
        <v>2507</v>
      </c>
      <c r="M320" s="1049" t="s">
        <v>2508</v>
      </c>
      <c r="N320" s="1034" t="s">
        <v>2499</v>
      </c>
      <c r="O320" s="1032" t="s">
        <v>2507</v>
      </c>
      <c r="P320" s="1049" t="s">
        <v>2508</v>
      </c>
    </row>
    <row r="321" spans="1:16" hidden="1" outlineLevel="1">
      <c r="A321" s="1028"/>
      <c r="D321" s="1050" t="s">
        <v>2429</v>
      </c>
      <c r="E321" s="1051"/>
      <c r="F321" s="1101"/>
      <c r="G321" s="1102"/>
      <c r="H321" s="1070">
        <v>0</v>
      </c>
      <c r="I321" s="1067">
        <v>0</v>
      </c>
      <c r="J321" s="1068">
        <v>0</v>
      </c>
      <c r="K321" s="1070">
        <v>0</v>
      </c>
      <c r="L321" s="1067">
        <v>0</v>
      </c>
      <c r="M321" s="1068">
        <v>0</v>
      </c>
      <c r="N321" s="1070"/>
      <c r="O321" s="1067"/>
      <c r="P321" s="1068"/>
    </row>
    <row r="322" spans="1:16" hidden="1" outlineLevel="1">
      <c r="A322" s="1028"/>
      <c r="D322" s="1050" t="s">
        <v>2430</v>
      </c>
      <c r="E322" s="1051"/>
      <c r="F322" s="1101"/>
      <c r="G322" s="1102"/>
      <c r="H322" s="1070"/>
      <c r="I322" s="1067"/>
      <c r="J322" s="1068"/>
      <c r="K322" s="1070">
        <v>0</v>
      </c>
      <c r="L322" s="1067">
        <v>0</v>
      </c>
      <c r="M322" s="1068">
        <v>0</v>
      </c>
      <c r="N322" s="1070"/>
      <c r="O322" s="1067"/>
      <c r="P322" s="1068"/>
    </row>
    <row r="323" spans="1:16" hidden="1" outlineLevel="1">
      <c r="A323" s="1028"/>
      <c r="D323" s="1050" t="s">
        <v>2431</v>
      </c>
      <c r="E323" s="1051"/>
      <c r="F323" s="1101"/>
      <c r="G323" s="1102"/>
      <c r="H323" s="1070"/>
      <c r="I323" s="1067"/>
      <c r="J323" s="1068"/>
      <c r="K323" s="1070">
        <v>0</v>
      </c>
      <c r="L323" s="1067">
        <v>0</v>
      </c>
      <c r="M323" s="1068">
        <v>0</v>
      </c>
      <c r="N323" s="1070"/>
      <c r="O323" s="1067"/>
      <c r="P323" s="1068"/>
    </row>
    <row r="324" spans="1:16" hidden="1" outlineLevel="1">
      <c r="A324" s="1028"/>
      <c r="D324" s="1041"/>
      <c r="F324" s="1847"/>
      <c r="G324" s="1848"/>
      <c r="H324" s="1028"/>
      <c r="I324" s="1012"/>
      <c r="J324" s="1122"/>
      <c r="K324" s="1028"/>
      <c r="L324" s="1012"/>
      <c r="M324" s="1122"/>
      <c r="N324" s="1028"/>
      <c r="O324" s="1012"/>
      <c r="P324" s="1122"/>
    </row>
    <row r="325" spans="1:16" ht="33.75" hidden="1" outlineLevel="1">
      <c r="A325" s="1028"/>
      <c r="D325" s="1030" t="s">
        <v>2506</v>
      </c>
      <c r="E325" s="1031" t="s">
        <v>2499</v>
      </c>
      <c r="F325" s="1032" t="s">
        <v>2507</v>
      </c>
      <c r="G325" s="1049" t="s">
        <v>2508</v>
      </c>
      <c r="H325" s="1034" t="s">
        <v>2499</v>
      </c>
      <c r="I325" s="1032" t="s">
        <v>2507</v>
      </c>
      <c r="J325" s="1049" t="s">
        <v>2508</v>
      </c>
      <c r="K325" s="1034" t="s">
        <v>2499</v>
      </c>
      <c r="L325" s="1032" t="s">
        <v>2507</v>
      </c>
      <c r="M325" s="1049" t="s">
        <v>2508</v>
      </c>
      <c r="N325" s="1034" t="s">
        <v>2499</v>
      </c>
      <c r="O325" s="1032" t="s">
        <v>2507</v>
      </c>
      <c r="P325" s="1049" t="s">
        <v>2508</v>
      </c>
    </row>
    <row r="326" spans="1:16" hidden="1" outlineLevel="1">
      <c r="A326" s="1056"/>
      <c r="B326" s="1029"/>
      <c r="C326" s="1137">
        <f>+A267</f>
        <v>2021</v>
      </c>
      <c r="D326" s="1050" t="s">
        <v>2429</v>
      </c>
      <c r="E326" s="1105">
        <f>+SUMIFS('Anlage 2b_Korrekturen'!$D:$D,'Anlage 2b_Korrekturen'!$H:$H,'LV Testat'!$E$4,'Anlage 2b_Korrekturen'!$B:$B,'LV Testat'!$D326,'Anlage 2b_Korrekturen'!$A:$A,C326)</f>
        <v>0</v>
      </c>
      <c r="F326" s="1119">
        <f>+SUMIFS('Anlage 2b_Korrekturen'!$E:$E,'Anlage 2b_Korrekturen'!$H:$H,'LV Testat'!$E$4,'Anlage 2b_Korrekturen'!$B:$B,'LV Testat'!$D326,'Anlage 2b_Korrekturen'!$A:$A,C326)</f>
        <v>0</v>
      </c>
      <c r="G326" s="1123">
        <f>+SUMIFS('Anlage 2b_Korrekturen'!$F:$F,'Anlage 2b_Korrekturen'!$H:$H,'LV Testat'!$E$4,'Anlage 2b_Korrekturen'!$B:$B,'LV Testat'!$D326,'Anlage 2b_Korrekturen'!$A:$A,C326)</f>
        <v>0</v>
      </c>
      <c r="H326" s="1105">
        <f>+SUMIFS('Anlage 2b_Korrekturen'!$D:$D,'Anlage 2b_Korrekturen'!$H:$H,'LV Testat'!$H$4,'Anlage 2b_Korrekturen'!$B:$B,'LV Testat'!$D326,'Anlage 2b_Korrekturen'!$A:$A,C326)</f>
        <v>0</v>
      </c>
      <c r="I326" s="1119">
        <f>+SUMIFS('Anlage 2b_Korrekturen'!$E:$E,'Anlage 2b_Korrekturen'!$H:$H,'LV Testat'!$H$4,'Anlage 2b_Korrekturen'!$B:$B,'LV Testat'!$D326,'Anlage 2b_Korrekturen'!$A:$A,C326)</f>
        <v>0</v>
      </c>
      <c r="J326" s="1123">
        <f>+SUMIFS('Anlage 2b_Korrekturen'!$F:$F,'Anlage 2b_Korrekturen'!$H:$H,'LV Testat'!$H$4,'Anlage 2b_Korrekturen'!$B:$B,'LV Testat'!$D326,'Anlage 2b_Korrekturen'!$A:$A,C326)</f>
        <v>0</v>
      </c>
      <c r="K326" s="1105">
        <f>+SUMIFS('Anlage 2b_Korrekturen'!$D:$D,'Anlage 2b_Korrekturen'!$H:$H,'LV Testat'!$K$4,'Anlage 2b_Korrekturen'!$B:$B,'LV Testat'!$D326,'Anlage 2b_Korrekturen'!$A:$A,C326)</f>
        <v>0</v>
      </c>
      <c r="L326" s="1119">
        <f>+SUMIFS('Anlage 2b_Korrekturen'!$E:$E,'Anlage 2b_Korrekturen'!$H:$H,'LV Testat'!$K$4,'Anlage 2b_Korrekturen'!$B:$B,'LV Testat'!$D326,'Anlage 2b_Korrekturen'!$A:$A,C326)</f>
        <v>0</v>
      </c>
      <c r="M326" s="1123">
        <f>+SUMIFS('Anlage 2b_Korrekturen'!$F:$F,'Anlage 2b_Korrekturen'!$H:$H,'LV Testat'!$K$4,'Anlage 2b_Korrekturen'!$B:$B,'LV Testat'!$D326,'Anlage 2b_Korrekturen'!$A:$A,C326)</f>
        <v>0</v>
      </c>
      <c r="N326" s="1105">
        <f>+SUMIFS('Anlage 2b_Korrekturen'!$D:$D,'Anlage 2b_Korrekturen'!$H:$H,'LV Testat'!$N$4,'Anlage 2b_Korrekturen'!$B:$B,'LV Testat'!$D326,'Anlage 2b_Korrekturen'!$A:$A,C326)</f>
        <v>0</v>
      </c>
      <c r="O326" s="1119">
        <f>+SUMIFS('Anlage 2b_Korrekturen'!$E:$E,'Anlage 2b_Korrekturen'!$H:$H,'LV Testat'!$N$4,'Anlage 2b_Korrekturen'!$B:$B,'LV Testat'!$D326,'Anlage 2b_Korrekturen'!$A:$A,C326)</f>
        <v>0</v>
      </c>
      <c r="P326" s="1123">
        <f>+SUMIFS('Anlage 2b_Korrekturen'!$F:$F,'Anlage 2b_Korrekturen'!$H:$H,'LV Testat'!$N$4,'Anlage 2b_Korrekturen'!$B:$B,'LV Testat'!$D326,'Anlage 2b_Korrekturen'!$A:$A,C326)</f>
        <v>0</v>
      </c>
    </row>
    <row r="327" spans="1:16" hidden="1" outlineLevel="1">
      <c r="A327" s="1056"/>
      <c r="B327" s="1029"/>
      <c r="C327" s="1137">
        <f>+C326</f>
        <v>2021</v>
      </c>
      <c r="D327" s="1050" t="s">
        <v>2430</v>
      </c>
      <c r="E327" s="1105">
        <f>+SUMIFS('Anlage 2b_Korrekturen'!$D:$D,'Anlage 2b_Korrekturen'!$H:$H,'LV Testat'!$E$4,'Anlage 2b_Korrekturen'!$B:$B,'LV Testat'!$D327,'Anlage 2b_Korrekturen'!$A:$A,C327)</f>
        <v>0</v>
      </c>
      <c r="F327" s="1119">
        <f>+SUMIFS('Anlage 2b_Korrekturen'!$E:$E,'Anlage 2b_Korrekturen'!$H:$H,'LV Testat'!$E$4,'Anlage 2b_Korrekturen'!$B:$B,'LV Testat'!$D327,'Anlage 2b_Korrekturen'!$A:$A,C327)</f>
        <v>0</v>
      </c>
      <c r="G327" s="1123">
        <f>+SUMIFS('Anlage 2b_Korrekturen'!$F:$F,'Anlage 2b_Korrekturen'!$H:$H,'LV Testat'!$E$4,'Anlage 2b_Korrekturen'!$B:$B,'LV Testat'!$D327,'Anlage 2b_Korrekturen'!$A:$A,C327)</f>
        <v>0</v>
      </c>
      <c r="H327" s="1105">
        <f>+SUMIFS('Anlage 2b_Korrekturen'!$D:$D,'Anlage 2b_Korrekturen'!$H:$H,'LV Testat'!$H$4,'Anlage 2b_Korrekturen'!$B:$B,'LV Testat'!$D327,'Anlage 2b_Korrekturen'!$A:$A,C327)</f>
        <v>0</v>
      </c>
      <c r="I327" s="1119">
        <f>+SUMIFS('Anlage 2b_Korrekturen'!$E:$E,'Anlage 2b_Korrekturen'!$H:$H,'LV Testat'!$H$4,'Anlage 2b_Korrekturen'!$B:$B,'LV Testat'!$D327,'Anlage 2b_Korrekturen'!$A:$A,C327)</f>
        <v>0</v>
      </c>
      <c r="J327" s="1123">
        <f>+SUMIFS('Anlage 2b_Korrekturen'!$F:$F,'Anlage 2b_Korrekturen'!$H:$H,'LV Testat'!$H$4,'Anlage 2b_Korrekturen'!$B:$B,'LV Testat'!$D327,'Anlage 2b_Korrekturen'!$A:$A,C327)</f>
        <v>0</v>
      </c>
      <c r="K327" s="1105">
        <f>+SUMIFS('Anlage 2b_Korrekturen'!$D:$D,'Anlage 2b_Korrekturen'!$H:$H,'LV Testat'!$K$4,'Anlage 2b_Korrekturen'!$B:$B,'LV Testat'!$D327,'Anlage 2b_Korrekturen'!$A:$A,C327)</f>
        <v>0</v>
      </c>
      <c r="L327" s="1119">
        <f>+SUMIFS('Anlage 2b_Korrekturen'!$E:$E,'Anlage 2b_Korrekturen'!$H:$H,'LV Testat'!$K$4,'Anlage 2b_Korrekturen'!$B:$B,'LV Testat'!$D327,'Anlage 2b_Korrekturen'!$A:$A,C327)</f>
        <v>0</v>
      </c>
      <c r="M327" s="1123">
        <f>+SUMIFS('Anlage 2b_Korrekturen'!$F:$F,'Anlage 2b_Korrekturen'!$H:$H,'LV Testat'!$K$4,'Anlage 2b_Korrekturen'!$B:$B,'LV Testat'!$D327,'Anlage 2b_Korrekturen'!$A:$A,C327)</f>
        <v>0</v>
      </c>
      <c r="N327" s="1105">
        <f>+SUMIFS('Anlage 2b_Korrekturen'!$D:$D,'Anlage 2b_Korrekturen'!$H:$H,'LV Testat'!$N$4,'Anlage 2b_Korrekturen'!$B:$B,'LV Testat'!$D327,'Anlage 2b_Korrekturen'!$A:$A,C327)</f>
        <v>0</v>
      </c>
      <c r="O327" s="1119">
        <f>+SUMIFS('Anlage 2b_Korrekturen'!$E:$E,'Anlage 2b_Korrekturen'!$H:$H,'LV Testat'!$N$4,'Anlage 2b_Korrekturen'!$B:$B,'LV Testat'!$D327,'Anlage 2b_Korrekturen'!$A:$A,C327)</f>
        <v>0</v>
      </c>
      <c r="P327" s="1123">
        <f>+SUMIFS('Anlage 2b_Korrekturen'!$F:$F,'Anlage 2b_Korrekturen'!$H:$H,'LV Testat'!$N$4,'Anlage 2b_Korrekturen'!$B:$B,'LV Testat'!$D327,'Anlage 2b_Korrekturen'!$A:$A,C327)</f>
        <v>0</v>
      </c>
    </row>
    <row r="328" spans="1:16" ht="12" hidden="1" outlineLevel="1" thickBot="1">
      <c r="A328" s="1060"/>
      <c r="B328" s="1061"/>
      <c r="C328" s="1137">
        <f>+C327</f>
        <v>2021</v>
      </c>
      <c r="D328" s="1062" t="s">
        <v>2431</v>
      </c>
      <c r="E328" s="1105">
        <f>+SUMIFS('Anlage 2b_Korrekturen'!$D:$D,'Anlage 2b_Korrekturen'!$H:$H,'LV Testat'!$E$4,'Anlage 2b_Korrekturen'!$B:$B,'LV Testat'!$D328,'Anlage 2b_Korrekturen'!$A:$A,$C$137)</f>
        <v>0</v>
      </c>
      <c r="F328" s="1124">
        <f>+SUMIFS('Anlage 2b_Korrekturen'!$E:$E,'Anlage 2b_Korrekturen'!$H:$H,'LV Testat'!$E$4,'Anlage 2b_Korrekturen'!$B:$B,'LV Testat'!$D328,'Anlage 2b_Korrekturen'!$A:$A,C328)</f>
        <v>0</v>
      </c>
      <c r="G328" s="1123">
        <f>+SUMIFS('Anlage 2b_Korrekturen'!$F:$F,'Anlage 2b_Korrekturen'!$H:$H,'LV Testat'!$E$4,'Anlage 2b_Korrekturen'!$B:$B,'LV Testat'!$D328,'Anlage 2b_Korrekturen'!$A:$A,$C$137)</f>
        <v>0</v>
      </c>
      <c r="H328" s="1105">
        <f>+SUMIFS('Anlage 2b_Korrekturen'!$D:$D,'Anlage 2b_Korrekturen'!$H:$H,'LV Testat'!$H$4,'Anlage 2b_Korrekturen'!$B:$B,'LV Testat'!$D328,'Anlage 2b_Korrekturen'!$A:$A,C328)</f>
        <v>0</v>
      </c>
      <c r="I328" s="1119">
        <f>+SUMIFS('Anlage 2b_Korrekturen'!$E:$E,'Anlage 2b_Korrekturen'!$H:$H,'LV Testat'!$H$4,'Anlage 2b_Korrekturen'!$B:$B,'LV Testat'!$D328,'Anlage 2b_Korrekturen'!$A:$A,C328)</f>
        <v>0</v>
      </c>
      <c r="J328" s="1123">
        <f>+SUMIFS('Anlage 2b_Korrekturen'!$F:$F,'Anlage 2b_Korrekturen'!$H:$H,'LV Testat'!$H$4,'Anlage 2b_Korrekturen'!$B:$B,'LV Testat'!$D328,'Anlage 2b_Korrekturen'!$A:$A,C328)</f>
        <v>0</v>
      </c>
      <c r="K328" s="1105">
        <f>+SUMIFS('Anlage 2b_Korrekturen'!$D:$D,'Anlage 2b_Korrekturen'!$H:$H,'LV Testat'!$K$4,'Anlage 2b_Korrekturen'!$B:$B,'LV Testat'!$D328,'Anlage 2b_Korrekturen'!$A:$A,C328)</f>
        <v>0</v>
      </c>
      <c r="L328" s="1119">
        <f>+SUMIFS('Anlage 2b_Korrekturen'!$E:$E,'Anlage 2b_Korrekturen'!$H:$H,'LV Testat'!$K$4,'Anlage 2b_Korrekturen'!$B:$B,'LV Testat'!$D328,'Anlage 2b_Korrekturen'!$A:$A,C328)</f>
        <v>0</v>
      </c>
      <c r="M328" s="1123">
        <f>+SUMIFS('Anlage 2b_Korrekturen'!$F:$F,'Anlage 2b_Korrekturen'!$H:$H,'LV Testat'!$K$4,'Anlage 2b_Korrekturen'!$B:$B,'LV Testat'!$D328,'Anlage 2b_Korrekturen'!$A:$A,C328)</f>
        <v>0</v>
      </c>
      <c r="N328" s="1105">
        <f>+SUMIFS('Anlage 2b_Korrekturen'!$D:$D,'Anlage 2b_Korrekturen'!$H:$H,'LV Testat'!$N$4,'Anlage 2b_Korrekturen'!$B:$B,'LV Testat'!$D328,'Anlage 2b_Korrekturen'!$A:$A,C328)</f>
        <v>0</v>
      </c>
      <c r="O328" s="1119">
        <f>+SUMIFS('Anlage 2b_Korrekturen'!$E:$E,'Anlage 2b_Korrekturen'!$H:$H,'LV Testat'!$N$4,'Anlage 2b_Korrekturen'!$B:$B,'LV Testat'!$D328,'Anlage 2b_Korrekturen'!$A:$A,C328)</f>
        <v>0</v>
      </c>
      <c r="P328" s="1123">
        <f>+SUMIFS('Anlage 2b_Korrekturen'!$F:$F,'Anlage 2b_Korrekturen'!$H:$H,'LV Testat'!$N$4,'Anlage 2b_Korrekturen'!$B:$B,'LV Testat'!$D328,'Anlage 2b_Korrekturen'!$A:$A,C328)</f>
        <v>0</v>
      </c>
    </row>
    <row r="329" spans="1:16" s="1132" customFormat="1" ht="18" collapsed="1">
      <c r="A329" s="1126" t="s">
        <v>2531</v>
      </c>
      <c r="B329" s="1127"/>
      <c r="C329" s="1127"/>
      <c r="D329" s="1128"/>
      <c r="E329" s="1129"/>
      <c r="F329" s="1129"/>
      <c r="G329" s="1130"/>
      <c r="H329" s="1131"/>
      <c r="I329" s="1129"/>
      <c r="J329" s="1130"/>
      <c r="K329" s="1131"/>
      <c r="L329" s="1129"/>
      <c r="M329" s="1130"/>
      <c r="N329" s="1131"/>
      <c r="O329" s="1129"/>
      <c r="P329" s="1130"/>
    </row>
    <row r="330" spans="1:16" ht="15.75" thickBot="1">
      <c r="A330" s="1841">
        <f>+A267-1</f>
        <v>2020</v>
      </c>
      <c r="B330" s="1842"/>
      <c r="C330" s="1842"/>
      <c r="D330" s="1843"/>
      <c r="E330" s="1091"/>
      <c r="F330" s="1091"/>
      <c r="G330" s="1121"/>
      <c r="H330" s="1090"/>
      <c r="I330" s="1091"/>
      <c r="J330" s="1121"/>
      <c r="K330" s="1090"/>
      <c r="L330" s="1091"/>
      <c r="M330" s="1121"/>
      <c r="N330" s="1090"/>
      <c r="O330" s="1091"/>
      <c r="P330" s="1121"/>
    </row>
    <row r="331" spans="1:16" ht="13.5" thickBot="1">
      <c r="A331" s="1013" t="s">
        <v>2532</v>
      </c>
      <c r="B331" s="1133"/>
      <c r="C331" s="1133"/>
      <c r="D331" s="1134"/>
      <c r="E331" s="1001"/>
      <c r="F331" s="1017" t="str">
        <f>+"Check LV NT "&amp;C334</f>
        <v>Check LV NT 2020</v>
      </c>
      <c r="G331" s="1018">
        <f>+F342-E342</f>
        <v>0</v>
      </c>
      <c r="H331" s="1000"/>
      <c r="I331" s="1017" t="str">
        <f>+"Check LV NT "&amp;C334</f>
        <v>Check LV NT 2020</v>
      </c>
      <c r="J331" s="1018">
        <f>+I342-H342</f>
        <v>0</v>
      </c>
      <c r="K331" s="1000"/>
      <c r="L331" s="1017" t="str">
        <f>+"Check LV NT "&amp;C334</f>
        <v>Check LV NT 2020</v>
      </c>
      <c r="M331" s="1018">
        <f>+L342-K342</f>
        <v>0</v>
      </c>
      <c r="N331" s="1000"/>
      <c r="O331" s="1017" t="str">
        <f>+"Check LV NT "&amp;C334</f>
        <v>Check LV NT 2020</v>
      </c>
      <c r="P331" s="1018">
        <f>+O342-N342</f>
        <v>0</v>
      </c>
    </row>
    <row r="332" spans="1:16" hidden="1" outlineLevel="1">
      <c r="A332" s="1028"/>
      <c r="D332" s="1041"/>
      <c r="G332" s="1041"/>
      <c r="H332" s="1028"/>
      <c r="J332" s="1041"/>
      <c r="K332" s="1028"/>
      <c r="M332" s="1041"/>
      <c r="N332" s="1028"/>
      <c r="P332" s="1041"/>
    </row>
    <row r="333" spans="1:16" ht="33.75" hidden="1" outlineLevel="1">
      <c r="A333" s="1028"/>
      <c r="D333" s="1135"/>
      <c r="E333" s="1032" t="s">
        <v>2499</v>
      </c>
      <c r="F333" s="1032" t="s">
        <v>2499</v>
      </c>
      <c r="H333" s="1032" t="s">
        <v>2499</v>
      </c>
      <c r="I333" s="1032" t="s">
        <v>2499</v>
      </c>
      <c r="J333" s="1041"/>
      <c r="K333" s="1034" t="s">
        <v>2499</v>
      </c>
      <c r="L333" s="1032" t="s">
        <v>2499</v>
      </c>
      <c r="M333" s="1041"/>
      <c r="N333" s="1034" t="s">
        <v>2499</v>
      </c>
      <c r="O333" s="1032" t="s">
        <v>2499</v>
      </c>
      <c r="P333" s="1041"/>
    </row>
    <row r="334" spans="1:16" hidden="1" outlineLevel="1">
      <c r="A334" s="1136"/>
      <c r="C334" s="1137">
        <f>+A330</f>
        <v>2020</v>
      </c>
      <c r="D334" s="1138" t="s">
        <v>2408</v>
      </c>
      <c r="E334" s="1139"/>
      <c r="F334" s="1119">
        <f>+SUMIFS('Anlage 2b_Korrekturen'!$D:$D,'Anlage 2b_Korrekturen'!$H:$H,'LV Testat'!$E$4,'Anlage 2b_Korrekturen'!$C:$C,'LV Testat'!$D334,'Anlage 2b_Korrekturen'!$A:$A,'LV Testat'!C334)</f>
        <v>0</v>
      </c>
      <c r="H334" s="1139">
        <v>4477208</v>
      </c>
      <c r="I334" s="1119">
        <f>+SUMIFS('Anlage 2b_Korrekturen'!$D:$D,'Anlage 2b_Korrekturen'!$H:$H,'LV Testat'!$H$4,'Anlage 2b_Korrekturen'!$C:$C,'LV Testat'!$D334,'Anlage 2b_Korrekturen'!$A:$A,'LV Testat'!C334)</f>
        <v>4477208</v>
      </c>
      <c r="J334" s="1041"/>
      <c r="K334" s="1139">
        <v>-5357308</v>
      </c>
      <c r="L334" s="1119">
        <f>+SUMIFS('Anlage 2b_Korrekturen'!$D:$D,'Anlage 2b_Korrekturen'!$H:$H,'LV Testat'!$K$4,'Anlage 2b_Korrekturen'!$C:$C,'LV Testat'!$D334,'Anlage 2b_Korrekturen'!$A:$A,'LV Testat'!C334)</f>
        <v>-5357308</v>
      </c>
      <c r="M334" s="1041"/>
      <c r="N334" s="1139">
        <v>15676</v>
      </c>
      <c r="O334" s="1119">
        <f>+SUMIFS('Anlage 2b_Korrekturen'!$D:$D,'Anlage 2b_Korrekturen'!$H:$H,'LV Testat'!$N$4,'Anlage 2b_Korrekturen'!$C:$C,'LV Testat'!$D334,'Anlage 2b_Korrekturen'!$A:$A,'LV Testat'!C334)</f>
        <v>15676</v>
      </c>
      <c r="P334" s="1041"/>
    </row>
    <row r="335" spans="1:16" hidden="1" outlineLevel="1">
      <c r="A335" s="1136"/>
      <c r="C335" s="1137">
        <f>+C334</f>
        <v>2020</v>
      </c>
      <c r="D335" s="1138" t="s">
        <v>2500</v>
      </c>
      <c r="E335" s="1139"/>
      <c r="F335" s="1119">
        <f>+SUMIFS('Anlage 2b_Korrekturen'!$D:$D,'Anlage 2b_Korrekturen'!$H:$H,'LV Testat'!$E$4,'Anlage 2b_Korrekturen'!$C:$C,'LV Testat'!$D335,'Anlage 2b_Korrekturen'!$A:$A,'LV Testat'!C335)</f>
        <v>0</v>
      </c>
      <c r="H335" s="1139"/>
      <c r="I335" s="1119">
        <f>+SUMIFS('Anlage 2b_Korrekturen'!$D:$D,'Anlage 2b_Korrekturen'!$H:$H,'LV Testat'!$H$4,'Anlage 2b_Korrekturen'!$C:$C,'LV Testat'!$D335,'Anlage 2b_Korrekturen'!$A:$A,'LV Testat'!C335)</f>
        <v>0</v>
      </c>
      <c r="J335" s="1041"/>
      <c r="K335" s="1139">
        <v>0</v>
      </c>
      <c r="L335" s="1119">
        <f>+SUMIFS('Anlage 2b_Korrekturen'!$D:$D,'Anlage 2b_Korrekturen'!$H:$H,'LV Testat'!$K$4,'Anlage 2b_Korrekturen'!$C:$C,'LV Testat'!$D335,'Anlage 2b_Korrekturen'!$A:$A,'LV Testat'!C335)</f>
        <v>0</v>
      </c>
      <c r="M335" s="1041"/>
      <c r="N335" s="1139">
        <v>0</v>
      </c>
      <c r="O335" s="1119">
        <f>+SUMIFS('Anlage 2b_Korrekturen'!$D:$D,'Anlage 2b_Korrekturen'!$H:$H,'LV Testat'!$N$4,'Anlage 2b_Korrekturen'!$C:$C,'LV Testat'!$D335,'Anlage 2b_Korrekturen'!$A:$A,'LV Testat'!C335)</f>
        <v>0</v>
      </c>
      <c r="P335" s="1041"/>
    </row>
    <row r="336" spans="1:16" hidden="1" outlineLevel="1">
      <c r="A336" s="1136"/>
      <c r="C336" s="1137">
        <f t="shared" ref="C336:C342" si="10">+C335</f>
        <v>2020</v>
      </c>
      <c r="D336" s="1138" t="s">
        <v>2418</v>
      </c>
      <c r="E336" s="1139"/>
      <c r="F336" s="1119">
        <f>+SUMIFS('Anlage 2b_Korrekturen'!$D:$D,'Anlage 2b_Korrekturen'!$H:$H,'LV Testat'!$E$4,'Anlage 2b_Korrekturen'!$C:$C,'LV Testat'!$D336,'Anlage 2b_Korrekturen'!$A:$A,'LV Testat'!C336)</f>
        <v>0</v>
      </c>
      <c r="H336" s="1139">
        <v>0</v>
      </c>
      <c r="I336" s="1119">
        <f>+SUMIFS('Anlage 2b_Korrekturen'!$D:$D,'Anlage 2b_Korrekturen'!$H:$H,'LV Testat'!$H$4,'Anlage 2b_Korrekturen'!$C:$C,'LV Testat'!$D336,'Anlage 2b_Korrekturen'!$A:$A,'LV Testat'!C336)</f>
        <v>0</v>
      </c>
      <c r="J336" s="1041"/>
      <c r="K336" s="1139">
        <v>0</v>
      </c>
      <c r="L336" s="1119">
        <f>+SUMIFS('Anlage 2b_Korrekturen'!$D:$D,'Anlage 2b_Korrekturen'!$H:$H,'LV Testat'!$K$4,'Anlage 2b_Korrekturen'!$C:$C,'LV Testat'!$D336,'Anlage 2b_Korrekturen'!$A:$A,'LV Testat'!C336)</f>
        <v>0</v>
      </c>
      <c r="M336" s="1041"/>
      <c r="N336" s="1139">
        <v>0</v>
      </c>
      <c r="O336" s="1119">
        <f>+SUMIFS('Anlage 2b_Korrekturen'!$D:$D,'Anlage 2b_Korrekturen'!$H:$H,'LV Testat'!$N$4,'Anlage 2b_Korrekturen'!$C:$C,'LV Testat'!$D336,'Anlage 2b_Korrekturen'!$A:$A,'LV Testat'!C336)</f>
        <v>0</v>
      </c>
      <c r="P336" s="1041"/>
    </row>
    <row r="337" spans="1:16" hidden="1" outlineLevel="1">
      <c r="A337" s="1136"/>
      <c r="C337" s="1137">
        <f t="shared" si="10"/>
        <v>2020</v>
      </c>
      <c r="D337" s="1141" t="s">
        <v>2501</v>
      </c>
      <c r="E337" s="1139"/>
      <c r="F337" s="1119">
        <f>+SUMIFS('Anlage 2b_Korrekturen'!$D:$D,'Anlage 2b_Korrekturen'!$H:$H,'LV Testat'!$E$4,'Anlage 2b_Korrekturen'!$C:$C,'LV Testat'!$D337,'Anlage 2b_Korrekturen'!$A:$A,'LV Testat'!C337)</f>
        <v>0</v>
      </c>
      <c r="H337" s="1139"/>
      <c r="I337" s="1119">
        <f>+SUMIFS('Anlage 2b_Korrekturen'!$D:$D,'Anlage 2b_Korrekturen'!$H:$H,'LV Testat'!$H$4,'Anlage 2b_Korrekturen'!$C:$C,'LV Testat'!$D337,'Anlage 2b_Korrekturen'!$A:$A,'LV Testat'!C337)</f>
        <v>0</v>
      </c>
      <c r="J337" s="1041"/>
      <c r="K337" s="1139">
        <v>0</v>
      </c>
      <c r="L337" s="1119">
        <f>+SUMIFS('Anlage 2b_Korrekturen'!$D:$D,'Anlage 2b_Korrekturen'!$H:$H,'LV Testat'!$K$4,'Anlage 2b_Korrekturen'!$C:$C,'LV Testat'!$D337,'Anlage 2b_Korrekturen'!$A:$A,'LV Testat'!C337)</f>
        <v>0</v>
      </c>
      <c r="M337" s="1041"/>
      <c r="N337" s="1139">
        <v>0</v>
      </c>
      <c r="O337" s="1119">
        <f>+SUMIFS('Anlage 2b_Korrekturen'!$D:$D,'Anlage 2b_Korrekturen'!$H:$H,'LV Testat'!$N$4,'Anlage 2b_Korrekturen'!$C:$C,'LV Testat'!$D337,'Anlage 2b_Korrekturen'!$A:$A,'LV Testat'!C337)</f>
        <v>0</v>
      </c>
      <c r="P337" s="1041"/>
    </row>
    <row r="338" spans="1:16" hidden="1" outlineLevel="1">
      <c r="A338" s="1136"/>
      <c r="C338" s="1137">
        <f t="shared" si="10"/>
        <v>2020</v>
      </c>
      <c r="D338" s="1138" t="s">
        <v>2409</v>
      </c>
      <c r="E338" s="1139"/>
      <c r="F338" s="1119">
        <f>+SUMIFS('Anlage 2b_Korrekturen'!$D:$D,'Anlage 2b_Korrekturen'!$H:$H,'LV Testat'!$E$4,'Anlage 2b_Korrekturen'!$C:$C,'LV Testat'!$D338,'Anlage 2b_Korrekturen'!$A:$A,'LV Testat'!C338)</f>
        <v>0</v>
      </c>
      <c r="H338" s="1139">
        <v>0</v>
      </c>
      <c r="I338" s="1119">
        <f>+SUMIFS('Anlage 2b_Korrekturen'!$D:$D,'Anlage 2b_Korrekturen'!$H:$H,'LV Testat'!$H$4,'Anlage 2b_Korrekturen'!$C:$C,'LV Testat'!$D338,'Anlage 2b_Korrekturen'!$A:$A,'LV Testat'!C338)</f>
        <v>0</v>
      </c>
      <c r="J338" s="1041"/>
      <c r="K338" s="1139">
        <v>0</v>
      </c>
      <c r="L338" s="1119">
        <f>+SUMIFS('Anlage 2b_Korrekturen'!$D:$D,'Anlage 2b_Korrekturen'!$H:$H,'LV Testat'!$K$4,'Anlage 2b_Korrekturen'!$C:$C,'LV Testat'!$D338,'Anlage 2b_Korrekturen'!$A:$A,'LV Testat'!C338)</f>
        <v>0</v>
      </c>
      <c r="M338" s="1041"/>
      <c r="N338" s="1139">
        <v>0</v>
      </c>
      <c r="O338" s="1119">
        <f>+SUMIFS('Anlage 2b_Korrekturen'!$D:$D,'Anlage 2b_Korrekturen'!$H:$H,'LV Testat'!$N$4,'Anlage 2b_Korrekturen'!$C:$C,'LV Testat'!$D338,'Anlage 2b_Korrekturen'!$A:$A,'LV Testat'!C338)</f>
        <v>0</v>
      </c>
      <c r="P338" s="1041"/>
    </row>
    <row r="339" spans="1:16" hidden="1" outlineLevel="1">
      <c r="A339" s="1136"/>
      <c r="C339" s="1137">
        <f t="shared" si="10"/>
        <v>2020</v>
      </c>
      <c r="D339" s="1138" t="s">
        <v>2419</v>
      </c>
      <c r="E339" s="1139"/>
      <c r="F339" s="1119">
        <f>+SUMIFS('Anlage 2b_Korrekturen'!$D:$D,'Anlage 2b_Korrekturen'!$H:$H,'LV Testat'!$E$4,'Anlage 2b_Korrekturen'!$C:$C,'LV Testat'!$D339,'Anlage 2b_Korrekturen'!$A:$A,'LV Testat'!C339)</f>
        <v>0</v>
      </c>
      <c r="H339" s="1139"/>
      <c r="I339" s="1119">
        <f>+SUMIFS('Anlage 2b_Korrekturen'!$D:$D,'Anlage 2b_Korrekturen'!$H:$H,'LV Testat'!$H$4,'Anlage 2b_Korrekturen'!$C:$C,'LV Testat'!$D339,'Anlage 2b_Korrekturen'!$A:$A,'LV Testat'!C339)</f>
        <v>0</v>
      </c>
      <c r="J339" s="1041"/>
      <c r="K339" s="1139">
        <v>0</v>
      </c>
      <c r="L339" s="1119">
        <f>+SUMIFS('Anlage 2b_Korrekturen'!$D:$D,'Anlage 2b_Korrekturen'!$H:$H,'LV Testat'!$K$4,'Anlage 2b_Korrekturen'!$C:$C,'LV Testat'!$D339,'Anlage 2b_Korrekturen'!$A:$A,'LV Testat'!C339)</f>
        <v>0</v>
      </c>
      <c r="M339" s="1041"/>
      <c r="N339" s="1139">
        <v>0</v>
      </c>
      <c r="O339" s="1119">
        <f>+SUMIFS('Anlage 2b_Korrekturen'!$D:$D,'Anlage 2b_Korrekturen'!$H:$H,'LV Testat'!$N$4,'Anlage 2b_Korrekturen'!$C:$C,'LV Testat'!$D339,'Anlage 2b_Korrekturen'!$A:$A,'LV Testat'!C339)</f>
        <v>0</v>
      </c>
      <c r="P339" s="1041"/>
    </row>
    <row r="340" spans="1:16" hidden="1" outlineLevel="1">
      <c r="A340" s="1136"/>
      <c r="C340" s="1137">
        <f t="shared" si="10"/>
        <v>2020</v>
      </c>
      <c r="D340" s="1138" t="s">
        <v>2412</v>
      </c>
      <c r="E340" s="1139"/>
      <c r="F340" s="1119">
        <f>+SUMIFS('Anlage 2b_Korrekturen'!$D:$D,'Anlage 2b_Korrekturen'!$H:$H,'LV Testat'!$E$4,'Anlage 2b_Korrekturen'!$C:$C,'LV Testat'!$D340,'Anlage 2b_Korrekturen'!$A:$A,'LV Testat'!C340)</f>
        <v>0</v>
      </c>
      <c r="H340" s="1139"/>
      <c r="I340" s="1119">
        <f>+SUMIFS('Anlage 2b_Korrekturen'!$D:$D,'Anlage 2b_Korrekturen'!$H:$H,'LV Testat'!$H$4,'Anlage 2b_Korrekturen'!$C:$C,'LV Testat'!$D340,'Anlage 2b_Korrekturen'!$A:$A,'LV Testat'!C340)</f>
        <v>0</v>
      </c>
      <c r="J340" s="1041"/>
      <c r="K340" s="1139">
        <v>0</v>
      </c>
      <c r="L340" s="1119">
        <f>+SUMIFS('Anlage 2b_Korrekturen'!$D:$D,'Anlage 2b_Korrekturen'!$H:$H,'LV Testat'!$K$4,'Anlage 2b_Korrekturen'!$C:$C,'LV Testat'!$D340,'Anlage 2b_Korrekturen'!$A:$A,'LV Testat'!C340)</f>
        <v>0</v>
      </c>
      <c r="M340" s="1041"/>
      <c r="N340" s="1139">
        <v>0</v>
      </c>
      <c r="O340" s="1119">
        <f>+SUMIFS('Anlage 2b_Korrekturen'!$D:$D,'Anlage 2b_Korrekturen'!$H:$H,'LV Testat'!$N$4,'Anlage 2b_Korrekturen'!$C:$C,'LV Testat'!$D340,'Anlage 2b_Korrekturen'!$A:$A,'LV Testat'!C340)</f>
        <v>0</v>
      </c>
      <c r="P340" s="1041"/>
    </row>
    <row r="341" spans="1:16" hidden="1" outlineLevel="1">
      <c r="A341" s="1028"/>
      <c r="C341" s="1137">
        <f t="shared" si="10"/>
        <v>2020</v>
      </c>
      <c r="D341" s="1141" t="s">
        <v>2410</v>
      </c>
      <c r="E341" s="1139"/>
      <c r="F341" s="1119">
        <f>+SUMIFS('Anlage 2b_Korrekturen'!$D:$D,'Anlage 2b_Korrekturen'!$H:$H,'LV Testat'!$E$4,'Anlage 2b_Korrekturen'!$C:$C,'LV Testat'!$D341,'Anlage 2b_Korrekturen'!$A:$A,'LV Testat'!C341)</f>
        <v>0</v>
      </c>
      <c r="H341" s="1139">
        <v>0</v>
      </c>
      <c r="I341" s="1119">
        <f>+SUMIFS('Anlage 2b_Korrekturen'!$D:$D,'Anlage 2b_Korrekturen'!$H:$H,'LV Testat'!$H$4,'Anlage 2b_Korrekturen'!$C:$C,'LV Testat'!$D341,'Anlage 2b_Korrekturen'!$A:$A,'LV Testat'!C341)</f>
        <v>0</v>
      </c>
      <c r="J341" s="1041"/>
      <c r="K341" s="1139">
        <v>0</v>
      </c>
      <c r="L341" s="1119">
        <f>+SUMIFS('Anlage 2b_Korrekturen'!$D:$D,'Anlage 2b_Korrekturen'!$H:$H,'LV Testat'!$K$4,'Anlage 2b_Korrekturen'!$C:$C,'LV Testat'!$D341,'Anlage 2b_Korrekturen'!$A:$A,'LV Testat'!C341)</f>
        <v>0</v>
      </c>
      <c r="M341" s="1041"/>
      <c r="N341" s="1139">
        <v>0</v>
      </c>
      <c r="O341" s="1119">
        <f>+SUMIFS('Anlage 2b_Korrekturen'!$D:$D,'Anlage 2b_Korrekturen'!$H:$H,'LV Testat'!$N$4,'Anlage 2b_Korrekturen'!$C:$C,'LV Testat'!$D341,'Anlage 2b_Korrekturen'!$A:$A,'LV Testat'!C341)</f>
        <v>0</v>
      </c>
      <c r="P341" s="1041"/>
    </row>
    <row r="342" spans="1:16" ht="12" hidden="1" outlineLevel="1" thickBot="1">
      <c r="A342" s="1143"/>
      <c r="B342" s="1091"/>
      <c r="C342" s="1137">
        <f t="shared" si="10"/>
        <v>2020</v>
      </c>
      <c r="D342" s="1144" t="s">
        <v>2503</v>
      </c>
      <c r="E342" s="1124">
        <f>+SUM(E334:E341)</f>
        <v>0</v>
      </c>
      <c r="F342" s="1124">
        <f>+SUM(F334:F341)</f>
        <v>0</v>
      </c>
      <c r="G342" s="1091"/>
      <c r="H342" s="1124">
        <f>+SUM(H334:H341)</f>
        <v>4477208</v>
      </c>
      <c r="I342" s="1124">
        <f>+SUM(I334:I341)</f>
        <v>4477208</v>
      </c>
      <c r="J342" s="1121"/>
      <c r="K342" s="1124">
        <f>+SUM(K334:K341)</f>
        <v>-5357308</v>
      </c>
      <c r="L342" s="1124">
        <f>+SUM(L334:L341)</f>
        <v>-5357308</v>
      </c>
      <c r="M342" s="1121"/>
      <c r="N342" s="1124">
        <f>+SUM(N334:N341)</f>
        <v>15676</v>
      </c>
      <c r="O342" s="1124">
        <f>+SUM(O334:O341)</f>
        <v>15676</v>
      </c>
      <c r="P342" s="1121"/>
    </row>
    <row r="343" spans="1:16" ht="12" collapsed="1" thickBot="1">
      <c r="A343" s="1013" t="s">
        <v>2504</v>
      </c>
      <c r="B343" s="1001"/>
      <c r="C343" s="1001"/>
      <c r="D343" s="1002"/>
      <c r="E343" s="1001"/>
      <c r="F343" s="1017" t="str">
        <f>+"Check Saldierungsbetrag NT "&amp;C351</f>
        <v>Check Saldierungsbetrag NT 2020</v>
      </c>
      <c r="G343" s="1018">
        <f>+SUM(E346:G348)-SUM(E351:G353)</f>
        <v>0</v>
      </c>
      <c r="H343" s="1000"/>
      <c r="I343" s="1017" t="str">
        <f>+"Check Saldierungsbetrag NT "&amp;C351</f>
        <v>Check Saldierungsbetrag NT 2020</v>
      </c>
      <c r="J343" s="1018">
        <f>+SUM(H346:J348)-SUM(H351:J353)</f>
        <v>0</v>
      </c>
      <c r="K343" s="1000"/>
      <c r="L343" s="1017" t="str">
        <f>+"Check Saldierungsbetrag NT "&amp;C351</f>
        <v>Check Saldierungsbetrag NT 2020</v>
      </c>
      <c r="M343" s="1018">
        <f>+SUM(K346:M348)-SUM(K351:M353)</f>
        <v>0</v>
      </c>
      <c r="N343" s="1000"/>
      <c r="O343" s="1017" t="str">
        <f>+"Check Saldierungsbetrag NT "&amp;C351</f>
        <v>Check Saldierungsbetrag NT 2020</v>
      </c>
      <c r="P343" s="1018">
        <f>+SUM(N346:P348)-SUM(N351:P353)</f>
        <v>0</v>
      </c>
    </row>
    <row r="344" spans="1:16" ht="12" hidden="1" outlineLevel="1" thickBot="1">
      <c r="A344" s="1028"/>
      <c r="D344" s="1041"/>
      <c r="E344" s="1012"/>
      <c r="G344" s="1041"/>
      <c r="H344" s="1028"/>
      <c r="J344" s="1041"/>
      <c r="K344" s="1028"/>
      <c r="M344" s="1041"/>
      <c r="N344" s="1028"/>
      <c r="P344" s="1041"/>
    </row>
    <row r="345" spans="1:16" ht="33.75" hidden="1" outlineLevel="1">
      <c r="A345" s="1028"/>
      <c r="D345" s="1030" t="s">
        <v>2506</v>
      </c>
      <c r="E345" s="1145" t="s">
        <v>2499</v>
      </c>
      <c r="F345" s="1146" t="s">
        <v>2507</v>
      </c>
      <c r="G345" s="1147" t="s">
        <v>2508</v>
      </c>
      <c r="H345" s="1148" t="s">
        <v>2499</v>
      </c>
      <c r="I345" s="1146" t="s">
        <v>2507</v>
      </c>
      <c r="J345" s="1147" t="s">
        <v>2508</v>
      </c>
      <c r="K345" s="1148" t="s">
        <v>2499</v>
      </c>
      <c r="L345" s="1146" t="s">
        <v>2507</v>
      </c>
      <c r="M345" s="1147" t="s">
        <v>2508</v>
      </c>
      <c r="N345" s="1148" t="s">
        <v>2499</v>
      </c>
      <c r="O345" s="1146" t="s">
        <v>2507</v>
      </c>
      <c r="P345" s="1147" t="s">
        <v>2508</v>
      </c>
    </row>
    <row r="346" spans="1:16" hidden="1" outlineLevel="1">
      <c r="A346" s="1028"/>
      <c r="D346" s="1050" t="s">
        <v>2411</v>
      </c>
      <c r="E346" s="1051"/>
      <c r="F346" s="1101"/>
      <c r="G346" s="1102"/>
      <c r="H346" s="1070">
        <v>0</v>
      </c>
      <c r="I346" s="1067">
        <v>0</v>
      </c>
      <c r="J346" s="1068">
        <v>0</v>
      </c>
      <c r="K346" s="1070">
        <v>0</v>
      </c>
      <c r="L346" s="1067">
        <v>0</v>
      </c>
      <c r="M346" s="1068">
        <v>0</v>
      </c>
      <c r="N346" s="1070"/>
      <c r="O346" s="1067"/>
      <c r="P346" s="1068"/>
    </row>
    <row r="347" spans="1:16" hidden="1" outlineLevel="1">
      <c r="A347" s="1028"/>
      <c r="D347" s="1050" t="s">
        <v>2375</v>
      </c>
      <c r="E347" s="1051"/>
      <c r="F347" s="1101"/>
      <c r="G347" s="1102"/>
      <c r="H347" s="1070"/>
      <c r="I347" s="1067"/>
      <c r="J347" s="1068"/>
      <c r="K347" s="1070">
        <v>0</v>
      </c>
      <c r="L347" s="1067">
        <v>0</v>
      </c>
      <c r="M347" s="1068">
        <v>0</v>
      </c>
      <c r="N347" s="1070"/>
      <c r="O347" s="1067"/>
      <c r="P347" s="1068"/>
    </row>
    <row r="348" spans="1:16" ht="12" hidden="1" outlineLevel="1" thickBot="1">
      <c r="A348" s="1028"/>
      <c r="D348" s="1050" t="s">
        <v>2431</v>
      </c>
      <c r="E348" s="1149"/>
      <c r="F348" s="1169"/>
      <c r="G348" s="1170"/>
      <c r="H348" s="1171"/>
      <c r="I348" s="1172"/>
      <c r="J348" s="1173"/>
      <c r="K348" s="1171">
        <v>0</v>
      </c>
      <c r="L348" s="1172">
        <v>0</v>
      </c>
      <c r="M348" s="1173">
        <v>0</v>
      </c>
      <c r="N348" s="1171"/>
      <c r="O348" s="1172"/>
      <c r="P348" s="1173"/>
    </row>
    <row r="349" spans="1:16" ht="12" hidden="1" outlineLevel="1" thickBot="1">
      <c r="A349" s="1028"/>
      <c r="D349" s="1041"/>
      <c r="F349" s="1847"/>
      <c r="G349" s="1848"/>
      <c r="H349" s="1028"/>
      <c r="I349" s="1012"/>
      <c r="J349" s="1122"/>
      <c r="K349" s="1028"/>
      <c r="L349" s="1012"/>
      <c r="M349" s="1122"/>
      <c r="N349" s="1028"/>
      <c r="O349" s="1012"/>
      <c r="P349" s="1122"/>
    </row>
    <row r="350" spans="1:16" ht="33.75" hidden="1" outlineLevel="1">
      <c r="A350" s="1028"/>
      <c r="D350" s="1099" t="s">
        <v>2506</v>
      </c>
      <c r="E350" s="1152" t="s">
        <v>2499</v>
      </c>
      <c r="F350" s="1153" t="s">
        <v>2507</v>
      </c>
      <c r="G350" s="1154" t="s">
        <v>2508</v>
      </c>
      <c r="H350" s="1148" t="s">
        <v>2499</v>
      </c>
      <c r="I350" s="1146" t="s">
        <v>2507</v>
      </c>
      <c r="J350" s="1147" t="s">
        <v>2508</v>
      </c>
      <c r="K350" s="1148" t="s">
        <v>2499</v>
      </c>
      <c r="L350" s="1146" t="s">
        <v>2507</v>
      </c>
      <c r="M350" s="1147" t="s">
        <v>2508</v>
      </c>
      <c r="N350" s="1148" t="s">
        <v>2499</v>
      </c>
      <c r="O350" s="1146" t="s">
        <v>2507</v>
      </c>
      <c r="P350" s="1147" t="s">
        <v>2508</v>
      </c>
    </row>
    <row r="351" spans="1:16" hidden="1" outlineLevel="1">
      <c r="A351" s="1028"/>
      <c r="C351" s="1137">
        <f>+A330</f>
        <v>2020</v>
      </c>
      <c r="D351" s="1050" t="s">
        <v>2411</v>
      </c>
      <c r="E351" s="1105">
        <f>+SUMIFS('Anlage 2b_Korrekturen'!$D:$D,'Anlage 2b_Korrekturen'!$H:$H,'LV Testat'!$E$4,'Anlage 2b_Korrekturen'!$C:$C,'LV Testat'!$D351,'Anlage 2b_Korrekturen'!$A:$A,C351)</f>
        <v>0</v>
      </c>
      <c r="F351" s="1119">
        <f>+SUMIFS('Anlage 2b_Korrekturen'!$E:$E,'Anlage 2b_Korrekturen'!$H:$H,'LV Testat'!$E$4,'Anlage 2b_Korrekturen'!$C:$C,'LV Testat'!$D351,'Anlage 2b_Korrekturen'!$A:$A,C351)</f>
        <v>0</v>
      </c>
      <c r="G351" s="1123">
        <f>+SUMIFS('Anlage 2b_Korrekturen'!$F:$F,'Anlage 2b_Korrekturen'!$H:$H,'LV Testat'!$E$4,'Anlage 2b_Korrekturen'!$C:$C,'LV Testat'!$D351,'Anlage 2b_Korrekturen'!$A:$A,C351)</f>
        <v>0</v>
      </c>
      <c r="H351" s="1105">
        <f>+SUMIFS('Anlage 2b_Korrekturen'!$D:$D,'Anlage 2b_Korrekturen'!$H:$H,'LV Testat'!$H$4,'Anlage 2b_Korrekturen'!$C:$C,'LV Testat'!$D351,'Anlage 2b_Korrekturen'!$A:$A,C351)</f>
        <v>0</v>
      </c>
      <c r="I351" s="1119">
        <f>+SUMIFS('Anlage 2b_Korrekturen'!$E:$E,'Anlage 2b_Korrekturen'!$H:$H,'LV Testat'!$H$4,'Anlage 2b_Korrekturen'!$C:$C,'LV Testat'!$D351,'Anlage 2b_Korrekturen'!$A:$A,C351)</f>
        <v>0</v>
      </c>
      <c r="J351" s="1123">
        <f>+SUMIFS('Anlage 2b_Korrekturen'!$F:$F,'Anlage 2b_Korrekturen'!$H:$H,'LV Testat'!$H$4,'Anlage 2b_Korrekturen'!$C:$C,'LV Testat'!$D351,'Anlage 2b_Korrekturen'!$A:$A,C351)</f>
        <v>0</v>
      </c>
      <c r="K351" s="1105">
        <f>+SUMIFS('Anlage 2b_Korrekturen'!$D:$D,'Anlage 2b_Korrekturen'!$H:$H,'LV Testat'!$K$4,'Anlage 2b_Korrekturen'!$C:$C,'LV Testat'!$D351,'Anlage 2b_Korrekturen'!$A:$A,C351)</f>
        <v>0</v>
      </c>
      <c r="L351" s="1119">
        <f>+SUMIFS('Anlage 2b_Korrekturen'!$E:$E,'Anlage 2b_Korrekturen'!$H:$H,'LV Testat'!$K$4,'Anlage 2b_Korrekturen'!$C:$C,'LV Testat'!$D351,'Anlage 2b_Korrekturen'!$A:$A,C351)</f>
        <v>0</v>
      </c>
      <c r="M351" s="1123">
        <f>+SUMIFS('Anlage 2b_Korrekturen'!$F:$F,'Anlage 2b_Korrekturen'!$H:$H,'LV Testat'!$K$4,'Anlage 2b_Korrekturen'!$C:$C,'LV Testat'!$D351,'Anlage 2b_Korrekturen'!$A:$A,C351)</f>
        <v>0</v>
      </c>
      <c r="N351" s="1105">
        <f>+SUMIFS('Anlage 2b_Korrekturen'!$D:$D,'Anlage 2b_Korrekturen'!$H:$H,'LV Testat'!$N$4,'Anlage 2b_Korrekturen'!$C:$C,'LV Testat'!$D351,'Anlage 2b_Korrekturen'!$A:$A,C351)</f>
        <v>0</v>
      </c>
      <c r="O351" s="1119">
        <f>+SUMIFS('Anlage 2b_Korrekturen'!$E:$E,'Anlage 2b_Korrekturen'!$H:$H,'LV Testat'!$N$4,'Anlage 2b_Korrekturen'!$C:$C,'LV Testat'!$D351,'Anlage 2b_Korrekturen'!$A:$A,C351)</f>
        <v>0</v>
      </c>
      <c r="P351" s="1123">
        <f>+SUMIFS('Anlage 2b_Korrekturen'!$F:$F,'Anlage 2b_Korrekturen'!$H:$H,'LV Testat'!$N$4,'Anlage 2b_Korrekturen'!$C:$C,'LV Testat'!$D351,'Anlage 2b_Korrekturen'!$A:$A,C351)</f>
        <v>0</v>
      </c>
    </row>
    <row r="352" spans="1:16" hidden="1" outlineLevel="1">
      <c r="A352" s="1028"/>
      <c r="C352" s="1137">
        <f>+C351</f>
        <v>2020</v>
      </c>
      <c r="D352" s="1050" t="s">
        <v>2375</v>
      </c>
      <c r="E352" s="1105">
        <f>+SUMIFS('Anlage 2b_Korrekturen'!$D:$D,'Anlage 2b_Korrekturen'!$H:$H,'LV Testat'!$E$4,'Anlage 2b_Korrekturen'!$C:$C,'LV Testat'!$D352,'Anlage 2b_Korrekturen'!$A:$A,C352)</f>
        <v>0</v>
      </c>
      <c r="F352" s="1119">
        <f>+SUMIFS('Anlage 2b_Korrekturen'!$E:$E,'Anlage 2b_Korrekturen'!$H:$H,'LV Testat'!$E$4,'Anlage 2b_Korrekturen'!$C:$C,'LV Testat'!$D352,'Anlage 2b_Korrekturen'!$A:$A,C352)</f>
        <v>0</v>
      </c>
      <c r="G352" s="1123">
        <f>+SUMIFS('Anlage 2b_Korrekturen'!$F:$F,'Anlage 2b_Korrekturen'!$H:$H,'LV Testat'!$E$4,'Anlage 2b_Korrekturen'!$C:$C,'LV Testat'!$D352,'Anlage 2b_Korrekturen'!$A:$A,C352)</f>
        <v>0</v>
      </c>
      <c r="H352" s="1105">
        <f>+SUMIFS('Anlage 2b_Korrekturen'!$D:$D,'Anlage 2b_Korrekturen'!$H:$H,'LV Testat'!$H$4,'Anlage 2b_Korrekturen'!$C:$C,'LV Testat'!$D352,'Anlage 2b_Korrekturen'!$A:$A,C352)</f>
        <v>0</v>
      </c>
      <c r="I352" s="1119">
        <f>+SUMIFS('Anlage 2b_Korrekturen'!$E:$E,'Anlage 2b_Korrekturen'!$H:$H,'LV Testat'!$H$4,'Anlage 2b_Korrekturen'!$C:$C,'LV Testat'!$D352,'Anlage 2b_Korrekturen'!$A:$A,C352)</f>
        <v>0</v>
      </c>
      <c r="J352" s="1123">
        <f>+SUMIFS('Anlage 2b_Korrekturen'!$F:$F,'Anlage 2b_Korrekturen'!$H:$H,'LV Testat'!$H$4,'Anlage 2b_Korrekturen'!$C:$C,'LV Testat'!$D352,'Anlage 2b_Korrekturen'!$A:$A,C352)</f>
        <v>0</v>
      </c>
      <c r="K352" s="1105">
        <f>+SUMIFS('Anlage 2b_Korrekturen'!$D:$D,'Anlage 2b_Korrekturen'!$H:$H,'LV Testat'!$K$4,'Anlage 2b_Korrekturen'!$C:$C,'LV Testat'!$D352,'Anlage 2b_Korrekturen'!$A:$A,C352)</f>
        <v>0</v>
      </c>
      <c r="L352" s="1119">
        <f>+SUMIFS('Anlage 2b_Korrekturen'!$E:$E,'Anlage 2b_Korrekturen'!$H:$H,'LV Testat'!$K$4,'Anlage 2b_Korrekturen'!$C:$C,'LV Testat'!$D352,'Anlage 2b_Korrekturen'!$A:$A,C352)</f>
        <v>0</v>
      </c>
      <c r="M352" s="1123">
        <f>+SUMIFS('Anlage 2b_Korrekturen'!$F:$F,'Anlage 2b_Korrekturen'!$H:$H,'LV Testat'!$K$4,'Anlage 2b_Korrekturen'!$C:$C,'LV Testat'!$D352,'Anlage 2b_Korrekturen'!$A:$A,C352)</f>
        <v>0</v>
      </c>
      <c r="N352" s="1105">
        <f>+SUMIFS('Anlage 2b_Korrekturen'!$D:$D,'Anlage 2b_Korrekturen'!$H:$H,'LV Testat'!$N$4,'Anlage 2b_Korrekturen'!$C:$C,'LV Testat'!$D352,'Anlage 2b_Korrekturen'!$A:$A,C352)</f>
        <v>0</v>
      </c>
      <c r="O352" s="1119">
        <f>+SUMIFS('Anlage 2b_Korrekturen'!$E:$E,'Anlage 2b_Korrekturen'!$H:$H,'LV Testat'!$N$4,'Anlage 2b_Korrekturen'!$C:$C,'LV Testat'!$D352,'Anlage 2b_Korrekturen'!$A:$A,C352)</f>
        <v>0</v>
      </c>
      <c r="P352" s="1123">
        <f>+SUMIFS('Anlage 2b_Korrekturen'!$F:$F,'Anlage 2b_Korrekturen'!$H:$H,'LV Testat'!$N$4,'Anlage 2b_Korrekturen'!$C:$C,'LV Testat'!$D352,'Anlage 2b_Korrekturen'!$A:$A,C352)</f>
        <v>0</v>
      </c>
    </row>
    <row r="353" spans="1:16" ht="12" hidden="1" outlineLevel="1" thickBot="1">
      <c r="A353" s="1090"/>
      <c r="B353" s="1091"/>
      <c r="C353" s="1137">
        <f>+C352</f>
        <v>2020</v>
      </c>
      <c r="D353" s="1062" t="s">
        <v>2431</v>
      </c>
      <c r="E353" s="1105">
        <f>+SUMIFS('Anlage 2b_Korrekturen'!$D:$D,'Anlage 2b_Korrekturen'!$H:$H,'LV Testat'!$E$4,'Anlage 2b_Korrekturen'!$C:$C,'LV Testat'!$D353,'Anlage 2b_Korrekturen'!$A:$A,C353)</f>
        <v>0</v>
      </c>
      <c r="F353" s="1119">
        <f>+SUMIFS('Anlage 2b_Korrekturen'!$E:$E,'Anlage 2b_Korrekturen'!$H:$H,'LV Testat'!$E$4,'Anlage 2b_Korrekturen'!$C:$C,'LV Testat'!$D353,'Anlage 2b_Korrekturen'!$A:$A,C353)</f>
        <v>0</v>
      </c>
      <c r="G353" s="1123">
        <f>+SUMIFS('Anlage 2b_Korrekturen'!$F:$F,'Anlage 2b_Korrekturen'!$H:$H,'LV Testat'!$E$4,'Anlage 2b_Korrekturen'!$C:$C,'LV Testat'!$D353,'Anlage 2b_Korrekturen'!$A:$A,C353)</f>
        <v>0</v>
      </c>
      <c r="H353" s="1105">
        <f>+SUMIFS('Anlage 2b_Korrekturen'!$D:$D,'Anlage 2b_Korrekturen'!$H:$H,'LV Testat'!$H$4,'Anlage 2b_Korrekturen'!$C:$C,'LV Testat'!$D353,'Anlage 2b_Korrekturen'!$A:$A,C353)</f>
        <v>0</v>
      </c>
      <c r="I353" s="1119">
        <f>+SUMIFS('Anlage 2b_Korrekturen'!$E:$E,'Anlage 2b_Korrekturen'!$H:$H,'LV Testat'!$H$4,'Anlage 2b_Korrekturen'!$C:$C,'LV Testat'!$D353,'Anlage 2b_Korrekturen'!$A:$A,C353)</f>
        <v>0</v>
      </c>
      <c r="J353" s="1123">
        <f>+SUMIFS('Anlage 2b_Korrekturen'!$F:$F,'Anlage 2b_Korrekturen'!$H:$H,'LV Testat'!$H$4,'Anlage 2b_Korrekturen'!$C:$C,'LV Testat'!$D353,'Anlage 2b_Korrekturen'!$A:$A,C353)</f>
        <v>0</v>
      </c>
      <c r="K353" s="1105">
        <f>+SUMIFS('Anlage 2b_Korrekturen'!$D:$D,'Anlage 2b_Korrekturen'!$H:$H,'LV Testat'!$K$4,'Anlage 2b_Korrekturen'!$C:$C,'LV Testat'!$D353,'Anlage 2b_Korrekturen'!$A:$A,C353)</f>
        <v>0</v>
      </c>
      <c r="L353" s="1119">
        <f>+SUMIFS('Anlage 2b_Korrekturen'!$E:$E,'Anlage 2b_Korrekturen'!$H:$H,'LV Testat'!$K$4,'Anlage 2b_Korrekturen'!$C:$C,'LV Testat'!$D353,'Anlage 2b_Korrekturen'!$A:$A,C353)</f>
        <v>0</v>
      </c>
      <c r="M353" s="1123">
        <f>+SUMIFS('Anlage 2b_Korrekturen'!$F:$F,'Anlage 2b_Korrekturen'!$H:$H,'LV Testat'!$K$4,'Anlage 2b_Korrekturen'!$C:$C,'LV Testat'!$D353,'Anlage 2b_Korrekturen'!$A:$A,C353)</f>
        <v>0</v>
      </c>
      <c r="N353" s="1105">
        <f>+SUMIFS('Anlage 2b_Korrekturen'!$D:$D,'Anlage 2b_Korrekturen'!$H:$H,'LV Testat'!$N$4,'Anlage 2b_Korrekturen'!$C:$C,'LV Testat'!$D353,'Anlage 2b_Korrekturen'!$A:$A,C353)</f>
        <v>0</v>
      </c>
      <c r="O353" s="1119">
        <f>+SUMIFS('Anlage 2b_Korrekturen'!$E:$E,'Anlage 2b_Korrekturen'!$H:$H,'LV Testat'!$N$4,'Anlage 2b_Korrekturen'!$C:$C,'LV Testat'!$D353,'Anlage 2b_Korrekturen'!$A:$A,C353)</f>
        <v>0</v>
      </c>
      <c r="P353" s="1123">
        <f>+SUMIFS('Anlage 2b_Korrekturen'!$F:$F,'Anlage 2b_Korrekturen'!$H:$H,'LV Testat'!$N$4,'Anlage 2b_Korrekturen'!$C:$C,'LV Testat'!$D353,'Anlage 2b_Korrekturen'!$A:$A,C353)</f>
        <v>0</v>
      </c>
    </row>
    <row r="354" spans="1:16" ht="12" collapsed="1" thickBot="1">
      <c r="A354" s="1013" t="s">
        <v>2535</v>
      </c>
      <c r="B354" s="1001"/>
      <c r="C354" s="1001"/>
      <c r="D354" s="1002"/>
      <c r="E354" s="1001"/>
      <c r="F354" s="1017" t="str">
        <f>+"Check Verstoß VNB NT "&amp;C361</f>
        <v>Check Verstoß VNB NT 2020</v>
      </c>
      <c r="G354" s="1018">
        <f>+SUM(E361:G362)-SUM(E357:G358)</f>
        <v>0</v>
      </c>
      <c r="H354" s="1000"/>
      <c r="I354" s="1017" t="str">
        <f>+"Check Verstoß VNB NT "&amp;C361</f>
        <v>Check Verstoß VNB NT 2020</v>
      </c>
      <c r="J354" s="1018">
        <f>+SUM(H357:J358)-SUM(H361:J362)</f>
        <v>0</v>
      </c>
      <c r="K354" s="1000"/>
      <c r="L354" s="1017" t="str">
        <f>+"Check Verstoß VNB NT "&amp;C361</f>
        <v>Check Verstoß VNB NT 2020</v>
      </c>
      <c r="M354" s="1018">
        <f>+SUM(K357:M358)-SUM(K361:M362)</f>
        <v>0</v>
      </c>
      <c r="N354" s="1000"/>
      <c r="O354" s="1017" t="str">
        <f>+"Check Verstoß VNB NT "&amp;C361</f>
        <v>Check Verstoß VNB NT 2020</v>
      </c>
      <c r="P354" s="1018">
        <f>+SUM(N357:P358)-SUM(N361:P362)</f>
        <v>0</v>
      </c>
    </row>
    <row r="355" spans="1:16" ht="12" hidden="1" outlineLevel="1" thickBot="1">
      <c r="A355" s="1028"/>
      <c r="D355" s="1041"/>
      <c r="G355" s="1041"/>
      <c r="H355" s="1028"/>
      <c r="J355" s="1041"/>
      <c r="K355" s="1028"/>
      <c r="M355" s="1041"/>
      <c r="N355" s="1028"/>
      <c r="P355" s="1041"/>
    </row>
    <row r="356" spans="1:16" ht="33.75" hidden="1" outlineLevel="1">
      <c r="A356" s="1028"/>
      <c r="D356" s="1099" t="s">
        <v>2511</v>
      </c>
      <c r="E356" s="1155" t="s">
        <v>2512</v>
      </c>
      <c r="F356" s="1146" t="s">
        <v>2507</v>
      </c>
      <c r="G356" s="1147" t="s">
        <v>2508</v>
      </c>
      <c r="H356" s="1156" t="s">
        <v>2512</v>
      </c>
      <c r="I356" s="1146" t="s">
        <v>2507</v>
      </c>
      <c r="J356" s="1147" t="s">
        <v>2508</v>
      </c>
      <c r="K356" s="1156" t="s">
        <v>2512</v>
      </c>
      <c r="L356" s="1146" t="s">
        <v>2507</v>
      </c>
      <c r="M356" s="1147" t="s">
        <v>2508</v>
      </c>
      <c r="N356" s="1156" t="s">
        <v>2512</v>
      </c>
      <c r="O356" s="1146" t="s">
        <v>2507</v>
      </c>
      <c r="P356" s="1147" t="s">
        <v>2508</v>
      </c>
    </row>
    <row r="357" spans="1:16" hidden="1" outlineLevel="1">
      <c r="A357" s="1028"/>
      <c r="D357" s="1066" t="s">
        <v>2513</v>
      </c>
      <c r="E357" s="1100"/>
      <c r="F357" s="1101"/>
      <c r="G357" s="1102"/>
      <c r="H357" s="1069"/>
      <c r="I357" s="1067"/>
      <c r="J357" s="1068"/>
      <c r="K357" s="1069">
        <v>0</v>
      </c>
      <c r="L357" s="1067">
        <v>0</v>
      </c>
      <c r="M357" s="1068">
        <v>0</v>
      </c>
      <c r="N357" s="1069"/>
      <c r="O357" s="1067"/>
      <c r="P357" s="1068"/>
    </row>
    <row r="358" spans="1:16" ht="12" hidden="1" outlineLevel="1" thickBot="1">
      <c r="A358" s="1028"/>
      <c r="D358" s="1066" t="s">
        <v>2514</v>
      </c>
      <c r="E358" s="1149"/>
      <c r="F358" s="1169"/>
      <c r="G358" s="1170"/>
      <c r="H358" s="1171"/>
      <c r="I358" s="1172"/>
      <c r="J358" s="1173"/>
      <c r="K358" s="1171">
        <v>0</v>
      </c>
      <c r="L358" s="1172">
        <v>0</v>
      </c>
      <c r="M358" s="1173">
        <v>0</v>
      </c>
      <c r="N358" s="1171"/>
      <c r="O358" s="1172"/>
      <c r="P358" s="1173"/>
    </row>
    <row r="359" spans="1:16" ht="12" hidden="1" outlineLevel="1" thickBot="1">
      <c r="A359" s="1028"/>
      <c r="D359" s="1041"/>
      <c r="G359" s="1041"/>
      <c r="H359" s="1028"/>
      <c r="J359" s="1041"/>
      <c r="K359" s="1028"/>
      <c r="M359" s="1041"/>
      <c r="N359" s="1028"/>
      <c r="P359" s="1041"/>
    </row>
    <row r="360" spans="1:16" ht="33.75" hidden="1" outlineLevel="1">
      <c r="A360" s="1028"/>
      <c r="D360" s="1099" t="s">
        <v>2511</v>
      </c>
      <c r="E360" s="1155" t="s">
        <v>2512</v>
      </c>
      <c r="F360" s="1146" t="s">
        <v>2507</v>
      </c>
      <c r="G360" s="1147" t="s">
        <v>2508</v>
      </c>
      <c r="H360" s="1156" t="s">
        <v>2512</v>
      </c>
      <c r="I360" s="1146" t="s">
        <v>2507</v>
      </c>
      <c r="J360" s="1147" t="s">
        <v>2508</v>
      </c>
      <c r="K360" s="1156" t="s">
        <v>2512</v>
      </c>
      <c r="L360" s="1146" t="s">
        <v>2507</v>
      </c>
      <c r="M360" s="1147" t="s">
        <v>2508</v>
      </c>
      <c r="N360" s="1156" t="s">
        <v>2512</v>
      </c>
      <c r="O360" s="1146" t="s">
        <v>2507</v>
      </c>
      <c r="P360" s="1147" t="s">
        <v>2508</v>
      </c>
    </row>
    <row r="361" spans="1:16" hidden="1" outlineLevel="1">
      <c r="A361" s="1028"/>
      <c r="B361" s="1071"/>
      <c r="C361" s="1137">
        <f>+A330</f>
        <v>2020</v>
      </c>
      <c r="D361" s="1066" t="s">
        <v>2513</v>
      </c>
      <c r="E361" s="1105">
        <f>+SUMIFS('Anlage 2b_Korrekturen'!$D:$D,'Anlage 2b_Korrekturen'!$H:$H,'LV Testat'!$E$4,'Anlage 2b_Korrekturen'!$C:$C,'LV Testat'!$D361,'Anlage 2b_Korrekturen'!$A:$A,C361)</f>
        <v>0</v>
      </c>
      <c r="F361" s="1119">
        <f>+SUMIFS('Anlage 2b_Korrekturen'!$E:$E,'Anlage 2b_Korrekturen'!$H:$H,'LV Testat'!$E$4,'Anlage 2b_Korrekturen'!$C:$C,'LV Testat'!$D361,'Anlage 2b_Korrekturen'!$A:$A,C361)</f>
        <v>0</v>
      </c>
      <c r="G361" s="1123">
        <f>+SUMIFS('Anlage 2b_Korrekturen'!$F:$F,'Anlage 2b_Korrekturen'!$H:$H,'LV Testat'!$E$4,'Anlage 2b_Korrekturen'!$C:$C,'LV Testat'!$D361,'Anlage 2b_Korrekturen'!$A:$A,C361)</f>
        <v>0</v>
      </c>
      <c r="H361" s="1105">
        <f>+SUMIFS('Anlage 2b_Korrekturen'!$D:$D,'Anlage 2b_Korrekturen'!$H:$H,'LV Testat'!$H$4,'Anlage 2b_Korrekturen'!$C:$C,'LV Testat'!$D361,'Anlage 2b_Korrekturen'!$A:$A,B361)</f>
        <v>0</v>
      </c>
      <c r="I361" s="1119">
        <f>+SUMIFS('Anlage 2b_Korrekturen'!$E:$E,'Anlage 2b_Korrekturen'!$H:$H,'LV Testat'!$H$4,'Anlage 2b_Korrekturen'!$C:$C,'LV Testat'!$D361,'Anlage 2b_Korrekturen'!$A:$A,C361)</f>
        <v>0</v>
      </c>
      <c r="J361" s="1123">
        <f>+SUMIFS('Anlage 2b_Korrekturen'!$F:$F,'Anlage 2b_Korrekturen'!$H:$H,'LV Testat'!$H$4,'Anlage 2b_Korrekturen'!$C:$C,'LV Testat'!$D361,'Anlage 2b_Korrekturen'!$A:$A,C361)</f>
        <v>0</v>
      </c>
      <c r="K361" s="1105">
        <f>+SUMIFS('Anlage 2b_Korrekturen'!$D:$D,'Anlage 2b_Korrekturen'!$H:$H,'LV Testat'!$K$4,'Anlage 2b_Korrekturen'!$C:$C,'LV Testat'!$D361,'Anlage 2b_Korrekturen'!$A:$A,C361)</f>
        <v>0</v>
      </c>
      <c r="L361" s="1119">
        <f>+SUMIFS('Anlage 2b_Korrekturen'!$E:$E,'Anlage 2b_Korrekturen'!$H:$H,'LV Testat'!$K$4,'Anlage 2b_Korrekturen'!$C:$C,'LV Testat'!$D361,'Anlage 2b_Korrekturen'!$A:$A,C361)</f>
        <v>0</v>
      </c>
      <c r="M361" s="1123">
        <f>+SUMIFS('Anlage 2b_Korrekturen'!$F:$F,'Anlage 2b_Korrekturen'!$H:$H,'LV Testat'!$K$4,'Anlage 2b_Korrekturen'!$C:$C,'LV Testat'!$D361,'Anlage 2b_Korrekturen'!$A:$A,C361)</f>
        <v>0</v>
      </c>
      <c r="N361" s="1105">
        <f>+SUMIFS('Anlage 2b_Korrekturen'!$D:$D,'Anlage 2b_Korrekturen'!$H:$H,'LV Testat'!$N$4,'Anlage 2b_Korrekturen'!$C:$C,'LV Testat'!$D361,'Anlage 2b_Korrekturen'!$A:$A,C361)</f>
        <v>0</v>
      </c>
      <c r="O361" s="1119">
        <f>+SUMIFS('Anlage 2b_Korrekturen'!$E:$E,'Anlage 2b_Korrekturen'!$H:$H,'LV Testat'!$N$4,'Anlage 2b_Korrekturen'!$C:$C,'LV Testat'!$D361,'Anlage 2b_Korrekturen'!$A:$A,C361)</f>
        <v>0</v>
      </c>
      <c r="P361" s="1123">
        <f>+SUMIFS('Anlage 2b_Korrekturen'!$F:$F,'Anlage 2b_Korrekturen'!$H:$H,'LV Testat'!$N$4,'Anlage 2b_Korrekturen'!$C:$C,'LV Testat'!$D361,'Anlage 2b_Korrekturen'!$A:$A,C361)</f>
        <v>0</v>
      </c>
    </row>
    <row r="362" spans="1:16" ht="12" hidden="1" outlineLevel="1" thickBot="1">
      <c r="A362" s="1090"/>
      <c r="B362" s="1092"/>
      <c r="C362" s="1137">
        <f>+C361</f>
        <v>2020</v>
      </c>
      <c r="D362" s="1158" t="s">
        <v>2514</v>
      </c>
      <c r="E362" s="1105">
        <f>+SUMIFS('Anlage 2b_Korrekturen'!$D:$D,'Anlage 2b_Korrekturen'!$H:$H,'LV Testat'!$E$4,'Anlage 2b_Korrekturen'!$C:$C,'LV Testat'!$D362,'Anlage 2b_Korrekturen'!$A:$A,C362)</f>
        <v>0</v>
      </c>
      <c r="F362" s="1119">
        <f>+SUMIFS('Anlage 2b_Korrekturen'!$E:$E,'Anlage 2b_Korrekturen'!$H:$H,'LV Testat'!$E$4,'Anlage 2b_Korrekturen'!$C:$C,'LV Testat'!$D362,'Anlage 2b_Korrekturen'!$A:$A,C362)</f>
        <v>0</v>
      </c>
      <c r="G362" s="1123">
        <f>+SUMIFS('Anlage 2b_Korrekturen'!$F:$F,'Anlage 2b_Korrekturen'!$H:$H,'LV Testat'!$E$4,'Anlage 2b_Korrekturen'!$C:$C,'LV Testat'!$D362,'Anlage 2b_Korrekturen'!$A:$A,C362)</f>
        <v>0</v>
      </c>
      <c r="H362" s="1105">
        <f>+SUMIFS('Anlage 2b_Korrekturen'!$D:$D,'Anlage 2b_Korrekturen'!$H:$H,'LV Testat'!$H$4,'Anlage 2b_Korrekturen'!$C:$C,'LV Testat'!$D362,'Anlage 2b_Korrekturen'!$A:$A,B362)</f>
        <v>0</v>
      </c>
      <c r="I362" s="1119">
        <f>+SUMIFS('Anlage 2b_Korrekturen'!$E:$E,'Anlage 2b_Korrekturen'!$H:$H,'LV Testat'!$H$4,'Anlage 2b_Korrekturen'!$C:$C,'LV Testat'!$D362,'Anlage 2b_Korrekturen'!$A:$A,C362)</f>
        <v>0</v>
      </c>
      <c r="J362" s="1123">
        <f>+SUMIFS('Anlage 2b_Korrekturen'!$F:$F,'Anlage 2b_Korrekturen'!$H:$H,'LV Testat'!$H$4,'Anlage 2b_Korrekturen'!$C:$C,'LV Testat'!$D362,'Anlage 2b_Korrekturen'!$A:$A,C362)</f>
        <v>0</v>
      </c>
      <c r="K362" s="1105">
        <f>+SUMIFS('Anlage 2b_Korrekturen'!$D:$D,'Anlage 2b_Korrekturen'!$H:$H,'LV Testat'!$K$4,'Anlage 2b_Korrekturen'!$C:$C,'LV Testat'!$D362,'Anlage 2b_Korrekturen'!$A:$A,C362)</f>
        <v>0</v>
      </c>
      <c r="L362" s="1119">
        <f>+SUMIFS('Anlage 2b_Korrekturen'!$E:$E,'Anlage 2b_Korrekturen'!$H:$H,'LV Testat'!$K$4,'Anlage 2b_Korrekturen'!$C:$C,'LV Testat'!$D362,'Anlage 2b_Korrekturen'!$A:$A,C362)</f>
        <v>0</v>
      </c>
      <c r="M362" s="1123">
        <f>+SUMIFS('Anlage 2b_Korrekturen'!$F:$F,'Anlage 2b_Korrekturen'!$H:$H,'LV Testat'!$K$4,'Anlage 2b_Korrekturen'!$C:$C,'LV Testat'!$D362,'Anlage 2b_Korrekturen'!$A:$A,C362)</f>
        <v>0</v>
      </c>
      <c r="N362" s="1105">
        <f>+SUMIFS('Anlage 2b_Korrekturen'!$D:$D,'Anlage 2b_Korrekturen'!$H:$H,'LV Testat'!$N$4,'Anlage 2b_Korrekturen'!$C:$C,'LV Testat'!$D362,'Anlage 2b_Korrekturen'!$A:$A,C362)</f>
        <v>0</v>
      </c>
      <c r="O362" s="1119">
        <f>+SUMIFS('Anlage 2b_Korrekturen'!$E:$E,'Anlage 2b_Korrekturen'!$H:$H,'LV Testat'!$N$4,'Anlage 2b_Korrekturen'!$C:$C,'LV Testat'!$D362,'Anlage 2b_Korrekturen'!$A:$A,C362)</f>
        <v>0</v>
      </c>
      <c r="P362" s="1123">
        <f>+SUMIFS('Anlage 2b_Korrekturen'!$F:$F,'Anlage 2b_Korrekturen'!$H:$H,'LV Testat'!$N$4,'Anlage 2b_Korrekturen'!$C:$C,'LV Testat'!$D362,'Anlage 2b_Korrekturen'!$A:$A,C362)</f>
        <v>0</v>
      </c>
    </row>
    <row r="363" spans="1:16" ht="12" collapsed="1" thickBot="1">
      <c r="A363" s="1013" t="s">
        <v>2515</v>
      </c>
      <c r="B363" s="1001"/>
      <c r="C363" s="1001"/>
      <c r="D363" s="1002"/>
      <c r="E363" s="1001"/>
      <c r="F363" s="1017" t="str">
        <f>+"Check SV BesAR NT "&amp;A366</f>
        <v>Check SV BesAR NT 2020</v>
      </c>
      <c r="G363" s="1018">
        <f>+SUM(F366:F368)-SUM(E366:E368)</f>
        <v>0</v>
      </c>
      <c r="H363" s="1000"/>
      <c r="I363" s="1017" t="str">
        <f>+"Check SV BesAR NT "&amp;A366</f>
        <v>Check SV BesAR NT 2020</v>
      </c>
      <c r="J363" s="1018">
        <f>+SUM(I366:I368)-SUM(H366:H368)</f>
        <v>0</v>
      </c>
      <c r="K363" s="1000"/>
      <c r="L363" s="1017" t="str">
        <f>+"Check SV BesAR NT "&amp;A366</f>
        <v>Check SV BesAR NT 2020</v>
      </c>
      <c r="M363" s="1018">
        <f>+SUM(L366:L368)-SUM(K366:K368)</f>
        <v>0</v>
      </c>
      <c r="N363" s="1000"/>
      <c r="O363" s="1017" t="str">
        <f>+"Check SV BesAR NT "&amp;A366</f>
        <v>Check SV BesAR NT 2020</v>
      </c>
      <c r="P363" s="1018">
        <f>+SUM(O366:O368)-SUM(N366:N368)</f>
        <v>0</v>
      </c>
    </row>
    <row r="364" spans="1:16" ht="12" hidden="1" outlineLevel="1" thickBot="1">
      <c r="A364" s="1028"/>
      <c r="D364" s="1041"/>
      <c r="G364" s="1081"/>
      <c r="H364" s="1028"/>
      <c r="J364" s="1081"/>
      <c r="K364" s="1028"/>
      <c r="M364" s="1081"/>
      <c r="N364" s="1028"/>
      <c r="P364" s="1081"/>
    </row>
    <row r="365" spans="1:16" hidden="1" outlineLevel="1">
      <c r="A365" s="1028"/>
      <c r="D365" s="1041"/>
      <c r="E365" s="1159" t="s">
        <v>2517</v>
      </c>
      <c r="F365" s="1160" t="s">
        <v>2517</v>
      </c>
      <c r="G365" s="1081"/>
      <c r="H365" s="1161" t="s">
        <v>2517</v>
      </c>
      <c r="I365" s="1160" t="s">
        <v>2517</v>
      </c>
      <c r="J365" s="1081"/>
      <c r="K365" s="1161" t="s">
        <v>2517</v>
      </c>
      <c r="L365" s="1160" t="s">
        <v>2517</v>
      </c>
      <c r="M365" s="1081"/>
      <c r="N365" s="1161"/>
      <c r="O365" s="1160" t="s">
        <v>2517</v>
      </c>
      <c r="P365" s="1081"/>
    </row>
    <row r="366" spans="1:16" ht="15" hidden="1" customHeight="1" outlineLevel="1">
      <c r="A366" s="1137">
        <f>+A330</f>
        <v>2020</v>
      </c>
      <c r="C366" s="1071">
        <v>2</v>
      </c>
      <c r="D366" s="1050" t="s">
        <v>2518</v>
      </c>
      <c r="E366" s="1087"/>
      <c r="F366" s="1162">
        <f>+SUMIFS('Anlage 2b_Korrekturen'!$D:$D,'Anlage 2b_Korrekturen'!$A:$A,A366,'Anlage 2b_Korrekturen'!$H:$H,'LV Testat'!$E$4,'Anlage 2b_Korrekturen'!$B:$B,"")</f>
        <v>0</v>
      </c>
      <c r="G366" s="1081"/>
      <c r="H366" s="1087">
        <v>0</v>
      </c>
      <c r="I366" s="1162">
        <f>+SUMIFS('Anlage 2b_Korrekturen'!$D:$D,'Anlage 2b_Korrekturen'!$A:$A,A366,'Anlage 2b_Korrekturen'!$H:$H,'LV Testat'!$H$4,'Anlage 2b_Korrekturen'!$B:$B,"")</f>
        <v>0</v>
      </c>
      <c r="J366" s="1081"/>
      <c r="K366" s="1087">
        <v>0</v>
      </c>
      <c r="L366" s="1162">
        <f>+SUMIFS('Anlage 2b_Korrekturen'!$D:$D,'Anlage 2b_Korrekturen'!$A:$A,A366,'Anlage 2b_Korrekturen'!$H:$H,'LV Testat'!$K$4,'Anlage 2b_Korrekturen'!$B:$B,"")</f>
        <v>0</v>
      </c>
      <c r="M366" s="1081"/>
      <c r="N366" s="1087"/>
      <c r="O366" s="1162">
        <f>+SUMIFS('Anlage 2b_Korrekturen'!$D:$D,'Anlage 2b_Korrekturen'!$A:$A,A366,'Anlage 2b_Korrekturen'!$H:$H,'LV Testat'!$N$4,'Anlage 2b_Korrekturen'!$B:$B,"")</f>
        <v>0</v>
      </c>
      <c r="P366" s="1081"/>
    </row>
    <row r="367" spans="1:16" ht="15" hidden="1" customHeight="1" outlineLevel="1">
      <c r="A367" s="1163">
        <f>+A366</f>
        <v>2020</v>
      </c>
      <c r="C367" s="1071">
        <v>3</v>
      </c>
      <c r="D367" s="1050" t="s">
        <v>2519</v>
      </c>
      <c r="E367" s="1089"/>
      <c r="F367" s="1162">
        <f>+SUMIFS('Anlage 2b_Korrekturen'!$E:$E,'Anlage 2b_Korrekturen'!$A:$A,A367,'Anlage 2b_Korrekturen'!$H:$H,'LV Testat'!$E$4,'Anlage 2b_Korrekturen'!$B:$B,"")</f>
        <v>0</v>
      </c>
      <c r="G367" s="1081"/>
      <c r="H367" s="1089">
        <v>0</v>
      </c>
      <c r="I367" s="1162">
        <f>+SUMIFS('Anlage 2b_Korrekturen'!$E:$E,'Anlage 2b_Korrekturen'!$A:$A,A367,'Anlage 2b_Korrekturen'!$H:$H,'LV Testat'!$H$4,'Anlage 2b_Korrekturen'!$B:$B,"")</f>
        <v>0</v>
      </c>
      <c r="J367" s="1081"/>
      <c r="K367" s="1089">
        <v>0</v>
      </c>
      <c r="L367" s="1162">
        <f>+SUMIFS('Anlage 2b_Korrekturen'!$E:$E,'Anlage 2b_Korrekturen'!$A:$A,A367,'Anlage 2b_Korrekturen'!$H:$H,'LV Testat'!$K$4,'Anlage 2b_Korrekturen'!$B:$B,"")</f>
        <v>0</v>
      </c>
      <c r="M367" s="1081"/>
      <c r="N367" s="1089"/>
      <c r="O367" s="1162">
        <f>+SUMIFS('Anlage 2b_Korrekturen'!$E:$E,'Anlage 2b_Korrekturen'!$A:$A,A367,'Anlage 2b_Korrekturen'!$H:$H,'LV Testat'!$N$4,'Anlage 2b_Korrekturen'!$B:$B,"")</f>
        <v>0</v>
      </c>
      <c r="P367" s="1081"/>
    </row>
    <row r="368" spans="1:16" ht="15" hidden="1" customHeight="1" outlineLevel="1" thickBot="1">
      <c r="A368" s="1163">
        <f>+A367</f>
        <v>2020</v>
      </c>
      <c r="B368" s="1091"/>
      <c r="C368" s="1092">
        <v>4</v>
      </c>
      <c r="D368" s="1062" t="s">
        <v>2520</v>
      </c>
      <c r="E368" s="1174"/>
      <c r="F368" s="1166">
        <f>+SUMIFS('Anlage 2b_Korrekturen'!$F:$F,'Anlage 2b_Korrekturen'!$A:$A,A368,'Anlage 2b_Korrekturen'!$H:$H,'LV Testat'!$E$4,'Anlage 2b_Korrekturen'!$B:$B,"")</f>
        <v>0</v>
      </c>
      <c r="G368" s="1095"/>
      <c r="H368" s="1174">
        <v>0</v>
      </c>
      <c r="I368" s="1166">
        <f>+SUMIFS('Anlage 2b_Korrekturen'!$F:$F,'Anlage 2b_Korrekturen'!$A:$A,A368,'Anlage 2b_Korrekturen'!$H:$H,'LV Testat'!$H$4,'Anlage 2b_Korrekturen'!$B:$B,"")</f>
        <v>0</v>
      </c>
      <c r="J368" s="1095"/>
      <c r="K368" s="1174">
        <v>0</v>
      </c>
      <c r="L368" s="1166">
        <f>+SUMIFS('Anlage 2b_Korrekturen'!$F:$F,'Anlage 2b_Korrekturen'!$A:$A,A368,'Anlage 2b_Korrekturen'!$H:$H,'LV Testat'!$K$4,'Anlage 2b_Korrekturen'!$B:$B,"")</f>
        <v>0</v>
      </c>
      <c r="M368" s="1095"/>
      <c r="N368" s="1174"/>
      <c r="O368" s="1166">
        <f>+SUMIFS('Anlage 2b_Korrekturen'!$F:$F,'Anlage 2b_Korrekturen'!$A:$A,A368,'Anlage 2b_Korrekturen'!$H:$H,'LV Testat'!$N$4,'Anlage 2b_Korrekturen'!$B:$B,"")</f>
        <v>0</v>
      </c>
      <c r="P368" s="1095"/>
    </row>
    <row r="369" spans="1:16" ht="12" collapsed="1" thickBot="1">
      <c r="A369" s="1013" t="s">
        <v>2523</v>
      </c>
      <c r="B369" s="1001"/>
      <c r="C369" s="1001"/>
      <c r="D369" s="1002"/>
      <c r="E369" s="1001"/>
      <c r="F369" s="1017" t="str">
        <f>+"Check WL BesAR NT "&amp;C372</f>
        <v>Check WL BesAR NT 2020</v>
      </c>
      <c r="G369" s="1018">
        <f>+F380-E380</f>
        <v>0</v>
      </c>
      <c r="H369" s="1001"/>
      <c r="I369" s="1017" t="str">
        <f>+"Check WL BesAR NT "&amp;C372</f>
        <v>Check WL BesAR NT 2020</v>
      </c>
      <c r="J369" s="1018">
        <f>+I380-H380</f>
        <v>0</v>
      </c>
      <c r="K369" s="1001"/>
      <c r="L369" s="1017" t="str">
        <f>+"Check WL BesAR NT "&amp;C372</f>
        <v>Check WL BesAR NT 2020</v>
      </c>
      <c r="M369" s="1018">
        <f>+L380-K380</f>
        <v>0</v>
      </c>
      <c r="N369" s="1001"/>
      <c r="O369" s="1017" t="str">
        <f>+"Check WL BesAR NT "&amp;C372</f>
        <v>Check WL BesAR NT 2020</v>
      </c>
      <c r="P369" s="1018">
        <f>+O380-N380</f>
        <v>0</v>
      </c>
    </row>
    <row r="370" spans="1:16" hidden="1" outlineLevel="1">
      <c r="A370" s="1022"/>
      <c r="D370" s="1041"/>
      <c r="H370" s="1028"/>
      <c r="J370" s="1041"/>
      <c r="K370" s="1028"/>
      <c r="M370" s="1041"/>
      <c r="N370" s="1028"/>
      <c r="P370" s="1041"/>
    </row>
    <row r="371" spans="1:16" ht="30" hidden="1" customHeight="1" outlineLevel="1">
      <c r="A371" s="1028"/>
      <c r="D371" s="1099" t="s">
        <v>2525</v>
      </c>
      <c r="E371" s="1064" t="s">
        <v>2526</v>
      </c>
      <c r="F371" s="1118" t="s">
        <v>2526</v>
      </c>
      <c r="H371" s="1118" t="s">
        <v>2526</v>
      </c>
      <c r="I371" s="1118" t="s">
        <v>2526</v>
      </c>
      <c r="K371" s="1118" t="s">
        <v>2526</v>
      </c>
      <c r="L371" s="1118" t="s">
        <v>2526</v>
      </c>
      <c r="N371" s="1118" t="s">
        <v>2526</v>
      </c>
      <c r="O371" s="1118" t="s">
        <v>2526</v>
      </c>
      <c r="P371" s="1041"/>
    </row>
    <row r="372" spans="1:16" hidden="1" outlineLevel="1">
      <c r="A372" s="1028"/>
      <c r="C372" s="1137">
        <f>+A330</f>
        <v>2020</v>
      </c>
      <c r="D372" s="1035" t="s">
        <v>2408</v>
      </c>
      <c r="E372" s="1100"/>
      <c r="F372" s="1119">
        <f>+SUMIFS('Anlage 2b_Korrekturen'!$D:$D,'Anlage 2b_Korrekturen'!$H:$H,'LV Testat'!$E$4,'Anlage 2b_Korrekturen'!$B:$B,'LV Testat'!$D372,'Anlage 2b_Korrekturen'!$A:$A,C372)</f>
        <v>0</v>
      </c>
      <c r="H372" s="1167">
        <v>0</v>
      </c>
      <c r="I372" s="1119">
        <f>+SUMIFS('Anlage 2b_Korrekturen'!$D:$D,'Anlage 2b_Korrekturen'!$H:$H,'LV Testat'!$H$4,'Anlage 2b_Korrekturen'!$B:$B,'LV Testat'!$D372,'Anlage 2b_Korrekturen'!$A:$A,C372)</f>
        <v>0</v>
      </c>
      <c r="K372" s="1167">
        <v>0</v>
      </c>
      <c r="L372" s="1119">
        <f>+SUMIFS('Anlage 2b_Korrekturen'!$D:$D,'Anlage 2b_Korrekturen'!$H:$H,'LV Testat'!$K$4,'Anlage 2b_Korrekturen'!$B:$B,'LV Testat'!$D372,'Anlage 2b_Korrekturen'!$A:$A,C372)</f>
        <v>0</v>
      </c>
      <c r="N372" s="1167"/>
      <c r="O372" s="1119">
        <f>+SUMIFS('Anlage 2b_Korrekturen'!$D:$D,'Anlage 2b_Korrekturen'!$H:$H,'LV Testat'!$N$4,'Anlage 2b_Korrekturen'!$B:$B,'LV Testat'!$D372,'Anlage 2b_Korrekturen'!$A:$A,C372)</f>
        <v>0</v>
      </c>
      <c r="P372" s="1041"/>
    </row>
    <row r="373" spans="1:16" hidden="1" outlineLevel="1">
      <c r="A373" s="1028"/>
      <c r="C373" s="1137">
        <f>+C372</f>
        <v>2020</v>
      </c>
      <c r="D373" s="1035" t="s">
        <v>2500</v>
      </c>
      <c r="E373" s="1100"/>
      <c r="F373" s="1119">
        <f>+SUMIFS('Anlage 2b_Korrekturen'!$D:$D,'Anlage 2b_Korrekturen'!$H:$H,'LV Testat'!$E$4,'Anlage 2b_Korrekturen'!$B:$B,'LV Testat'!$D373,'Anlage 2b_Korrekturen'!$A:$A,C373)</f>
        <v>0</v>
      </c>
      <c r="H373" s="1167"/>
      <c r="I373" s="1119">
        <f>+SUMIFS('Anlage 2b_Korrekturen'!$D:$D,'Anlage 2b_Korrekturen'!$H:$H,'LV Testat'!$H$4,'Anlage 2b_Korrekturen'!$B:$B,'LV Testat'!$D373,'Anlage 2b_Korrekturen'!$A:$A,C373)</f>
        <v>0</v>
      </c>
      <c r="K373" s="1167">
        <v>0</v>
      </c>
      <c r="L373" s="1119">
        <f>+SUMIFS('Anlage 2b_Korrekturen'!$D:$D,'Anlage 2b_Korrekturen'!$H:$H,'LV Testat'!$K$4,'Anlage 2b_Korrekturen'!$B:$B,'LV Testat'!$D373,'Anlage 2b_Korrekturen'!$A:$A,C373)</f>
        <v>0</v>
      </c>
      <c r="N373" s="1167"/>
      <c r="O373" s="1119">
        <f>+SUMIFS('Anlage 2b_Korrekturen'!$D:$D,'Anlage 2b_Korrekturen'!$H:$H,'LV Testat'!$N$4,'Anlage 2b_Korrekturen'!$B:$B,'LV Testat'!$D373,'Anlage 2b_Korrekturen'!$A:$A,C373)</f>
        <v>0</v>
      </c>
      <c r="P373" s="1041"/>
    </row>
    <row r="374" spans="1:16" hidden="1" outlineLevel="1">
      <c r="A374" s="1028"/>
      <c r="C374" s="1137">
        <f t="shared" ref="C374:C379" si="11">+C373</f>
        <v>2020</v>
      </c>
      <c r="D374" s="1035" t="s">
        <v>2418</v>
      </c>
      <c r="E374" s="1100"/>
      <c r="F374" s="1119">
        <f>+SUMIFS('Anlage 2b_Korrekturen'!$D:$D,'Anlage 2b_Korrekturen'!$H:$H,'LV Testat'!$E$4,'Anlage 2b_Korrekturen'!$B:$B,'LV Testat'!$D374,'Anlage 2b_Korrekturen'!$A:$A,C374)</f>
        <v>0</v>
      </c>
      <c r="H374" s="1167">
        <v>0</v>
      </c>
      <c r="I374" s="1119">
        <f>+SUMIFS('Anlage 2b_Korrekturen'!$D:$D,'Anlage 2b_Korrekturen'!$H:$H,'LV Testat'!$H$4,'Anlage 2b_Korrekturen'!$B:$B,'LV Testat'!$D374,'Anlage 2b_Korrekturen'!$A:$A,C374)</f>
        <v>0</v>
      </c>
      <c r="K374" s="1167">
        <v>0</v>
      </c>
      <c r="L374" s="1119">
        <f>+SUMIFS('Anlage 2b_Korrekturen'!$D:$D,'Anlage 2b_Korrekturen'!$H:$H,'LV Testat'!$K$4,'Anlage 2b_Korrekturen'!$B:$B,'LV Testat'!$D374,'Anlage 2b_Korrekturen'!$A:$A,C374)</f>
        <v>0</v>
      </c>
      <c r="N374" s="1167"/>
      <c r="O374" s="1119">
        <f>+SUMIFS('Anlage 2b_Korrekturen'!$D:$D,'Anlage 2b_Korrekturen'!$H:$H,'LV Testat'!$N$4,'Anlage 2b_Korrekturen'!$B:$B,'LV Testat'!$D374,'Anlage 2b_Korrekturen'!$A:$A,C374)</f>
        <v>0</v>
      </c>
      <c r="P374" s="1041"/>
    </row>
    <row r="375" spans="1:16" hidden="1" outlineLevel="1">
      <c r="A375" s="1028"/>
      <c r="C375" s="1137">
        <f t="shared" si="11"/>
        <v>2020</v>
      </c>
      <c r="D375" s="1168" t="s">
        <v>2501</v>
      </c>
      <c r="E375" s="1100"/>
      <c r="F375" s="1119">
        <f>+SUMIFS('Anlage 2b_Korrekturen'!$D:$D,'Anlage 2b_Korrekturen'!$H:$H,'LV Testat'!$E$4,'Anlage 2b_Korrekturen'!$B:$B,'LV Testat'!$D375,'Anlage 2b_Korrekturen'!$A:$A,C375)</f>
        <v>0</v>
      </c>
      <c r="H375" s="1167"/>
      <c r="I375" s="1119">
        <f>+SUMIFS('Anlage 2b_Korrekturen'!$D:$D,'Anlage 2b_Korrekturen'!$H:$H,'LV Testat'!$H$4,'Anlage 2b_Korrekturen'!$B:$B,'LV Testat'!$D375,'Anlage 2b_Korrekturen'!$A:$A,C375)</f>
        <v>0</v>
      </c>
      <c r="K375" s="1167">
        <v>0</v>
      </c>
      <c r="L375" s="1119">
        <f>+SUMIFS('Anlage 2b_Korrekturen'!$D:$D,'Anlage 2b_Korrekturen'!$H:$H,'LV Testat'!$K$4,'Anlage 2b_Korrekturen'!$B:$B,'LV Testat'!$D375,'Anlage 2b_Korrekturen'!$A:$A,C375)</f>
        <v>0</v>
      </c>
      <c r="N375" s="1167"/>
      <c r="O375" s="1119">
        <f>+SUMIFS('Anlage 2b_Korrekturen'!$D:$D,'Anlage 2b_Korrekturen'!$H:$H,'LV Testat'!$N$4,'Anlage 2b_Korrekturen'!$B:$B,'LV Testat'!$D375,'Anlage 2b_Korrekturen'!$A:$A,C375)</f>
        <v>0</v>
      </c>
      <c r="P375" s="1041"/>
    </row>
    <row r="376" spans="1:16" hidden="1" outlineLevel="1">
      <c r="A376" s="1028"/>
      <c r="C376" s="1137">
        <f t="shared" si="11"/>
        <v>2020</v>
      </c>
      <c r="D376" s="1035" t="s">
        <v>2409</v>
      </c>
      <c r="E376" s="1100"/>
      <c r="F376" s="1119">
        <f>+SUMIFS('Anlage 2b_Korrekturen'!$D:$D,'Anlage 2b_Korrekturen'!$H:$H,'LV Testat'!$E$4,'Anlage 2b_Korrekturen'!$B:$B,'LV Testat'!$D376,'Anlage 2b_Korrekturen'!$A:$A,C376)</f>
        <v>0</v>
      </c>
      <c r="H376" s="1167">
        <v>0</v>
      </c>
      <c r="I376" s="1119">
        <f>+SUMIFS('Anlage 2b_Korrekturen'!$D:$D,'Anlage 2b_Korrekturen'!$H:$H,'LV Testat'!$H$4,'Anlage 2b_Korrekturen'!$B:$B,'LV Testat'!$D376,'Anlage 2b_Korrekturen'!$A:$A,C376)</f>
        <v>0</v>
      </c>
      <c r="K376" s="1167">
        <v>0</v>
      </c>
      <c r="L376" s="1119">
        <f>+SUMIFS('Anlage 2b_Korrekturen'!$D:$D,'Anlage 2b_Korrekturen'!$H:$H,'LV Testat'!$K$4,'Anlage 2b_Korrekturen'!$B:$B,'LV Testat'!$D376,'Anlage 2b_Korrekturen'!$A:$A,C376)</f>
        <v>0</v>
      </c>
      <c r="N376" s="1167"/>
      <c r="O376" s="1119">
        <f>+SUMIFS('Anlage 2b_Korrekturen'!$D:$D,'Anlage 2b_Korrekturen'!$H:$H,'LV Testat'!$N$4,'Anlage 2b_Korrekturen'!$B:$B,'LV Testat'!$D376,'Anlage 2b_Korrekturen'!$A:$A,C376)</f>
        <v>0</v>
      </c>
      <c r="P376" s="1041"/>
    </row>
    <row r="377" spans="1:16" hidden="1" outlineLevel="1">
      <c r="A377" s="1028"/>
      <c r="C377" s="1137">
        <f t="shared" si="11"/>
        <v>2020</v>
      </c>
      <c r="D377" s="1035" t="s">
        <v>2419</v>
      </c>
      <c r="E377" s="1100"/>
      <c r="F377" s="1119">
        <f>+SUMIFS('Anlage 2b_Korrekturen'!$D:$D,'Anlage 2b_Korrekturen'!$H:$H,'LV Testat'!$E$4,'Anlage 2b_Korrekturen'!$B:$B,'LV Testat'!$D377,'Anlage 2b_Korrekturen'!$A:$A,C377)</f>
        <v>0</v>
      </c>
      <c r="H377" s="1167"/>
      <c r="I377" s="1119">
        <f>+SUMIFS('Anlage 2b_Korrekturen'!$D:$D,'Anlage 2b_Korrekturen'!$H:$H,'LV Testat'!$H$4,'Anlage 2b_Korrekturen'!$B:$B,'LV Testat'!$D377,'Anlage 2b_Korrekturen'!$A:$A,C377)</f>
        <v>0</v>
      </c>
      <c r="K377" s="1167">
        <v>0</v>
      </c>
      <c r="L377" s="1119">
        <f>+SUMIFS('Anlage 2b_Korrekturen'!$D:$D,'Anlage 2b_Korrekturen'!$H:$H,'LV Testat'!$K$4,'Anlage 2b_Korrekturen'!$B:$B,'LV Testat'!$D377,'Anlage 2b_Korrekturen'!$A:$A,C377)</f>
        <v>0</v>
      </c>
      <c r="N377" s="1167"/>
      <c r="O377" s="1119">
        <f>+SUMIFS('Anlage 2b_Korrekturen'!$D:$D,'Anlage 2b_Korrekturen'!$H:$H,'LV Testat'!$N$4,'Anlage 2b_Korrekturen'!$B:$B,'LV Testat'!$D377,'Anlage 2b_Korrekturen'!$A:$A,C377)</f>
        <v>0</v>
      </c>
      <c r="P377" s="1041"/>
    </row>
    <row r="378" spans="1:16" hidden="1" outlineLevel="1">
      <c r="A378" s="1028"/>
      <c r="C378" s="1137">
        <f t="shared" si="11"/>
        <v>2020</v>
      </c>
      <c r="D378" s="1035" t="s">
        <v>2412</v>
      </c>
      <c r="E378" s="1100"/>
      <c r="F378" s="1119">
        <f>+SUMIFS('Anlage 2b_Korrekturen'!$D:$D,'Anlage 2b_Korrekturen'!$H:$H,'LV Testat'!$E$4,'Anlage 2b_Korrekturen'!$B:$B,'LV Testat'!$D378,'Anlage 2b_Korrekturen'!$A:$A,C378)</f>
        <v>0</v>
      </c>
      <c r="H378" s="1167"/>
      <c r="I378" s="1119">
        <f>+SUMIFS('Anlage 2b_Korrekturen'!$D:$D,'Anlage 2b_Korrekturen'!$H:$H,'LV Testat'!$H$4,'Anlage 2b_Korrekturen'!$B:$B,'LV Testat'!$D378,'Anlage 2b_Korrekturen'!$A:$A,C378)</f>
        <v>0</v>
      </c>
      <c r="K378" s="1167">
        <v>0</v>
      </c>
      <c r="L378" s="1119">
        <f>+SUMIFS('Anlage 2b_Korrekturen'!$D:$D,'Anlage 2b_Korrekturen'!$H:$H,'LV Testat'!$K$4,'Anlage 2b_Korrekturen'!$B:$B,'LV Testat'!$D378,'Anlage 2b_Korrekturen'!$A:$A,C378)</f>
        <v>0</v>
      </c>
      <c r="N378" s="1167"/>
      <c r="O378" s="1119">
        <f>+SUMIFS('Anlage 2b_Korrekturen'!$D:$D,'Anlage 2b_Korrekturen'!$H:$H,'LV Testat'!$N$4,'Anlage 2b_Korrekturen'!$B:$B,'LV Testat'!$D378,'Anlage 2b_Korrekturen'!$A:$A,C378)</f>
        <v>0</v>
      </c>
      <c r="P378" s="1041"/>
    </row>
    <row r="379" spans="1:16" hidden="1" outlineLevel="1">
      <c r="A379" s="1028"/>
      <c r="C379" s="1137">
        <f t="shared" si="11"/>
        <v>2020</v>
      </c>
      <c r="D379" s="1168" t="s">
        <v>2410</v>
      </c>
      <c r="E379" s="1100"/>
      <c r="F379" s="1119">
        <f>+SUMIFS('Anlage 2b_Korrekturen'!$D:$D,'Anlage 2b_Korrekturen'!$H:$H,'LV Testat'!$E$4,'Anlage 2b_Korrekturen'!$B:$B,'LV Testat'!$D379,'Anlage 2b_Korrekturen'!$A:$A,C379)</f>
        <v>0</v>
      </c>
      <c r="H379" s="1167">
        <v>0</v>
      </c>
      <c r="I379" s="1119">
        <f>+SUMIFS('Anlage 2b_Korrekturen'!$D:$D,'Anlage 2b_Korrekturen'!$H:$H,'LV Testat'!$H$4,'Anlage 2b_Korrekturen'!$B:$B,'LV Testat'!$D379,'Anlage 2b_Korrekturen'!$A:$A,C379)</f>
        <v>0</v>
      </c>
      <c r="K379" s="1167">
        <v>0</v>
      </c>
      <c r="L379" s="1119">
        <f>+SUMIFS('Anlage 2b_Korrekturen'!$D:$D,'Anlage 2b_Korrekturen'!$H:$H,'LV Testat'!$K$4,'Anlage 2b_Korrekturen'!$B:$B,'LV Testat'!$D379,'Anlage 2b_Korrekturen'!$A:$A,C379)</f>
        <v>0</v>
      </c>
      <c r="N379" s="1167"/>
      <c r="O379" s="1119">
        <f>+SUMIFS('Anlage 2b_Korrekturen'!$D:$D,'Anlage 2b_Korrekturen'!$H:$H,'LV Testat'!$N$4,'Anlage 2b_Korrekturen'!$B:$B,'LV Testat'!$D379,'Anlage 2b_Korrekturen'!$A:$A,C379)</f>
        <v>0</v>
      </c>
      <c r="P379" s="1041"/>
    </row>
    <row r="380" spans="1:16" ht="12" hidden="1" outlineLevel="1" thickBot="1">
      <c r="A380" s="1090"/>
      <c r="B380" s="1091"/>
      <c r="C380" s="1091"/>
      <c r="D380" s="1121"/>
      <c r="E380" s="1110">
        <f>+SUM(E372:E379)</f>
        <v>0</v>
      </c>
      <c r="F380" s="1124">
        <f>+SUM(F372:F379)</f>
        <v>0</v>
      </c>
      <c r="G380" s="1091"/>
      <c r="H380" s="1124">
        <f>+SUM(H372:H379)</f>
        <v>0</v>
      </c>
      <c r="I380" s="1124">
        <f>+SUM(I372:I379)</f>
        <v>0</v>
      </c>
      <c r="J380" s="1091"/>
      <c r="K380" s="1124">
        <f>+SUM(K372:K379)</f>
        <v>0</v>
      </c>
      <c r="L380" s="1124">
        <f>+SUM(L372:L379)</f>
        <v>0</v>
      </c>
      <c r="M380" s="1091"/>
      <c r="N380" s="1124">
        <f>+SUM(N372:N379)</f>
        <v>0</v>
      </c>
      <c r="O380" s="1124">
        <f>+SUM(O372:O379)</f>
        <v>0</v>
      </c>
      <c r="P380" s="1121"/>
    </row>
    <row r="381" spans="1:16" ht="12" collapsed="1" thickBot="1">
      <c r="A381" s="1013" t="s">
        <v>2528</v>
      </c>
      <c r="B381" s="1001"/>
      <c r="C381" s="1001"/>
      <c r="D381" s="1002"/>
      <c r="E381" s="1001"/>
      <c r="F381" s="1098" t="str">
        <f>+"Check Speicher BesAR NT "&amp;C389</f>
        <v>Check Speicher BesAR NT 2020</v>
      </c>
      <c r="G381" s="1018">
        <f>+SUM(E384:G386)-SUM(E389:G391)</f>
        <v>0</v>
      </c>
      <c r="H381" s="1000"/>
      <c r="I381" s="1098" t="str">
        <f>+"Check Speicher BesAR NT "&amp;C389</f>
        <v>Check Speicher BesAR NT 2020</v>
      </c>
      <c r="J381" s="1018">
        <f>+SUM(H384:J386)-SUM(H389:J391)</f>
        <v>0</v>
      </c>
      <c r="K381" s="1000"/>
      <c r="L381" s="1098" t="str">
        <f>+"Check Speicher BesAR NT "&amp;C389</f>
        <v>Check Speicher BesAR NT 2020</v>
      </c>
      <c r="M381" s="1018">
        <f>+SUM(K384:M386)-SUM(K389:M391)</f>
        <v>0</v>
      </c>
      <c r="N381" s="1000"/>
      <c r="O381" s="1098" t="str">
        <f>+"Check Speicher BesAR NT "&amp;C389</f>
        <v>Check Speicher BesAR NT 2020</v>
      </c>
      <c r="P381" s="1018">
        <f>+SUM(N384:P386)-SUM(N389:P391)</f>
        <v>0</v>
      </c>
    </row>
    <row r="382" spans="1:16" hidden="1" outlineLevel="1">
      <c r="A382" s="1028"/>
      <c r="D382" s="1041"/>
      <c r="F382" s="1012"/>
      <c r="G382" s="1041"/>
      <c r="H382" s="1028"/>
      <c r="I382" s="1012"/>
      <c r="J382" s="1041"/>
      <c r="K382" s="1028"/>
      <c r="L382" s="1012"/>
      <c r="M382" s="1041"/>
      <c r="N382" s="1028"/>
      <c r="O382" s="1012"/>
      <c r="P382" s="1041"/>
    </row>
    <row r="383" spans="1:16" ht="33.75" hidden="1" outlineLevel="1">
      <c r="A383" s="1028"/>
      <c r="D383" s="1030" t="s">
        <v>2506</v>
      </c>
      <c r="E383" s="1031" t="s">
        <v>2499</v>
      </c>
      <c r="F383" s="1032" t="s">
        <v>2507</v>
      </c>
      <c r="G383" s="1049" t="s">
        <v>2508</v>
      </c>
      <c r="H383" s="1034" t="s">
        <v>2499</v>
      </c>
      <c r="I383" s="1032" t="s">
        <v>2507</v>
      </c>
      <c r="J383" s="1049" t="s">
        <v>2508</v>
      </c>
      <c r="K383" s="1034" t="s">
        <v>2499</v>
      </c>
      <c r="L383" s="1032" t="s">
        <v>2507</v>
      </c>
      <c r="M383" s="1049" t="s">
        <v>2508</v>
      </c>
      <c r="N383" s="1034" t="s">
        <v>2499</v>
      </c>
      <c r="O383" s="1032" t="s">
        <v>2507</v>
      </c>
      <c r="P383" s="1049" t="s">
        <v>2508</v>
      </c>
    </row>
    <row r="384" spans="1:16" hidden="1" outlineLevel="1">
      <c r="A384" s="1028"/>
      <c r="D384" s="1050" t="s">
        <v>2429</v>
      </c>
      <c r="E384" s="1051"/>
      <c r="F384" s="1101"/>
      <c r="G384" s="1102"/>
      <c r="H384" s="1070">
        <v>0</v>
      </c>
      <c r="I384" s="1067">
        <v>0</v>
      </c>
      <c r="J384" s="1068">
        <v>0</v>
      </c>
      <c r="K384" s="1070">
        <v>0</v>
      </c>
      <c r="L384" s="1067">
        <v>0</v>
      </c>
      <c r="M384" s="1068">
        <v>0</v>
      </c>
      <c r="N384" s="1070"/>
      <c r="O384" s="1067"/>
      <c r="P384" s="1068"/>
    </row>
    <row r="385" spans="1:16" hidden="1" outlineLevel="1">
      <c r="A385" s="1028"/>
      <c r="D385" s="1050" t="s">
        <v>2430</v>
      </c>
      <c r="E385" s="1051"/>
      <c r="F385" s="1101"/>
      <c r="G385" s="1102"/>
      <c r="H385" s="1070"/>
      <c r="I385" s="1067"/>
      <c r="J385" s="1068"/>
      <c r="K385" s="1070">
        <v>0</v>
      </c>
      <c r="L385" s="1067">
        <v>0</v>
      </c>
      <c r="M385" s="1068">
        <v>0</v>
      </c>
      <c r="N385" s="1070"/>
      <c r="O385" s="1067"/>
      <c r="P385" s="1068"/>
    </row>
    <row r="386" spans="1:16" hidden="1" outlineLevel="1">
      <c r="A386" s="1028"/>
      <c r="D386" s="1050" t="s">
        <v>2431</v>
      </c>
      <c r="E386" s="1051"/>
      <c r="F386" s="1101"/>
      <c r="G386" s="1102"/>
      <c r="H386" s="1070"/>
      <c r="I386" s="1067"/>
      <c r="J386" s="1068"/>
      <c r="K386" s="1070">
        <v>0</v>
      </c>
      <c r="L386" s="1067">
        <v>0</v>
      </c>
      <c r="M386" s="1068">
        <v>0</v>
      </c>
      <c r="N386" s="1070"/>
      <c r="O386" s="1067"/>
      <c r="P386" s="1068"/>
    </row>
    <row r="387" spans="1:16" hidden="1" outlineLevel="1">
      <c r="A387" s="1028"/>
      <c r="D387" s="1041"/>
      <c r="F387" s="1847"/>
      <c r="G387" s="1848"/>
      <c r="H387" s="1028"/>
      <c r="I387" s="1012"/>
      <c r="J387" s="1122"/>
      <c r="K387" s="1028"/>
      <c r="L387" s="1012"/>
      <c r="M387" s="1122"/>
      <c r="N387" s="1028"/>
      <c r="O387" s="1012"/>
      <c r="P387" s="1122"/>
    </row>
    <row r="388" spans="1:16" ht="33.75" hidden="1" outlineLevel="1">
      <c r="A388" s="1028"/>
      <c r="D388" s="1030" t="s">
        <v>2506</v>
      </c>
      <c r="E388" s="1031" t="s">
        <v>2499</v>
      </c>
      <c r="F388" s="1032" t="s">
        <v>2507</v>
      </c>
      <c r="G388" s="1049" t="s">
        <v>2508</v>
      </c>
      <c r="H388" s="1034" t="s">
        <v>2499</v>
      </c>
      <c r="I388" s="1032" t="s">
        <v>2507</v>
      </c>
      <c r="J388" s="1049" t="s">
        <v>2508</v>
      </c>
      <c r="K388" s="1034" t="s">
        <v>2499</v>
      </c>
      <c r="L388" s="1032" t="s">
        <v>2507</v>
      </c>
      <c r="M388" s="1049" t="s">
        <v>2508</v>
      </c>
      <c r="N388" s="1034" t="s">
        <v>2499</v>
      </c>
      <c r="O388" s="1032" t="s">
        <v>2507</v>
      </c>
      <c r="P388" s="1049" t="s">
        <v>2508</v>
      </c>
    </row>
    <row r="389" spans="1:16" hidden="1" outlineLevel="1">
      <c r="A389" s="1056"/>
      <c r="B389" s="1029"/>
      <c r="C389" s="1137">
        <f>+A330</f>
        <v>2020</v>
      </c>
      <c r="D389" s="1050" t="s">
        <v>2429</v>
      </c>
      <c r="E389" s="1105">
        <f>+SUMIFS('Anlage 2b_Korrekturen'!$D:$D,'Anlage 2b_Korrekturen'!$H:$H,'LV Testat'!$E$4,'Anlage 2b_Korrekturen'!$B:$B,'LV Testat'!$D389,'Anlage 2b_Korrekturen'!$A:$A,C389)</f>
        <v>0</v>
      </c>
      <c r="F389" s="1119">
        <f>+SUMIFS('Anlage 2b_Korrekturen'!$E:$E,'Anlage 2b_Korrekturen'!$H:$H,'LV Testat'!$E$4,'Anlage 2b_Korrekturen'!$B:$B,'LV Testat'!$D389,'Anlage 2b_Korrekturen'!$A:$A,C389)</f>
        <v>0</v>
      </c>
      <c r="G389" s="1123">
        <f>+SUMIFS('Anlage 2b_Korrekturen'!$F:$F,'Anlage 2b_Korrekturen'!$H:$H,'LV Testat'!$E$4,'Anlage 2b_Korrekturen'!$B:$B,'LV Testat'!$D389,'Anlage 2b_Korrekturen'!$A:$A,C389)</f>
        <v>0</v>
      </c>
      <c r="H389" s="1105">
        <f>+SUMIFS('Anlage 2b_Korrekturen'!$D:$D,'Anlage 2b_Korrekturen'!$H:$H,'LV Testat'!$H$4,'Anlage 2b_Korrekturen'!$B:$B,'LV Testat'!$D389,'Anlage 2b_Korrekturen'!$A:$A,C389)</f>
        <v>0</v>
      </c>
      <c r="I389" s="1119">
        <f>+SUMIFS('Anlage 2b_Korrekturen'!$E:$E,'Anlage 2b_Korrekturen'!$H:$H,'LV Testat'!$H$4,'Anlage 2b_Korrekturen'!$B:$B,'LV Testat'!$D389,'Anlage 2b_Korrekturen'!$A:$A,C389)</f>
        <v>0</v>
      </c>
      <c r="J389" s="1123">
        <f>+SUMIFS('Anlage 2b_Korrekturen'!$F:$F,'Anlage 2b_Korrekturen'!$H:$H,'LV Testat'!$H$4,'Anlage 2b_Korrekturen'!$B:$B,'LV Testat'!$D389,'Anlage 2b_Korrekturen'!$A:$A,C389)</f>
        <v>0</v>
      </c>
      <c r="K389" s="1105">
        <f>+SUMIFS('Anlage 2b_Korrekturen'!$D:$D,'Anlage 2b_Korrekturen'!$H:$H,'LV Testat'!$K$4,'Anlage 2b_Korrekturen'!$B:$B,'LV Testat'!$D389,'Anlage 2b_Korrekturen'!$A:$A,C389)</f>
        <v>0</v>
      </c>
      <c r="L389" s="1119">
        <f>+SUMIFS('Anlage 2b_Korrekturen'!$E:$E,'Anlage 2b_Korrekturen'!$H:$H,'LV Testat'!$K$4,'Anlage 2b_Korrekturen'!$B:$B,'LV Testat'!$D389,'Anlage 2b_Korrekturen'!$A:$A,C389)</f>
        <v>0</v>
      </c>
      <c r="M389" s="1123">
        <f>+SUMIFS('Anlage 2b_Korrekturen'!$F:$F,'Anlage 2b_Korrekturen'!$H:$H,'LV Testat'!$K$4,'Anlage 2b_Korrekturen'!$B:$B,'LV Testat'!$D389,'Anlage 2b_Korrekturen'!$A:$A,C389)</f>
        <v>0</v>
      </c>
      <c r="N389" s="1105">
        <f>+SUMIFS('Anlage 2b_Korrekturen'!$D:$D,'Anlage 2b_Korrekturen'!$H:$H,'LV Testat'!$N$4,'Anlage 2b_Korrekturen'!$B:$B,'LV Testat'!$D389,'Anlage 2b_Korrekturen'!$A:$A,C389)</f>
        <v>0</v>
      </c>
      <c r="O389" s="1119">
        <f>+SUMIFS('Anlage 2b_Korrekturen'!$E:$E,'Anlage 2b_Korrekturen'!$H:$H,'LV Testat'!$N$4,'Anlage 2b_Korrekturen'!$B:$B,'LV Testat'!$D389,'Anlage 2b_Korrekturen'!$A:$A,C389)</f>
        <v>0</v>
      </c>
      <c r="P389" s="1123">
        <f>+SUMIFS('Anlage 2b_Korrekturen'!$F:$F,'Anlage 2b_Korrekturen'!$H:$H,'LV Testat'!$N$4,'Anlage 2b_Korrekturen'!$B:$B,'LV Testat'!$D389,'Anlage 2b_Korrekturen'!$A:$A,C389)</f>
        <v>0</v>
      </c>
    </row>
    <row r="390" spans="1:16" hidden="1" outlineLevel="1">
      <c r="A390" s="1056"/>
      <c r="B390" s="1029"/>
      <c r="C390" s="1137">
        <f>+C389</f>
        <v>2020</v>
      </c>
      <c r="D390" s="1050" t="s">
        <v>2430</v>
      </c>
      <c r="E390" s="1105">
        <f>+SUMIFS('Anlage 2b_Korrekturen'!$D:$D,'Anlage 2b_Korrekturen'!$H:$H,'LV Testat'!$E$4,'Anlage 2b_Korrekturen'!$B:$B,'LV Testat'!$D390,'Anlage 2b_Korrekturen'!$A:$A,C390)</f>
        <v>0</v>
      </c>
      <c r="F390" s="1119">
        <f>+SUMIFS('Anlage 2b_Korrekturen'!$E:$E,'Anlage 2b_Korrekturen'!$H:$H,'LV Testat'!$E$4,'Anlage 2b_Korrekturen'!$B:$B,'LV Testat'!$D390,'Anlage 2b_Korrekturen'!$A:$A,C390)</f>
        <v>0</v>
      </c>
      <c r="G390" s="1123">
        <f>+SUMIFS('Anlage 2b_Korrekturen'!$F:$F,'Anlage 2b_Korrekturen'!$H:$H,'LV Testat'!$E$4,'Anlage 2b_Korrekturen'!$B:$B,'LV Testat'!$D390,'Anlage 2b_Korrekturen'!$A:$A,C390)</f>
        <v>0</v>
      </c>
      <c r="H390" s="1105">
        <f>+SUMIFS('Anlage 2b_Korrekturen'!$D:$D,'Anlage 2b_Korrekturen'!$H:$H,'LV Testat'!$H$4,'Anlage 2b_Korrekturen'!$B:$B,'LV Testat'!$D390,'Anlage 2b_Korrekturen'!$A:$A,C390)</f>
        <v>0</v>
      </c>
      <c r="I390" s="1119">
        <f>+SUMIFS('Anlage 2b_Korrekturen'!$E:$E,'Anlage 2b_Korrekturen'!$H:$H,'LV Testat'!$H$4,'Anlage 2b_Korrekturen'!$B:$B,'LV Testat'!$D390,'Anlage 2b_Korrekturen'!$A:$A,C390)</f>
        <v>0</v>
      </c>
      <c r="J390" s="1123">
        <f>+SUMIFS('Anlage 2b_Korrekturen'!$F:$F,'Anlage 2b_Korrekturen'!$H:$H,'LV Testat'!$H$4,'Anlage 2b_Korrekturen'!$B:$B,'LV Testat'!$D390,'Anlage 2b_Korrekturen'!$A:$A,C390)</f>
        <v>0</v>
      </c>
      <c r="K390" s="1105">
        <f>+SUMIFS('Anlage 2b_Korrekturen'!$D:$D,'Anlage 2b_Korrekturen'!$H:$H,'LV Testat'!$K$4,'Anlage 2b_Korrekturen'!$B:$B,'LV Testat'!$D390,'Anlage 2b_Korrekturen'!$A:$A,C390)</f>
        <v>0</v>
      </c>
      <c r="L390" s="1119">
        <f>+SUMIFS('Anlage 2b_Korrekturen'!$E:$E,'Anlage 2b_Korrekturen'!$H:$H,'LV Testat'!$K$4,'Anlage 2b_Korrekturen'!$B:$B,'LV Testat'!$D390,'Anlage 2b_Korrekturen'!$A:$A,C390)</f>
        <v>0</v>
      </c>
      <c r="M390" s="1123">
        <f>+SUMIFS('Anlage 2b_Korrekturen'!$F:$F,'Anlage 2b_Korrekturen'!$H:$H,'LV Testat'!$K$4,'Anlage 2b_Korrekturen'!$B:$B,'LV Testat'!$D390,'Anlage 2b_Korrekturen'!$A:$A,C390)</f>
        <v>0</v>
      </c>
      <c r="N390" s="1105">
        <f>+SUMIFS('Anlage 2b_Korrekturen'!$D:$D,'Anlage 2b_Korrekturen'!$H:$H,'LV Testat'!$N$4,'Anlage 2b_Korrekturen'!$B:$B,'LV Testat'!$D390,'Anlage 2b_Korrekturen'!$A:$A,C390)</f>
        <v>0</v>
      </c>
      <c r="O390" s="1119">
        <f>+SUMIFS('Anlage 2b_Korrekturen'!$E:$E,'Anlage 2b_Korrekturen'!$H:$H,'LV Testat'!$N$4,'Anlage 2b_Korrekturen'!$B:$B,'LV Testat'!$D390,'Anlage 2b_Korrekturen'!$A:$A,C390)</f>
        <v>0</v>
      </c>
      <c r="P390" s="1123">
        <f>+SUMIFS('Anlage 2b_Korrekturen'!$F:$F,'Anlage 2b_Korrekturen'!$H:$H,'LV Testat'!$N$4,'Anlage 2b_Korrekturen'!$B:$B,'LV Testat'!$D390,'Anlage 2b_Korrekturen'!$A:$A,C390)</f>
        <v>0</v>
      </c>
    </row>
    <row r="391" spans="1:16" ht="12" hidden="1" outlineLevel="1" thickBot="1">
      <c r="A391" s="1060"/>
      <c r="B391" s="1061"/>
      <c r="C391" s="1137">
        <f>+C390</f>
        <v>2020</v>
      </c>
      <c r="D391" s="1062" t="s">
        <v>2431</v>
      </c>
      <c r="E391" s="1105">
        <f>+SUMIFS('Anlage 2b_Korrekturen'!$D:$D,'Anlage 2b_Korrekturen'!$H:$H,'LV Testat'!$E$4,'Anlage 2b_Korrekturen'!$B:$B,'LV Testat'!$D391,'Anlage 2b_Korrekturen'!$A:$A,$C$137)</f>
        <v>0</v>
      </c>
      <c r="F391" s="1119">
        <f>+SUMIFS('Anlage 2b_Korrekturen'!$E:$E,'Anlage 2b_Korrekturen'!$H:$H,'LV Testat'!$E$4,'Anlage 2b_Korrekturen'!$B:$B,'LV Testat'!$D391,'Anlage 2b_Korrekturen'!$A:$A,C391)</f>
        <v>0</v>
      </c>
      <c r="G391" s="1123">
        <f>+SUMIFS('Anlage 2b_Korrekturen'!$F:$F,'Anlage 2b_Korrekturen'!$H:$H,'LV Testat'!$E$4,'Anlage 2b_Korrekturen'!$B:$B,'LV Testat'!$D391,'Anlage 2b_Korrekturen'!$A:$A,$C$137)</f>
        <v>0</v>
      </c>
      <c r="H391" s="1105">
        <f>+SUMIFS('Anlage 2b_Korrekturen'!$D:$D,'Anlage 2b_Korrekturen'!$H:$H,'LV Testat'!$H$4,'Anlage 2b_Korrekturen'!$B:$B,'LV Testat'!$D391,'Anlage 2b_Korrekturen'!$A:$A,C391)</f>
        <v>0</v>
      </c>
      <c r="I391" s="1119">
        <f>+SUMIFS('Anlage 2b_Korrekturen'!$E:$E,'Anlage 2b_Korrekturen'!$H:$H,'LV Testat'!$H$4,'Anlage 2b_Korrekturen'!$B:$B,'LV Testat'!$D391,'Anlage 2b_Korrekturen'!$A:$A,C391)</f>
        <v>0</v>
      </c>
      <c r="J391" s="1123">
        <f>+SUMIFS('Anlage 2b_Korrekturen'!$F:$F,'Anlage 2b_Korrekturen'!$H:$H,'LV Testat'!$H$4,'Anlage 2b_Korrekturen'!$B:$B,'LV Testat'!$D391,'Anlage 2b_Korrekturen'!$A:$A,C391)</f>
        <v>0</v>
      </c>
      <c r="K391" s="1105">
        <f>+SUMIFS('Anlage 2b_Korrekturen'!$D:$D,'Anlage 2b_Korrekturen'!$H:$H,'LV Testat'!$K$4,'Anlage 2b_Korrekturen'!$B:$B,'LV Testat'!$D391,'Anlage 2b_Korrekturen'!$A:$A,C391)</f>
        <v>0</v>
      </c>
      <c r="L391" s="1119">
        <f>+SUMIFS('Anlage 2b_Korrekturen'!$E:$E,'Anlage 2b_Korrekturen'!$H:$H,'LV Testat'!$K$4,'Anlage 2b_Korrekturen'!$B:$B,'LV Testat'!$D391,'Anlage 2b_Korrekturen'!$A:$A,C391)</f>
        <v>0</v>
      </c>
      <c r="M391" s="1123">
        <f>+SUMIFS('Anlage 2b_Korrekturen'!$F:$F,'Anlage 2b_Korrekturen'!$H:$H,'LV Testat'!$K$4,'Anlage 2b_Korrekturen'!$B:$B,'LV Testat'!$D391,'Anlage 2b_Korrekturen'!$A:$A,C391)</f>
        <v>0</v>
      </c>
      <c r="N391" s="1105">
        <f>+SUMIFS('Anlage 2b_Korrekturen'!$D:$D,'Anlage 2b_Korrekturen'!$H:$H,'LV Testat'!$N$4,'Anlage 2b_Korrekturen'!$B:$B,'LV Testat'!$D391,'Anlage 2b_Korrekturen'!$A:$A,C391)</f>
        <v>0</v>
      </c>
      <c r="O391" s="1119">
        <f>+SUMIFS('Anlage 2b_Korrekturen'!$E:$E,'Anlage 2b_Korrekturen'!$H:$H,'LV Testat'!$N$4,'Anlage 2b_Korrekturen'!$B:$B,'LV Testat'!$D391,'Anlage 2b_Korrekturen'!$A:$A,C391)</f>
        <v>0</v>
      </c>
      <c r="P391" s="1123">
        <f>+SUMIFS('Anlage 2b_Korrekturen'!$F:$F,'Anlage 2b_Korrekturen'!$H:$H,'LV Testat'!$N$4,'Anlage 2b_Korrekturen'!$B:$B,'LV Testat'!$D391,'Anlage 2b_Korrekturen'!$A:$A,C391)</f>
        <v>0</v>
      </c>
    </row>
    <row r="392" spans="1:16" s="1132" customFormat="1" ht="18" collapsed="1">
      <c r="A392" s="1126" t="s">
        <v>2531</v>
      </c>
      <c r="B392" s="1127"/>
      <c r="C392" s="1127"/>
      <c r="D392" s="1128"/>
      <c r="E392" s="1129"/>
      <c r="F392" s="1129"/>
      <c r="G392" s="1130"/>
      <c r="H392" s="1131"/>
      <c r="I392" s="1129"/>
      <c r="J392" s="1130"/>
      <c r="K392" s="1131"/>
      <c r="L392" s="1129"/>
      <c r="M392" s="1130"/>
      <c r="N392" s="1131"/>
      <c r="O392" s="1129"/>
      <c r="P392" s="1130"/>
    </row>
    <row r="393" spans="1:16" ht="15.75" thickBot="1">
      <c r="A393" s="1841">
        <f>+A330-1</f>
        <v>2019</v>
      </c>
      <c r="B393" s="1842"/>
      <c r="C393" s="1842"/>
      <c r="D393" s="1843"/>
      <c r="E393" s="1091"/>
      <c r="F393" s="1091"/>
      <c r="G393" s="1121"/>
      <c r="H393" s="1090"/>
      <c r="I393" s="1091"/>
      <c r="J393" s="1121"/>
      <c r="K393" s="1090"/>
      <c r="L393" s="1091"/>
      <c r="M393" s="1121"/>
      <c r="N393" s="1090"/>
      <c r="O393" s="1091"/>
      <c r="P393" s="1121"/>
    </row>
    <row r="394" spans="1:16" ht="13.5" thickBot="1">
      <c r="A394" s="1013" t="s">
        <v>2532</v>
      </c>
      <c r="B394" s="1133"/>
      <c r="C394" s="1133"/>
      <c r="D394" s="1134"/>
      <c r="E394" s="1001"/>
      <c r="F394" s="1017" t="str">
        <f>+"Check LV NT "&amp;C397</f>
        <v>Check LV NT 2019</v>
      </c>
      <c r="G394" s="1018">
        <f>+F405-E405</f>
        <v>0</v>
      </c>
      <c r="H394" s="1000"/>
      <c r="I394" s="1017" t="str">
        <f>+"Check LV NT "&amp;C397</f>
        <v>Check LV NT 2019</v>
      </c>
      <c r="J394" s="1018">
        <f>+I405-H405</f>
        <v>0</v>
      </c>
      <c r="K394" s="1000"/>
      <c r="L394" s="1017" t="str">
        <f>+"Check LV NT "&amp;C397</f>
        <v>Check LV NT 2019</v>
      </c>
      <c r="M394" s="1018">
        <f>+L405-K405</f>
        <v>0</v>
      </c>
      <c r="N394" s="1000"/>
      <c r="O394" s="1017" t="str">
        <f>+"Check LV NT "&amp;C397</f>
        <v>Check LV NT 2019</v>
      </c>
      <c r="P394" s="1018">
        <f>+O405-N405</f>
        <v>0</v>
      </c>
    </row>
    <row r="395" spans="1:16" hidden="1" outlineLevel="1">
      <c r="A395" s="1028"/>
      <c r="D395" s="1041"/>
      <c r="G395" s="1041"/>
      <c r="H395" s="1028"/>
      <c r="J395" s="1041"/>
      <c r="K395" s="1028"/>
      <c r="M395" s="1041"/>
      <c r="N395" s="1028"/>
      <c r="P395" s="1041"/>
    </row>
    <row r="396" spans="1:16" ht="33.75" hidden="1" outlineLevel="1">
      <c r="A396" s="1028"/>
      <c r="D396" s="1135"/>
      <c r="E396" s="1032" t="s">
        <v>2499</v>
      </c>
      <c r="F396" s="1032" t="s">
        <v>2499</v>
      </c>
      <c r="H396" s="1032" t="s">
        <v>2499</v>
      </c>
      <c r="I396" s="1032" t="s">
        <v>2499</v>
      </c>
      <c r="J396" s="1041"/>
      <c r="K396" s="1034" t="s">
        <v>2499</v>
      </c>
      <c r="L396" s="1032" t="s">
        <v>2499</v>
      </c>
      <c r="M396" s="1041"/>
      <c r="N396" s="1034" t="s">
        <v>2499</v>
      </c>
      <c r="O396" s="1032" t="s">
        <v>2499</v>
      </c>
      <c r="P396" s="1041"/>
    </row>
    <row r="397" spans="1:16" hidden="1" outlineLevel="1">
      <c r="A397" s="1136"/>
      <c r="C397" s="1137">
        <f>+A393</f>
        <v>2019</v>
      </c>
      <c r="D397" s="1138" t="s">
        <v>2408</v>
      </c>
      <c r="E397" s="1139"/>
      <c r="F397" s="1119">
        <f>+SUMIFS('Anlage 2b_Korrekturen'!$D:$D,'Anlage 2b_Korrekturen'!$H:$H,'LV Testat'!$E$4,'Anlage 2b_Korrekturen'!$C:$C,'LV Testat'!$D397,'Anlage 2b_Korrekturen'!$A:$A,'LV Testat'!C397)</f>
        <v>0</v>
      </c>
      <c r="H397" s="1139">
        <v>1875215</v>
      </c>
      <c r="I397" s="1119">
        <f>+SUMIFS('Anlage 2b_Korrekturen'!$D:$D,'Anlage 2b_Korrekturen'!$H:$H,'LV Testat'!$H$4,'Anlage 2b_Korrekturen'!$C:$C,'LV Testat'!$D397,'Anlage 2b_Korrekturen'!$A:$A,'LV Testat'!C397)</f>
        <v>1875215</v>
      </c>
      <c r="J397" s="1041"/>
      <c r="K397" s="1139">
        <v>404771</v>
      </c>
      <c r="L397" s="1119">
        <f>+SUMIFS('Anlage 2b_Korrekturen'!$D:$D,'Anlage 2b_Korrekturen'!$H:$H,'LV Testat'!$K$4,'Anlage 2b_Korrekturen'!$C:$C,'LV Testat'!$D397,'Anlage 2b_Korrekturen'!$A:$A,'LV Testat'!C397)</f>
        <v>404771</v>
      </c>
      <c r="M397" s="1041"/>
      <c r="N397" s="1139"/>
      <c r="O397" s="1119">
        <f>+SUMIFS('Anlage 2b_Korrekturen'!$D:$D,'Anlage 2b_Korrekturen'!$H:$H,'LV Testat'!$N$4,'Anlage 2b_Korrekturen'!$C:$C,'LV Testat'!$D397,'Anlage 2b_Korrekturen'!$A:$A,'LV Testat'!C397)</f>
        <v>0</v>
      </c>
      <c r="P397" s="1041"/>
    </row>
    <row r="398" spans="1:16" hidden="1" outlineLevel="1">
      <c r="A398" s="1136"/>
      <c r="C398" s="1137">
        <f>+C397</f>
        <v>2019</v>
      </c>
      <c r="D398" s="1138" t="s">
        <v>2500</v>
      </c>
      <c r="E398" s="1139"/>
      <c r="F398" s="1119">
        <f>+SUMIFS('Anlage 2b_Korrekturen'!$D:$D,'Anlage 2b_Korrekturen'!$H:$H,'LV Testat'!$E$4,'Anlage 2b_Korrekturen'!$C:$C,'LV Testat'!$D398,'Anlage 2b_Korrekturen'!$A:$A,'LV Testat'!C398)</f>
        <v>0</v>
      </c>
      <c r="H398" s="1139"/>
      <c r="I398" s="1119">
        <f>+SUMIFS('Anlage 2b_Korrekturen'!$D:$D,'Anlage 2b_Korrekturen'!$H:$H,'LV Testat'!$H$4,'Anlage 2b_Korrekturen'!$C:$C,'LV Testat'!$D398,'Anlage 2b_Korrekturen'!$A:$A,'LV Testat'!C398)</f>
        <v>0</v>
      </c>
      <c r="J398" s="1041"/>
      <c r="K398" s="1139">
        <v>0</v>
      </c>
      <c r="L398" s="1119">
        <f>+SUMIFS('Anlage 2b_Korrekturen'!$D:$D,'Anlage 2b_Korrekturen'!$H:$H,'LV Testat'!$K$4,'Anlage 2b_Korrekturen'!$C:$C,'LV Testat'!$D398,'Anlage 2b_Korrekturen'!$A:$A,'LV Testat'!C398)</f>
        <v>0</v>
      </c>
      <c r="M398" s="1041"/>
      <c r="N398" s="1139"/>
      <c r="O398" s="1119">
        <f>+SUMIFS('Anlage 2b_Korrekturen'!$D:$D,'Anlage 2b_Korrekturen'!$H:$H,'LV Testat'!$N$4,'Anlage 2b_Korrekturen'!$C:$C,'LV Testat'!$D398,'Anlage 2b_Korrekturen'!$A:$A,'LV Testat'!C398)</f>
        <v>0</v>
      </c>
      <c r="P398" s="1041"/>
    </row>
    <row r="399" spans="1:16" hidden="1" outlineLevel="1">
      <c r="A399" s="1136"/>
      <c r="C399" s="1137">
        <f t="shared" ref="C399:C405" si="12">+C398</f>
        <v>2019</v>
      </c>
      <c r="D399" s="1138" t="s">
        <v>2418</v>
      </c>
      <c r="E399" s="1139"/>
      <c r="F399" s="1119">
        <f>+SUMIFS('Anlage 2b_Korrekturen'!$D:$D,'Anlage 2b_Korrekturen'!$H:$H,'LV Testat'!$E$4,'Anlage 2b_Korrekturen'!$C:$C,'LV Testat'!$D399,'Anlage 2b_Korrekturen'!$A:$A,'LV Testat'!C399)</f>
        <v>0</v>
      </c>
      <c r="H399" s="1139">
        <v>0</v>
      </c>
      <c r="I399" s="1119">
        <f>+SUMIFS('Anlage 2b_Korrekturen'!$D:$D,'Anlage 2b_Korrekturen'!$H:$H,'LV Testat'!$H$4,'Anlage 2b_Korrekturen'!$C:$C,'LV Testat'!$D399,'Anlage 2b_Korrekturen'!$A:$A,'LV Testat'!C399)</f>
        <v>0</v>
      </c>
      <c r="J399" s="1041"/>
      <c r="K399" s="1139">
        <v>0</v>
      </c>
      <c r="L399" s="1119">
        <f>+SUMIFS('Anlage 2b_Korrekturen'!$D:$D,'Anlage 2b_Korrekturen'!$H:$H,'LV Testat'!$K$4,'Anlage 2b_Korrekturen'!$C:$C,'LV Testat'!$D399,'Anlage 2b_Korrekturen'!$A:$A,'LV Testat'!C399)</f>
        <v>0</v>
      </c>
      <c r="M399" s="1041"/>
      <c r="N399" s="1139"/>
      <c r="O399" s="1119">
        <f>+SUMIFS('Anlage 2b_Korrekturen'!$D:$D,'Anlage 2b_Korrekturen'!$H:$H,'LV Testat'!$N$4,'Anlage 2b_Korrekturen'!$C:$C,'LV Testat'!$D399,'Anlage 2b_Korrekturen'!$A:$A,'LV Testat'!C399)</f>
        <v>0</v>
      </c>
      <c r="P399" s="1041"/>
    </row>
    <row r="400" spans="1:16" hidden="1" outlineLevel="1">
      <c r="A400" s="1136"/>
      <c r="C400" s="1137">
        <f t="shared" si="12"/>
        <v>2019</v>
      </c>
      <c r="D400" s="1141" t="s">
        <v>2501</v>
      </c>
      <c r="E400" s="1139"/>
      <c r="F400" s="1119">
        <f>+SUMIFS('Anlage 2b_Korrekturen'!$D:$D,'Anlage 2b_Korrekturen'!$H:$H,'LV Testat'!$E$4,'Anlage 2b_Korrekturen'!$C:$C,'LV Testat'!$D400,'Anlage 2b_Korrekturen'!$A:$A,'LV Testat'!C400)</f>
        <v>0</v>
      </c>
      <c r="H400" s="1139"/>
      <c r="I400" s="1119">
        <f>+SUMIFS('Anlage 2b_Korrekturen'!$D:$D,'Anlage 2b_Korrekturen'!$H:$H,'LV Testat'!$H$4,'Anlage 2b_Korrekturen'!$C:$C,'LV Testat'!$D400,'Anlage 2b_Korrekturen'!$A:$A,'LV Testat'!C400)</f>
        <v>0</v>
      </c>
      <c r="J400" s="1041"/>
      <c r="K400" s="1139">
        <v>0</v>
      </c>
      <c r="L400" s="1119">
        <f>+SUMIFS('Anlage 2b_Korrekturen'!$D:$D,'Anlage 2b_Korrekturen'!$H:$H,'LV Testat'!$K$4,'Anlage 2b_Korrekturen'!$C:$C,'LV Testat'!$D400,'Anlage 2b_Korrekturen'!$A:$A,'LV Testat'!C400)</f>
        <v>0</v>
      </c>
      <c r="M400" s="1041"/>
      <c r="N400" s="1139"/>
      <c r="O400" s="1119">
        <f>+SUMIFS('Anlage 2b_Korrekturen'!$D:$D,'Anlage 2b_Korrekturen'!$H:$H,'LV Testat'!$N$4,'Anlage 2b_Korrekturen'!$C:$C,'LV Testat'!$D400,'Anlage 2b_Korrekturen'!$A:$A,'LV Testat'!C400)</f>
        <v>0</v>
      </c>
      <c r="P400" s="1041"/>
    </row>
    <row r="401" spans="1:16" hidden="1" outlineLevel="1">
      <c r="A401" s="1136"/>
      <c r="C401" s="1137">
        <f t="shared" si="12"/>
        <v>2019</v>
      </c>
      <c r="D401" s="1138" t="s">
        <v>2409</v>
      </c>
      <c r="E401" s="1139"/>
      <c r="F401" s="1119">
        <f>+SUMIFS('Anlage 2b_Korrekturen'!$D:$D,'Anlage 2b_Korrekturen'!$H:$H,'LV Testat'!$E$4,'Anlage 2b_Korrekturen'!$C:$C,'LV Testat'!$D401,'Anlage 2b_Korrekturen'!$A:$A,'LV Testat'!C401)</f>
        <v>0</v>
      </c>
      <c r="H401" s="1139">
        <v>0</v>
      </c>
      <c r="I401" s="1119">
        <f>+SUMIFS('Anlage 2b_Korrekturen'!$D:$D,'Anlage 2b_Korrekturen'!$H:$H,'LV Testat'!$H$4,'Anlage 2b_Korrekturen'!$C:$C,'LV Testat'!$D401,'Anlage 2b_Korrekturen'!$A:$A,'LV Testat'!C401)</f>
        <v>0</v>
      </c>
      <c r="J401" s="1041"/>
      <c r="K401" s="1139">
        <v>0</v>
      </c>
      <c r="L401" s="1119">
        <f>+SUMIFS('Anlage 2b_Korrekturen'!$D:$D,'Anlage 2b_Korrekturen'!$H:$H,'LV Testat'!$K$4,'Anlage 2b_Korrekturen'!$C:$C,'LV Testat'!$D401,'Anlage 2b_Korrekturen'!$A:$A,'LV Testat'!C401)</f>
        <v>0</v>
      </c>
      <c r="M401" s="1041"/>
      <c r="N401" s="1139"/>
      <c r="O401" s="1119">
        <f>+SUMIFS('Anlage 2b_Korrekturen'!$D:$D,'Anlage 2b_Korrekturen'!$H:$H,'LV Testat'!$N$4,'Anlage 2b_Korrekturen'!$C:$C,'LV Testat'!$D401,'Anlage 2b_Korrekturen'!$A:$A,'LV Testat'!C401)</f>
        <v>0</v>
      </c>
      <c r="P401" s="1041"/>
    </row>
    <row r="402" spans="1:16" hidden="1" outlineLevel="1">
      <c r="A402" s="1136"/>
      <c r="C402" s="1137">
        <f t="shared" si="12"/>
        <v>2019</v>
      </c>
      <c r="D402" s="1138" t="s">
        <v>2419</v>
      </c>
      <c r="E402" s="1139"/>
      <c r="F402" s="1119">
        <f>+SUMIFS('Anlage 2b_Korrekturen'!$D:$D,'Anlage 2b_Korrekturen'!$H:$H,'LV Testat'!$E$4,'Anlage 2b_Korrekturen'!$C:$C,'LV Testat'!$D402,'Anlage 2b_Korrekturen'!$A:$A,'LV Testat'!C402)</f>
        <v>0</v>
      </c>
      <c r="H402" s="1139"/>
      <c r="I402" s="1119">
        <f>+SUMIFS('Anlage 2b_Korrekturen'!$D:$D,'Anlage 2b_Korrekturen'!$H:$H,'LV Testat'!$H$4,'Anlage 2b_Korrekturen'!$C:$C,'LV Testat'!$D402,'Anlage 2b_Korrekturen'!$A:$A,'LV Testat'!C402)</f>
        <v>0</v>
      </c>
      <c r="J402" s="1041"/>
      <c r="K402" s="1139">
        <v>0</v>
      </c>
      <c r="L402" s="1119">
        <f>+SUMIFS('Anlage 2b_Korrekturen'!$D:$D,'Anlage 2b_Korrekturen'!$H:$H,'LV Testat'!$K$4,'Anlage 2b_Korrekturen'!$C:$C,'LV Testat'!$D402,'Anlage 2b_Korrekturen'!$A:$A,'LV Testat'!C402)</f>
        <v>0</v>
      </c>
      <c r="M402" s="1041"/>
      <c r="N402" s="1139"/>
      <c r="O402" s="1119">
        <f>+SUMIFS('Anlage 2b_Korrekturen'!$D:$D,'Anlage 2b_Korrekturen'!$H:$H,'LV Testat'!$N$4,'Anlage 2b_Korrekturen'!$C:$C,'LV Testat'!$D402,'Anlage 2b_Korrekturen'!$A:$A,'LV Testat'!C402)</f>
        <v>0</v>
      </c>
      <c r="P402" s="1041"/>
    </row>
    <row r="403" spans="1:16" hidden="1" outlineLevel="1">
      <c r="A403" s="1136"/>
      <c r="C403" s="1137">
        <f t="shared" si="12"/>
        <v>2019</v>
      </c>
      <c r="D403" s="1138" t="s">
        <v>2412</v>
      </c>
      <c r="E403" s="1139"/>
      <c r="F403" s="1119">
        <f>+SUMIFS('Anlage 2b_Korrekturen'!$D:$D,'Anlage 2b_Korrekturen'!$H:$H,'LV Testat'!$E$4,'Anlage 2b_Korrekturen'!$C:$C,'LV Testat'!$D403,'Anlage 2b_Korrekturen'!$A:$A,'LV Testat'!C403)</f>
        <v>0</v>
      </c>
      <c r="H403" s="1139"/>
      <c r="I403" s="1119">
        <f>+SUMIFS('Anlage 2b_Korrekturen'!$D:$D,'Anlage 2b_Korrekturen'!$H:$H,'LV Testat'!$H$4,'Anlage 2b_Korrekturen'!$C:$C,'LV Testat'!$D403,'Anlage 2b_Korrekturen'!$A:$A,'LV Testat'!C403)</f>
        <v>0</v>
      </c>
      <c r="J403" s="1041"/>
      <c r="K403" s="1139">
        <v>0</v>
      </c>
      <c r="L403" s="1119">
        <f>+SUMIFS('Anlage 2b_Korrekturen'!$D:$D,'Anlage 2b_Korrekturen'!$H:$H,'LV Testat'!$K$4,'Anlage 2b_Korrekturen'!$C:$C,'LV Testat'!$D403,'Anlage 2b_Korrekturen'!$A:$A,'LV Testat'!C403)</f>
        <v>0</v>
      </c>
      <c r="M403" s="1041"/>
      <c r="N403" s="1139"/>
      <c r="O403" s="1119">
        <f>+SUMIFS('Anlage 2b_Korrekturen'!$D:$D,'Anlage 2b_Korrekturen'!$H:$H,'LV Testat'!$N$4,'Anlage 2b_Korrekturen'!$C:$C,'LV Testat'!$D403,'Anlage 2b_Korrekturen'!$A:$A,'LV Testat'!C403)</f>
        <v>0</v>
      </c>
      <c r="P403" s="1041"/>
    </row>
    <row r="404" spans="1:16" hidden="1" outlineLevel="1">
      <c r="A404" s="1028"/>
      <c r="C404" s="1137">
        <f t="shared" si="12"/>
        <v>2019</v>
      </c>
      <c r="D404" s="1141" t="s">
        <v>2410</v>
      </c>
      <c r="E404" s="1139"/>
      <c r="F404" s="1119">
        <f>+SUMIFS('Anlage 2b_Korrekturen'!$D:$D,'Anlage 2b_Korrekturen'!$H:$H,'LV Testat'!$E$4,'Anlage 2b_Korrekturen'!$C:$C,'LV Testat'!$D404,'Anlage 2b_Korrekturen'!$A:$A,'LV Testat'!C404)</f>
        <v>0</v>
      </c>
      <c r="H404" s="1139">
        <v>0</v>
      </c>
      <c r="I404" s="1119">
        <f>+SUMIFS('Anlage 2b_Korrekturen'!$D:$D,'Anlage 2b_Korrekturen'!$H:$H,'LV Testat'!$H$4,'Anlage 2b_Korrekturen'!$C:$C,'LV Testat'!$D404,'Anlage 2b_Korrekturen'!$A:$A,'LV Testat'!C404)</f>
        <v>0</v>
      </c>
      <c r="J404" s="1041"/>
      <c r="K404" s="1139">
        <v>0</v>
      </c>
      <c r="L404" s="1119">
        <f>+SUMIFS('Anlage 2b_Korrekturen'!$D:$D,'Anlage 2b_Korrekturen'!$H:$H,'LV Testat'!$K$4,'Anlage 2b_Korrekturen'!$C:$C,'LV Testat'!$D404,'Anlage 2b_Korrekturen'!$A:$A,'LV Testat'!C404)</f>
        <v>0</v>
      </c>
      <c r="M404" s="1041"/>
      <c r="N404" s="1139"/>
      <c r="O404" s="1119">
        <f>+SUMIFS('Anlage 2b_Korrekturen'!$D:$D,'Anlage 2b_Korrekturen'!$H:$H,'LV Testat'!$N$4,'Anlage 2b_Korrekturen'!$C:$C,'LV Testat'!$D404,'Anlage 2b_Korrekturen'!$A:$A,'LV Testat'!C404)</f>
        <v>0</v>
      </c>
      <c r="P404" s="1041"/>
    </row>
    <row r="405" spans="1:16" ht="12" hidden="1" outlineLevel="1" thickBot="1">
      <c r="A405" s="1143"/>
      <c r="B405" s="1091"/>
      <c r="C405" s="1137">
        <f t="shared" si="12"/>
        <v>2019</v>
      </c>
      <c r="D405" s="1144" t="s">
        <v>2503</v>
      </c>
      <c r="E405" s="1124">
        <f>+SUM(E397:E404)</f>
        <v>0</v>
      </c>
      <c r="F405" s="1124">
        <f>+SUM(F397:F404)</f>
        <v>0</v>
      </c>
      <c r="G405" s="1091"/>
      <c r="H405" s="1124">
        <f>+SUM(H397:H404)</f>
        <v>1875215</v>
      </c>
      <c r="I405" s="1124">
        <f>+SUM(I397:I404)</f>
        <v>1875215</v>
      </c>
      <c r="J405" s="1121"/>
      <c r="K405" s="1124">
        <f>+SUM(K397:K404)</f>
        <v>404771</v>
      </c>
      <c r="L405" s="1124">
        <f>+SUM(L397:L404)</f>
        <v>404771</v>
      </c>
      <c r="M405" s="1121"/>
      <c r="N405" s="1124">
        <f>+SUM(N397:N404)</f>
        <v>0</v>
      </c>
      <c r="O405" s="1124">
        <f>+SUM(O397:O404)</f>
        <v>0</v>
      </c>
      <c r="P405" s="1121"/>
    </row>
    <row r="406" spans="1:16" ht="12" collapsed="1" thickBot="1">
      <c r="A406" s="1013" t="s">
        <v>2504</v>
      </c>
      <c r="B406" s="1001"/>
      <c r="C406" s="1001"/>
      <c r="D406" s="1002"/>
      <c r="E406" s="1001"/>
      <c r="F406" s="1017" t="str">
        <f>+"Check Saldierungsbetrag NT "&amp;C414</f>
        <v>Check Saldierungsbetrag NT 2019</v>
      </c>
      <c r="G406" s="1018">
        <f>+SUM(E409:G411)-SUM(E414:G416)</f>
        <v>0</v>
      </c>
      <c r="H406" s="1000"/>
      <c r="I406" s="1017" t="str">
        <f>+"Check Saldierungsbetrag NT "&amp;C414</f>
        <v>Check Saldierungsbetrag NT 2019</v>
      </c>
      <c r="J406" s="1018">
        <f>+SUM(H409:J411)-SUM(H414:J416)</f>
        <v>0</v>
      </c>
      <c r="K406" s="1000"/>
      <c r="L406" s="1017" t="str">
        <f>+"Check Saldierungsbetrag NT "&amp;C414</f>
        <v>Check Saldierungsbetrag NT 2019</v>
      </c>
      <c r="M406" s="1018">
        <f>+SUM(K409:M411)-SUM(K414:M416)</f>
        <v>0</v>
      </c>
      <c r="N406" s="1000"/>
      <c r="O406" s="1017" t="str">
        <f>+"Check Saldierungsbetrag NT "&amp;C414</f>
        <v>Check Saldierungsbetrag NT 2019</v>
      </c>
      <c r="P406" s="1018">
        <f>+SUM(N409:P411)-SUM(N414:P416)</f>
        <v>0</v>
      </c>
    </row>
    <row r="407" spans="1:16" ht="12" hidden="1" outlineLevel="1" thickBot="1">
      <c r="A407" s="1028"/>
      <c r="D407" s="1041"/>
      <c r="E407" s="1012"/>
      <c r="G407" s="1041"/>
      <c r="H407" s="1028"/>
      <c r="J407" s="1041"/>
      <c r="K407" s="1028"/>
      <c r="M407" s="1041"/>
      <c r="N407" s="1028"/>
      <c r="P407" s="1041"/>
    </row>
    <row r="408" spans="1:16" ht="33.75" hidden="1" outlineLevel="1">
      <c r="A408" s="1028"/>
      <c r="D408" s="1030" t="s">
        <v>2506</v>
      </c>
      <c r="E408" s="1145" t="s">
        <v>2499</v>
      </c>
      <c r="F408" s="1146" t="s">
        <v>2507</v>
      </c>
      <c r="G408" s="1147" t="s">
        <v>2508</v>
      </c>
      <c r="H408" s="1148" t="s">
        <v>2499</v>
      </c>
      <c r="I408" s="1146" t="s">
        <v>2507</v>
      </c>
      <c r="J408" s="1147" t="s">
        <v>2508</v>
      </c>
      <c r="K408" s="1148" t="s">
        <v>2499</v>
      </c>
      <c r="L408" s="1146" t="s">
        <v>2507</v>
      </c>
      <c r="M408" s="1147" t="s">
        <v>2508</v>
      </c>
      <c r="N408" s="1148" t="s">
        <v>2499</v>
      </c>
      <c r="O408" s="1146" t="s">
        <v>2507</v>
      </c>
      <c r="P408" s="1147" t="s">
        <v>2508</v>
      </c>
    </row>
    <row r="409" spans="1:16" hidden="1" outlineLevel="1">
      <c r="A409" s="1028"/>
      <c r="D409" s="1050" t="s">
        <v>2411</v>
      </c>
      <c r="E409" s="1051"/>
      <c r="F409" s="1101"/>
      <c r="G409" s="1102"/>
      <c r="H409" s="1070">
        <v>0</v>
      </c>
      <c r="I409" s="1067">
        <v>0</v>
      </c>
      <c r="J409" s="1068">
        <v>0</v>
      </c>
      <c r="K409" s="1070">
        <v>0</v>
      </c>
      <c r="L409" s="1067">
        <v>0</v>
      </c>
      <c r="M409" s="1068">
        <v>0</v>
      </c>
      <c r="N409" s="1070"/>
      <c r="O409" s="1067"/>
      <c r="P409" s="1068"/>
    </row>
    <row r="410" spans="1:16" hidden="1" outlineLevel="1">
      <c r="A410" s="1028"/>
      <c r="D410" s="1050" t="s">
        <v>2375</v>
      </c>
      <c r="E410" s="1051"/>
      <c r="F410" s="1101"/>
      <c r="G410" s="1102"/>
      <c r="H410" s="1070"/>
      <c r="I410" s="1067"/>
      <c r="J410" s="1068"/>
      <c r="K410" s="1070">
        <v>0</v>
      </c>
      <c r="L410" s="1067">
        <v>0</v>
      </c>
      <c r="M410" s="1068">
        <v>0</v>
      </c>
      <c r="N410" s="1070"/>
      <c r="O410" s="1067"/>
      <c r="P410" s="1068"/>
    </row>
    <row r="411" spans="1:16" ht="12" hidden="1" outlineLevel="1" thickBot="1">
      <c r="A411" s="1028"/>
      <c r="D411" s="1050" t="s">
        <v>2431</v>
      </c>
      <c r="E411" s="1149"/>
      <c r="F411" s="1169"/>
      <c r="G411" s="1170"/>
      <c r="H411" s="1171"/>
      <c r="I411" s="1172"/>
      <c r="J411" s="1173"/>
      <c r="K411" s="1171">
        <v>0</v>
      </c>
      <c r="L411" s="1172">
        <v>0</v>
      </c>
      <c r="M411" s="1173">
        <v>0</v>
      </c>
      <c r="N411" s="1171"/>
      <c r="O411" s="1172"/>
      <c r="P411" s="1173"/>
    </row>
    <row r="412" spans="1:16" ht="12" hidden="1" outlineLevel="1" thickBot="1">
      <c r="A412" s="1028"/>
      <c r="D412" s="1041"/>
      <c r="F412" s="1847"/>
      <c r="G412" s="1848"/>
      <c r="H412" s="1028"/>
      <c r="I412" s="1012"/>
      <c r="J412" s="1122"/>
      <c r="K412" s="1028"/>
      <c r="L412" s="1012"/>
      <c r="M412" s="1122"/>
      <c r="N412" s="1028"/>
      <c r="O412" s="1012"/>
      <c r="P412" s="1122"/>
    </row>
    <row r="413" spans="1:16" ht="33.75" hidden="1" outlineLevel="1">
      <c r="A413" s="1028"/>
      <c r="D413" s="1099" t="s">
        <v>2506</v>
      </c>
      <c r="E413" s="1152" t="s">
        <v>2499</v>
      </c>
      <c r="F413" s="1153" t="s">
        <v>2507</v>
      </c>
      <c r="G413" s="1154" t="s">
        <v>2508</v>
      </c>
      <c r="H413" s="1148" t="s">
        <v>2499</v>
      </c>
      <c r="I413" s="1146" t="s">
        <v>2507</v>
      </c>
      <c r="J413" s="1147" t="s">
        <v>2508</v>
      </c>
      <c r="K413" s="1148" t="s">
        <v>2499</v>
      </c>
      <c r="L413" s="1146" t="s">
        <v>2507</v>
      </c>
      <c r="M413" s="1147" t="s">
        <v>2508</v>
      </c>
      <c r="N413" s="1148" t="s">
        <v>2499</v>
      </c>
      <c r="O413" s="1146" t="s">
        <v>2507</v>
      </c>
      <c r="P413" s="1147" t="s">
        <v>2508</v>
      </c>
    </row>
    <row r="414" spans="1:16" hidden="1" outlineLevel="1">
      <c r="A414" s="1028"/>
      <c r="C414" s="1137">
        <f>+A393</f>
        <v>2019</v>
      </c>
      <c r="D414" s="1050" t="s">
        <v>2411</v>
      </c>
      <c r="E414" s="1105">
        <f>+SUMIFS('Anlage 2b_Korrekturen'!$D:$D,'Anlage 2b_Korrekturen'!$H:$H,'LV Testat'!$E$4,'Anlage 2b_Korrekturen'!$C:$C,'LV Testat'!$D414,'Anlage 2b_Korrekturen'!$A:$A,C414)</f>
        <v>0</v>
      </c>
      <c r="F414" s="1119">
        <f>+SUMIFS('Anlage 2b_Korrekturen'!$E:$E,'Anlage 2b_Korrekturen'!$H:$H,'LV Testat'!$E$4,'Anlage 2b_Korrekturen'!$C:$C,'LV Testat'!$D414,'Anlage 2b_Korrekturen'!$A:$A,C414)</f>
        <v>0</v>
      </c>
      <c r="G414" s="1123">
        <f>+SUMIFS('Anlage 2b_Korrekturen'!$F:$F,'Anlage 2b_Korrekturen'!$H:$H,'LV Testat'!$E$4,'Anlage 2b_Korrekturen'!$C:$C,'LV Testat'!$D414,'Anlage 2b_Korrekturen'!$A:$A,C414)</f>
        <v>0</v>
      </c>
      <c r="H414" s="1105">
        <f>+SUMIFS('Anlage 2b_Korrekturen'!$D:$D,'Anlage 2b_Korrekturen'!$H:$H,'LV Testat'!$H$4,'Anlage 2b_Korrekturen'!$C:$C,'LV Testat'!$D414,'Anlage 2b_Korrekturen'!$A:$A,C414)</f>
        <v>0</v>
      </c>
      <c r="I414" s="1119">
        <f>+SUMIFS('Anlage 2b_Korrekturen'!$E:$E,'Anlage 2b_Korrekturen'!$H:$H,'LV Testat'!$H$4,'Anlage 2b_Korrekturen'!$C:$C,'LV Testat'!$D414,'Anlage 2b_Korrekturen'!$A:$A,C414)</f>
        <v>0</v>
      </c>
      <c r="J414" s="1123">
        <f>+SUMIFS('Anlage 2b_Korrekturen'!$F:$F,'Anlage 2b_Korrekturen'!$H:$H,'LV Testat'!$H$4,'Anlage 2b_Korrekturen'!$C:$C,'LV Testat'!$D414,'Anlage 2b_Korrekturen'!$A:$A,C414)</f>
        <v>0</v>
      </c>
      <c r="K414" s="1105">
        <f>+SUMIFS('Anlage 2b_Korrekturen'!$D:$D,'Anlage 2b_Korrekturen'!$H:$H,'LV Testat'!$K$4,'Anlage 2b_Korrekturen'!$C:$C,'LV Testat'!$D414,'Anlage 2b_Korrekturen'!$A:$A,C414)</f>
        <v>0</v>
      </c>
      <c r="L414" s="1119">
        <f>+SUMIFS('Anlage 2b_Korrekturen'!$E:$E,'Anlage 2b_Korrekturen'!$H:$H,'LV Testat'!$K$4,'Anlage 2b_Korrekturen'!$C:$C,'LV Testat'!$D414,'Anlage 2b_Korrekturen'!$A:$A,C414)</f>
        <v>0</v>
      </c>
      <c r="M414" s="1123">
        <f>+SUMIFS('Anlage 2b_Korrekturen'!$F:$F,'Anlage 2b_Korrekturen'!$H:$H,'LV Testat'!$K$4,'Anlage 2b_Korrekturen'!$C:$C,'LV Testat'!$D414,'Anlage 2b_Korrekturen'!$A:$A,C414)</f>
        <v>0</v>
      </c>
      <c r="N414" s="1105">
        <f>+SUMIFS('Anlage 2b_Korrekturen'!$D:$D,'Anlage 2b_Korrekturen'!$H:$H,'LV Testat'!$N$4,'Anlage 2b_Korrekturen'!$C:$C,'LV Testat'!$D414,'Anlage 2b_Korrekturen'!$A:$A,C414)</f>
        <v>0</v>
      </c>
      <c r="O414" s="1119">
        <f>+SUMIFS('Anlage 2b_Korrekturen'!$E:$E,'Anlage 2b_Korrekturen'!$H:$H,'LV Testat'!$N$4,'Anlage 2b_Korrekturen'!$C:$C,'LV Testat'!$D414,'Anlage 2b_Korrekturen'!$A:$A,C414)</f>
        <v>0</v>
      </c>
      <c r="P414" s="1123">
        <f>+SUMIFS('Anlage 2b_Korrekturen'!$F:$F,'Anlage 2b_Korrekturen'!$H:$H,'LV Testat'!$N$4,'Anlage 2b_Korrekturen'!$C:$C,'LV Testat'!$D414,'Anlage 2b_Korrekturen'!$A:$A,C414)</f>
        <v>0</v>
      </c>
    </row>
    <row r="415" spans="1:16" hidden="1" outlineLevel="1">
      <c r="A415" s="1028"/>
      <c r="C415" s="1137">
        <f>+C414</f>
        <v>2019</v>
      </c>
      <c r="D415" s="1050" t="s">
        <v>2375</v>
      </c>
      <c r="E415" s="1105">
        <f>+SUMIFS('Anlage 2b_Korrekturen'!$D:$D,'Anlage 2b_Korrekturen'!$H:$H,'LV Testat'!$E$4,'Anlage 2b_Korrekturen'!$C:$C,'LV Testat'!$D415,'Anlage 2b_Korrekturen'!$A:$A,C415)</f>
        <v>0</v>
      </c>
      <c r="F415" s="1119">
        <f>+SUMIFS('Anlage 2b_Korrekturen'!$E:$E,'Anlage 2b_Korrekturen'!$H:$H,'LV Testat'!$E$4,'Anlage 2b_Korrekturen'!$C:$C,'LV Testat'!$D415,'Anlage 2b_Korrekturen'!$A:$A,C415)</f>
        <v>0</v>
      </c>
      <c r="G415" s="1123">
        <f>+SUMIFS('Anlage 2b_Korrekturen'!$F:$F,'Anlage 2b_Korrekturen'!$H:$H,'LV Testat'!$E$4,'Anlage 2b_Korrekturen'!$C:$C,'LV Testat'!$D415,'Anlage 2b_Korrekturen'!$A:$A,C415)</f>
        <v>0</v>
      </c>
      <c r="H415" s="1105">
        <f>+SUMIFS('Anlage 2b_Korrekturen'!$D:$D,'Anlage 2b_Korrekturen'!$H:$H,'LV Testat'!$H$4,'Anlage 2b_Korrekturen'!$C:$C,'LV Testat'!$D415,'Anlage 2b_Korrekturen'!$A:$A,C415)</f>
        <v>0</v>
      </c>
      <c r="I415" s="1119">
        <f>+SUMIFS('Anlage 2b_Korrekturen'!$E:$E,'Anlage 2b_Korrekturen'!$H:$H,'LV Testat'!$H$4,'Anlage 2b_Korrekturen'!$C:$C,'LV Testat'!$D415,'Anlage 2b_Korrekturen'!$A:$A,C415)</f>
        <v>0</v>
      </c>
      <c r="J415" s="1123">
        <f>+SUMIFS('Anlage 2b_Korrekturen'!$F:$F,'Anlage 2b_Korrekturen'!$H:$H,'LV Testat'!$H$4,'Anlage 2b_Korrekturen'!$C:$C,'LV Testat'!$D415,'Anlage 2b_Korrekturen'!$A:$A,C415)</f>
        <v>0</v>
      </c>
      <c r="K415" s="1105">
        <f>+SUMIFS('Anlage 2b_Korrekturen'!$D:$D,'Anlage 2b_Korrekturen'!$H:$H,'LV Testat'!$K$4,'Anlage 2b_Korrekturen'!$C:$C,'LV Testat'!$D415,'Anlage 2b_Korrekturen'!$A:$A,C415)</f>
        <v>0</v>
      </c>
      <c r="L415" s="1119">
        <f>+SUMIFS('Anlage 2b_Korrekturen'!$E:$E,'Anlage 2b_Korrekturen'!$H:$H,'LV Testat'!$K$4,'Anlage 2b_Korrekturen'!$C:$C,'LV Testat'!$D415,'Anlage 2b_Korrekturen'!$A:$A,C415)</f>
        <v>0</v>
      </c>
      <c r="M415" s="1123">
        <f>+SUMIFS('Anlage 2b_Korrekturen'!$F:$F,'Anlage 2b_Korrekturen'!$H:$H,'LV Testat'!$K$4,'Anlage 2b_Korrekturen'!$C:$C,'LV Testat'!$D415,'Anlage 2b_Korrekturen'!$A:$A,C415)</f>
        <v>0</v>
      </c>
      <c r="N415" s="1105">
        <f>+SUMIFS('Anlage 2b_Korrekturen'!$D:$D,'Anlage 2b_Korrekturen'!$H:$H,'LV Testat'!$N$4,'Anlage 2b_Korrekturen'!$C:$C,'LV Testat'!$D415,'Anlage 2b_Korrekturen'!$A:$A,C415)</f>
        <v>0</v>
      </c>
      <c r="O415" s="1119">
        <f>+SUMIFS('Anlage 2b_Korrekturen'!$E:$E,'Anlage 2b_Korrekturen'!$H:$H,'LV Testat'!$N$4,'Anlage 2b_Korrekturen'!$C:$C,'LV Testat'!$D415,'Anlage 2b_Korrekturen'!$A:$A,C415)</f>
        <v>0</v>
      </c>
      <c r="P415" s="1123">
        <f>+SUMIFS('Anlage 2b_Korrekturen'!$F:$F,'Anlage 2b_Korrekturen'!$H:$H,'LV Testat'!$N$4,'Anlage 2b_Korrekturen'!$C:$C,'LV Testat'!$D415,'Anlage 2b_Korrekturen'!$A:$A,C415)</f>
        <v>0</v>
      </c>
    </row>
    <row r="416" spans="1:16" ht="12" hidden="1" outlineLevel="1" thickBot="1">
      <c r="A416" s="1090"/>
      <c r="B416" s="1091"/>
      <c r="C416" s="1137">
        <f>+C415</f>
        <v>2019</v>
      </c>
      <c r="D416" s="1062" t="s">
        <v>2431</v>
      </c>
      <c r="E416" s="1105">
        <f>+SUMIFS('Anlage 2b_Korrekturen'!$D:$D,'Anlage 2b_Korrekturen'!$H:$H,'LV Testat'!$E$4,'Anlage 2b_Korrekturen'!$C:$C,'LV Testat'!$D416,'Anlage 2b_Korrekturen'!$A:$A,C416)</f>
        <v>0</v>
      </c>
      <c r="F416" s="1119">
        <f>+SUMIFS('Anlage 2b_Korrekturen'!$E:$E,'Anlage 2b_Korrekturen'!$H:$H,'LV Testat'!$E$4,'Anlage 2b_Korrekturen'!$C:$C,'LV Testat'!$D416,'Anlage 2b_Korrekturen'!$A:$A,C416)</f>
        <v>0</v>
      </c>
      <c r="G416" s="1123">
        <f>+SUMIFS('Anlage 2b_Korrekturen'!$F:$F,'Anlage 2b_Korrekturen'!$H:$H,'LV Testat'!$E$4,'Anlage 2b_Korrekturen'!$C:$C,'LV Testat'!$D416,'Anlage 2b_Korrekturen'!$A:$A,C416)</f>
        <v>0</v>
      </c>
      <c r="H416" s="1105">
        <f>+SUMIFS('Anlage 2b_Korrekturen'!$D:$D,'Anlage 2b_Korrekturen'!$H:$H,'LV Testat'!$H$4,'Anlage 2b_Korrekturen'!$C:$C,'LV Testat'!$D416,'Anlage 2b_Korrekturen'!$A:$A,C416)</f>
        <v>0</v>
      </c>
      <c r="I416" s="1119">
        <f>+SUMIFS('Anlage 2b_Korrekturen'!$E:$E,'Anlage 2b_Korrekturen'!$H:$H,'LV Testat'!$H$4,'Anlage 2b_Korrekturen'!$C:$C,'LV Testat'!$D416,'Anlage 2b_Korrekturen'!$A:$A,C416)</f>
        <v>0</v>
      </c>
      <c r="J416" s="1123">
        <f>+SUMIFS('Anlage 2b_Korrekturen'!$F:$F,'Anlage 2b_Korrekturen'!$H:$H,'LV Testat'!$H$4,'Anlage 2b_Korrekturen'!$C:$C,'LV Testat'!$D416,'Anlage 2b_Korrekturen'!$A:$A,C416)</f>
        <v>0</v>
      </c>
      <c r="K416" s="1105">
        <f>+SUMIFS('Anlage 2b_Korrekturen'!$D:$D,'Anlage 2b_Korrekturen'!$H:$H,'LV Testat'!$K$4,'Anlage 2b_Korrekturen'!$C:$C,'LV Testat'!$D416,'Anlage 2b_Korrekturen'!$A:$A,C416)</f>
        <v>0</v>
      </c>
      <c r="L416" s="1119">
        <f>+SUMIFS('Anlage 2b_Korrekturen'!$E:$E,'Anlage 2b_Korrekturen'!$H:$H,'LV Testat'!$K$4,'Anlage 2b_Korrekturen'!$C:$C,'LV Testat'!$D416,'Anlage 2b_Korrekturen'!$A:$A,C416)</f>
        <v>0</v>
      </c>
      <c r="M416" s="1123">
        <f>+SUMIFS('Anlage 2b_Korrekturen'!$F:$F,'Anlage 2b_Korrekturen'!$H:$H,'LV Testat'!$K$4,'Anlage 2b_Korrekturen'!$C:$C,'LV Testat'!$D416,'Anlage 2b_Korrekturen'!$A:$A,C416)</f>
        <v>0</v>
      </c>
      <c r="N416" s="1105">
        <f>+SUMIFS('Anlage 2b_Korrekturen'!$D:$D,'Anlage 2b_Korrekturen'!$H:$H,'LV Testat'!$N$4,'Anlage 2b_Korrekturen'!$C:$C,'LV Testat'!$D416,'Anlage 2b_Korrekturen'!$A:$A,C416)</f>
        <v>0</v>
      </c>
      <c r="O416" s="1119">
        <f>+SUMIFS('Anlage 2b_Korrekturen'!$E:$E,'Anlage 2b_Korrekturen'!$H:$H,'LV Testat'!$N$4,'Anlage 2b_Korrekturen'!$C:$C,'LV Testat'!$D416,'Anlage 2b_Korrekturen'!$A:$A,C416)</f>
        <v>0</v>
      </c>
      <c r="P416" s="1123">
        <f>+SUMIFS('Anlage 2b_Korrekturen'!$F:$F,'Anlage 2b_Korrekturen'!$H:$H,'LV Testat'!$N$4,'Anlage 2b_Korrekturen'!$C:$C,'LV Testat'!$D416,'Anlage 2b_Korrekturen'!$A:$A,C416)</f>
        <v>0</v>
      </c>
    </row>
    <row r="417" spans="1:16" ht="12" collapsed="1" thickBot="1">
      <c r="A417" s="1013" t="s">
        <v>2535</v>
      </c>
      <c r="B417" s="1001"/>
      <c r="C417" s="1001"/>
      <c r="D417" s="1002"/>
      <c r="E417" s="1001"/>
      <c r="F417" s="1017" t="str">
        <f>+"Check Verstoß VNB NT "&amp;C424</f>
        <v>Check Verstoß VNB NT 2019</v>
      </c>
      <c r="G417" s="1018">
        <f>+SUM(E424:G425)-SUM(E420:G421)</f>
        <v>0</v>
      </c>
      <c r="H417" s="1000"/>
      <c r="I417" s="1017" t="str">
        <f>+"Check Verstoß VNB NT "&amp;C424</f>
        <v>Check Verstoß VNB NT 2019</v>
      </c>
      <c r="J417" s="1018">
        <f>+SUM(H420:J421)-SUM(H424:J425)</f>
        <v>0</v>
      </c>
      <c r="K417" s="1000"/>
      <c r="L417" s="1017" t="str">
        <f>+"Check Verstoß VNB NT "&amp;C424</f>
        <v>Check Verstoß VNB NT 2019</v>
      </c>
      <c r="M417" s="1018">
        <f>+SUM(K420:M421)-SUM(K424:M425)</f>
        <v>0</v>
      </c>
      <c r="N417" s="1000"/>
      <c r="O417" s="1017" t="str">
        <f>+"Check Verstoß VNB NT "&amp;C424</f>
        <v>Check Verstoß VNB NT 2019</v>
      </c>
      <c r="P417" s="1018">
        <f>+SUM(N420:P421)-SUM(N424:P425)</f>
        <v>0</v>
      </c>
    </row>
    <row r="418" spans="1:16" ht="12" hidden="1" outlineLevel="1" thickBot="1">
      <c r="A418" s="1028"/>
      <c r="D418" s="1041"/>
      <c r="G418" s="1041"/>
      <c r="H418" s="1028"/>
      <c r="J418" s="1041"/>
      <c r="K418" s="1028"/>
      <c r="M418" s="1041"/>
      <c r="N418" s="1028"/>
      <c r="P418" s="1041"/>
    </row>
    <row r="419" spans="1:16" ht="33.75" hidden="1" outlineLevel="1">
      <c r="A419" s="1028"/>
      <c r="D419" s="1099" t="s">
        <v>2511</v>
      </c>
      <c r="E419" s="1155" t="s">
        <v>2512</v>
      </c>
      <c r="F419" s="1146" t="s">
        <v>2507</v>
      </c>
      <c r="G419" s="1147" t="s">
        <v>2508</v>
      </c>
      <c r="H419" s="1156" t="s">
        <v>2512</v>
      </c>
      <c r="I419" s="1146" t="s">
        <v>2507</v>
      </c>
      <c r="J419" s="1147" t="s">
        <v>2508</v>
      </c>
      <c r="K419" s="1156" t="s">
        <v>2512</v>
      </c>
      <c r="L419" s="1146" t="s">
        <v>2507</v>
      </c>
      <c r="M419" s="1147" t="s">
        <v>2508</v>
      </c>
      <c r="N419" s="1156" t="s">
        <v>2512</v>
      </c>
      <c r="O419" s="1146" t="s">
        <v>2507</v>
      </c>
      <c r="P419" s="1147" t="s">
        <v>2508</v>
      </c>
    </row>
    <row r="420" spans="1:16" hidden="1" outlineLevel="1">
      <c r="A420" s="1028"/>
      <c r="D420" s="1066" t="s">
        <v>2513</v>
      </c>
      <c r="E420" s="1100"/>
      <c r="F420" s="1101"/>
      <c r="G420" s="1102"/>
      <c r="H420" s="1069"/>
      <c r="I420" s="1067"/>
      <c r="J420" s="1068"/>
      <c r="K420" s="1069">
        <v>0</v>
      </c>
      <c r="L420" s="1067">
        <v>0</v>
      </c>
      <c r="M420" s="1068">
        <v>0</v>
      </c>
      <c r="N420" s="1069"/>
      <c r="O420" s="1067"/>
      <c r="P420" s="1068"/>
    </row>
    <row r="421" spans="1:16" ht="12" hidden="1" outlineLevel="1" thickBot="1">
      <c r="A421" s="1028"/>
      <c r="D421" s="1066" t="s">
        <v>2514</v>
      </c>
      <c r="E421" s="1149"/>
      <c r="F421" s="1169"/>
      <c r="G421" s="1170"/>
      <c r="H421" s="1171"/>
      <c r="I421" s="1172"/>
      <c r="J421" s="1173"/>
      <c r="K421" s="1171">
        <v>0</v>
      </c>
      <c r="L421" s="1172">
        <v>0</v>
      </c>
      <c r="M421" s="1173">
        <v>0</v>
      </c>
      <c r="N421" s="1171"/>
      <c r="O421" s="1172"/>
      <c r="P421" s="1173"/>
    </row>
    <row r="422" spans="1:16" ht="12" hidden="1" outlineLevel="1" thickBot="1">
      <c r="A422" s="1028"/>
      <c r="D422" s="1041"/>
      <c r="G422" s="1041"/>
      <c r="H422" s="1028"/>
      <c r="J422" s="1041"/>
      <c r="K422" s="1028"/>
      <c r="M422" s="1041"/>
      <c r="N422" s="1028"/>
      <c r="P422" s="1041"/>
    </row>
    <row r="423" spans="1:16" ht="33.75" hidden="1" outlineLevel="1">
      <c r="A423" s="1028"/>
      <c r="D423" s="1099" t="s">
        <v>2511</v>
      </c>
      <c r="E423" s="1155" t="s">
        <v>2512</v>
      </c>
      <c r="F423" s="1146" t="s">
        <v>2507</v>
      </c>
      <c r="G423" s="1147" t="s">
        <v>2508</v>
      </c>
      <c r="H423" s="1156" t="s">
        <v>2512</v>
      </c>
      <c r="I423" s="1146" t="s">
        <v>2507</v>
      </c>
      <c r="J423" s="1147" t="s">
        <v>2508</v>
      </c>
      <c r="K423" s="1156" t="s">
        <v>2512</v>
      </c>
      <c r="L423" s="1146" t="s">
        <v>2507</v>
      </c>
      <c r="M423" s="1147" t="s">
        <v>2508</v>
      </c>
      <c r="N423" s="1156" t="s">
        <v>2512</v>
      </c>
      <c r="O423" s="1146" t="s">
        <v>2507</v>
      </c>
      <c r="P423" s="1147" t="s">
        <v>2508</v>
      </c>
    </row>
    <row r="424" spans="1:16" hidden="1" outlineLevel="1">
      <c r="A424" s="1028"/>
      <c r="B424" s="1071"/>
      <c r="C424" s="1137">
        <f>+A393</f>
        <v>2019</v>
      </c>
      <c r="D424" s="1066" t="s">
        <v>2513</v>
      </c>
      <c r="E424" s="1105">
        <f>+SUMIFS('Anlage 2b_Korrekturen'!$D:$D,'Anlage 2b_Korrekturen'!$H:$H,'LV Testat'!$E$4,'Anlage 2b_Korrekturen'!$C:$C,'LV Testat'!$D424,'Anlage 2b_Korrekturen'!$A:$A,C424)</f>
        <v>0</v>
      </c>
      <c r="F424" s="1119">
        <f>+SUMIFS('Anlage 2b_Korrekturen'!$E:$E,'Anlage 2b_Korrekturen'!$H:$H,'LV Testat'!$E$4,'Anlage 2b_Korrekturen'!$C:$C,'LV Testat'!$D424,'Anlage 2b_Korrekturen'!$A:$A,C424)</f>
        <v>0</v>
      </c>
      <c r="G424" s="1123">
        <f>+SUMIFS('Anlage 2b_Korrekturen'!$F:$F,'Anlage 2b_Korrekturen'!$H:$H,'LV Testat'!$E$4,'Anlage 2b_Korrekturen'!$C:$C,'LV Testat'!$D424,'Anlage 2b_Korrekturen'!$A:$A,C424)</f>
        <v>0</v>
      </c>
      <c r="H424" s="1105">
        <f>+SUMIFS('Anlage 2b_Korrekturen'!$D:$D,'Anlage 2b_Korrekturen'!$H:$H,'LV Testat'!$H$4,'Anlage 2b_Korrekturen'!$C:$C,'LV Testat'!$D424,'Anlage 2b_Korrekturen'!$A:$A,B424)</f>
        <v>0</v>
      </c>
      <c r="I424" s="1119">
        <f>+SUMIFS('Anlage 2b_Korrekturen'!$E:$E,'Anlage 2b_Korrekturen'!$H:$H,'LV Testat'!$H$4,'Anlage 2b_Korrekturen'!$C:$C,'LV Testat'!$D424,'Anlage 2b_Korrekturen'!$A:$A,C424)</f>
        <v>0</v>
      </c>
      <c r="J424" s="1123">
        <f>+SUMIFS('Anlage 2b_Korrekturen'!$F:$F,'Anlage 2b_Korrekturen'!$H:$H,'LV Testat'!$H$4,'Anlage 2b_Korrekturen'!$C:$C,'LV Testat'!$D424,'Anlage 2b_Korrekturen'!$A:$A,C424)</f>
        <v>0</v>
      </c>
      <c r="K424" s="1105">
        <f>+SUMIFS('Anlage 2b_Korrekturen'!$D:$D,'Anlage 2b_Korrekturen'!$H:$H,'LV Testat'!$K$4,'Anlage 2b_Korrekturen'!$C:$C,'LV Testat'!$D424,'Anlage 2b_Korrekturen'!$A:$A,C424)</f>
        <v>0</v>
      </c>
      <c r="L424" s="1119">
        <f>+SUMIFS('Anlage 2b_Korrekturen'!$E:$E,'Anlage 2b_Korrekturen'!$H:$H,'LV Testat'!$K$4,'Anlage 2b_Korrekturen'!$C:$C,'LV Testat'!$D424,'Anlage 2b_Korrekturen'!$A:$A,C424)</f>
        <v>0</v>
      </c>
      <c r="M424" s="1123">
        <f>+SUMIFS('Anlage 2b_Korrekturen'!$F:$F,'Anlage 2b_Korrekturen'!$H:$H,'LV Testat'!$K$4,'Anlage 2b_Korrekturen'!$C:$C,'LV Testat'!$D424,'Anlage 2b_Korrekturen'!$A:$A,C424)</f>
        <v>0</v>
      </c>
      <c r="N424" s="1105">
        <f>+SUMIFS('Anlage 2b_Korrekturen'!$D:$D,'Anlage 2b_Korrekturen'!$H:$H,'LV Testat'!$N$4,'Anlage 2b_Korrekturen'!$C:$C,'LV Testat'!$D424,'Anlage 2b_Korrekturen'!$A:$A,C424)</f>
        <v>0</v>
      </c>
      <c r="O424" s="1119">
        <f>+SUMIFS('Anlage 2b_Korrekturen'!$E:$E,'Anlage 2b_Korrekturen'!$H:$H,'LV Testat'!$N$4,'Anlage 2b_Korrekturen'!$C:$C,'LV Testat'!$D424,'Anlage 2b_Korrekturen'!$A:$A,C424)</f>
        <v>0</v>
      </c>
      <c r="P424" s="1123">
        <f>+SUMIFS('Anlage 2b_Korrekturen'!$F:$F,'Anlage 2b_Korrekturen'!$H:$H,'LV Testat'!$N$4,'Anlage 2b_Korrekturen'!$C:$C,'LV Testat'!$D424,'Anlage 2b_Korrekturen'!$A:$A,C424)</f>
        <v>0</v>
      </c>
    </row>
    <row r="425" spans="1:16" ht="12" hidden="1" outlineLevel="1" thickBot="1">
      <c r="A425" s="1090"/>
      <c r="B425" s="1092"/>
      <c r="C425" s="1137">
        <f>+C424</f>
        <v>2019</v>
      </c>
      <c r="D425" s="1158" t="s">
        <v>2514</v>
      </c>
      <c r="E425" s="1105">
        <f>+SUMIFS('Anlage 2b_Korrekturen'!$D:$D,'Anlage 2b_Korrekturen'!$H:$H,'LV Testat'!$E$4,'Anlage 2b_Korrekturen'!$C:$C,'LV Testat'!$D425,'Anlage 2b_Korrekturen'!$A:$A,C425)</f>
        <v>0</v>
      </c>
      <c r="F425" s="1119">
        <f>+SUMIFS('Anlage 2b_Korrekturen'!$E:$E,'Anlage 2b_Korrekturen'!$H:$H,'LV Testat'!$E$4,'Anlage 2b_Korrekturen'!$C:$C,'LV Testat'!$D425,'Anlage 2b_Korrekturen'!$A:$A,C425)</f>
        <v>0</v>
      </c>
      <c r="G425" s="1123">
        <f>+SUMIFS('Anlage 2b_Korrekturen'!$F:$F,'Anlage 2b_Korrekturen'!$H:$H,'LV Testat'!$E$4,'Anlage 2b_Korrekturen'!$C:$C,'LV Testat'!$D425,'Anlage 2b_Korrekturen'!$A:$A,C425)</f>
        <v>0</v>
      </c>
      <c r="H425" s="1105">
        <f>+SUMIFS('Anlage 2b_Korrekturen'!$D:$D,'Anlage 2b_Korrekturen'!$H:$H,'LV Testat'!$H$4,'Anlage 2b_Korrekturen'!$C:$C,'LV Testat'!$D425,'Anlage 2b_Korrekturen'!$A:$A,B425)</f>
        <v>0</v>
      </c>
      <c r="I425" s="1119">
        <f>+SUMIFS('Anlage 2b_Korrekturen'!$E:$E,'Anlage 2b_Korrekturen'!$H:$H,'LV Testat'!$H$4,'Anlage 2b_Korrekturen'!$C:$C,'LV Testat'!$D425,'Anlage 2b_Korrekturen'!$A:$A,C425)</f>
        <v>0</v>
      </c>
      <c r="J425" s="1123">
        <f>+SUMIFS('Anlage 2b_Korrekturen'!$F:$F,'Anlage 2b_Korrekturen'!$H:$H,'LV Testat'!$H$4,'Anlage 2b_Korrekturen'!$C:$C,'LV Testat'!$D425,'Anlage 2b_Korrekturen'!$A:$A,C425)</f>
        <v>0</v>
      </c>
      <c r="K425" s="1105">
        <f>+SUMIFS('Anlage 2b_Korrekturen'!$D:$D,'Anlage 2b_Korrekturen'!$H:$H,'LV Testat'!$K$4,'Anlage 2b_Korrekturen'!$C:$C,'LV Testat'!$D425,'Anlage 2b_Korrekturen'!$A:$A,C425)</f>
        <v>0</v>
      </c>
      <c r="L425" s="1119">
        <f>+SUMIFS('Anlage 2b_Korrekturen'!$E:$E,'Anlage 2b_Korrekturen'!$H:$H,'LV Testat'!$K$4,'Anlage 2b_Korrekturen'!$C:$C,'LV Testat'!$D425,'Anlage 2b_Korrekturen'!$A:$A,C425)</f>
        <v>0</v>
      </c>
      <c r="M425" s="1123">
        <f>+SUMIFS('Anlage 2b_Korrekturen'!$F:$F,'Anlage 2b_Korrekturen'!$H:$H,'LV Testat'!$K$4,'Anlage 2b_Korrekturen'!$C:$C,'LV Testat'!$D425,'Anlage 2b_Korrekturen'!$A:$A,C425)</f>
        <v>0</v>
      </c>
      <c r="N425" s="1105">
        <f>+SUMIFS('Anlage 2b_Korrekturen'!$D:$D,'Anlage 2b_Korrekturen'!$H:$H,'LV Testat'!$N$4,'Anlage 2b_Korrekturen'!$C:$C,'LV Testat'!$D425,'Anlage 2b_Korrekturen'!$A:$A,C425)</f>
        <v>0</v>
      </c>
      <c r="O425" s="1119">
        <f>+SUMIFS('Anlage 2b_Korrekturen'!$E:$E,'Anlage 2b_Korrekturen'!$H:$H,'LV Testat'!$N$4,'Anlage 2b_Korrekturen'!$C:$C,'LV Testat'!$D425,'Anlage 2b_Korrekturen'!$A:$A,C425)</f>
        <v>0</v>
      </c>
      <c r="P425" s="1123">
        <f>+SUMIFS('Anlage 2b_Korrekturen'!$F:$F,'Anlage 2b_Korrekturen'!$H:$H,'LV Testat'!$N$4,'Anlage 2b_Korrekturen'!$C:$C,'LV Testat'!$D425,'Anlage 2b_Korrekturen'!$A:$A,C425)</f>
        <v>0</v>
      </c>
    </row>
    <row r="426" spans="1:16" ht="12" collapsed="1" thickBot="1">
      <c r="A426" s="1013" t="s">
        <v>2515</v>
      </c>
      <c r="B426" s="1001"/>
      <c r="C426" s="1001"/>
      <c r="D426" s="1002"/>
      <c r="E426" s="1001"/>
      <c r="F426" s="1017" t="str">
        <f>+"Check SV BesAR NT "&amp;A429</f>
        <v>Check SV BesAR NT 2019</v>
      </c>
      <c r="G426" s="1018">
        <f>+SUM(F429:F431)-SUM(E429:E431)</f>
        <v>0</v>
      </c>
      <c r="H426" s="1000"/>
      <c r="I426" s="1017" t="str">
        <f>+"Check SV BesAR NT "&amp;A429</f>
        <v>Check SV BesAR NT 2019</v>
      </c>
      <c r="J426" s="1018">
        <f>+SUM(I429:I431)-SUM(H429:H431)</f>
        <v>0</v>
      </c>
      <c r="K426" s="1000"/>
      <c r="L426" s="1017" t="str">
        <f>+"Check SV BesAR NT "&amp;A429</f>
        <v>Check SV BesAR NT 2019</v>
      </c>
      <c r="M426" s="1018">
        <f>+SUM(L429:L431)-SUM(K429:K431)</f>
        <v>0</v>
      </c>
      <c r="N426" s="1000"/>
      <c r="O426" s="1017" t="str">
        <f>+"Check SV BesAR NT "&amp;A429</f>
        <v>Check SV BesAR NT 2019</v>
      </c>
      <c r="P426" s="1018">
        <f>+SUM(O429:O431)-SUM(N429:N431)</f>
        <v>0</v>
      </c>
    </row>
    <row r="427" spans="1:16" ht="12" hidden="1" outlineLevel="1" thickBot="1">
      <c r="A427" s="1028"/>
      <c r="D427" s="1041"/>
      <c r="G427" s="1081"/>
      <c r="H427" s="1028"/>
      <c r="J427" s="1081"/>
      <c r="K427" s="1028"/>
      <c r="M427" s="1081"/>
      <c r="N427" s="1028"/>
      <c r="P427" s="1081"/>
    </row>
    <row r="428" spans="1:16" hidden="1" outlineLevel="1">
      <c r="A428" s="1028"/>
      <c r="D428" s="1041"/>
      <c r="E428" s="1159" t="s">
        <v>2517</v>
      </c>
      <c r="F428" s="1160" t="s">
        <v>2517</v>
      </c>
      <c r="G428" s="1081"/>
      <c r="H428" s="1161" t="s">
        <v>2517</v>
      </c>
      <c r="I428" s="1160" t="s">
        <v>2517</v>
      </c>
      <c r="J428" s="1081"/>
      <c r="K428" s="1161" t="s">
        <v>2517</v>
      </c>
      <c r="L428" s="1160" t="s">
        <v>2517</v>
      </c>
      <c r="M428" s="1081"/>
      <c r="N428" s="1161"/>
      <c r="O428" s="1160" t="s">
        <v>2517</v>
      </c>
      <c r="P428" s="1081"/>
    </row>
    <row r="429" spans="1:16" ht="15" hidden="1" customHeight="1" outlineLevel="1">
      <c r="A429" s="1137">
        <f>+A393</f>
        <v>2019</v>
      </c>
      <c r="C429" s="1071">
        <v>2</v>
      </c>
      <c r="D429" s="1050" t="s">
        <v>2518</v>
      </c>
      <c r="E429" s="1100"/>
      <c r="F429" s="1162">
        <f>+SUMIFS('Anlage 2b_Korrekturen'!$D:$D,'Anlage 2b_Korrekturen'!$A:$A,A429,'Anlage 2b_Korrekturen'!$H:$H,'LV Testat'!$E$4,'Anlage 2b_Korrekturen'!$B:$B,"")</f>
        <v>0</v>
      </c>
      <c r="G429" s="1081"/>
      <c r="H429" s="1175">
        <v>3110577</v>
      </c>
      <c r="I429" s="1162">
        <f>+SUMIFS('Anlage 2b_Korrekturen'!$D:$D,'Anlage 2b_Korrekturen'!$A:$A,A429,'Anlage 2b_Korrekturen'!$H:$H,'LV Testat'!$H$4,'Anlage 2b_Korrekturen'!$B:$B,"")</f>
        <v>3110577</v>
      </c>
      <c r="J429" s="1081"/>
      <c r="K429" s="1175">
        <v>0</v>
      </c>
      <c r="L429" s="1162">
        <f>+SUMIFS('Anlage 2b_Korrekturen'!$D:$D,'Anlage 2b_Korrekturen'!$A:$A,A429,'Anlage 2b_Korrekturen'!$H:$H,'LV Testat'!$K$4,'Anlage 2b_Korrekturen'!$B:$B,"")</f>
        <v>0</v>
      </c>
      <c r="M429" s="1081"/>
      <c r="N429" s="1175"/>
      <c r="O429" s="1162">
        <f>+SUMIFS('Anlage 2b_Korrekturen'!$D:$D,'Anlage 2b_Korrekturen'!$A:$A,A429,'Anlage 2b_Korrekturen'!$H:$H,'LV Testat'!$N$4,'Anlage 2b_Korrekturen'!$B:$B,"")</f>
        <v>0</v>
      </c>
      <c r="P429" s="1081"/>
    </row>
    <row r="430" spans="1:16" ht="15" hidden="1" customHeight="1" outlineLevel="1">
      <c r="A430" s="1163">
        <f>+A429</f>
        <v>2019</v>
      </c>
      <c r="C430" s="1071">
        <v>3</v>
      </c>
      <c r="D430" s="1050" t="s">
        <v>2519</v>
      </c>
      <c r="E430" s="1100"/>
      <c r="F430" s="1162">
        <f>+SUMIFS('Anlage 2b_Korrekturen'!$E:$E,'Anlage 2b_Korrekturen'!$A:$A,A430,'Anlage 2b_Korrekturen'!$H:$H,'LV Testat'!$E$4,'Anlage 2b_Korrekturen'!$B:$B,"")</f>
        <v>0</v>
      </c>
      <c r="G430" s="1081"/>
      <c r="H430" s="1175">
        <v>3686.44</v>
      </c>
      <c r="I430" s="1162">
        <f>+SUMIFS('Anlage 2b_Korrekturen'!$E:$E,'Anlage 2b_Korrekturen'!$A:$A,A430,'Anlage 2b_Korrekturen'!$H:$H,'LV Testat'!$H$4,'Anlage 2b_Korrekturen'!$B:$B,"")</f>
        <v>3686.44</v>
      </c>
      <c r="J430" s="1081"/>
      <c r="K430" s="1175">
        <v>0</v>
      </c>
      <c r="L430" s="1162">
        <f>+SUMIFS('Anlage 2b_Korrekturen'!$E:$E,'Anlage 2b_Korrekturen'!$A:$A,A430,'Anlage 2b_Korrekturen'!$H:$H,'LV Testat'!$K$4,'Anlage 2b_Korrekturen'!$B:$B,"")</f>
        <v>0</v>
      </c>
      <c r="M430" s="1081"/>
      <c r="N430" s="1175"/>
      <c r="O430" s="1162">
        <f>+SUMIFS('Anlage 2b_Korrekturen'!$E:$E,'Anlage 2b_Korrekturen'!$A:$A,A430,'Anlage 2b_Korrekturen'!$H:$H,'LV Testat'!$N$4,'Anlage 2b_Korrekturen'!$B:$B,"")</f>
        <v>0</v>
      </c>
      <c r="P430" s="1081"/>
    </row>
    <row r="431" spans="1:16" ht="15" hidden="1" customHeight="1" outlineLevel="1" thickBot="1">
      <c r="A431" s="1163">
        <f>+A430</f>
        <v>2019</v>
      </c>
      <c r="B431" s="1091"/>
      <c r="C431" s="1092">
        <v>4</v>
      </c>
      <c r="D431" s="1062" t="s">
        <v>2520</v>
      </c>
      <c r="E431" s="1176"/>
      <c r="F431" s="1166">
        <f>+SUMIFS('Anlage 2b_Korrekturen'!$F:$F,'Anlage 2b_Korrekturen'!$A:$A,A431,'Anlage 2b_Korrekturen'!$H:$H,'LV Testat'!$E$4,'Anlage 2b_Korrekturen'!$B:$B,"")</f>
        <v>0</v>
      </c>
      <c r="G431" s="1095"/>
      <c r="H431" s="1177">
        <v>5477</v>
      </c>
      <c r="I431" s="1166">
        <f>+SUMIFS('Anlage 2b_Korrekturen'!$F:$F,'Anlage 2b_Korrekturen'!$A:$A,A431,'Anlage 2b_Korrekturen'!$H:$H,'LV Testat'!$H$4,'Anlage 2b_Korrekturen'!$B:$B,"")</f>
        <v>5477</v>
      </c>
      <c r="J431" s="1095"/>
      <c r="K431" s="1177">
        <v>0</v>
      </c>
      <c r="L431" s="1166">
        <f>+SUMIFS('Anlage 2b_Korrekturen'!$F:$F,'Anlage 2b_Korrekturen'!$A:$A,A431,'Anlage 2b_Korrekturen'!$H:$H,'LV Testat'!$K$4,'Anlage 2b_Korrekturen'!$B:$B,"")</f>
        <v>0</v>
      </c>
      <c r="M431" s="1095"/>
      <c r="N431" s="1177"/>
      <c r="O431" s="1166">
        <f>+SUMIFS('Anlage 2b_Korrekturen'!$F:$F,'Anlage 2b_Korrekturen'!$A:$A,A431,'Anlage 2b_Korrekturen'!$H:$H,'LV Testat'!$N$4,'Anlage 2b_Korrekturen'!$B:$B,"")</f>
        <v>0</v>
      </c>
      <c r="P431" s="1095"/>
    </row>
    <row r="432" spans="1:16" ht="12" collapsed="1" thickBot="1">
      <c r="A432" s="1013" t="s">
        <v>2523</v>
      </c>
      <c r="B432" s="1001"/>
      <c r="C432" s="1001"/>
      <c r="D432" s="1002"/>
      <c r="E432" s="1001"/>
      <c r="F432" s="1017" t="str">
        <f>+"Check WL BesAR NT "&amp;C435</f>
        <v>Check WL BesAR NT 2019</v>
      </c>
      <c r="G432" s="1018">
        <f>+F443-E443</f>
        <v>0</v>
      </c>
      <c r="H432" s="1001"/>
      <c r="I432" s="1017" t="str">
        <f>+"Check WL BesAR NT "&amp;C435</f>
        <v>Check WL BesAR NT 2019</v>
      </c>
      <c r="J432" s="1018">
        <f>+I443-H443</f>
        <v>0</v>
      </c>
      <c r="K432" s="1001"/>
      <c r="L432" s="1017" t="str">
        <f>+"Check WL BesAR NT "&amp;C435</f>
        <v>Check WL BesAR NT 2019</v>
      </c>
      <c r="M432" s="1018">
        <f>+L443-K443</f>
        <v>0</v>
      </c>
      <c r="N432" s="1001"/>
      <c r="O432" s="1017" t="str">
        <f>+"Check WL BesAR NT "&amp;C435</f>
        <v>Check WL BesAR NT 2019</v>
      </c>
      <c r="P432" s="1018">
        <f>+O443-N443</f>
        <v>0</v>
      </c>
    </row>
    <row r="433" spans="1:16" hidden="1" outlineLevel="1">
      <c r="A433" s="1022"/>
      <c r="D433" s="1041"/>
      <c r="H433" s="1028"/>
      <c r="J433" s="1041"/>
      <c r="K433" s="1028"/>
      <c r="M433" s="1041"/>
      <c r="N433" s="1028"/>
      <c r="P433" s="1041"/>
    </row>
    <row r="434" spans="1:16" ht="30" hidden="1" customHeight="1" outlineLevel="1">
      <c r="A434" s="1028"/>
      <c r="D434" s="1099" t="s">
        <v>2525</v>
      </c>
      <c r="E434" s="1064" t="s">
        <v>2526</v>
      </c>
      <c r="F434" s="1118" t="s">
        <v>2526</v>
      </c>
      <c r="H434" s="1118" t="s">
        <v>2526</v>
      </c>
      <c r="I434" s="1118" t="s">
        <v>2526</v>
      </c>
      <c r="K434" s="1118" t="s">
        <v>2526</v>
      </c>
      <c r="L434" s="1118" t="s">
        <v>2526</v>
      </c>
      <c r="N434" s="1118" t="s">
        <v>2526</v>
      </c>
      <c r="O434" s="1118" t="s">
        <v>2526</v>
      </c>
      <c r="P434" s="1041"/>
    </row>
    <row r="435" spans="1:16" hidden="1" outlineLevel="1">
      <c r="A435" s="1028"/>
      <c r="C435" s="1137">
        <f>+A393</f>
        <v>2019</v>
      </c>
      <c r="D435" s="1035" t="s">
        <v>2408</v>
      </c>
      <c r="E435" s="1100"/>
      <c r="F435" s="1119">
        <f>+SUMIFS('Anlage 2b_Korrekturen'!$D:$D,'Anlage 2b_Korrekturen'!$H:$H,'LV Testat'!$E$4,'Anlage 2b_Korrekturen'!$B:$B,'LV Testat'!$D435,'Anlage 2b_Korrekturen'!$A:$A,C435)</f>
        <v>0</v>
      </c>
      <c r="H435" s="1167">
        <v>-3110577</v>
      </c>
      <c r="I435" s="1119">
        <f>+SUMIFS('Anlage 2b_Korrekturen'!$D:$D,'Anlage 2b_Korrekturen'!$H:$H,'LV Testat'!$H$4,'Anlage 2b_Korrekturen'!$B:$B,'LV Testat'!$D435,'Anlage 2b_Korrekturen'!$A:$A,C435)</f>
        <v>-3110577</v>
      </c>
      <c r="K435" s="1167">
        <v>0</v>
      </c>
      <c r="L435" s="1119">
        <f>+SUMIFS('Anlage 2b_Korrekturen'!$D:$D,'Anlage 2b_Korrekturen'!$H:$H,'LV Testat'!$K$4,'Anlage 2b_Korrekturen'!$B:$B,'LV Testat'!$D435,'Anlage 2b_Korrekturen'!$A:$A,C435)</f>
        <v>0</v>
      </c>
      <c r="N435" s="1167"/>
      <c r="O435" s="1119">
        <f>+SUMIFS('Anlage 2b_Korrekturen'!$D:$D,'Anlage 2b_Korrekturen'!$H:$H,'LV Testat'!$N$4,'Anlage 2b_Korrekturen'!$B:$B,'LV Testat'!$D435,'Anlage 2b_Korrekturen'!$A:$A,C435)</f>
        <v>0</v>
      </c>
      <c r="P435" s="1041"/>
    </row>
    <row r="436" spans="1:16" hidden="1" outlineLevel="1">
      <c r="A436" s="1028"/>
      <c r="C436" s="1137">
        <f>+C435</f>
        <v>2019</v>
      </c>
      <c r="D436" s="1035" t="s">
        <v>2500</v>
      </c>
      <c r="E436" s="1100"/>
      <c r="F436" s="1119">
        <f>+SUMIFS('Anlage 2b_Korrekturen'!$D:$D,'Anlage 2b_Korrekturen'!$H:$H,'LV Testat'!$E$4,'Anlage 2b_Korrekturen'!$B:$B,'LV Testat'!$D436,'Anlage 2b_Korrekturen'!$A:$A,C436)</f>
        <v>0</v>
      </c>
      <c r="H436" s="1167"/>
      <c r="I436" s="1119">
        <f>+SUMIFS('Anlage 2b_Korrekturen'!$D:$D,'Anlage 2b_Korrekturen'!$H:$H,'LV Testat'!$H$4,'Anlage 2b_Korrekturen'!$B:$B,'LV Testat'!$D436,'Anlage 2b_Korrekturen'!$A:$A,C436)</f>
        <v>0</v>
      </c>
      <c r="K436" s="1167">
        <v>0</v>
      </c>
      <c r="L436" s="1119">
        <f>+SUMIFS('Anlage 2b_Korrekturen'!$D:$D,'Anlage 2b_Korrekturen'!$H:$H,'LV Testat'!$K$4,'Anlage 2b_Korrekturen'!$B:$B,'LV Testat'!$D436,'Anlage 2b_Korrekturen'!$A:$A,C436)</f>
        <v>0</v>
      </c>
      <c r="N436" s="1167"/>
      <c r="O436" s="1119">
        <f>+SUMIFS('Anlage 2b_Korrekturen'!$D:$D,'Anlage 2b_Korrekturen'!$H:$H,'LV Testat'!$N$4,'Anlage 2b_Korrekturen'!$B:$B,'LV Testat'!$D436,'Anlage 2b_Korrekturen'!$A:$A,C436)</f>
        <v>0</v>
      </c>
      <c r="P436" s="1041"/>
    </row>
    <row r="437" spans="1:16" hidden="1" outlineLevel="1">
      <c r="A437" s="1028"/>
      <c r="C437" s="1137">
        <f t="shared" ref="C437:C442" si="13">+C436</f>
        <v>2019</v>
      </c>
      <c r="D437" s="1035" t="s">
        <v>2418</v>
      </c>
      <c r="E437" s="1100"/>
      <c r="F437" s="1119">
        <f>+SUMIFS('Anlage 2b_Korrekturen'!$D:$D,'Anlage 2b_Korrekturen'!$H:$H,'LV Testat'!$E$4,'Anlage 2b_Korrekturen'!$B:$B,'LV Testat'!$D437,'Anlage 2b_Korrekturen'!$A:$A,C437)</f>
        <v>0</v>
      </c>
      <c r="H437" s="1167"/>
      <c r="I437" s="1119">
        <f>+SUMIFS('Anlage 2b_Korrekturen'!$D:$D,'Anlage 2b_Korrekturen'!$H:$H,'LV Testat'!$H$4,'Anlage 2b_Korrekturen'!$B:$B,'LV Testat'!$D437,'Anlage 2b_Korrekturen'!$A:$A,C437)</f>
        <v>0</v>
      </c>
      <c r="K437" s="1167">
        <v>0</v>
      </c>
      <c r="L437" s="1119">
        <f>+SUMIFS('Anlage 2b_Korrekturen'!$D:$D,'Anlage 2b_Korrekturen'!$H:$H,'LV Testat'!$K$4,'Anlage 2b_Korrekturen'!$B:$B,'LV Testat'!$D437,'Anlage 2b_Korrekturen'!$A:$A,C437)</f>
        <v>0</v>
      </c>
      <c r="N437" s="1167"/>
      <c r="O437" s="1119">
        <f>+SUMIFS('Anlage 2b_Korrekturen'!$D:$D,'Anlage 2b_Korrekturen'!$H:$H,'LV Testat'!$N$4,'Anlage 2b_Korrekturen'!$B:$B,'LV Testat'!$D437,'Anlage 2b_Korrekturen'!$A:$A,C437)</f>
        <v>0</v>
      </c>
      <c r="P437" s="1041"/>
    </row>
    <row r="438" spans="1:16" hidden="1" outlineLevel="1">
      <c r="A438" s="1028"/>
      <c r="C438" s="1137">
        <f t="shared" si="13"/>
        <v>2019</v>
      </c>
      <c r="D438" s="1168" t="s">
        <v>2501</v>
      </c>
      <c r="E438" s="1100"/>
      <c r="F438" s="1119">
        <f>+SUMIFS('Anlage 2b_Korrekturen'!$D:$D,'Anlage 2b_Korrekturen'!$H:$H,'LV Testat'!$E$4,'Anlage 2b_Korrekturen'!$B:$B,'LV Testat'!$D438,'Anlage 2b_Korrekturen'!$A:$A,C438)</f>
        <v>0</v>
      </c>
      <c r="H438" s="1167"/>
      <c r="I438" s="1119">
        <f>+SUMIFS('Anlage 2b_Korrekturen'!$D:$D,'Anlage 2b_Korrekturen'!$H:$H,'LV Testat'!$H$4,'Anlage 2b_Korrekturen'!$B:$B,'LV Testat'!$D438,'Anlage 2b_Korrekturen'!$A:$A,C438)</f>
        <v>0</v>
      </c>
      <c r="K438" s="1167">
        <v>0</v>
      </c>
      <c r="L438" s="1119">
        <f>+SUMIFS('Anlage 2b_Korrekturen'!$D:$D,'Anlage 2b_Korrekturen'!$H:$H,'LV Testat'!$K$4,'Anlage 2b_Korrekturen'!$B:$B,'LV Testat'!$D438,'Anlage 2b_Korrekturen'!$A:$A,C438)</f>
        <v>0</v>
      </c>
      <c r="N438" s="1167"/>
      <c r="O438" s="1119">
        <f>+SUMIFS('Anlage 2b_Korrekturen'!$D:$D,'Anlage 2b_Korrekturen'!$H:$H,'LV Testat'!$N$4,'Anlage 2b_Korrekturen'!$B:$B,'LV Testat'!$D438,'Anlage 2b_Korrekturen'!$A:$A,C438)</f>
        <v>0</v>
      </c>
      <c r="P438" s="1041"/>
    </row>
    <row r="439" spans="1:16" hidden="1" outlineLevel="1">
      <c r="A439" s="1028"/>
      <c r="C439" s="1137">
        <f t="shared" si="13"/>
        <v>2019</v>
      </c>
      <c r="D439" s="1035" t="s">
        <v>2409</v>
      </c>
      <c r="E439" s="1100"/>
      <c r="F439" s="1119">
        <f>+SUMIFS('Anlage 2b_Korrekturen'!$D:$D,'Anlage 2b_Korrekturen'!$H:$H,'LV Testat'!$E$4,'Anlage 2b_Korrekturen'!$B:$B,'LV Testat'!$D439,'Anlage 2b_Korrekturen'!$A:$A,C439)</f>
        <v>0</v>
      </c>
      <c r="H439" s="1167"/>
      <c r="I439" s="1119">
        <f>+SUMIFS('Anlage 2b_Korrekturen'!$D:$D,'Anlage 2b_Korrekturen'!$H:$H,'LV Testat'!$H$4,'Anlage 2b_Korrekturen'!$B:$B,'LV Testat'!$D439,'Anlage 2b_Korrekturen'!$A:$A,C439)</f>
        <v>0</v>
      </c>
      <c r="K439" s="1167">
        <v>0</v>
      </c>
      <c r="L439" s="1119">
        <f>+SUMIFS('Anlage 2b_Korrekturen'!$D:$D,'Anlage 2b_Korrekturen'!$H:$H,'LV Testat'!$K$4,'Anlage 2b_Korrekturen'!$B:$B,'LV Testat'!$D439,'Anlage 2b_Korrekturen'!$A:$A,C439)</f>
        <v>0</v>
      </c>
      <c r="N439" s="1167"/>
      <c r="O439" s="1119">
        <f>+SUMIFS('Anlage 2b_Korrekturen'!$D:$D,'Anlage 2b_Korrekturen'!$H:$H,'LV Testat'!$N$4,'Anlage 2b_Korrekturen'!$B:$B,'LV Testat'!$D439,'Anlage 2b_Korrekturen'!$A:$A,C439)</f>
        <v>0</v>
      </c>
      <c r="P439" s="1041"/>
    </row>
    <row r="440" spans="1:16" hidden="1" outlineLevel="1">
      <c r="A440" s="1028"/>
      <c r="C440" s="1137">
        <f t="shared" si="13"/>
        <v>2019</v>
      </c>
      <c r="D440" s="1035" t="s">
        <v>2419</v>
      </c>
      <c r="E440" s="1100"/>
      <c r="F440" s="1119">
        <f>+SUMIFS('Anlage 2b_Korrekturen'!$D:$D,'Anlage 2b_Korrekturen'!$H:$H,'LV Testat'!$E$4,'Anlage 2b_Korrekturen'!$B:$B,'LV Testat'!$D440,'Anlage 2b_Korrekturen'!$A:$A,C440)</f>
        <v>0</v>
      </c>
      <c r="H440" s="1167"/>
      <c r="I440" s="1119">
        <f>+SUMIFS('Anlage 2b_Korrekturen'!$D:$D,'Anlage 2b_Korrekturen'!$H:$H,'LV Testat'!$H$4,'Anlage 2b_Korrekturen'!$B:$B,'LV Testat'!$D440,'Anlage 2b_Korrekturen'!$A:$A,C440)</f>
        <v>0</v>
      </c>
      <c r="K440" s="1167">
        <v>0</v>
      </c>
      <c r="L440" s="1119">
        <f>+SUMIFS('Anlage 2b_Korrekturen'!$D:$D,'Anlage 2b_Korrekturen'!$H:$H,'LV Testat'!$K$4,'Anlage 2b_Korrekturen'!$B:$B,'LV Testat'!$D440,'Anlage 2b_Korrekturen'!$A:$A,C440)</f>
        <v>0</v>
      </c>
      <c r="N440" s="1167"/>
      <c r="O440" s="1119">
        <f>+SUMIFS('Anlage 2b_Korrekturen'!$D:$D,'Anlage 2b_Korrekturen'!$H:$H,'LV Testat'!$N$4,'Anlage 2b_Korrekturen'!$B:$B,'LV Testat'!$D440,'Anlage 2b_Korrekturen'!$A:$A,C440)</f>
        <v>0</v>
      </c>
      <c r="P440" s="1041"/>
    </row>
    <row r="441" spans="1:16" hidden="1" outlineLevel="1">
      <c r="A441" s="1028"/>
      <c r="C441" s="1137">
        <f t="shared" si="13"/>
        <v>2019</v>
      </c>
      <c r="D441" s="1035" t="s">
        <v>2412</v>
      </c>
      <c r="E441" s="1100"/>
      <c r="F441" s="1119">
        <f>+SUMIFS('Anlage 2b_Korrekturen'!$D:$D,'Anlage 2b_Korrekturen'!$H:$H,'LV Testat'!$E$4,'Anlage 2b_Korrekturen'!$B:$B,'LV Testat'!$D441,'Anlage 2b_Korrekturen'!$A:$A,C441)</f>
        <v>0</v>
      </c>
      <c r="H441" s="1167"/>
      <c r="I441" s="1119">
        <f>+SUMIFS('Anlage 2b_Korrekturen'!$D:$D,'Anlage 2b_Korrekturen'!$H:$H,'LV Testat'!$H$4,'Anlage 2b_Korrekturen'!$B:$B,'LV Testat'!$D441,'Anlage 2b_Korrekturen'!$A:$A,C441)</f>
        <v>0</v>
      </c>
      <c r="K441" s="1167">
        <v>0</v>
      </c>
      <c r="L441" s="1119">
        <f>+SUMIFS('Anlage 2b_Korrekturen'!$D:$D,'Anlage 2b_Korrekturen'!$H:$H,'LV Testat'!$K$4,'Anlage 2b_Korrekturen'!$B:$B,'LV Testat'!$D441,'Anlage 2b_Korrekturen'!$A:$A,C441)</f>
        <v>0</v>
      </c>
      <c r="N441" s="1167"/>
      <c r="O441" s="1119">
        <f>+SUMIFS('Anlage 2b_Korrekturen'!$D:$D,'Anlage 2b_Korrekturen'!$H:$H,'LV Testat'!$N$4,'Anlage 2b_Korrekturen'!$B:$B,'LV Testat'!$D441,'Anlage 2b_Korrekturen'!$A:$A,C441)</f>
        <v>0</v>
      </c>
      <c r="P441" s="1041"/>
    </row>
    <row r="442" spans="1:16" hidden="1" outlineLevel="1">
      <c r="A442" s="1028"/>
      <c r="C442" s="1137">
        <f t="shared" si="13"/>
        <v>2019</v>
      </c>
      <c r="D442" s="1168" t="s">
        <v>2410</v>
      </c>
      <c r="E442" s="1100"/>
      <c r="F442" s="1119">
        <f>+SUMIFS('Anlage 2b_Korrekturen'!$D:$D,'Anlage 2b_Korrekturen'!$H:$H,'LV Testat'!$E$4,'Anlage 2b_Korrekturen'!$B:$B,'LV Testat'!$D442,'Anlage 2b_Korrekturen'!$A:$A,C442)</f>
        <v>0</v>
      </c>
      <c r="H442" s="1167"/>
      <c r="I442" s="1119">
        <f>+SUMIFS('Anlage 2b_Korrekturen'!$D:$D,'Anlage 2b_Korrekturen'!$H:$H,'LV Testat'!$H$4,'Anlage 2b_Korrekturen'!$B:$B,'LV Testat'!$D442,'Anlage 2b_Korrekturen'!$A:$A,C442)</f>
        <v>0</v>
      </c>
      <c r="K442" s="1167">
        <v>0</v>
      </c>
      <c r="L442" s="1119">
        <f>+SUMIFS('Anlage 2b_Korrekturen'!$D:$D,'Anlage 2b_Korrekturen'!$H:$H,'LV Testat'!$K$4,'Anlage 2b_Korrekturen'!$B:$B,'LV Testat'!$D442,'Anlage 2b_Korrekturen'!$A:$A,C442)</f>
        <v>0</v>
      </c>
      <c r="N442" s="1167"/>
      <c r="O442" s="1119">
        <f>+SUMIFS('Anlage 2b_Korrekturen'!$D:$D,'Anlage 2b_Korrekturen'!$H:$H,'LV Testat'!$N$4,'Anlage 2b_Korrekturen'!$B:$B,'LV Testat'!$D442,'Anlage 2b_Korrekturen'!$A:$A,C442)</f>
        <v>0</v>
      </c>
      <c r="P442" s="1041"/>
    </row>
    <row r="443" spans="1:16" ht="12" hidden="1" outlineLevel="1" thickBot="1">
      <c r="A443" s="1090"/>
      <c r="B443" s="1091"/>
      <c r="C443" s="1091"/>
      <c r="D443" s="1121"/>
      <c r="E443" s="1110">
        <f>+SUM(E435:E442)</f>
        <v>0</v>
      </c>
      <c r="F443" s="1124">
        <f>+SUM(F435:F442)</f>
        <v>0</v>
      </c>
      <c r="G443" s="1091"/>
      <c r="H443" s="1124">
        <f>+SUM(H435:H442)</f>
        <v>-3110577</v>
      </c>
      <c r="I443" s="1124">
        <f>+SUM(I435:I442)</f>
        <v>-3110577</v>
      </c>
      <c r="J443" s="1091"/>
      <c r="K443" s="1124">
        <f>+SUM(K435:K442)</f>
        <v>0</v>
      </c>
      <c r="L443" s="1124">
        <f>+SUM(L435:L442)</f>
        <v>0</v>
      </c>
      <c r="M443" s="1091"/>
      <c r="N443" s="1124">
        <f>+SUM(N435:N442)</f>
        <v>0</v>
      </c>
      <c r="O443" s="1124">
        <f>+SUM(O435:O442)</f>
        <v>0</v>
      </c>
      <c r="P443" s="1121"/>
    </row>
    <row r="444" spans="1:16" ht="12" collapsed="1" thickBot="1">
      <c r="A444" s="1205" t="s">
        <v>2528</v>
      </c>
      <c r="B444" s="1206"/>
      <c r="C444" s="1206"/>
      <c r="D444" s="1207"/>
      <c r="E444" s="1206"/>
      <c r="F444" s="1208" t="str">
        <f>+"Check Speicher BesAR NT "&amp;C452</f>
        <v>Check Speicher BesAR NT 2019</v>
      </c>
      <c r="G444" s="1209">
        <f>+SUM(E447:G449)-SUM(E452:G454)</f>
        <v>0</v>
      </c>
      <c r="H444" s="1210"/>
      <c r="I444" s="1208" t="str">
        <f>+"Check Speicher BesAR NT "&amp;C452</f>
        <v>Check Speicher BesAR NT 2019</v>
      </c>
      <c r="J444" s="1209">
        <f>+SUM(H447:J449)-SUM(H452:J454)</f>
        <v>0</v>
      </c>
      <c r="K444" s="1210"/>
      <c r="L444" s="1208" t="str">
        <f>+"Check Speicher BesAR NT "&amp;C452</f>
        <v>Check Speicher BesAR NT 2019</v>
      </c>
      <c r="M444" s="1209">
        <f>+SUM(K447:M449)-SUM(K452:M454)</f>
        <v>0</v>
      </c>
      <c r="N444" s="1210"/>
      <c r="O444" s="1208" t="str">
        <f>+"Check Speicher BesAR NT "&amp;C452</f>
        <v>Check Speicher BesAR NT 2019</v>
      </c>
      <c r="P444" s="1209">
        <f>+SUM(N447:P449)-SUM(N452:P454)</f>
        <v>0</v>
      </c>
    </row>
    <row r="445" spans="1:16" hidden="1" outlineLevel="1">
      <c r="A445" s="1028"/>
      <c r="D445" s="1041"/>
      <c r="F445" s="1012"/>
      <c r="G445" s="1041"/>
      <c r="H445" s="1028"/>
      <c r="I445" s="1012"/>
      <c r="J445" s="1041"/>
      <c r="K445" s="1028"/>
      <c r="L445" s="1012"/>
      <c r="M445" s="1041"/>
      <c r="N445" s="1028"/>
      <c r="O445" s="1012"/>
      <c r="P445" s="1041"/>
    </row>
    <row r="446" spans="1:16" ht="33.75" hidden="1" outlineLevel="1">
      <c r="A446" s="1028"/>
      <c r="D446" s="1030" t="s">
        <v>2506</v>
      </c>
      <c r="E446" s="1031" t="s">
        <v>2499</v>
      </c>
      <c r="F446" s="1032" t="s">
        <v>2507</v>
      </c>
      <c r="G446" s="1049" t="s">
        <v>2508</v>
      </c>
      <c r="H446" s="1034" t="s">
        <v>2499</v>
      </c>
      <c r="I446" s="1032" t="s">
        <v>2507</v>
      </c>
      <c r="J446" s="1049" t="s">
        <v>2508</v>
      </c>
      <c r="K446" s="1034" t="s">
        <v>2499</v>
      </c>
      <c r="L446" s="1032" t="s">
        <v>2507</v>
      </c>
      <c r="M446" s="1049" t="s">
        <v>2508</v>
      </c>
      <c r="N446" s="1034" t="s">
        <v>2499</v>
      </c>
      <c r="O446" s="1032" t="s">
        <v>2507</v>
      </c>
      <c r="P446" s="1049" t="s">
        <v>2508</v>
      </c>
    </row>
    <row r="447" spans="1:16" hidden="1" outlineLevel="1">
      <c r="A447" s="1028"/>
      <c r="D447" s="1050" t="s">
        <v>2429</v>
      </c>
      <c r="E447" s="1051"/>
      <c r="F447" s="1101"/>
      <c r="G447" s="1102"/>
      <c r="H447" s="1070">
        <v>0</v>
      </c>
      <c r="I447" s="1067">
        <v>0</v>
      </c>
      <c r="J447" s="1068">
        <v>0</v>
      </c>
      <c r="K447" s="1070">
        <v>0</v>
      </c>
      <c r="L447" s="1067">
        <v>0</v>
      </c>
      <c r="M447" s="1068">
        <v>0</v>
      </c>
      <c r="N447" s="1070"/>
      <c r="O447" s="1067"/>
      <c r="P447" s="1068"/>
    </row>
    <row r="448" spans="1:16" hidden="1" outlineLevel="1">
      <c r="A448" s="1028"/>
      <c r="D448" s="1050" t="s">
        <v>2430</v>
      </c>
      <c r="E448" s="1051">
        <v>0</v>
      </c>
      <c r="F448" s="1101">
        <v>0</v>
      </c>
      <c r="G448" s="1102">
        <v>0</v>
      </c>
      <c r="H448" s="1070"/>
      <c r="I448" s="1067"/>
      <c r="J448" s="1068"/>
      <c r="K448" s="1070">
        <v>0</v>
      </c>
      <c r="L448" s="1067">
        <v>0</v>
      </c>
      <c r="M448" s="1068">
        <v>0</v>
      </c>
      <c r="N448" s="1070"/>
      <c r="O448" s="1067"/>
      <c r="P448" s="1068"/>
    </row>
    <row r="449" spans="1:33" hidden="1" outlineLevel="1">
      <c r="A449" s="1028"/>
      <c r="D449" s="1050" t="s">
        <v>2431</v>
      </c>
      <c r="E449" s="1051">
        <v>0</v>
      </c>
      <c r="F449" s="1101">
        <v>0</v>
      </c>
      <c r="G449" s="1102">
        <v>0</v>
      </c>
      <c r="H449" s="1070"/>
      <c r="I449" s="1067"/>
      <c r="J449" s="1068"/>
      <c r="K449" s="1070">
        <v>0</v>
      </c>
      <c r="L449" s="1067">
        <v>0</v>
      </c>
      <c r="M449" s="1068">
        <v>0</v>
      </c>
      <c r="N449" s="1070"/>
      <c r="O449" s="1067"/>
      <c r="P449" s="1068"/>
    </row>
    <row r="450" spans="1:33" hidden="1" outlineLevel="1">
      <c r="A450" s="1028"/>
      <c r="D450" s="1041"/>
      <c r="F450" s="1847"/>
      <c r="G450" s="1848"/>
      <c r="H450" s="1028"/>
      <c r="I450" s="1012"/>
      <c r="J450" s="1122"/>
      <c r="K450" s="1028"/>
      <c r="L450" s="1012"/>
      <c r="M450" s="1122"/>
      <c r="N450" s="1028"/>
      <c r="O450" s="1012"/>
      <c r="P450" s="1122"/>
    </row>
    <row r="451" spans="1:33" ht="33.75" hidden="1" outlineLevel="1">
      <c r="A451" s="1028"/>
      <c r="D451" s="1030" t="s">
        <v>2506</v>
      </c>
      <c r="E451" s="1031" t="s">
        <v>2499</v>
      </c>
      <c r="F451" s="1032" t="s">
        <v>2507</v>
      </c>
      <c r="G451" s="1049" t="s">
        <v>2508</v>
      </c>
      <c r="H451" s="1034" t="s">
        <v>2499</v>
      </c>
      <c r="I451" s="1032" t="s">
        <v>2507</v>
      </c>
      <c r="J451" s="1049" t="s">
        <v>2508</v>
      </c>
      <c r="K451" s="1034" t="s">
        <v>2499</v>
      </c>
      <c r="L451" s="1032" t="s">
        <v>2507</v>
      </c>
      <c r="M451" s="1049" t="s">
        <v>2508</v>
      </c>
      <c r="N451" s="1034" t="s">
        <v>2499</v>
      </c>
      <c r="O451" s="1032" t="s">
        <v>2507</v>
      </c>
      <c r="P451" s="1049" t="s">
        <v>2508</v>
      </c>
    </row>
    <row r="452" spans="1:33" ht="12" hidden="1" outlineLevel="1" thickBot="1">
      <c r="A452" s="1056"/>
      <c r="B452" s="1029"/>
      <c r="C452" s="1137">
        <f>+A393</f>
        <v>2019</v>
      </c>
      <c r="D452" s="1050" t="s">
        <v>2429</v>
      </c>
      <c r="E452" s="1105">
        <f>+SUMIFS('Anlage 2b_Korrekturen'!$D:$D,'Anlage 2b_Korrekturen'!$H:$H,'LV Testat'!$E$4,'Anlage 2b_Korrekturen'!$B:$B,'LV Testat'!$D452,'Anlage 2b_Korrekturen'!$A:$A,C452)</f>
        <v>0</v>
      </c>
      <c r="F452" s="1119">
        <f>+SUMIFS('Anlage 2b_Korrekturen'!$E:$E,'Anlage 2b_Korrekturen'!$H:$H,'LV Testat'!$E$4,'Anlage 2b_Korrekturen'!$B:$B,'LV Testat'!$D452,'Anlage 2b_Korrekturen'!$A:$A,C452)</f>
        <v>0</v>
      </c>
      <c r="G452" s="1123">
        <f>+SUMIFS('Anlage 2b_Korrekturen'!$F:$F,'Anlage 2b_Korrekturen'!$H:$H,'LV Testat'!$E$4,'Anlage 2b_Korrekturen'!$B:$B,'LV Testat'!$D452,'Anlage 2b_Korrekturen'!$A:$A,C452)</f>
        <v>0</v>
      </c>
      <c r="H452" s="1105">
        <f>+SUMIFS('Anlage 2b_Korrekturen'!$D:$D,'Anlage 2b_Korrekturen'!$H:$H,'LV Testat'!$H$4,'Anlage 2b_Korrekturen'!$B:$B,'LV Testat'!$D452,'Anlage 2b_Korrekturen'!$A:$A,C452)</f>
        <v>0</v>
      </c>
      <c r="I452" s="1119">
        <f>+SUMIFS('Anlage 2b_Korrekturen'!$E:$E,'Anlage 2b_Korrekturen'!$H:$H,'LV Testat'!$H$4,'Anlage 2b_Korrekturen'!$B:$B,'LV Testat'!$D452,'Anlage 2b_Korrekturen'!$A:$A,C452)</f>
        <v>0</v>
      </c>
      <c r="J452" s="1123">
        <f>+SUMIFS('Anlage 2b_Korrekturen'!$F:$F,'Anlage 2b_Korrekturen'!$H:$H,'LV Testat'!$H$4,'Anlage 2b_Korrekturen'!$B:$B,'LV Testat'!$D452,'Anlage 2b_Korrekturen'!$A:$A,C452)</f>
        <v>0</v>
      </c>
      <c r="K452" s="1105">
        <f>+SUMIFS('Anlage 2b_Korrekturen'!$D:$D,'Anlage 2b_Korrekturen'!$H:$H,'LV Testat'!$K$4,'Anlage 2b_Korrekturen'!$B:$B,'LV Testat'!$D452,'Anlage 2b_Korrekturen'!$A:$A,C452)</f>
        <v>0</v>
      </c>
      <c r="L452" s="1119">
        <f>+SUMIFS('Anlage 2b_Korrekturen'!$E:$E,'Anlage 2b_Korrekturen'!$H:$H,'LV Testat'!$K$4,'Anlage 2b_Korrekturen'!$B:$B,'LV Testat'!$D452,'Anlage 2b_Korrekturen'!$A:$A,C452)</f>
        <v>0</v>
      </c>
      <c r="M452" s="1123">
        <f>+SUMIFS('Anlage 2b_Korrekturen'!$F:$F,'Anlage 2b_Korrekturen'!$H:$H,'LV Testat'!$K$4,'Anlage 2b_Korrekturen'!$B:$B,'LV Testat'!$D452,'Anlage 2b_Korrekturen'!$A:$A,C452)</f>
        <v>0</v>
      </c>
      <c r="N452" s="1105">
        <f>+SUMIFS('Anlage 2b_Korrekturen'!$D:$D,'Anlage 2b_Korrekturen'!$H:$H,'LV Testat'!$N$4,'Anlage 2b_Korrekturen'!$B:$B,'LV Testat'!$D452,'Anlage 2b_Korrekturen'!$A:$A,C452)</f>
        <v>0</v>
      </c>
      <c r="O452" s="1119">
        <f>+SUMIFS('Anlage 2b_Korrekturen'!$E:$E,'Anlage 2b_Korrekturen'!$H:$H,'LV Testat'!$N$4,'Anlage 2b_Korrekturen'!$B:$B,'LV Testat'!$D452,'Anlage 2b_Korrekturen'!$A:$A,C452)</f>
        <v>0</v>
      </c>
      <c r="P452" s="1123">
        <f>+SUMIFS('Anlage 2b_Korrekturen'!$F:$F,'Anlage 2b_Korrekturen'!$H:$H,'LV Testat'!$N$4,'Anlage 2b_Korrekturen'!$B:$B,'LV Testat'!$D452,'Anlage 2b_Korrekturen'!$A:$A,C452)</f>
        <v>0</v>
      </c>
    </row>
    <row r="453" spans="1:33" ht="12.75" hidden="1" outlineLevel="1">
      <c r="A453" s="1056"/>
      <c r="B453" s="1029"/>
      <c r="C453" s="1137">
        <f>+C452</f>
        <v>2019</v>
      </c>
      <c r="D453" s="1050" t="s">
        <v>2430</v>
      </c>
      <c r="E453" s="1105">
        <f>+SUMIFS('Anlage 2b_Korrekturen'!$D:$D,'Anlage 2b_Korrekturen'!$H:$H,'LV Testat'!$E$4,'Anlage 2b_Korrekturen'!$B:$B,'LV Testat'!$D453,'Anlage 2b_Korrekturen'!$A:$A,C453)</f>
        <v>0</v>
      </c>
      <c r="F453" s="1119">
        <f>+SUMIFS('Anlage 2b_Korrekturen'!$E:$E,'Anlage 2b_Korrekturen'!$H:$H,'LV Testat'!$E$4,'Anlage 2b_Korrekturen'!$B:$B,'LV Testat'!$D453,'Anlage 2b_Korrekturen'!$A:$A,C453)</f>
        <v>0</v>
      </c>
      <c r="G453" s="1123">
        <f>+SUMIFS('Anlage 2b_Korrekturen'!$F:$F,'Anlage 2b_Korrekturen'!$H:$H,'LV Testat'!$E$4,'Anlage 2b_Korrekturen'!$B:$B,'LV Testat'!$D453,'Anlage 2b_Korrekturen'!$A:$A,C453)</f>
        <v>0</v>
      </c>
      <c r="H453" s="1105">
        <f>+SUMIFS('Anlage 2b_Korrekturen'!$D:$D,'Anlage 2b_Korrekturen'!$H:$H,'LV Testat'!$H$4,'Anlage 2b_Korrekturen'!$B:$B,'LV Testat'!$D453,'Anlage 2b_Korrekturen'!$A:$A,C453)</f>
        <v>0</v>
      </c>
      <c r="I453" s="1119">
        <f>+SUMIFS('Anlage 2b_Korrekturen'!$E:$E,'Anlage 2b_Korrekturen'!$H:$H,'LV Testat'!$H$4,'Anlage 2b_Korrekturen'!$B:$B,'LV Testat'!$D453,'Anlage 2b_Korrekturen'!$A:$A,C453)</f>
        <v>0</v>
      </c>
      <c r="J453" s="1123">
        <f>+SUMIFS('Anlage 2b_Korrekturen'!$F:$F,'Anlage 2b_Korrekturen'!$H:$H,'LV Testat'!$H$4,'Anlage 2b_Korrekturen'!$B:$B,'LV Testat'!$D453,'Anlage 2b_Korrekturen'!$A:$A,C453)</f>
        <v>0</v>
      </c>
      <c r="K453" s="1105">
        <f>+SUMIFS('Anlage 2b_Korrekturen'!$D:$D,'Anlage 2b_Korrekturen'!$H:$H,'LV Testat'!$K$4,'Anlage 2b_Korrekturen'!$B:$B,'LV Testat'!$D453,'Anlage 2b_Korrekturen'!$A:$A,C453)</f>
        <v>0</v>
      </c>
      <c r="L453" s="1119">
        <f>+SUMIFS('Anlage 2b_Korrekturen'!$E:$E,'Anlage 2b_Korrekturen'!$H:$H,'LV Testat'!$K$4,'Anlage 2b_Korrekturen'!$B:$B,'LV Testat'!$D453,'Anlage 2b_Korrekturen'!$A:$A,C453)</f>
        <v>0</v>
      </c>
      <c r="M453" s="1123">
        <f>+SUMIFS('Anlage 2b_Korrekturen'!$F:$F,'Anlage 2b_Korrekturen'!$H:$H,'LV Testat'!$K$4,'Anlage 2b_Korrekturen'!$B:$B,'LV Testat'!$D453,'Anlage 2b_Korrekturen'!$A:$A,C453)</f>
        <v>0</v>
      </c>
      <c r="N453" s="1105">
        <f>+SUMIFS('Anlage 2b_Korrekturen'!$D:$D,'Anlage 2b_Korrekturen'!$H:$H,'LV Testat'!$N$4,'Anlage 2b_Korrekturen'!$B:$B,'LV Testat'!$D453,'Anlage 2b_Korrekturen'!$A:$A,C453)</f>
        <v>0</v>
      </c>
      <c r="O453" s="1119">
        <f>+SUMIFS('Anlage 2b_Korrekturen'!$E:$E,'Anlage 2b_Korrekturen'!$H:$H,'LV Testat'!$N$4,'Anlage 2b_Korrekturen'!$B:$B,'LV Testat'!$D453,'Anlage 2b_Korrekturen'!$A:$A,C453)</f>
        <v>0</v>
      </c>
      <c r="P453" s="1123">
        <f>+SUMIFS('Anlage 2b_Korrekturen'!$F:$F,'Anlage 2b_Korrekturen'!$H:$H,'LV Testat'!$N$4,'Anlage 2b_Korrekturen'!$B:$B,'LV Testat'!$D453,'Anlage 2b_Korrekturen'!$A:$A,C453)</f>
        <v>0</v>
      </c>
      <c r="V453" s="1844" t="s">
        <v>455</v>
      </c>
      <c r="W453" s="1845"/>
      <c r="X453" s="1846"/>
      <c r="Y453" s="1844" t="s">
        <v>774</v>
      </c>
      <c r="Z453" s="1845"/>
      <c r="AA453" s="1846"/>
      <c r="AB453" s="1844" t="s">
        <v>1220</v>
      </c>
      <c r="AC453" s="1845"/>
      <c r="AD453" s="1846"/>
      <c r="AE453" s="1844" t="s">
        <v>1828</v>
      </c>
      <c r="AF453" s="1845"/>
      <c r="AG453" s="1846"/>
    </row>
    <row r="454" spans="1:33" ht="12" hidden="1" outlineLevel="1" thickBot="1">
      <c r="A454" s="1060"/>
      <c r="B454" s="1061"/>
      <c r="C454" s="1204">
        <f>+C453</f>
        <v>2019</v>
      </c>
      <c r="D454" s="1062" t="s">
        <v>2431</v>
      </c>
      <c r="E454" s="1110">
        <f>+SUMIFS('Anlage 2b_Korrekturen'!$D:$D,'Anlage 2b_Korrekturen'!$H:$H,'LV Testat'!$E$4,'Anlage 2b_Korrekturen'!$B:$B,'LV Testat'!$D454,'Anlage 2b_Korrekturen'!$A:$A,$C$137)</f>
        <v>0</v>
      </c>
      <c r="F454" s="1124">
        <f>+SUMIFS('Anlage 2b_Korrekturen'!$E:$E,'Anlage 2b_Korrekturen'!$H:$H,'LV Testat'!$E$4,'Anlage 2b_Korrekturen'!$B:$B,'LV Testat'!$D454,'Anlage 2b_Korrekturen'!$A:$A,C454)</f>
        <v>0</v>
      </c>
      <c r="G454" s="1125">
        <f>+SUMIFS('Anlage 2b_Korrekturen'!$F:$F,'Anlage 2b_Korrekturen'!$H:$H,'LV Testat'!$E$4,'Anlage 2b_Korrekturen'!$B:$B,'LV Testat'!$D454,'Anlage 2b_Korrekturen'!$A:$A,$C$137)</f>
        <v>0</v>
      </c>
      <c r="H454" s="1110">
        <f>+SUMIFS('Anlage 2b_Korrekturen'!$D:$D,'Anlage 2b_Korrekturen'!$H:$H,'LV Testat'!$H$4,'Anlage 2b_Korrekturen'!$B:$B,'LV Testat'!$D454,'Anlage 2b_Korrekturen'!$A:$A,C454)</f>
        <v>0</v>
      </c>
      <c r="I454" s="1124">
        <f>+SUMIFS('Anlage 2b_Korrekturen'!$E:$E,'Anlage 2b_Korrekturen'!$H:$H,'LV Testat'!$H$4,'Anlage 2b_Korrekturen'!$B:$B,'LV Testat'!$D454,'Anlage 2b_Korrekturen'!$A:$A,C454)</f>
        <v>0</v>
      </c>
      <c r="J454" s="1125">
        <f>+SUMIFS('Anlage 2b_Korrekturen'!$F:$F,'Anlage 2b_Korrekturen'!$H:$H,'LV Testat'!$H$4,'Anlage 2b_Korrekturen'!$B:$B,'LV Testat'!$D454,'Anlage 2b_Korrekturen'!$A:$A,C454)</f>
        <v>0</v>
      </c>
      <c r="K454" s="1110">
        <f>+SUMIFS('Anlage 2b_Korrekturen'!$D:$D,'Anlage 2b_Korrekturen'!$H:$H,'LV Testat'!$K$4,'Anlage 2b_Korrekturen'!$B:$B,'LV Testat'!$D454,'Anlage 2b_Korrekturen'!$A:$A,C454)</f>
        <v>0</v>
      </c>
      <c r="L454" s="1124">
        <f>+SUMIFS('Anlage 2b_Korrekturen'!$E:$E,'Anlage 2b_Korrekturen'!$H:$H,'LV Testat'!$K$4,'Anlage 2b_Korrekturen'!$B:$B,'LV Testat'!$D454,'Anlage 2b_Korrekturen'!$A:$A,C454)</f>
        <v>0</v>
      </c>
      <c r="M454" s="1125">
        <f>+SUMIFS('Anlage 2b_Korrekturen'!$F:$F,'Anlage 2b_Korrekturen'!$H:$H,'LV Testat'!$K$4,'Anlage 2b_Korrekturen'!$B:$B,'LV Testat'!$D454,'Anlage 2b_Korrekturen'!$A:$A,C454)</f>
        <v>0</v>
      </c>
      <c r="N454" s="1110">
        <f>+SUMIFS('Anlage 2b_Korrekturen'!$D:$D,'Anlage 2b_Korrekturen'!$H:$H,'LV Testat'!$N$4,'Anlage 2b_Korrekturen'!$B:$B,'LV Testat'!$D454,'Anlage 2b_Korrekturen'!$A:$A,C454)</f>
        <v>0</v>
      </c>
      <c r="O454" s="1124">
        <f>+SUMIFS('Anlage 2b_Korrekturen'!$E:$E,'Anlage 2b_Korrekturen'!$H:$H,'LV Testat'!$N$4,'Anlage 2b_Korrekturen'!$B:$B,'LV Testat'!$D454,'Anlage 2b_Korrekturen'!$A:$A,C454)</f>
        <v>0</v>
      </c>
      <c r="P454" s="1125">
        <f>+SUMIFS('Anlage 2b_Korrekturen'!$F:$F,'Anlage 2b_Korrekturen'!$H:$H,'LV Testat'!$N$4,'Anlage 2b_Korrekturen'!$B:$B,'LV Testat'!$D454,'Anlage 2b_Korrekturen'!$A:$A,C454)</f>
        <v>0</v>
      </c>
    </row>
    <row r="455" spans="1:33" s="1132" customFormat="1" ht="18" collapsed="1">
      <c r="A455" s="1126" t="s">
        <v>2531</v>
      </c>
      <c r="B455" s="1127"/>
      <c r="C455" s="1127"/>
      <c r="D455" s="1128"/>
      <c r="E455" s="1129"/>
      <c r="F455" s="1129"/>
      <c r="G455" s="1130"/>
      <c r="H455" s="1131"/>
      <c r="I455" s="1129"/>
      <c r="J455" s="1130"/>
      <c r="K455" s="1131"/>
      <c r="L455" s="1129"/>
      <c r="M455" s="1130"/>
      <c r="N455" s="1131"/>
      <c r="O455" s="1129"/>
      <c r="P455" s="1130"/>
      <c r="R455" s="1126" t="s">
        <v>2536</v>
      </c>
      <c r="S455" s="1127"/>
      <c r="T455" s="1127"/>
      <c r="U455" s="1128"/>
      <c r="V455" s="1129"/>
      <c r="W455" s="1129"/>
      <c r="X455" s="1130"/>
      <c r="Y455" s="1131"/>
      <c r="Z455" s="1129"/>
      <c r="AA455" s="1130"/>
      <c r="AB455" s="1131"/>
      <c r="AC455" s="1129"/>
      <c r="AD455" s="1130"/>
      <c r="AE455" s="1131"/>
      <c r="AF455" s="1129"/>
      <c r="AG455" s="1130"/>
    </row>
    <row r="456" spans="1:33" ht="15.75" thickBot="1">
      <c r="A456" s="1841">
        <f>+A393-1</f>
        <v>2018</v>
      </c>
      <c r="B456" s="1842"/>
      <c r="C456" s="1842"/>
      <c r="D456" s="1843"/>
      <c r="E456" s="1091"/>
      <c r="F456" s="1091"/>
      <c r="G456" s="1121"/>
      <c r="H456" s="1090"/>
      <c r="I456" s="1091"/>
      <c r="J456" s="1121"/>
      <c r="K456" s="1090"/>
      <c r="L456" s="1091"/>
      <c r="M456" s="1121"/>
      <c r="N456" s="1090"/>
      <c r="O456" s="1091"/>
      <c r="P456" s="1121"/>
      <c r="Q456" s="1571" t="s">
        <v>2537</v>
      </c>
      <c r="R456" s="1841">
        <f>A456</f>
        <v>2018</v>
      </c>
      <c r="S456" s="1842"/>
      <c r="T456" s="1842"/>
      <c r="U456" s="1843"/>
      <c r="V456" s="1091"/>
      <c r="W456" s="1091"/>
      <c r="X456" s="1121"/>
      <c r="Y456" s="1090"/>
      <c r="Z456" s="1091"/>
      <c r="AA456" s="1121"/>
      <c r="AB456" s="1090"/>
      <c r="AC456" s="1091"/>
      <c r="AD456" s="1121"/>
      <c r="AE456" s="1090"/>
      <c r="AF456" s="1091"/>
      <c r="AG456" s="1121"/>
    </row>
    <row r="457" spans="1:33" ht="13.5" thickBot="1">
      <c r="A457" s="1013" t="s">
        <v>2532</v>
      </c>
      <c r="B457" s="1133"/>
      <c r="C457" s="1133"/>
      <c r="D457" s="1134"/>
      <c r="E457" s="1001"/>
      <c r="F457" s="1017" t="str">
        <f>+"Check LV NT "&amp;C460</f>
        <v>Check LV NT 2018</v>
      </c>
      <c r="G457" s="1018">
        <f>+F468-E468</f>
        <v>0</v>
      </c>
      <c r="H457" s="1000"/>
      <c r="I457" s="1017" t="str">
        <f>+"Check LV NT "&amp;C460</f>
        <v>Check LV NT 2018</v>
      </c>
      <c r="J457" s="1018">
        <f>+I468-H468</f>
        <v>0</v>
      </c>
      <c r="K457" s="1000"/>
      <c r="L457" s="1017" t="str">
        <f>+"Check LV NT "&amp;C460</f>
        <v>Check LV NT 2018</v>
      </c>
      <c r="M457" s="1018">
        <f>+L468-K468</f>
        <v>0</v>
      </c>
      <c r="N457" s="1000"/>
      <c r="O457" s="1017" t="str">
        <f>+"Check LV NT "&amp;C460</f>
        <v>Check LV NT 2018</v>
      </c>
      <c r="P457" s="1018">
        <f>+O468-N468</f>
        <v>0</v>
      </c>
      <c r="R457" s="1013" t="s">
        <v>2532</v>
      </c>
      <c r="S457" s="1133"/>
      <c r="T457" s="1133"/>
      <c r="U457" s="1134"/>
      <c r="V457" s="1001"/>
      <c r="W457" s="1017" t="str">
        <f>+"Check LV NT "&amp;T460</f>
        <v>Check LV NT 2018</v>
      </c>
      <c r="X457" s="1018">
        <f>+W468-V468</f>
        <v>0</v>
      </c>
      <c r="Y457" s="1000"/>
      <c r="Z457" s="1017" t="str">
        <f>+"Check LV NT "&amp;T460</f>
        <v>Check LV NT 2018</v>
      </c>
      <c r="AA457" s="1018">
        <f>+Z468-Y468</f>
        <v>0</v>
      </c>
      <c r="AB457" s="1000"/>
      <c r="AC457" s="1017" t="str">
        <f>+"Check LV NT "&amp;T460</f>
        <v>Check LV NT 2018</v>
      </c>
      <c r="AD457" s="1018">
        <f>+AC468-AB468</f>
        <v>0</v>
      </c>
      <c r="AE457" s="1000"/>
      <c r="AF457" s="1017" t="str">
        <f>+"Check LV NT "&amp;T460</f>
        <v>Check LV NT 2018</v>
      </c>
      <c r="AG457" s="1018">
        <f>+AF468-AE468</f>
        <v>0</v>
      </c>
    </row>
    <row r="458" spans="1:33" hidden="1" outlineLevel="1">
      <c r="A458" s="1028"/>
      <c r="D458" s="1041"/>
      <c r="G458" s="1041"/>
      <c r="H458" s="1028"/>
      <c r="J458" s="1041"/>
      <c r="K458" s="1028"/>
      <c r="M458" s="1041"/>
      <c r="N458" s="1028"/>
      <c r="P458" s="1041"/>
      <c r="R458" s="1028"/>
      <c r="U458" s="1041"/>
      <c r="X458" s="1041"/>
      <c r="Y458" s="1028"/>
      <c r="AA458" s="1041"/>
      <c r="AB458" s="1028"/>
      <c r="AD458" s="1041"/>
      <c r="AE458" s="1028"/>
      <c r="AG458" s="1041"/>
    </row>
    <row r="459" spans="1:33" ht="33.75" hidden="1" outlineLevel="1">
      <c r="A459" s="1028"/>
      <c r="D459" s="1135"/>
      <c r="E459" s="1032" t="s">
        <v>2499</v>
      </c>
      <c r="F459" s="1032" t="s">
        <v>2499</v>
      </c>
      <c r="H459" s="1032" t="s">
        <v>2499</v>
      </c>
      <c r="I459" s="1032" t="s">
        <v>2499</v>
      </c>
      <c r="J459" s="1041"/>
      <c r="K459" s="1034" t="s">
        <v>2499</v>
      </c>
      <c r="L459" s="1032" t="s">
        <v>2499</v>
      </c>
      <c r="M459" s="1041"/>
      <c r="N459" s="1034" t="s">
        <v>2499</v>
      </c>
      <c r="O459" s="1032" t="s">
        <v>2499</v>
      </c>
      <c r="P459" s="1041"/>
      <c r="R459" s="1028"/>
      <c r="U459" s="1135"/>
      <c r="V459" s="1032" t="s">
        <v>2499</v>
      </c>
      <c r="W459" s="1032" t="s">
        <v>2499</v>
      </c>
      <c r="Y459" s="1032" t="s">
        <v>2499</v>
      </c>
      <c r="Z459" s="1032" t="s">
        <v>2499</v>
      </c>
      <c r="AA459" s="1041"/>
      <c r="AB459" s="1034" t="s">
        <v>2499</v>
      </c>
      <c r="AC459" s="1032" t="s">
        <v>2499</v>
      </c>
      <c r="AD459" s="1041"/>
      <c r="AE459" s="1034" t="s">
        <v>2499</v>
      </c>
      <c r="AF459" s="1032" t="s">
        <v>2499</v>
      </c>
      <c r="AG459" s="1041"/>
    </row>
    <row r="460" spans="1:33" hidden="1" outlineLevel="1">
      <c r="A460" s="1136"/>
      <c r="C460" s="1137">
        <f>+A456</f>
        <v>2018</v>
      </c>
      <c r="D460" s="1138" t="s">
        <v>2408</v>
      </c>
      <c r="E460" s="1139"/>
      <c r="F460" s="1119">
        <f>+SUMIFS('Anlage 2b_Korrekturen'!$D:$D,'Anlage 2b_Korrekturen'!$H:$H,'LV Testat'!$E$4,'Anlage 2b_Korrekturen'!$C:$C,'LV Testat'!$D460,'Anlage 2b_Korrekturen'!$A:$A,'LV Testat'!C460)</f>
        <v>0</v>
      </c>
      <c r="H460" s="1139">
        <v>594218</v>
      </c>
      <c r="I460" s="1119">
        <f>+SUMIFS('Anlage 2b_Korrekturen'!$D:$D,'Anlage 2b_Korrekturen'!$H:$H,'LV Testat'!$H$4,'Anlage 2b_Korrekturen'!$C:$C,'LV Testat'!$D460,'Anlage 2b_Korrekturen'!$A:$A,'LV Testat'!C460)</f>
        <v>594218</v>
      </c>
      <c r="J460" s="1041"/>
      <c r="K460" s="1139">
        <v>0</v>
      </c>
      <c r="L460" s="1119">
        <f>+SUMIFS('Anlage 2b_Korrekturen'!$D:$D,'Anlage 2b_Korrekturen'!$H:$H,'LV Testat'!$K$4,'Anlage 2b_Korrekturen'!$C:$C,'LV Testat'!$D460,'Anlage 2b_Korrekturen'!$A:$A,'LV Testat'!C460)</f>
        <v>0</v>
      </c>
      <c r="M460" s="1041"/>
      <c r="N460" s="1139">
        <v>7780</v>
      </c>
      <c r="O460" s="1119">
        <f>+SUMIFS('Anlage 2b_Korrekturen'!$D:$D,'Anlage 2b_Korrekturen'!$H:$H,'LV Testat'!$N$4,'Anlage 2b_Korrekturen'!$C:$C,'LV Testat'!$D460,'Anlage 2b_Korrekturen'!$A:$A,'LV Testat'!C460)</f>
        <v>7780</v>
      </c>
      <c r="P460" s="1041"/>
      <c r="R460" s="1136"/>
      <c r="T460" s="1137">
        <f>+R456</f>
        <v>2018</v>
      </c>
      <c r="U460" s="1138" t="s">
        <v>2416</v>
      </c>
      <c r="V460" s="1139"/>
      <c r="W460" s="1119">
        <f>+SUMIFS('Anlage 2b_Korrekturen'!$D:$D,'Anlage 2b_Korrekturen'!$H:$H,'LV Testat'!$E$4,'Anlage 2b_Korrekturen'!$C:$C,'LV Testat'!$D460,'Anlage 2b_Korrekturen'!$A:$A,'LV Testat'!T460)</f>
        <v>0</v>
      </c>
      <c r="Y460" s="1139">
        <v>594218</v>
      </c>
      <c r="Z460" s="1119">
        <f>+SUMIFS('Anlage 2b_Korrekturen'!$D:$D,'Anlage 2b_Korrekturen'!$H:$H,'LV Testat'!$H$4,'Anlage 2b_Korrekturen'!$C:$C,'LV Testat'!$D460,'Anlage 2b_Korrekturen'!$A:$A,'LV Testat'!T460)</f>
        <v>594218</v>
      </c>
      <c r="AA460" s="1041"/>
      <c r="AB460" s="1139"/>
      <c r="AC460" s="1119">
        <f>+SUMIFS('Anlage 2b_Korrekturen'!$D:$D,'Anlage 2b_Korrekturen'!$H:$H,'LV Testat'!$K$4,'Anlage 2b_Korrekturen'!$C:$C,'LV Testat'!$D460,'Anlage 2b_Korrekturen'!$A:$A,'LV Testat'!T460)</f>
        <v>0</v>
      </c>
      <c r="AD460" s="1041"/>
      <c r="AE460" s="1139">
        <v>7780</v>
      </c>
      <c r="AF460" s="1119">
        <f>+SUMIFS('Anlage 2b_Korrekturen'!$D:$D,'Anlage 2b_Korrekturen'!$H:$H,'LV Testat'!$N$4,'Anlage 2b_Korrekturen'!$C:$C,'LV Testat'!$D460,'Anlage 2b_Korrekturen'!$A:$A,'LV Testat'!T460)</f>
        <v>7780</v>
      </c>
      <c r="AG460" s="1041"/>
    </row>
    <row r="461" spans="1:33" hidden="1" outlineLevel="1">
      <c r="A461" s="1136"/>
      <c r="C461" s="1137">
        <f t="shared" ref="C461:C468" si="14">+C460</f>
        <v>2018</v>
      </c>
      <c r="D461" s="1138" t="s">
        <v>2500</v>
      </c>
      <c r="E461" s="1139"/>
      <c r="F461" s="1119">
        <f>+SUMIFS('Anlage 2b_Korrekturen'!$D:$D,'Anlage 2b_Korrekturen'!$H:$H,'LV Testat'!$E$4,'Anlage 2b_Korrekturen'!$C:$C,'LV Testat'!$D461,'Anlage 2b_Korrekturen'!$A:$A,'LV Testat'!C461)</f>
        <v>0</v>
      </c>
      <c r="H461" s="1139"/>
      <c r="I461" s="1119">
        <f>+SUMIFS('Anlage 2b_Korrekturen'!$D:$D,'Anlage 2b_Korrekturen'!$H:$H,'LV Testat'!$H$4,'Anlage 2b_Korrekturen'!$C:$C,'LV Testat'!$D461,'Anlage 2b_Korrekturen'!$A:$A,'LV Testat'!C461)</f>
        <v>0</v>
      </c>
      <c r="J461" s="1041"/>
      <c r="K461" s="1139">
        <v>0</v>
      </c>
      <c r="L461" s="1119">
        <f>+SUMIFS('Anlage 2b_Korrekturen'!$D:$D,'Anlage 2b_Korrekturen'!$H:$H,'LV Testat'!$K$4,'Anlage 2b_Korrekturen'!$C:$C,'LV Testat'!$D461,'Anlage 2b_Korrekturen'!$A:$A,'LV Testat'!C461)</f>
        <v>0</v>
      </c>
      <c r="M461" s="1041"/>
      <c r="N461" s="1139">
        <v>0</v>
      </c>
      <c r="O461" s="1119">
        <f>+SUMIFS('Anlage 2b_Korrekturen'!$D:$D,'Anlage 2b_Korrekturen'!$H:$H,'LV Testat'!$N$4,'Anlage 2b_Korrekturen'!$C:$C,'LV Testat'!$D461,'Anlage 2b_Korrekturen'!$A:$A,'LV Testat'!C461)</f>
        <v>0</v>
      </c>
      <c r="P461" s="1041"/>
      <c r="R461" s="1136"/>
      <c r="T461" s="1137">
        <f t="shared" ref="T461:T468" si="15">+T460</f>
        <v>2018</v>
      </c>
      <c r="U461" s="1138" t="s">
        <v>2538</v>
      </c>
      <c r="V461" s="1139"/>
      <c r="W461" s="1119">
        <f>+SUMIFS('Anlage 2b_Korrekturen'!$D:$D,'Anlage 2b_Korrekturen'!$H:$H,'LV Testat'!$E$4,'Anlage 2b_Korrekturen'!$C:$C,'LV Testat'!$D461,'Anlage 2b_Korrekturen'!$A:$A,'LV Testat'!T461)</f>
        <v>0</v>
      </c>
      <c r="Y461" s="1139"/>
      <c r="Z461" s="1119">
        <f>+SUMIFS('Anlage 2b_Korrekturen'!$D:$D,'Anlage 2b_Korrekturen'!$H:$H,'LV Testat'!$H$4,'Anlage 2b_Korrekturen'!$C:$C,'LV Testat'!$D461,'Anlage 2b_Korrekturen'!$A:$A,'LV Testat'!T461)</f>
        <v>0</v>
      </c>
      <c r="AA461" s="1041"/>
      <c r="AB461" s="1139"/>
      <c r="AC461" s="1119">
        <f>+SUMIFS('Anlage 2b_Korrekturen'!$D:$D,'Anlage 2b_Korrekturen'!$H:$H,'LV Testat'!$K$4,'Anlage 2b_Korrekturen'!$C:$C,'LV Testat'!$D461,'Anlage 2b_Korrekturen'!$A:$A,'LV Testat'!T461)</f>
        <v>0</v>
      </c>
      <c r="AD461" s="1041"/>
      <c r="AE461" s="1139">
        <v>0</v>
      </c>
      <c r="AF461" s="1119">
        <f>+SUMIFS('Anlage 2b_Korrekturen'!$D:$D,'Anlage 2b_Korrekturen'!$H:$H,'LV Testat'!$N$4,'Anlage 2b_Korrekturen'!$C:$C,'LV Testat'!$D461,'Anlage 2b_Korrekturen'!$A:$A,'LV Testat'!T461)</f>
        <v>0</v>
      </c>
      <c r="AG461" s="1041"/>
    </row>
    <row r="462" spans="1:33" hidden="1" outlineLevel="1">
      <c r="A462" s="1136"/>
      <c r="C462" s="1137">
        <f t="shared" si="14"/>
        <v>2018</v>
      </c>
      <c r="D462" s="1138" t="s">
        <v>2418</v>
      </c>
      <c r="E462" s="1139"/>
      <c r="F462" s="1119">
        <f>+SUMIFS('Anlage 2b_Korrekturen'!$D:$D,'Anlage 2b_Korrekturen'!$H:$H,'LV Testat'!$E$4,'Anlage 2b_Korrekturen'!$C:$C,'LV Testat'!$D462,'Anlage 2b_Korrekturen'!$A:$A,'LV Testat'!C462)</f>
        <v>0</v>
      </c>
      <c r="H462" s="1139">
        <v>0</v>
      </c>
      <c r="I462" s="1119">
        <f>+SUMIFS('Anlage 2b_Korrekturen'!$D:$D,'Anlage 2b_Korrekturen'!$H:$H,'LV Testat'!$H$4,'Anlage 2b_Korrekturen'!$C:$C,'LV Testat'!$D462,'Anlage 2b_Korrekturen'!$A:$A,'LV Testat'!C462)</f>
        <v>0</v>
      </c>
      <c r="J462" s="1041"/>
      <c r="K462" s="1139">
        <v>0</v>
      </c>
      <c r="L462" s="1119">
        <f>+SUMIFS('Anlage 2b_Korrekturen'!$D:$D,'Anlage 2b_Korrekturen'!$H:$H,'LV Testat'!$K$4,'Anlage 2b_Korrekturen'!$C:$C,'LV Testat'!$D462,'Anlage 2b_Korrekturen'!$A:$A,'LV Testat'!C462)</f>
        <v>0</v>
      </c>
      <c r="M462" s="1041"/>
      <c r="N462" s="1139">
        <v>0</v>
      </c>
      <c r="O462" s="1119">
        <f>+SUMIFS('Anlage 2b_Korrekturen'!$D:$D,'Anlage 2b_Korrekturen'!$H:$H,'LV Testat'!$N$4,'Anlage 2b_Korrekturen'!$C:$C,'LV Testat'!$D462,'Anlage 2b_Korrekturen'!$A:$A,'LV Testat'!C462)</f>
        <v>0</v>
      </c>
      <c r="P462" s="1041"/>
      <c r="R462" s="1136"/>
      <c r="T462" s="1137">
        <f t="shared" si="15"/>
        <v>2018</v>
      </c>
      <c r="U462" s="1138" t="s">
        <v>2539</v>
      </c>
      <c r="V462" s="1139"/>
      <c r="W462" s="1119">
        <f>+SUMIFS('Anlage 2b_Korrekturen'!$D:$D,'Anlage 2b_Korrekturen'!$H:$H,'LV Testat'!$E$4,'Anlage 2b_Korrekturen'!$C:$C,'LV Testat'!$D462,'Anlage 2b_Korrekturen'!$A:$A,'LV Testat'!T462)</f>
        <v>0</v>
      </c>
      <c r="Y462" s="1139">
        <v>0</v>
      </c>
      <c r="Z462" s="1119">
        <f>+SUMIFS('Anlage 2b_Korrekturen'!$D:$D,'Anlage 2b_Korrekturen'!$H:$H,'LV Testat'!$H$4,'Anlage 2b_Korrekturen'!$C:$C,'LV Testat'!$D462,'Anlage 2b_Korrekturen'!$A:$A,'LV Testat'!T462)</f>
        <v>0</v>
      </c>
      <c r="AA462" s="1041"/>
      <c r="AB462" s="1139"/>
      <c r="AC462" s="1119">
        <f>+SUMIFS('Anlage 2b_Korrekturen'!$D:$D,'Anlage 2b_Korrekturen'!$H:$H,'LV Testat'!$K$4,'Anlage 2b_Korrekturen'!$C:$C,'LV Testat'!$D462,'Anlage 2b_Korrekturen'!$A:$A,'LV Testat'!T462)</f>
        <v>0</v>
      </c>
      <c r="AD462" s="1041"/>
      <c r="AE462" s="1139">
        <v>0</v>
      </c>
      <c r="AF462" s="1119">
        <f>+SUMIFS('Anlage 2b_Korrekturen'!$D:$D,'Anlage 2b_Korrekturen'!$H:$H,'LV Testat'!$N$4,'Anlage 2b_Korrekturen'!$C:$C,'LV Testat'!$D462,'Anlage 2b_Korrekturen'!$A:$A,'LV Testat'!T462)</f>
        <v>0</v>
      </c>
      <c r="AG462" s="1041"/>
    </row>
    <row r="463" spans="1:33" hidden="1" outlineLevel="1">
      <c r="A463" s="1136"/>
      <c r="C463" s="1137">
        <f t="shared" si="14"/>
        <v>2018</v>
      </c>
      <c r="D463" s="1141" t="s">
        <v>2501</v>
      </c>
      <c r="E463" s="1139"/>
      <c r="F463" s="1119">
        <f>+SUMIFS('Anlage 2b_Korrekturen'!$D:$D,'Anlage 2b_Korrekturen'!$H:$H,'LV Testat'!$E$4,'Anlage 2b_Korrekturen'!$C:$C,'LV Testat'!$D463,'Anlage 2b_Korrekturen'!$A:$A,'LV Testat'!C463)</f>
        <v>0</v>
      </c>
      <c r="H463" s="1139"/>
      <c r="I463" s="1119">
        <f>+SUMIFS('Anlage 2b_Korrekturen'!$D:$D,'Anlage 2b_Korrekturen'!$H:$H,'LV Testat'!$H$4,'Anlage 2b_Korrekturen'!$C:$C,'LV Testat'!$D463,'Anlage 2b_Korrekturen'!$A:$A,'LV Testat'!C463)</f>
        <v>0</v>
      </c>
      <c r="J463" s="1041"/>
      <c r="K463" s="1139">
        <v>0</v>
      </c>
      <c r="L463" s="1119">
        <f>+SUMIFS('Anlage 2b_Korrekturen'!$D:$D,'Anlage 2b_Korrekturen'!$H:$H,'LV Testat'!$K$4,'Anlage 2b_Korrekturen'!$C:$C,'LV Testat'!$D463,'Anlage 2b_Korrekturen'!$A:$A,'LV Testat'!C463)</f>
        <v>0</v>
      </c>
      <c r="M463" s="1041"/>
      <c r="N463" s="1139">
        <v>0</v>
      </c>
      <c r="O463" s="1119">
        <f>+SUMIFS('Anlage 2b_Korrekturen'!$D:$D,'Anlage 2b_Korrekturen'!$H:$H,'LV Testat'!$N$4,'Anlage 2b_Korrekturen'!$C:$C,'LV Testat'!$D463,'Anlage 2b_Korrekturen'!$A:$A,'LV Testat'!C463)</f>
        <v>0</v>
      </c>
      <c r="P463" s="1041"/>
      <c r="R463" s="1136"/>
      <c r="T463" s="1137">
        <f t="shared" si="15"/>
        <v>2018</v>
      </c>
      <c r="U463" s="1141" t="s">
        <v>2501</v>
      </c>
      <c r="V463" s="1139"/>
      <c r="W463" s="1119">
        <f>+SUMIFS('Anlage 2b_Korrekturen'!$D:$D,'Anlage 2b_Korrekturen'!$H:$H,'LV Testat'!$E$4,'Anlage 2b_Korrekturen'!$C:$C,'LV Testat'!$D463,'Anlage 2b_Korrekturen'!$A:$A,'LV Testat'!T463)</f>
        <v>0</v>
      </c>
      <c r="Y463" s="1139"/>
      <c r="Z463" s="1119">
        <f>+SUMIFS('Anlage 2b_Korrekturen'!$D:$D,'Anlage 2b_Korrekturen'!$H:$H,'LV Testat'!$H$4,'Anlage 2b_Korrekturen'!$C:$C,'LV Testat'!$D463,'Anlage 2b_Korrekturen'!$A:$A,'LV Testat'!T463)</f>
        <v>0</v>
      </c>
      <c r="AA463" s="1041"/>
      <c r="AB463" s="1139"/>
      <c r="AC463" s="1119">
        <f>+SUMIFS('Anlage 2b_Korrekturen'!$D:$D,'Anlage 2b_Korrekturen'!$H:$H,'LV Testat'!$K$4,'Anlage 2b_Korrekturen'!$C:$C,'LV Testat'!$D463,'Anlage 2b_Korrekturen'!$A:$A,'LV Testat'!T463)</f>
        <v>0</v>
      </c>
      <c r="AD463" s="1041"/>
      <c r="AE463" s="1139">
        <v>0</v>
      </c>
      <c r="AF463" s="1119">
        <f>+SUMIFS('Anlage 2b_Korrekturen'!$D:$D,'Anlage 2b_Korrekturen'!$H:$H,'LV Testat'!$N$4,'Anlage 2b_Korrekturen'!$C:$C,'LV Testat'!$D463,'Anlage 2b_Korrekturen'!$A:$A,'LV Testat'!T463)</f>
        <v>0</v>
      </c>
      <c r="AG463" s="1041"/>
    </row>
    <row r="464" spans="1:33" hidden="1" outlineLevel="1">
      <c r="A464" s="1136"/>
      <c r="C464" s="1137">
        <f t="shared" si="14"/>
        <v>2018</v>
      </c>
      <c r="D464" s="1138" t="s">
        <v>2409</v>
      </c>
      <c r="E464" s="1139"/>
      <c r="F464" s="1119">
        <f>+SUMIFS('Anlage 2b_Korrekturen'!$D:$D,'Anlage 2b_Korrekturen'!$H:$H,'LV Testat'!$E$4,'Anlage 2b_Korrekturen'!$C:$C,'LV Testat'!$D464,'Anlage 2b_Korrekturen'!$A:$A,'LV Testat'!C464)</f>
        <v>0</v>
      </c>
      <c r="H464" s="1139">
        <v>0</v>
      </c>
      <c r="I464" s="1119">
        <f>+SUMIFS('Anlage 2b_Korrekturen'!$D:$D,'Anlage 2b_Korrekturen'!$H:$H,'LV Testat'!$H$4,'Anlage 2b_Korrekturen'!$C:$C,'LV Testat'!$D464,'Anlage 2b_Korrekturen'!$A:$A,'LV Testat'!C464)</f>
        <v>0</v>
      </c>
      <c r="J464" s="1041"/>
      <c r="K464" s="1139">
        <v>0</v>
      </c>
      <c r="L464" s="1119">
        <f>+SUMIFS('Anlage 2b_Korrekturen'!$D:$D,'Anlage 2b_Korrekturen'!$H:$H,'LV Testat'!$K$4,'Anlage 2b_Korrekturen'!$C:$C,'LV Testat'!$D464,'Anlage 2b_Korrekturen'!$A:$A,'LV Testat'!C464)</f>
        <v>0</v>
      </c>
      <c r="M464" s="1041"/>
      <c r="N464" s="1139">
        <v>0</v>
      </c>
      <c r="O464" s="1119">
        <f>+SUMIFS('Anlage 2b_Korrekturen'!$D:$D,'Anlage 2b_Korrekturen'!$H:$H,'LV Testat'!$N$4,'Anlage 2b_Korrekturen'!$C:$C,'LV Testat'!$D464,'Anlage 2b_Korrekturen'!$A:$A,'LV Testat'!C464)</f>
        <v>0</v>
      </c>
      <c r="P464" s="1041"/>
      <c r="R464" s="1136"/>
      <c r="T464" s="1137">
        <f t="shared" si="15"/>
        <v>2018</v>
      </c>
      <c r="U464" s="1141" t="s">
        <v>2409</v>
      </c>
      <c r="V464" s="1139"/>
      <c r="W464" s="1119">
        <f>+SUMIFS('Anlage 2b_Korrekturen'!$D:$D,'Anlage 2b_Korrekturen'!$H:$H,'LV Testat'!$E$4,'Anlage 2b_Korrekturen'!$C:$C,'LV Testat'!$D464,'Anlage 2b_Korrekturen'!$A:$A,'LV Testat'!T464)</f>
        <v>0</v>
      </c>
      <c r="Y464" s="1139">
        <v>0</v>
      </c>
      <c r="Z464" s="1119">
        <f>+SUMIFS('Anlage 2b_Korrekturen'!$D:$D,'Anlage 2b_Korrekturen'!$H:$H,'LV Testat'!$H$4,'Anlage 2b_Korrekturen'!$C:$C,'LV Testat'!$D464,'Anlage 2b_Korrekturen'!$A:$A,'LV Testat'!T464)</f>
        <v>0</v>
      </c>
      <c r="AA464" s="1041"/>
      <c r="AB464" s="1139"/>
      <c r="AC464" s="1119">
        <f>+SUMIFS('Anlage 2b_Korrekturen'!$D:$D,'Anlage 2b_Korrekturen'!$H:$H,'LV Testat'!$K$4,'Anlage 2b_Korrekturen'!$C:$C,'LV Testat'!$D464,'Anlage 2b_Korrekturen'!$A:$A,'LV Testat'!T464)</f>
        <v>0</v>
      </c>
      <c r="AD464" s="1041"/>
      <c r="AE464" s="1139">
        <v>0</v>
      </c>
      <c r="AF464" s="1119">
        <f>+SUMIFS('Anlage 2b_Korrekturen'!$D:$D,'Anlage 2b_Korrekturen'!$H:$H,'LV Testat'!$N$4,'Anlage 2b_Korrekturen'!$C:$C,'LV Testat'!$D464,'Anlage 2b_Korrekturen'!$A:$A,'LV Testat'!T464)</f>
        <v>0</v>
      </c>
      <c r="AG464" s="1041"/>
    </row>
    <row r="465" spans="1:33" hidden="1" outlineLevel="1">
      <c r="A465" s="1136"/>
      <c r="C465" s="1137">
        <f t="shared" si="14"/>
        <v>2018</v>
      </c>
      <c r="D465" s="1138" t="s">
        <v>2419</v>
      </c>
      <c r="E465" s="1139"/>
      <c r="F465" s="1119">
        <f>+SUMIFS('Anlage 2b_Korrekturen'!$D:$D,'Anlage 2b_Korrekturen'!$H:$H,'LV Testat'!$E$4,'Anlage 2b_Korrekturen'!$C:$C,'LV Testat'!$D465,'Anlage 2b_Korrekturen'!$A:$A,'LV Testat'!C465)</f>
        <v>0</v>
      </c>
      <c r="H465" s="1139"/>
      <c r="I465" s="1119">
        <f>+SUMIFS('Anlage 2b_Korrekturen'!$D:$D,'Anlage 2b_Korrekturen'!$H:$H,'LV Testat'!$H$4,'Anlage 2b_Korrekturen'!$C:$C,'LV Testat'!$D465,'Anlage 2b_Korrekturen'!$A:$A,'LV Testat'!C465)</f>
        <v>0</v>
      </c>
      <c r="J465" s="1041"/>
      <c r="K465" s="1139">
        <v>0</v>
      </c>
      <c r="L465" s="1119">
        <f>+SUMIFS('Anlage 2b_Korrekturen'!$D:$D,'Anlage 2b_Korrekturen'!$H:$H,'LV Testat'!$K$4,'Anlage 2b_Korrekturen'!$C:$C,'LV Testat'!$D465,'Anlage 2b_Korrekturen'!$A:$A,'LV Testat'!C465)</f>
        <v>0</v>
      </c>
      <c r="M465" s="1041"/>
      <c r="N465" s="1139">
        <v>0</v>
      </c>
      <c r="O465" s="1119">
        <f>+SUMIFS('Anlage 2b_Korrekturen'!$D:$D,'Anlage 2b_Korrekturen'!$H:$H,'LV Testat'!$N$4,'Anlage 2b_Korrekturen'!$C:$C,'LV Testat'!$D465,'Anlage 2b_Korrekturen'!$A:$A,'LV Testat'!C465)</f>
        <v>0</v>
      </c>
      <c r="P465" s="1041"/>
      <c r="R465" s="1136"/>
      <c r="T465" s="1137">
        <f t="shared" si="15"/>
        <v>2018</v>
      </c>
      <c r="U465" s="1141" t="s">
        <v>2419</v>
      </c>
      <c r="V465" s="1139"/>
      <c r="W465" s="1119">
        <f>+SUMIFS('Anlage 2b_Korrekturen'!$D:$D,'Anlage 2b_Korrekturen'!$H:$H,'LV Testat'!$E$4,'Anlage 2b_Korrekturen'!$C:$C,'LV Testat'!$D465,'Anlage 2b_Korrekturen'!$A:$A,'LV Testat'!T465)</f>
        <v>0</v>
      </c>
      <c r="Y465" s="1139"/>
      <c r="Z465" s="1119">
        <f>+SUMIFS('Anlage 2b_Korrekturen'!$D:$D,'Anlage 2b_Korrekturen'!$H:$H,'LV Testat'!$H$4,'Anlage 2b_Korrekturen'!$C:$C,'LV Testat'!$D465,'Anlage 2b_Korrekturen'!$A:$A,'LV Testat'!T465)</f>
        <v>0</v>
      </c>
      <c r="AA465" s="1041"/>
      <c r="AB465" s="1139"/>
      <c r="AC465" s="1119">
        <f>+SUMIFS('Anlage 2b_Korrekturen'!$D:$D,'Anlage 2b_Korrekturen'!$H:$H,'LV Testat'!$K$4,'Anlage 2b_Korrekturen'!$C:$C,'LV Testat'!$D465,'Anlage 2b_Korrekturen'!$A:$A,'LV Testat'!T465)</f>
        <v>0</v>
      </c>
      <c r="AD465" s="1041"/>
      <c r="AE465" s="1139">
        <v>0</v>
      </c>
      <c r="AF465" s="1119">
        <f>+SUMIFS('Anlage 2b_Korrekturen'!$D:$D,'Anlage 2b_Korrekturen'!$H:$H,'LV Testat'!$N$4,'Anlage 2b_Korrekturen'!$C:$C,'LV Testat'!$D465,'Anlage 2b_Korrekturen'!$A:$A,'LV Testat'!T465)</f>
        <v>0</v>
      </c>
      <c r="AG465" s="1041"/>
    </row>
    <row r="466" spans="1:33" hidden="1" outlineLevel="1">
      <c r="A466" s="1136"/>
      <c r="C466" s="1137">
        <f t="shared" si="14"/>
        <v>2018</v>
      </c>
      <c r="D466" s="1138" t="s">
        <v>2412</v>
      </c>
      <c r="E466" s="1139"/>
      <c r="F466" s="1119">
        <f>+SUMIFS('Anlage 2b_Korrekturen'!$D:$D,'Anlage 2b_Korrekturen'!$H:$H,'LV Testat'!$E$4,'Anlage 2b_Korrekturen'!$C:$C,'LV Testat'!$D466,'Anlage 2b_Korrekturen'!$A:$A,'LV Testat'!C466)</f>
        <v>0</v>
      </c>
      <c r="H466" s="1139"/>
      <c r="I466" s="1119">
        <f>+SUMIFS('Anlage 2b_Korrekturen'!$D:$D,'Anlage 2b_Korrekturen'!$H:$H,'LV Testat'!$H$4,'Anlage 2b_Korrekturen'!$C:$C,'LV Testat'!$D466,'Anlage 2b_Korrekturen'!$A:$A,'LV Testat'!C466)</f>
        <v>0</v>
      </c>
      <c r="J466" s="1041"/>
      <c r="K466" s="1139">
        <v>0</v>
      </c>
      <c r="L466" s="1119">
        <f>+SUMIFS('Anlage 2b_Korrekturen'!$D:$D,'Anlage 2b_Korrekturen'!$H:$H,'LV Testat'!$K$4,'Anlage 2b_Korrekturen'!$C:$C,'LV Testat'!$D466,'Anlage 2b_Korrekturen'!$A:$A,'LV Testat'!C466)</f>
        <v>0</v>
      </c>
      <c r="M466" s="1041"/>
      <c r="N466" s="1139">
        <v>0</v>
      </c>
      <c r="O466" s="1119">
        <f>+SUMIFS('Anlage 2b_Korrekturen'!$D:$D,'Anlage 2b_Korrekturen'!$H:$H,'LV Testat'!$N$4,'Anlage 2b_Korrekturen'!$C:$C,'LV Testat'!$D466,'Anlage 2b_Korrekturen'!$A:$A,'LV Testat'!C466)</f>
        <v>0</v>
      </c>
      <c r="P466" s="1041"/>
      <c r="R466" s="1136"/>
      <c r="T466" s="1137">
        <f t="shared" si="15"/>
        <v>2018</v>
      </c>
      <c r="U466" s="1141" t="s">
        <v>2412</v>
      </c>
      <c r="V466" s="1139"/>
      <c r="W466" s="1119">
        <f>+SUMIFS('Anlage 2b_Korrekturen'!$D:$D,'Anlage 2b_Korrekturen'!$H:$H,'LV Testat'!$E$4,'Anlage 2b_Korrekturen'!$C:$C,'LV Testat'!$D466,'Anlage 2b_Korrekturen'!$A:$A,'LV Testat'!T466)</f>
        <v>0</v>
      </c>
      <c r="Y466" s="1139"/>
      <c r="Z466" s="1119">
        <f>+SUMIFS('Anlage 2b_Korrekturen'!$D:$D,'Anlage 2b_Korrekturen'!$H:$H,'LV Testat'!$H$4,'Anlage 2b_Korrekturen'!$C:$C,'LV Testat'!$D466,'Anlage 2b_Korrekturen'!$A:$A,'LV Testat'!T466)</f>
        <v>0</v>
      </c>
      <c r="AA466" s="1041"/>
      <c r="AB466" s="1139"/>
      <c r="AC466" s="1119">
        <f>+SUMIFS('Anlage 2b_Korrekturen'!$D:$D,'Anlage 2b_Korrekturen'!$H:$H,'LV Testat'!$K$4,'Anlage 2b_Korrekturen'!$C:$C,'LV Testat'!$D466,'Anlage 2b_Korrekturen'!$A:$A,'LV Testat'!T466)</f>
        <v>0</v>
      </c>
      <c r="AD466" s="1041"/>
      <c r="AE466" s="1139">
        <v>0</v>
      </c>
      <c r="AF466" s="1119">
        <f>+SUMIFS('Anlage 2b_Korrekturen'!$D:$D,'Anlage 2b_Korrekturen'!$H:$H,'LV Testat'!$N$4,'Anlage 2b_Korrekturen'!$C:$C,'LV Testat'!$D466,'Anlage 2b_Korrekturen'!$A:$A,'LV Testat'!T466)</f>
        <v>0</v>
      </c>
      <c r="AG466" s="1041"/>
    </row>
    <row r="467" spans="1:33" hidden="1" outlineLevel="1">
      <c r="A467" s="1028"/>
      <c r="C467" s="1137">
        <f t="shared" si="14"/>
        <v>2018</v>
      </c>
      <c r="D467" s="1141" t="s">
        <v>2410</v>
      </c>
      <c r="E467" s="1139"/>
      <c r="F467" s="1119">
        <f>+SUMIFS('Anlage 2b_Korrekturen'!$D:$D,'Anlage 2b_Korrekturen'!$H:$H,'LV Testat'!$E$4,'Anlage 2b_Korrekturen'!$C:$C,'LV Testat'!$D467,'Anlage 2b_Korrekturen'!$A:$A,'LV Testat'!C467)</f>
        <v>0</v>
      </c>
      <c r="H467" s="1139">
        <v>0</v>
      </c>
      <c r="I467" s="1119">
        <f>+SUMIFS('Anlage 2b_Korrekturen'!$D:$D,'Anlage 2b_Korrekturen'!$H:$H,'LV Testat'!$H$4,'Anlage 2b_Korrekturen'!$C:$C,'LV Testat'!$D467,'Anlage 2b_Korrekturen'!$A:$A,'LV Testat'!C467)</f>
        <v>0</v>
      </c>
      <c r="J467" s="1041"/>
      <c r="K467" s="1139">
        <v>0</v>
      </c>
      <c r="L467" s="1119">
        <f>+SUMIFS('Anlage 2b_Korrekturen'!$D:$D,'Anlage 2b_Korrekturen'!$H:$H,'LV Testat'!$K$4,'Anlage 2b_Korrekturen'!$C:$C,'LV Testat'!$D467,'Anlage 2b_Korrekturen'!$A:$A,'LV Testat'!C467)</f>
        <v>0</v>
      </c>
      <c r="M467" s="1041"/>
      <c r="N467" s="1139">
        <v>0</v>
      </c>
      <c r="O467" s="1119">
        <f>+SUMIFS('Anlage 2b_Korrekturen'!$D:$D,'Anlage 2b_Korrekturen'!$H:$H,'LV Testat'!$N$4,'Anlage 2b_Korrekturen'!$C:$C,'LV Testat'!$D467,'Anlage 2b_Korrekturen'!$A:$A,'LV Testat'!C467)</f>
        <v>0</v>
      </c>
      <c r="P467" s="1041"/>
      <c r="R467" s="1028"/>
      <c r="T467" s="1137">
        <f t="shared" si="15"/>
        <v>2018</v>
      </c>
      <c r="U467" s="1141" t="s">
        <v>2410</v>
      </c>
      <c r="V467" s="1139"/>
      <c r="W467" s="1119">
        <f>+SUMIFS('Anlage 2b_Korrekturen'!$D:$D,'Anlage 2b_Korrekturen'!$H:$H,'LV Testat'!$E$4,'Anlage 2b_Korrekturen'!$C:$C,'LV Testat'!$D467,'Anlage 2b_Korrekturen'!$A:$A,'LV Testat'!T467)</f>
        <v>0</v>
      </c>
      <c r="Y467" s="1139">
        <v>0</v>
      </c>
      <c r="Z467" s="1119">
        <f>+SUMIFS('Anlage 2b_Korrekturen'!$D:$D,'Anlage 2b_Korrekturen'!$H:$H,'LV Testat'!$H$4,'Anlage 2b_Korrekturen'!$C:$C,'LV Testat'!$D467,'Anlage 2b_Korrekturen'!$A:$A,'LV Testat'!T467)</f>
        <v>0</v>
      </c>
      <c r="AA467" s="1041"/>
      <c r="AB467" s="1139"/>
      <c r="AC467" s="1119">
        <f>+SUMIFS('Anlage 2b_Korrekturen'!$D:$D,'Anlage 2b_Korrekturen'!$H:$H,'LV Testat'!$K$4,'Anlage 2b_Korrekturen'!$C:$C,'LV Testat'!$D467,'Anlage 2b_Korrekturen'!$A:$A,'LV Testat'!T467)</f>
        <v>0</v>
      </c>
      <c r="AD467" s="1041"/>
      <c r="AE467" s="1139">
        <v>0</v>
      </c>
      <c r="AF467" s="1119">
        <f>+SUMIFS('Anlage 2b_Korrekturen'!$D:$D,'Anlage 2b_Korrekturen'!$H:$H,'LV Testat'!$N$4,'Anlage 2b_Korrekturen'!$C:$C,'LV Testat'!$D467,'Anlage 2b_Korrekturen'!$A:$A,'LV Testat'!T467)</f>
        <v>0</v>
      </c>
      <c r="AG467" s="1041"/>
    </row>
    <row r="468" spans="1:33" ht="12" hidden="1" outlineLevel="1" thickBot="1">
      <c r="A468" s="1143"/>
      <c r="B468" s="1091"/>
      <c r="C468" s="1137">
        <f t="shared" si="14"/>
        <v>2018</v>
      </c>
      <c r="D468" s="1144" t="s">
        <v>2503</v>
      </c>
      <c r="E468" s="1124">
        <f>+SUM(E460:E467)</f>
        <v>0</v>
      </c>
      <c r="F468" s="1124">
        <f>+SUM(F460:F467)</f>
        <v>0</v>
      </c>
      <c r="G468" s="1091"/>
      <c r="H468" s="1124">
        <f>+SUM(H460:H467)</f>
        <v>594218</v>
      </c>
      <c r="I468" s="1124">
        <f>+SUM(I460:I467)</f>
        <v>594218</v>
      </c>
      <c r="J468" s="1121"/>
      <c r="K468" s="1124">
        <f>+SUM(K460:K467)</f>
        <v>0</v>
      </c>
      <c r="L468" s="1124">
        <f>+SUM(L460:L467)</f>
        <v>0</v>
      </c>
      <c r="M468" s="1121"/>
      <c r="N468" s="1124">
        <f>+SUM(N460:N467)</f>
        <v>7780</v>
      </c>
      <c r="O468" s="1124">
        <f>+SUM(O460:O467)</f>
        <v>7780</v>
      </c>
      <c r="P468" s="1121"/>
      <c r="R468" s="1143"/>
      <c r="S468" s="1091"/>
      <c r="T468" s="1137">
        <f t="shared" si="15"/>
        <v>2018</v>
      </c>
      <c r="U468" s="1144" t="s">
        <v>2503</v>
      </c>
      <c r="V468" s="1124">
        <f>+SUM(V460:V467)</f>
        <v>0</v>
      </c>
      <c r="W468" s="1124">
        <f>+SUM(W460:W467)</f>
        <v>0</v>
      </c>
      <c r="X468" s="1091"/>
      <c r="Y468" s="1124">
        <f>+SUM(Y460:Y467)</f>
        <v>594218</v>
      </c>
      <c r="Z468" s="1124">
        <f>+SUM(Z460:Z467)</f>
        <v>594218</v>
      </c>
      <c r="AA468" s="1121"/>
      <c r="AB468" s="1124">
        <f>+SUM(AB460:AB467)</f>
        <v>0</v>
      </c>
      <c r="AC468" s="1124">
        <f>+SUM(AC460:AC467)</f>
        <v>0</v>
      </c>
      <c r="AD468" s="1121"/>
      <c r="AE468" s="1124">
        <f>+SUM(AE460:AE467)</f>
        <v>7780</v>
      </c>
      <c r="AF468" s="1124">
        <f>+SUM(AF460:AF467)</f>
        <v>7780</v>
      </c>
      <c r="AG468" s="1121"/>
    </row>
    <row r="469" spans="1:33" ht="12" collapsed="1" thickBot="1">
      <c r="A469" s="1013" t="s">
        <v>2504</v>
      </c>
      <c r="B469" s="1001"/>
      <c r="C469" s="1001"/>
      <c r="D469" s="1002"/>
      <c r="E469" s="1001"/>
      <c r="F469" s="1017" t="str">
        <f>+"Check Saldierungsbetrag NT "&amp;C477</f>
        <v>Check Saldierungsbetrag NT 2018</v>
      </c>
      <c r="G469" s="1018">
        <f>+SUM(E472:G474)-SUM(E477:G479)</f>
        <v>0</v>
      </c>
      <c r="H469" s="1000"/>
      <c r="I469" s="1017" t="str">
        <f>+"Check Saldierungsbetrag NT "&amp;C477</f>
        <v>Check Saldierungsbetrag NT 2018</v>
      </c>
      <c r="J469" s="1018">
        <f>+SUM(H472:J474)-SUM(H477:J479)</f>
        <v>0</v>
      </c>
      <c r="K469" s="1000"/>
      <c r="L469" s="1017" t="str">
        <f>+"Check Saldierungsbetrag NT "&amp;C477</f>
        <v>Check Saldierungsbetrag NT 2018</v>
      </c>
      <c r="M469" s="1018">
        <f>+SUM(K472:M474)-SUM(K477:M479)</f>
        <v>0</v>
      </c>
      <c r="N469" s="1000"/>
      <c r="O469" s="1017" t="str">
        <f>+"Check Saldierungsbetrag NT "&amp;C477</f>
        <v>Check Saldierungsbetrag NT 2018</v>
      </c>
      <c r="P469" s="1018">
        <f>+SUM(N472:P474)-SUM(N477:P479)</f>
        <v>0</v>
      </c>
    </row>
    <row r="470" spans="1:33" ht="12" hidden="1" outlineLevel="1" thickBot="1">
      <c r="A470" s="1028"/>
      <c r="D470" s="1041"/>
      <c r="E470" s="1012"/>
      <c r="G470" s="1041"/>
      <c r="H470" s="1028"/>
      <c r="J470" s="1041"/>
      <c r="K470" s="1028"/>
      <c r="M470" s="1041"/>
      <c r="N470" s="1028"/>
      <c r="P470" s="1041"/>
    </row>
    <row r="471" spans="1:33" ht="33.75" hidden="1" outlineLevel="1">
      <c r="A471" s="1028"/>
      <c r="D471" s="1030" t="s">
        <v>2506</v>
      </c>
      <c r="E471" s="1145" t="s">
        <v>2499</v>
      </c>
      <c r="F471" s="1146" t="s">
        <v>2507</v>
      </c>
      <c r="G471" s="1147" t="s">
        <v>2508</v>
      </c>
      <c r="H471" s="1148" t="s">
        <v>2499</v>
      </c>
      <c r="I471" s="1146" t="s">
        <v>2507</v>
      </c>
      <c r="J471" s="1147" t="s">
        <v>2508</v>
      </c>
      <c r="K471" s="1148" t="s">
        <v>2499</v>
      </c>
      <c r="L471" s="1146" t="s">
        <v>2507</v>
      </c>
      <c r="M471" s="1147" t="s">
        <v>2508</v>
      </c>
      <c r="N471" s="1148" t="s">
        <v>2499</v>
      </c>
      <c r="O471" s="1146" t="s">
        <v>2507</v>
      </c>
      <c r="P471" s="1147" t="s">
        <v>2508</v>
      </c>
    </row>
    <row r="472" spans="1:33" hidden="1" outlineLevel="1">
      <c r="A472" s="1028"/>
      <c r="D472" s="1050" t="s">
        <v>2411</v>
      </c>
      <c r="E472" s="1051"/>
      <c r="F472" s="1101"/>
      <c r="G472" s="1102"/>
      <c r="H472" s="1070">
        <v>0</v>
      </c>
      <c r="I472" s="1067">
        <v>0</v>
      </c>
      <c r="J472" s="1068">
        <v>0</v>
      </c>
      <c r="K472" s="1070">
        <v>0</v>
      </c>
      <c r="L472" s="1067">
        <v>0</v>
      </c>
      <c r="M472" s="1068">
        <v>0</v>
      </c>
      <c r="N472" s="1070"/>
      <c r="O472" s="1067"/>
      <c r="P472" s="1068"/>
    </row>
    <row r="473" spans="1:33" hidden="1" outlineLevel="1">
      <c r="A473" s="1028"/>
      <c r="D473" s="1050" t="s">
        <v>2375</v>
      </c>
      <c r="E473" s="1051"/>
      <c r="F473" s="1101"/>
      <c r="G473" s="1102"/>
      <c r="H473" s="1070"/>
      <c r="I473" s="1067"/>
      <c r="J473" s="1068"/>
      <c r="K473" s="1070">
        <v>0</v>
      </c>
      <c r="L473" s="1067">
        <v>0</v>
      </c>
      <c r="M473" s="1068">
        <v>0</v>
      </c>
      <c r="N473" s="1070"/>
      <c r="O473" s="1067"/>
      <c r="P473" s="1068"/>
    </row>
    <row r="474" spans="1:33" ht="12" hidden="1" outlineLevel="1" thickBot="1">
      <c r="A474" s="1028"/>
      <c r="D474" s="1050" t="s">
        <v>2431</v>
      </c>
      <c r="E474" s="1149"/>
      <c r="F474" s="1169"/>
      <c r="G474" s="1170"/>
      <c r="H474" s="1171"/>
      <c r="I474" s="1172"/>
      <c r="J474" s="1173"/>
      <c r="K474" s="1171">
        <v>0</v>
      </c>
      <c r="L474" s="1172">
        <v>0</v>
      </c>
      <c r="M474" s="1173">
        <v>0</v>
      </c>
      <c r="N474" s="1171"/>
      <c r="O474" s="1172"/>
      <c r="P474" s="1173"/>
    </row>
    <row r="475" spans="1:33" ht="12" hidden="1" customHeight="1" outlineLevel="1" thickBot="1">
      <c r="A475" s="1028"/>
      <c r="D475" s="1041"/>
      <c r="F475" s="1847"/>
      <c r="G475" s="1848"/>
      <c r="H475" s="1028"/>
      <c r="I475" s="1012"/>
      <c r="J475" s="1122"/>
      <c r="K475" s="1028"/>
      <c r="L475" s="1012"/>
      <c r="M475" s="1122"/>
      <c r="N475" s="1028"/>
      <c r="O475" s="1012"/>
      <c r="P475" s="1122"/>
    </row>
    <row r="476" spans="1:33" ht="33.75" hidden="1" outlineLevel="1">
      <c r="A476" s="1028"/>
      <c r="D476" s="1099" t="s">
        <v>2506</v>
      </c>
      <c r="E476" s="1152" t="s">
        <v>2499</v>
      </c>
      <c r="F476" s="1153" t="s">
        <v>2507</v>
      </c>
      <c r="G476" s="1154" t="s">
        <v>2508</v>
      </c>
      <c r="H476" s="1148" t="s">
        <v>2499</v>
      </c>
      <c r="I476" s="1146" t="s">
        <v>2507</v>
      </c>
      <c r="J476" s="1147" t="s">
        <v>2508</v>
      </c>
      <c r="K476" s="1148" t="s">
        <v>2499</v>
      </c>
      <c r="L476" s="1146" t="s">
        <v>2507</v>
      </c>
      <c r="M476" s="1147" t="s">
        <v>2508</v>
      </c>
      <c r="N476" s="1148" t="s">
        <v>2499</v>
      </c>
      <c r="O476" s="1146" t="s">
        <v>2507</v>
      </c>
      <c r="P476" s="1147" t="s">
        <v>2508</v>
      </c>
    </row>
    <row r="477" spans="1:33" hidden="1" outlineLevel="1">
      <c r="A477" s="1028"/>
      <c r="C477" s="1137">
        <f>+A456</f>
        <v>2018</v>
      </c>
      <c r="D477" s="1050" t="s">
        <v>2411</v>
      </c>
      <c r="E477" s="1105">
        <f>+SUMIFS('Anlage 2b_Korrekturen'!$D:$D,'Anlage 2b_Korrekturen'!$H:$H,'LV Testat'!$E$4,'Anlage 2b_Korrekturen'!$C:$C,'LV Testat'!$D477,'Anlage 2b_Korrekturen'!$A:$A,C477)</f>
        <v>0</v>
      </c>
      <c r="F477" s="1119">
        <f>+SUMIFS('Anlage 2b_Korrekturen'!$E:$E,'Anlage 2b_Korrekturen'!$H:$H,'LV Testat'!$E$4,'Anlage 2b_Korrekturen'!$C:$C,'LV Testat'!$D477,'Anlage 2b_Korrekturen'!$A:$A,C477)</f>
        <v>0</v>
      </c>
      <c r="G477" s="1123">
        <f>+SUMIFS('Anlage 2b_Korrekturen'!$F:$F,'Anlage 2b_Korrekturen'!$H:$H,'LV Testat'!$E$4,'Anlage 2b_Korrekturen'!$C:$C,'LV Testat'!$D477,'Anlage 2b_Korrekturen'!$A:$A,C477)</f>
        <v>0</v>
      </c>
      <c r="H477" s="1105">
        <f>+SUMIFS('Anlage 2b_Korrekturen'!$D:$D,'Anlage 2b_Korrekturen'!$H:$H,'LV Testat'!$H$4,'Anlage 2b_Korrekturen'!$C:$C,'LV Testat'!$D477,'Anlage 2b_Korrekturen'!$A:$A,C477)</f>
        <v>0</v>
      </c>
      <c r="I477" s="1119">
        <f>+SUMIFS('Anlage 2b_Korrekturen'!$E:$E,'Anlage 2b_Korrekturen'!$H:$H,'LV Testat'!$H$4,'Anlage 2b_Korrekturen'!$C:$C,'LV Testat'!$D477,'Anlage 2b_Korrekturen'!$A:$A,C477)</f>
        <v>0</v>
      </c>
      <c r="J477" s="1123">
        <f>+SUMIFS('Anlage 2b_Korrekturen'!$F:$F,'Anlage 2b_Korrekturen'!$H:$H,'LV Testat'!$H$4,'Anlage 2b_Korrekturen'!$C:$C,'LV Testat'!$D477,'Anlage 2b_Korrekturen'!$A:$A,C477)</f>
        <v>0</v>
      </c>
      <c r="K477" s="1105">
        <f>+SUMIFS('Anlage 2b_Korrekturen'!$D:$D,'Anlage 2b_Korrekturen'!$H:$H,'LV Testat'!$K$4,'Anlage 2b_Korrekturen'!$C:$C,'LV Testat'!$D477,'Anlage 2b_Korrekturen'!$A:$A,C477)</f>
        <v>0</v>
      </c>
      <c r="L477" s="1119">
        <f>+SUMIFS('Anlage 2b_Korrekturen'!$E:$E,'Anlage 2b_Korrekturen'!$H:$H,'LV Testat'!$K$4,'Anlage 2b_Korrekturen'!$C:$C,'LV Testat'!$D477,'Anlage 2b_Korrekturen'!$A:$A,C477)</f>
        <v>0</v>
      </c>
      <c r="M477" s="1123">
        <f>+SUMIFS('Anlage 2b_Korrekturen'!$F:$F,'Anlage 2b_Korrekturen'!$H:$H,'LV Testat'!$K$4,'Anlage 2b_Korrekturen'!$C:$C,'LV Testat'!$D477,'Anlage 2b_Korrekturen'!$A:$A,C477)</f>
        <v>0</v>
      </c>
      <c r="N477" s="1105">
        <f>+SUMIFS('Anlage 2b_Korrekturen'!$D:$D,'Anlage 2b_Korrekturen'!$H:$H,'LV Testat'!$N$4,'Anlage 2b_Korrekturen'!$C:$C,'LV Testat'!$D477,'Anlage 2b_Korrekturen'!$A:$A,C477)</f>
        <v>0</v>
      </c>
      <c r="O477" s="1119">
        <f>+SUMIFS('Anlage 2b_Korrekturen'!$E:$E,'Anlage 2b_Korrekturen'!$H:$H,'LV Testat'!$N$4,'Anlage 2b_Korrekturen'!$C:$C,'LV Testat'!$D477,'Anlage 2b_Korrekturen'!$A:$A,C477)</f>
        <v>0</v>
      </c>
      <c r="P477" s="1123">
        <f>+SUMIFS('Anlage 2b_Korrekturen'!$F:$F,'Anlage 2b_Korrekturen'!$H:$H,'LV Testat'!$N$4,'Anlage 2b_Korrekturen'!$C:$C,'LV Testat'!$D477,'Anlage 2b_Korrekturen'!$A:$A,C477)</f>
        <v>0</v>
      </c>
    </row>
    <row r="478" spans="1:33" hidden="1" outlineLevel="1">
      <c r="A478" s="1028"/>
      <c r="C478" s="1137">
        <f>+C477</f>
        <v>2018</v>
      </c>
      <c r="D478" s="1050" t="s">
        <v>2375</v>
      </c>
      <c r="E478" s="1105">
        <f>+SUMIFS('Anlage 2b_Korrekturen'!$D:$D,'Anlage 2b_Korrekturen'!$H:$H,'LV Testat'!$E$4,'Anlage 2b_Korrekturen'!$C:$C,'LV Testat'!$D478,'Anlage 2b_Korrekturen'!$A:$A,C478)</f>
        <v>0</v>
      </c>
      <c r="F478" s="1119">
        <f>+SUMIFS('Anlage 2b_Korrekturen'!$E:$E,'Anlage 2b_Korrekturen'!$H:$H,'LV Testat'!$E$4,'Anlage 2b_Korrekturen'!$C:$C,'LV Testat'!$D478,'Anlage 2b_Korrekturen'!$A:$A,C478)</f>
        <v>0</v>
      </c>
      <c r="G478" s="1123">
        <f>+SUMIFS('Anlage 2b_Korrekturen'!$F:$F,'Anlage 2b_Korrekturen'!$H:$H,'LV Testat'!$E$4,'Anlage 2b_Korrekturen'!$C:$C,'LV Testat'!$D478,'Anlage 2b_Korrekturen'!$A:$A,C478)</f>
        <v>0</v>
      </c>
      <c r="H478" s="1105">
        <f>+SUMIFS('Anlage 2b_Korrekturen'!$D:$D,'Anlage 2b_Korrekturen'!$H:$H,'LV Testat'!$H$4,'Anlage 2b_Korrekturen'!$C:$C,'LV Testat'!$D478,'Anlage 2b_Korrekturen'!$A:$A,C478)</f>
        <v>0</v>
      </c>
      <c r="I478" s="1119">
        <f>+SUMIFS('Anlage 2b_Korrekturen'!$E:$E,'Anlage 2b_Korrekturen'!$H:$H,'LV Testat'!$H$4,'Anlage 2b_Korrekturen'!$C:$C,'LV Testat'!$D478,'Anlage 2b_Korrekturen'!$A:$A,C478)</f>
        <v>0</v>
      </c>
      <c r="J478" s="1123">
        <f>+SUMIFS('Anlage 2b_Korrekturen'!$F:$F,'Anlage 2b_Korrekturen'!$H:$H,'LV Testat'!$H$4,'Anlage 2b_Korrekturen'!$C:$C,'LV Testat'!$D478,'Anlage 2b_Korrekturen'!$A:$A,C478)</f>
        <v>0</v>
      </c>
      <c r="K478" s="1105">
        <f>+SUMIFS('Anlage 2b_Korrekturen'!$D:$D,'Anlage 2b_Korrekturen'!$H:$H,'LV Testat'!$K$4,'Anlage 2b_Korrekturen'!$C:$C,'LV Testat'!$D478,'Anlage 2b_Korrekturen'!$A:$A,C478)</f>
        <v>0</v>
      </c>
      <c r="L478" s="1119">
        <f>+SUMIFS('Anlage 2b_Korrekturen'!$E:$E,'Anlage 2b_Korrekturen'!$H:$H,'LV Testat'!$K$4,'Anlage 2b_Korrekturen'!$C:$C,'LV Testat'!$D478,'Anlage 2b_Korrekturen'!$A:$A,C478)</f>
        <v>0</v>
      </c>
      <c r="M478" s="1123">
        <f>+SUMIFS('Anlage 2b_Korrekturen'!$F:$F,'Anlage 2b_Korrekturen'!$H:$H,'LV Testat'!$K$4,'Anlage 2b_Korrekturen'!$C:$C,'LV Testat'!$D478,'Anlage 2b_Korrekturen'!$A:$A,C478)</f>
        <v>0</v>
      </c>
      <c r="N478" s="1105">
        <f>+SUMIFS('Anlage 2b_Korrekturen'!$D:$D,'Anlage 2b_Korrekturen'!$H:$H,'LV Testat'!$N$4,'Anlage 2b_Korrekturen'!$C:$C,'LV Testat'!$D478,'Anlage 2b_Korrekturen'!$A:$A,C478)</f>
        <v>0</v>
      </c>
      <c r="O478" s="1119">
        <f>+SUMIFS('Anlage 2b_Korrekturen'!$E:$E,'Anlage 2b_Korrekturen'!$H:$H,'LV Testat'!$N$4,'Anlage 2b_Korrekturen'!$C:$C,'LV Testat'!$D478,'Anlage 2b_Korrekturen'!$A:$A,C478)</f>
        <v>0</v>
      </c>
      <c r="P478" s="1123">
        <f>+SUMIFS('Anlage 2b_Korrekturen'!$F:$F,'Anlage 2b_Korrekturen'!$H:$H,'LV Testat'!$N$4,'Anlage 2b_Korrekturen'!$C:$C,'LV Testat'!$D478,'Anlage 2b_Korrekturen'!$A:$A,C478)</f>
        <v>0</v>
      </c>
    </row>
    <row r="479" spans="1:33" ht="12" hidden="1" outlineLevel="1" thickBot="1">
      <c r="A479" s="1090"/>
      <c r="B479" s="1091"/>
      <c r="C479" s="1137">
        <f>+C478</f>
        <v>2018</v>
      </c>
      <c r="D479" s="1062" t="s">
        <v>2431</v>
      </c>
      <c r="E479" s="1105">
        <f>+SUMIFS('Anlage 2b_Korrekturen'!$D:$D,'Anlage 2b_Korrekturen'!$H:$H,'LV Testat'!$E$4,'Anlage 2b_Korrekturen'!$C:$C,'LV Testat'!$D479,'Anlage 2b_Korrekturen'!$A:$A,C479)</f>
        <v>0</v>
      </c>
      <c r="F479" s="1119">
        <f>+SUMIFS('Anlage 2b_Korrekturen'!$E:$E,'Anlage 2b_Korrekturen'!$H:$H,'LV Testat'!$E$4,'Anlage 2b_Korrekturen'!$C:$C,'LV Testat'!$D479,'Anlage 2b_Korrekturen'!$A:$A,C479)</f>
        <v>0</v>
      </c>
      <c r="G479" s="1123">
        <f>+SUMIFS('Anlage 2b_Korrekturen'!$F:$F,'Anlage 2b_Korrekturen'!$H:$H,'LV Testat'!$E$4,'Anlage 2b_Korrekturen'!$C:$C,'LV Testat'!$D479,'Anlage 2b_Korrekturen'!$A:$A,C479)</f>
        <v>0</v>
      </c>
      <c r="H479" s="1105">
        <f>+SUMIFS('Anlage 2b_Korrekturen'!$D:$D,'Anlage 2b_Korrekturen'!$H:$H,'LV Testat'!$H$4,'Anlage 2b_Korrekturen'!$C:$C,'LV Testat'!$D479,'Anlage 2b_Korrekturen'!$A:$A,C479)</f>
        <v>0</v>
      </c>
      <c r="I479" s="1119">
        <f>+SUMIFS('Anlage 2b_Korrekturen'!$E:$E,'Anlage 2b_Korrekturen'!$H:$H,'LV Testat'!$H$4,'Anlage 2b_Korrekturen'!$C:$C,'LV Testat'!$D479,'Anlage 2b_Korrekturen'!$A:$A,C479)</f>
        <v>0</v>
      </c>
      <c r="J479" s="1123">
        <f>+SUMIFS('Anlage 2b_Korrekturen'!$F:$F,'Anlage 2b_Korrekturen'!$H:$H,'LV Testat'!$H$4,'Anlage 2b_Korrekturen'!$C:$C,'LV Testat'!$D479,'Anlage 2b_Korrekturen'!$A:$A,C479)</f>
        <v>0</v>
      </c>
      <c r="K479" s="1105">
        <f>+SUMIFS('Anlage 2b_Korrekturen'!$D:$D,'Anlage 2b_Korrekturen'!$H:$H,'LV Testat'!$K$4,'Anlage 2b_Korrekturen'!$C:$C,'LV Testat'!$D479,'Anlage 2b_Korrekturen'!$A:$A,C479)</f>
        <v>0</v>
      </c>
      <c r="L479" s="1119">
        <f>+SUMIFS('Anlage 2b_Korrekturen'!$E:$E,'Anlage 2b_Korrekturen'!$H:$H,'LV Testat'!$K$4,'Anlage 2b_Korrekturen'!$C:$C,'LV Testat'!$D479,'Anlage 2b_Korrekturen'!$A:$A,C479)</f>
        <v>0</v>
      </c>
      <c r="M479" s="1123">
        <f>+SUMIFS('Anlage 2b_Korrekturen'!$F:$F,'Anlage 2b_Korrekturen'!$H:$H,'LV Testat'!$K$4,'Anlage 2b_Korrekturen'!$C:$C,'LV Testat'!$D479,'Anlage 2b_Korrekturen'!$A:$A,C479)</f>
        <v>0</v>
      </c>
      <c r="N479" s="1105">
        <f>+SUMIFS('Anlage 2b_Korrekturen'!$D:$D,'Anlage 2b_Korrekturen'!$H:$H,'LV Testat'!$N$4,'Anlage 2b_Korrekturen'!$C:$C,'LV Testat'!$D479,'Anlage 2b_Korrekturen'!$A:$A,C479)</f>
        <v>0</v>
      </c>
      <c r="O479" s="1119">
        <f>+SUMIFS('Anlage 2b_Korrekturen'!$E:$E,'Anlage 2b_Korrekturen'!$H:$H,'LV Testat'!$N$4,'Anlage 2b_Korrekturen'!$C:$C,'LV Testat'!$D479,'Anlage 2b_Korrekturen'!$A:$A,C479)</f>
        <v>0</v>
      </c>
      <c r="P479" s="1123">
        <f>+SUMIFS('Anlage 2b_Korrekturen'!$F:$F,'Anlage 2b_Korrekturen'!$H:$H,'LV Testat'!$N$4,'Anlage 2b_Korrekturen'!$C:$C,'LV Testat'!$D479,'Anlage 2b_Korrekturen'!$A:$A,C479)</f>
        <v>0</v>
      </c>
    </row>
    <row r="480" spans="1:33" ht="12" collapsed="1" thickBot="1">
      <c r="A480" s="1013" t="s">
        <v>2535</v>
      </c>
      <c r="B480" s="1001"/>
      <c r="C480" s="1001"/>
      <c r="D480" s="1002"/>
      <c r="E480" s="1001"/>
      <c r="F480" s="1017" t="str">
        <f>+"Check Verstoß VNB NT "&amp;C487</f>
        <v>Check Verstoß VNB NT 2018</v>
      </c>
      <c r="G480" s="1018">
        <f>+SUM(E487:G488)-SUM(E483:G484)</f>
        <v>0</v>
      </c>
      <c r="H480" s="1000"/>
      <c r="I480" s="1017" t="str">
        <f>+"Check Verstoß VNB NT "&amp;C487</f>
        <v>Check Verstoß VNB NT 2018</v>
      </c>
      <c r="J480" s="1018">
        <f>+SUM(H483:J484)-SUM(H487:J488)</f>
        <v>0</v>
      </c>
      <c r="K480" s="1000"/>
      <c r="L480" s="1017" t="str">
        <f>+"Check Verstoß VNB NT "&amp;C487</f>
        <v>Check Verstoß VNB NT 2018</v>
      </c>
      <c r="M480" s="1018">
        <f>+SUM(K483:M484)-SUM(K487:M488)</f>
        <v>0</v>
      </c>
      <c r="N480" s="1000"/>
      <c r="O480" s="1017" t="str">
        <f>+"Check Verstoß VNB NT "&amp;C487</f>
        <v>Check Verstoß VNB NT 2018</v>
      </c>
      <c r="P480" s="1018">
        <f>+SUM(N483:P484)-SUM(N487:P488)</f>
        <v>0</v>
      </c>
    </row>
    <row r="481" spans="1:16" ht="12" hidden="1" outlineLevel="1" thickBot="1">
      <c r="A481" s="1028"/>
      <c r="D481" s="1041"/>
      <c r="G481" s="1041"/>
      <c r="H481" s="1028"/>
      <c r="J481" s="1041"/>
      <c r="K481" s="1028"/>
      <c r="M481" s="1041"/>
      <c r="N481" s="1028"/>
      <c r="P481" s="1041"/>
    </row>
    <row r="482" spans="1:16" ht="33.75" hidden="1" outlineLevel="1">
      <c r="A482" s="1028"/>
      <c r="D482" s="1099" t="s">
        <v>2511</v>
      </c>
      <c r="E482" s="1155" t="s">
        <v>2512</v>
      </c>
      <c r="F482" s="1146" t="s">
        <v>2507</v>
      </c>
      <c r="G482" s="1147" t="s">
        <v>2508</v>
      </c>
      <c r="H482" s="1156" t="s">
        <v>2512</v>
      </c>
      <c r="I482" s="1146" t="s">
        <v>2507</v>
      </c>
      <c r="J482" s="1147" t="s">
        <v>2508</v>
      </c>
      <c r="K482" s="1156" t="s">
        <v>2512</v>
      </c>
      <c r="L482" s="1146" t="s">
        <v>2507</v>
      </c>
      <c r="M482" s="1147" t="s">
        <v>2508</v>
      </c>
      <c r="N482" s="1156" t="s">
        <v>2512</v>
      </c>
      <c r="O482" s="1146" t="s">
        <v>2507</v>
      </c>
      <c r="P482" s="1147" t="s">
        <v>2508</v>
      </c>
    </row>
    <row r="483" spans="1:16" hidden="1" outlineLevel="1">
      <c r="A483" s="1028"/>
      <c r="D483" s="1066" t="s">
        <v>2513</v>
      </c>
      <c r="E483" s="1100"/>
      <c r="F483" s="1101"/>
      <c r="G483" s="1102"/>
      <c r="H483" s="1069"/>
      <c r="I483" s="1067"/>
      <c r="J483" s="1068"/>
      <c r="K483" s="1069">
        <v>0</v>
      </c>
      <c r="L483" s="1067">
        <v>0</v>
      </c>
      <c r="M483" s="1068">
        <v>0</v>
      </c>
      <c r="N483" s="1069"/>
      <c r="O483" s="1067"/>
      <c r="P483" s="1068"/>
    </row>
    <row r="484" spans="1:16" ht="12" hidden="1" outlineLevel="1" thickBot="1">
      <c r="A484" s="1028"/>
      <c r="D484" s="1066" t="s">
        <v>2514</v>
      </c>
      <c r="E484" s="1149"/>
      <c r="F484" s="1169"/>
      <c r="G484" s="1170"/>
      <c r="H484" s="1171"/>
      <c r="I484" s="1172"/>
      <c r="J484" s="1173"/>
      <c r="K484" s="1171">
        <v>0</v>
      </c>
      <c r="L484" s="1172">
        <v>0</v>
      </c>
      <c r="M484" s="1173">
        <v>0</v>
      </c>
      <c r="N484" s="1171"/>
      <c r="O484" s="1172"/>
      <c r="P484" s="1173"/>
    </row>
    <row r="485" spans="1:16" ht="12" hidden="1" outlineLevel="1" thickBot="1">
      <c r="A485" s="1028"/>
      <c r="D485" s="1041"/>
      <c r="G485" s="1041"/>
      <c r="H485" s="1028"/>
      <c r="J485" s="1041"/>
      <c r="K485" s="1028"/>
      <c r="M485" s="1041"/>
      <c r="N485" s="1028"/>
      <c r="P485" s="1041"/>
    </row>
    <row r="486" spans="1:16" ht="33.75" hidden="1" outlineLevel="1">
      <c r="A486" s="1028"/>
      <c r="D486" s="1099" t="s">
        <v>2511</v>
      </c>
      <c r="E486" s="1155" t="s">
        <v>2512</v>
      </c>
      <c r="F486" s="1146" t="s">
        <v>2507</v>
      </c>
      <c r="G486" s="1147" t="s">
        <v>2508</v>
      </c>
      <c r="H486" s="1156" t="s">
        <v>2512</v>
      </c>
      <c r="I486" s="1146" t="s">
        <v>2507</v>
      </c>
      <c r="J486" s="1147" t="s">
        <v>2508</v>
      </c>
      <c r="K486" s="1156" t="s">
        <v>2512</v>
      </c>
      <c r="L486" s="1146" t="s">
        <v>2507</v>
      </c>
      <c r="M486" s="1147" t="s">
        <v>2508</v>
      </c>
      <c r="N486" s="1156" t="s">
        <v>2512</v>
      </c>
      <c r="O486" s="1146" t="s">
        <v>2507</v>
      </c>
      <c r="P486" s="1147" t="s">
        <v>2508</v>
      </c>
    </row>
    <row r="487" spans="1:16" hidden="1" outlineLevel="1">
      <c r="A487" s="1028"/>
      <c r="B487" s="1071"/>
      <c r="C487" s="1137">
        <f>+A456</f>
        <v>2018</v>
      </c>
      <c r="D487" s="1066" t="s">
        <v>2513</v>
      </c>
      <c r="E487" s="1105">
        <f>+SUMIFS('Anlage 2b_Korrekturen'!$D:$D,'Anlage 2b_Korrekturen'!$H:$H,'LV Testat'!$E$4,'Anlage 2b_Korrekturen'!$C:$C,'LV Testat'!$D487,'Anlage 2b_Korrekturen'!$A:$A,C487)</f>
        <v>0</v>
      </c>
      <c r="F487" s="1119">
        <f>+SUMIFS('Anlage 2b_Korrekturen'!$E:$E,'Anlage 2b_Korrekturen'!$H:$H,'LV Testat'!$E$4,'Anlage 2b_Korrekturen'!$C:$C,'LV Testat'!$D487,'Anlage 2b_Korrekturen'!$A:$A,C487)</f>
        <v>0</v>
      </c>
      <c r="G487" s="1123">
        <f>+SUMIFS('Anlage 2b_Korrekturen'!$F:$F,'Anlage 2b_Korrekturen'!$H:$H,'LV Testat'!$E$4,'Anlage 2b_Korrekturen'!$C:$C,'LV Testat'!$D487,'Anlage 2b_Korrekturen'!$A:$A,C487)</f>
        <v>0</v>
      </c>
      <c r="H487" s="1105">
        <f>+SUMIFS('Anlage 2b_Korrekturen'!$D:$D,'Anlage 2b_Korrekturen'!$H:$H,'LV Testat'!$H$4,'Anlage 2b_Korrekturen'!$C:$C,'LV Testat'!$D487,'Anlage 2b_Korrekturen'!$A:$A,B487)</f>
        <v>0</v>
      </c>
      <c r="I487" s="1119">
        <f>+SUMIFS('Anlage 2b_Korrekturen'!$E:$E,'Anlage 2b_Korrekturen'!$H:$H,'LV Testat'!$H$4,'Anlage 2b_Korrekturen'!$C:$C,'LV Testat'!$D487,'Anlage 2b_Korrekturen'!$A:$A,C487)</f>
        <v>0</v>
      </c>
      <c r="J487" s="1123">
        <f>+SUMIFS('Anlage 2b_Korrekturen'!$F:$F,'Anlage 2b_Korrekturen'!$H:$H,'LV Testat'!$H$4,'Anlage 2b_Korrekturen'!$C:$C,'LV Testat'!$D487,'Anlage 2b_Korrekturen'!$A:$A,C487)</f>
        <v>0</v>
      </c>
      <c r="K487" s="1105">
        <f>+SUMIFS('Anlage 2b_Korrekturen'!$D:$D,'Anlage 2b_Korrekturen'!$H:$H,'LV Testat'!$K$4,'Anlage 2b_Korrekturen'!$C:$C,'LV Testat'!$D487,'Anlage 2b_Korrekturen'!$A:$A,C487)</f>
        <v>0</v>
      </c>
      <c r="L487" s="1119">
        <f>+SUMIFS('Anlage 2b_Korrekturen'!$E:$E,'Anlage 2b_Korrekturen'!$H:$H,'LV Testat'!$K$4,'Anlage 2b_Korrekturen'!$C:$C,'LV Testat'!$D487,'Anlage 2b_Korrekturen'!$A:$A,C487)</f>
        <v>0</v>
      </c>
      <c r="M487" s="1123">
        <f>+SUMIFS('Anlage 2b_Korrekturen'!$F:$F,'Anlage 2b_Korrekturen'!$H:$H,'LV Testat'!$K$4,'Anlage 2b_Korrekturen'!$C:$C,'LV Testat'!$D487,'Anlage 2b_Korrekturen'!$A:$A,C487)</f>
        <v>0</v>
      </c>
      <c r="N487" s="1105">
        <f>+SUMIFS('Anlage 2b_Korrekturen'!$D:$D,'Anlage 2b_Korrekturen'!$H:$H,'LV Testat'!$N$4,'Anlage 2b_Korrekturen'!$C:$C,'LV Testat'!$D487,'Anlage 2b_Korrekturen'!$A:$A,C487)</f>
        <v>0</v>
      </c>
      <c r="O487" s="1119">
        <f>+SUMIFS('Anlage 2b_Korrekturen'!$E:$E,'Anlage 2b_Korrekturen'!$H:$H,'LV Testat'!$N$4,'Anlage 2b_Korrekturen'!$C:$C,'LV Testat'!$D487,'Anlage 2b_Korrekturen'!$A:$A,C487)</f>
        <v>0</v>
      </c>
      <c r="P487" s="1123">
        <f>+SUMIFS('Anlage 2b_Korrekturen'!$F:$F,'Anlage 2b_Korrekturen'!$H:$H,'LV Testat'!$N$4,'Anlage 2b_Korrekturen'!$C:$C,'LV Testat'!$D487,'Anlage 2b_Korrekturen'!$A:$A,C487)</f>
        <v>0</v>
      </c>
    </row>
    <row r="488" spans="1:16" ht="12" hidden="1" outlineLevel="1" thickBot="1">
      <c r="A488" s="1090"/>
      <c r="B488" s="1092"/>
      <c r="C488" s="1137">
        <f>+C487</f>
        <v>2018</v>
      </c>
      <c r="D488" s="1158" t="s">
        <v>2514</v>
      </c>
      <c r="E488" s="1105">
        <f>+SUMIFS('Anlage 2b_Korrekturen'!$D:$D,'Anlage 2b_Korrekturen'!$H:$H,'LV Testat'!$E$4,'Anlage 2b_Korrekturen'!$C:$C,'LV Testat'!$D488,'Anlage 2b_Korrekturen'!$A:$A,C488)</f>
        <v>0</v>
      </c>
      <c r="F488" s="1119">
        <f>+SUMIFS('Anlage 2b_Korrekturen'!$E:$E,'Anlage 2b_Korrekturen'!$H:$H,'LV Testat'!$E$4,'Anlage 2b_Korrekturen'!$C:$C,'LV Testat'!$D488,'Anlage 2b_Korrekturen'!$A:$A,C488)</f>
        <v>0</v>
      </c>
      <c r="G488" s="1123">
        <f>+SUMIFS('Anlage 2b_Korrekturen'!$F:$F,'Anlage 2b_Korrekturen'!$H:$H,'LV Testat'!$E$4,'Anlage 2b_Korrekturen'!$C:$C,'LV Testat'!$D488,'Anlage 2b_Korrekturen'!$A:$A,C488)</f>
        <v>0</v>
      </c>
      <c r="H488" s="1105">
        <f>+SUMIFS('Anlage 2b_Korrekturen'!$D:$D,'Anlage 2b_Korrekturen'!$H:$H,'LV Testat'!$H$4,'Anlage 2b_Korrekturen'!$C:$C,'LV Testat'!$D488,'Anlage 2b_Korrekturen'!$A:$A,B488)</f>
        <v>0</v>
      </c>
      <c r="I488" s="1119">
        <f>+SUMIFS('Anlage 2b_Korrekturen'!$E:$E,'Anlage 2b_Korrekturen'!$H:$H,'LV Testat'!$H$4,'Anlage 2b_Korrekturen'!$C:$C,'LV Testat'!$D488,'Anlage 2b_Korrekturen'!$A:$A,C488)</f>
        <v>0</v>
      </c>
      <c r="J488" s="1123">
        <f>+SUMIFS('Anlage 2b_Korrekturen'!$F:$F,'Anlage 2b_Korrekturen'!$H:$H,'LV Testat'!$H$4,'Anlage 2b_Korrekturen'!$C:$C,'LV Testat'!$D488,'Anlage 2b_Korrekturen'!$A:$A,C488)</f>
        <v>0</v>
      </c>
      <c r="K488" s="1105">
        <f>+SUMIFS('Anlage 2b_Korrekturen'!$D:$D,'Anlage 2b_Korrekturen'!$H:$H,'LV Testat'!$K$4,'Anlage 2b_Korrekturen'!$C:$C,'LV Testat'!$D488,'Anlage 2b_Korrekturen'!$A:$A,C488)</f>
        <v>0</v>
      </c>
      <c r="L488" s="1119">
        <f>+SUMIFS('Anlage 2b_Korrekturen'!$E:$E,'Anlage 2b_Korrekturen'!$H:$H,'LV Testat'!$K$4,'Anlage 2b_Korrekturen'!$C:$C,'LV Testat'!$D488,'Anlage 2b_Korrekturen'!$A:$A,C488)</f>
        <v>0</v>
      </c>
      <c r="M488" s="1123">
        <f>+SUMIFS('Anlage 2b_Korrekturen'!$F:$F,'Anlage 2b_Korrekturen'!$H:$H,'LV Testat'!$K$4,'Anlage 2b_Korrekturen'!$C:$C,'LV Testat'!$D488,'Anlage 2b_Korrekturen'!$A:$A,C488)</f>
        <v>0</v>
      </c>
      <c r="N488" s="1105">
        <f>+SUMIFS('Anlage 2b_Korrekturen'!$D:$D,'Anlage 2b_Korrekturen'!$H:$H,'LV Testat'!$N$4,'Anlage 2b_Korrekturen'!$C:$C,'LV Testat'!$D488,'Anlage 2b_Korrekturen'!$A:$A,C488)</f>
        <v>0</v>
      </c>
      <c r="O488" s="1119">
        <f>+SUMIFS('Anlage 2b_Korrekturen'!$E:$E,'Anlage 2b_Korrekturen'!$H:$H,'LV Testat'!$N$4,'Anlage 2b_Korrekturen'!$C:$C,'LV Testat'!$D488,'Anlage 2b_Korrekturen'!$A:$A,C488)</f>
        <v>0</v>
      </c>
      <c r="P488" s="1123">
        <f>+SUMIFS('Anlage 2b_Korrekturen'!$F:$F,'Anlage 2b_Korrekturen'!$H:$H,'LV Testat'!$N$4,'Anlage 2b_Korrekturen'!$C:$C,'LV Testat'!$D488,'Anlage 2b_Korrekturen'!$A:$A,C488)</f>
        <v>0</v>
      </c>
    </row>
    <row r="489" spans="1:16" ht="12" collapsed="1" thickBot="1">
      <c r="A489" s="1013" t="s">
        <v>2515</v>
      </c>
      <c r="B489" s="1001"/>
      <c r="C489" s="1001"/>
      <c r="D489" s="1002"/>
      <c r="E489" s="1001"/>
      <c r="F489" s="1017" t="str">
        <f>+"Check SV BesAR NT "&amp;A492</f>
        <v>Check SV BesAR NT 2018</v>
      </c>
      <c r="G489" s="1018">
        <f>+SUM(F492:F494)-SUM(E492:E494)</f>
        <v>0</v>
      </c>
      <c r="H489" s="1000"/>
      <c r="I489" s="1017" t="str">
        <f>+"Check SV BesAR NT "&amp;A492</f>
        <v>Check SV BesAR NT 2018</v>
      </c>
      <c r="J489" s="1018">
        <f>+SUM(I492:I494)-SUM(H492:H494)</f>
        <v>0</v>
      </c>
      <c r="K489" s="1000"/>
      <c r="L489" s="1017" t="str">
        <f>+"Check SV BesAR NT "&amp;A492</f>
        <v>Check SV BesAR NT 2018</v>
      </c>
      <c r="M489" s="1018">
        <f>+SUM(L492:L494)-SUM(K492:K494)</f>
        <v>0</v>
      </c>
      <c r="N489" s="1000"/>
      <c r="O489" s="1017" t="str">
        <f>+"Check SV BesAR NT "&amp;A492</f>
        <v>Check SV BesAR NT 2018</v>
      </c>
      <c r="P489" s="1018">
        <f>+SUM(O492:O494)-SUM(N492:N494)</f>
        <v>0</v>
      </c>
    </row>
    <row r="490" spans="1:16" ht="12" hidden="1" outlineLevel="1" thickBot="1">
      <c r="A490" s="1028"/>
      <c r="D490" s="1041"/>
      <c r="G490" s="1081"/>
      <c r="H490" s="1028"/>
      <c r="J490" s="1081"/>
      <c r="K490" s="1028"/>
      <c r="M490" s="1081"/>
      <c r="N490" s="1028"/>
      <c r="P490" s="1081"/>
    </row>
    <row r="491" spans="1:16" hidden="1" outlineLevel="1">
      <c r="A491" s="1028"/>
      <c r="D491" s="1041"/>
      <c r="E491" s="1159" t="s">
        <v>2517</v>
      </c>
      <c r="F491" s="1160" t="s">
        <v>2517</v>
      </c>
      <c r="G491" s="1081"/>
      <c r="H491" s="1161" t="s">
        <v>2517</v>
      </c>
      <c r="I491" s="1160" t="s">
        <v>2517</v>
      </c>
      <c r="J491" s="1081"/>
      <c r="K491" s="1161" t="s">
        <v>2517</v>
      </c>
      <c r="L491" s="1160" t="s">
        <v>2517</v>
      </c>
      <c r="M491" s="1081"/>
      <c r="N491" s="1161"/>
      <c r="O491" s="1160" t="s">
        <v>2517</v>
      </c>
      <c r="P491" s="1081"/>
    </row>
    <row r="492" spans="1:16" hidden="1" outlineLevel="1">
      <c r="A492" s="1137">
        <f>+A456</f>
        <v>2018</v>
      </c>
      <c r="C492" s="1071">
        <v>2</v>
      </c>
      <c r="D492" s="1050" t="s">
        <v>2518</v>
      </c>
      <c r="E492" s="1100"/>
      <c r="F492" s="1162">
        <f>+SUMIFS('Anlage 2b_Korrekturen'!$D:$D,'Anlage 2b_Korrekturen'!$A:$A,A492,'Anlage 2b_Korrekturen'!$H:$H,'LV Testat'!$E$4,'Anlage 2b_Korrekturen'!$B:$B,"")</f>
        <v>0</v>
      </c>
      <c r="G492" s="1081"/>
      <c r="H492" s="1175">
        <v>754472</v>
      </c>
      <c r="I492" s="1162">
        <f>+SUMIFS('Anlage 2b_Korrekturen'!$D:$D,'Anlage 2b_Korrekturen'!$A:$A,A492,'Anlage 2b_Korrekturen'!$H:$H,'LV Testat'!$H$4,'Anlage 2b_Korrekturen'!$B:$B,"")</f>
        <v>754472</v>
      </c>
      <c r="J492" s="1081"/>
      <c r="K492" s="1175">
        <v>0</v>
      </c>
      <c r="L492" s="1162">
        <f>+SUMIFS('Anlage 2b_Korrekturen'!$D:$D,'Anlage 2b_Korrekturen'!$A:$A,A492,'Anlage 2b_Korrekturen'!$H:$H,'LV Testat'!$K$4,'Anlage 2b_Korrekturen'!$B:$B,"")</f>
        <v>0</v>
      </c>
      <c r="M492" s="1081"/>
      <c r="N492" s="1175"/>
      <c r="O492" s="1162">
        <f>+SUMIFS('Anlage 2b_Korrekturen'!$D:$D,'Anlage 2b_Korrekturen'!$A:$A,A492,'Anlage 2b_Korrekturen'!$H:$H,'LV Testat'!$N$4,'Anlage 2b_Korrekturen'!$B:$B,"")</f>
        <v>0</v>
      </c>
      <c r="P492" s="1081"/>
    </row>
    <row r="493" spans="1:16" hidden="1" outlineLevel="1">
      <c r="A493" s="1163">
        <f>+A492</f>
        <v>2018</v>
      </c>
      <c r="C493" s="1071">
        <v>3</v>
      </c>
      <c r="D493" s="1050" t="s">
        <v>2519</v>
      </c>
      <c r="E493" s="1100"/>
      <c r="F493" s="1162">
        <f>+SUMIFS('Anlage 2b_Korrekturen'!$E:$E,'Anlage 2b_Korrekturen'!$A:$A,A493,'Anlage 2b_Korrekturen'!$H:$H,'LV Testat'!$E$4,'Anlage 2b_Korrekturen'!$B:$B,"")</f>
        <v>0</v>
      </c>
      <c r="G493" s="1081"/>
      <c r="H493" s="1175">
        <v>390.44</v>
      </c>
      <c r="I493" s="1162">
        <f>+SUMIFS('Anlage 2b_Korrekturen'!$E:$E,'Anlage 2b_Korrekturen'!$A:$A,A493,'Anlage 2b_Korrekturen'!$H:$H,'LV Testat'!$H$4,'Anlage 2b_Korrekturen'!$B:$B,"")</f>
        <v>390.44</v>
      </c>
      <c r="J493" s="1081"/>
      <c r="K493" s="1175">
        <v>0</v>
      </c>
      <c r="L493" s="1162">
        <f>+SUMIFS('Anlage 2b_Korrekturen'!$E:$E,'Anlage 2b_Korrekturen'!$A:$A,A493,'Anlage 2b_Korrekturen'!$H:$H,'LV Testat'!$K$4,'Anlage 2b_Korrekturen'!$B:$B,"")</f>
        <v>0</v>
      </c>
      <c r="M493" s="1081"/>
      <c r="N493" s="1175"/>
      <c r="O493" s="1162">
        <f>+SUMIFS('Anlage 2b_Korrekturen'!$E:$E,'Anlage 2b_Korrekturen'!$A:$A,A493,'Anlage 2b_Korrekturen'!$H:$H,'LV Testat'!$N$4,'Anlage 2b_Korrekturen'!$B:$B,"")</f>
        <v>0</v>
      </c>
      <c r="P493" s="1081"/>
    </row>
    <row r="494" spans="1:16" ht="12" hidden="1" outlineLevel="1" thickBot="1">
      <c r="A494" s="1163">
        <f>+A493</f>
        <v>2018</v>
      </c>
      <c r="B494" s="1091"/>
      <c r="C494" s="1092">
        <v>4</v>
      </c>
      <c r="D494" s="1062" t="s">
        <v>2520</v>
      </c>
      <c r="E494" s="1176"/>
      <c r="F494" s="1166">
        <f>+SUMIFS('Anlage 2b_Korrekturen'!$F:$F,'Anlage 2b_Korrekturen'!$A:$A,A494,'Anlage 2b_Korrekturen'!$H:$H,'LV Testat'!$E$4,'Anlage 2b_Korrekturen'!$B:$B,"")</f>
        <v>0</v>
      </c>
      <c r="G494" s="1095"/>
      <c r="H494" s="1177">
        <v>0</v>
      </c>
      <c r="I494" s="1166">
        <f>+SUMIFS('Anlage 2b_Korrekturen'!$F:$F,'Anlage 2b_Korrekturen'!$A:$A,A494,'Anlage 2b_Korrekturen'!$H:$H,'LV Testat'!$H$4,'Anlage 2b_Korrekturen'!$B:$B,"")</f>
        <v>0</v>
      </c>
      <c r="J494" s="1095"/>
      <c r="K494" s="1177">
        <v>0</v>
      </c>
      <c r="L494" s="1166">
        <f>+SUMIFS('Anlage 2b_Korrekturen'!$F:$F,'Anlage 2b_Korrekturen'!$A:$A,A494,'Anlage 2b_Korrekturen'!$H:$H,'LV Testat'!$K$4,'Anlage 2b_Korrekturen'!$B:$B,"")</f>
        <v>0</v>
      </c>
      <c r="M494" s="1095"/>
      <c r="N494" s="1177"/>
      <c r="O494" s="1166">
        <f>+SUMIFS('Anlage 2b_Korrekturen'!$F:$F,'Anlage 2b_Korrekturen'!$A:$A,A494,'Anlage 2b_Korrekturen'!$H:$H,'LV Testat'!$N$4,'Anlage 2b_Korrekturen'!$B:$B,"")</f>
        <v>0</v>
      </c>
      <c r="P494" s="1095"/>
    </row>
    <row r="495" spans="1:16" ht="12" collapsed="1" thickBot="1">
      <c r="A495" s="1013" t="s">
        <v>2523</v>
      </c>
      <c r="B495" s="1001"/>
      <c r="C495" s="1001"/>
      <c r="D495" s="1002"/>
      <c r="E495" s="1001"/>
      <c r="F495" s="1017" t="str">
        <f>+"Check WL BesAR NT "&amp;C498</f>
        <v>Check WL BesAR NT 2018</v>
      </c>
      <c r="G495" s="1018">
        <f>+F506-E506</f>
        <v>0</v>
      </c>
      <c r="H495" s="1001"/>
      <c r="I495" s="1017" t="str">
        <f>+"Check WL BesAR NT "&amp;C498</f>
        <v>Check WL BesAR NT 2018</v>
      </c>
      <c r="J495" s="1018">
        <f>+I506-H506</f>
        <v>0</v>
      </c>
      <c r="K495" s="1001"/>
      <c r="L495" s="1017" t="str">
        <f>+"Check WL BesAR NT "&amp;C498</f>
        <v>Check WL BesAR NT 2018</v>
      </c>
      <c r="M495" s="1018">
        <f>+L506-K506</f>
        <v>0</v>
      </c>
      <c r="N495" s="1001"/>
      <c r="O495" s="1017" t="str">
        <f>+"Check WL BesAR NT "&amp;C498</f>
        <v>Check WL BesAR NT 2018</v>
      </c>
      <c r="P495" s="1018">
        <f>+O506-N506</f>
        <v>0</v>
      </c>
    </row>
    <row r="496" spans="1:16" hidden="1" outlineLevel="1">
      <c r="A496" s="1022"/>
      <c r="D496" s="1041"/>
      <c r="H496" s="1028"/>
      <c r="J496" s="1041"/>
      <c r="K496" s="1028"/>
      <c r="M496" s="1041"/>
      <c r="N496" s="1028"/>
      <c r="P496" s="1041"/>
    </row>
    <row r="497" spans="1:16" ht="22.5" hidden="1" outlineLevel="1">
      <c r="A497" s="1028"/>
      <c r="D497" s="1099" t="s">
        <v>2525</v>
      </c>
      <c r="E497" s="1064" t="s">
        <v>2526</v>
      </c>
      <c r="F497" s="1118" t="s">
        <v>2526</v>
      </c>
      <c r="H497" s="1118" t="s">
        <v>2526</v>
      </c>
      <c r="I497" s="1118" t="s">
        <v>2526</v>
      </c>
      <c r="K497" s="1118" t="s">
        <v>2526</v>
      </c>
      <c r="L497" s="1118" t="s">
        <v>2526</v>
      </c>
      <c r="N497" s="1118" t="s">
        <v>2526</v>
      </c>
      <c r="O497" s="1118" t="s">
        <v>2526</v>
      </c>
      <c r="P497" s="1041"/>
    </row>
    <row r="498" spans="1:16" hidden="1" outlineLevel="1">
      <c r="A498" s="1028"/>
      <c r="C498" s="1137">
        <f>+A456</f>
        <v>2018</v>
      </c>
      <c r="D498" s="1035" t="s">
        <v>2408</v>
      </c>
      <c r="E498" s="1100"/>
      <c r="F498" s="1119">
        <f>+SUMIFS('Anlage 2b_Korrekturen'!$D:$D,'Anlage 2b_Korrekturen'!$H:$H,'LV Testat'!$E$4,'Anlage 2b_Korrekturen'!$B:$B,'LV Testat'!$D498,'Anlage 2b_Korrekturen'!$A:$A,C498)</f>
        <v>0</v>
      </c>
      <c r="H498" s="1167">
        <v>-898857</v>
      </c>
      <c r="I498" s="1119">
        <f>+SUMIFS('Anlage 2b_Korrekturen'!$D:$D,'Anlage 2b_Korrekturen'!$H:$H,'LV Testat'!$H$4,'Anlage 2b_Korrekturen'!$B:$B,'LV Testat'!$D498,'Anlage 2b_Korrekturen'!$A:$A,C498)</f>
        <v>-898857</v>
      </c>
      <c r="K498" s="1167">
        <v>0</v>
      </c>
      <c r="L498" s="1119">
        <f>+SUMIFS('Anlage 2b_Korrekturen'!$D:$D,'Anlage 2b_Korrekturen'!$H:$H,'LV Testat'!$K$4,'Anlage 2b_Korrekturen'!$B:$B,'LV Testat'!$D498,'Anlage 2b_Korrekturen'!$A:$A,C498)</f>
        <v>0</v>
      </c>
      <c r="N498" s="1167"/>
      <c r="O498" s="1119">
        <f>+SUMIFS('Anlage 2b_Korrekturen'!$D:$D,'Anlage 2b_Korrekturen'!$H:$H,'LV Testat'!$N$4,'Anlage 2b_Korrekturen'!$B:$B,'LV Testat'!$D498,'Anlage 2b_Korrekturen'!$A:$A,C498)</f>
        <v>0</v>
      </c>
      <c r="P498" s="1041"/>
    </row>
    <row r="499" spans="1:16" hidden="1" outlineLevel="1">
      <c r="A499" s="1028"/>
      <c r="C499" s="1137">
        <f t="shared" ref="C499:C505" si="16">+C498</f>
        <v>2018</v>
      </c>
      <c r="D499" s="1035" t="s">
        <v>2500</v>
      </c>
      <c r="E499" s="1100"/>
      <c r="F499" s="1119">
        <f>+SUMIFS('Anlage 2b_Korrekturen'!$D:$D,'Anlage 2b_Korrekturen'!$H:$H,'LV Testat'!$E$4,'Anlage 2b_Korrekturen'!$B:$B,'LV Testat'!$D499,'Anlage 2b_Korrekturen'!$A:$A,C499)</f>
        <v>0</v>
      </c>
      <c r="H499" s="1167"/>
      <c r="I499" s="1119">
        <f>+SUMIFS('Anlage 2b_Korrekturen'!$D:$D,'Anlage 2b_Korrekturen'!$H:$H,'LV Testat'!$H$4,'Anlage 2b_Korrekturen'!$B:$B,'LV Testat'!$D499,'Anlage 2b_Korrekturen'!$A:$A,C499)</f>
        <v>0</v>
      </c>
      <c r="K499" s="1167">
        <v>0</v>
      </c>
      <c r="L499" s="1119">
        <f>+SUMIFS('Anlage 2b_Korrekturen'!$D:$D,'Anlage 2b_Korrekturen'!$H:$H,'LV Testat'!$K$4,'Anlage 2b_Korrekturen'!$B:$B,'LV Testat'!$D499,'Anlage 2b_Korrekturen'!$A:$A,C499)</f>
        <v>0</v>
      </c>
      <c r="N499" s="1167"/>
      <c r="O499" s="1119">
        <f>+SUMIFS('Anlage 2b_Korrekturen'!$D:$D,'Anlage 2b_Korrekturen'!$H:$H,'LV Testat'!$N$4,'Anlage 2b_Korrekturen'!$B:$B,'LV Testat'!$D499,'Anlage 2b_Korrekturen'!$A:$A,C499)</f>
        <v>0</v>
      </c>
      <c r="P499" s="1041"/>
    </row>
    <row r="500" spans="1:16" hidden="1" outlineLevel="1">
      <c r="A500" s="1028"/>
      <c r="C500" s="1137">
        <f t="shared" si="16"/>
        <v>2018</v>
      </c>
      <c r="D500" s="1035" t="s">
        <v>2418</v>
      </c>
      <c r="E500" s="1100"/>
      <c r="F500" s="1119">
        <f>+SUMIFS('Anlage 2b_Korrekturen'!$D:$D,'Anlage 2b_Korrekturen'!$H:$H,'LV Testat'!$E$4,'Anlage 2b_Korrekturen'!$B:$B,'LV Testat'!$D500,'Anlage 2b_Korrekturen'!$A:$A,C500)</f>
        <v>0</v>
      </c>
      <c r="H500" s="1167"/>
      <c r="I500" s="1119">
        <f>+SUMIFS('Anlage 2b_Korrekturen'!$D:$D,'Anlage 2b_Korrekturen'!$H:$H,'LV Testat'!$H$4,'Anlage 2b_Korrekturen'!$B:$B,'LV Testat'!$D500,'Anlage 2b_Korrekturen'!$A:$A,C500)</f>
        <v>0</v>
      </c>
      <c r="K500" s="1167">
        <v>0</v>
      </c>
      <c r="L500" s="1119">
        <f>+SUMIFS('Anlage 2b_Korrekturen'!$D:$D,'Anlage 2b_Korrekturen'!$H:$H,'LV Testat'!$K$4,'Anlage 2b_Korrekturen'!$B:$B,'LV Testat'!$D500,'Anlage 2b_Korrekturen'!$A:$A,C500)</f>
        <v>0</v>
      </c>
      <c r="N500" s="1167"/>
      <c r="O500" s="1119">
        <f>+SUMIFS('Anlage 2b_Korrekturen'!$D:$D,'Anlage 2b_Korrekturen'!$H:$H,'LV Testat'!$N$4,'Anlage 2b_Korrekturen'!$B:$B,'LV Testat'!$D500,'Anlage 2b_Korrekturen'!$A:$A,C500)</f>
        <v>0</v>
      </c>
      <c r="P500" s="1041"/>
    </row>
    <row r="501" spans="1:16" hidden="1" outlineLevel="1">
      <c r="A501" s="1028"/>
      <c r="C501" s="1137">
        <f t="shared" si="16"/>
        <v>2018</v>
      </c>
      <c r="D501" s="1168" t="s">
        <v>2501</v>
      </c>
      <c r="E501" s="1100"/>
      <c r="F501" s="1119">
        <f>+SUMIFS('Anlage 2b_Korrekturen'!$D:$D,'Anlage 2b_Korrekturen'!$H:$H,'LV Testat'!$E$4,'Anlage 2b_Korrekturen'!$B:$B,'LV Testat'!$D501,'Anlage 2b_Korrekturen'!$A:$A,C501)</f>
        <v>0</v>
      </c>
      <c r="H501" s="1167"/>
      <c r="I501" s="1119">
        <f>+SUMIFS('Anlage 2b_Korrekturen'!$D:$D,'Anlage 2b_Korrekturen'!$H:$H,'LV Testat'!$H$4,'Anlage 2b_Korrekturen'!$B:$B,'LV Testat'!$D501,'Anlage 2b_Korrekturen'!$A:$A,C501)</f>
        <v>0</v>
      </c>
      <c r="K501" s="1167">
        <v>0</v>
      </c>
      <c r="L501" s="1119">
        <f>+SUMIFS('Anlage 2b_Korrekturen'!$D:$D,'Anlage 2b_Korrekturen'!$H:$H,'LV Testat'!$K$4,'Anlage 2b_Korrekturen'!$B:$B,'LV Testat'!$D501,'Anlage 2b_Korrekturen'!$A:$A,C501)</f>
        <v>0</v>
      </c>
      <c r="N501" s="1167"/>
      <c r="O501" s="1119">
        <f>+SUMIFS('Anlage 2b_Korrekturen'!$D:$D,'Anlage 2b_Korrekturen'!$H:$H,'LV Testat'!$N$4,'Anlage 2b_Korrekturen'!$B:$B,'LV Testat'!$D501,'Anlage 2b_Korrekturen'!$A:$A,C501)</f>
        <v>0</v>
      </c>
      <c r="P501" s="1041"/>
    </row>
    <row r="502" spans="1:16" hidden="1" outlineLevel="1">
      <c r="A502" s="1028"/>
      <c r="C502" s="1137">
        <f t="shared" si="16"/>
        <v>2018</v>
      </c>
      <c r="D502" s="1035" t="s">
        <v>2409</v>
      </c>
      <c r="E502" s="1100"/>
      <c r="F502" s="1119">
        <f>+SUMIFS('Anlage 2b_Korrekturen'!$D:$D,'Anlage 2b_Korrekturen'!$H:$H,'LV Testat'!$E$4,'Anlage 2b_Korrekturen'!$B:$B,'LV Testat'!$D502,'Anlage 2b_Korrekturen'!$A:$A,C502)</f>
        <v>0</v>
      </c>
      <c r="H502" s="1167"/>
      <c r="I502" s="1119">
        <f>+SUMIFS('Anlage 2b_Korrekturen'!$D:$D,'Anlage 2b_Korrekturen'!$H:$H,'LV Testat'!$H$4,'Anlage 2b_Korrekturen'!$B:$B,'LV Testat'!$D502,'Anlage 2b_Korrekturen'!$A:$A,C502)</f>
        <v>0</v>
      </c>
      <c r="K502" s="1167">
        <v>0</v>
      </c>
      <c r="L502" s="1119">
        <f>+SUMIFS('Anlage 2b_Korrekturen'!$D:$D,'Anlage 2b_Korrekturen'!$H:$H,'LV Testat'!$K$4,'Anlage 2b_Korrekturen'!$B:$B,'LV Testat'!$D502,'Anlage 2b_Korrekturen'!$A:$A,C502)</f>
        <v>0</v>
      </c>
      <c r="N502" s="1167"/>
      <c r="O502" s="1119">
        <f>+SUMIFS('Anlage 2b_Korrekturen'!$D:$D,'Anlage 2b_Korrekturen'!$H:$H,'LV Testat'!$N$4,'Anlage 2b_Korrekturen'!$B:$B,'LV Testat'!$D502,'Anlage 2b_Korrekturen'!$A:$A,C502)</f>
        <v>0</v>
      </c>
      <c r="P502" s="1041"/>
    </row>
    <row r="503" spans="1:16" hidden="1" outlineLevel="1">
      <c r="A503" s="1028"/>
      <c r="C503" s="1137">
        <f t="shared" si="16"/>
        <v>2018</v>
      </c>
      <c r="D503" s="1035" t="s">
        <v>2419</v>
      </c>
      <c r="E503" s="1100"/>
      <c r="F503" s="1119">
        <f>+SUMIFS('Anlage 2b_Korrekturen'!$D:$D,'Anlage 2b_Korrekturen'!$H:$H,'LV Testat'!$E$4,'Anlage 2b_Korrekturen'!$B:$B,'LV Testat'!$D503,'Anlage 2b_Korrekturen'!$A:$A,C503)</f>
        <v>0</v>
      </c>
      <c r="H503" s="1167"/>
      <c r="I503" s="1119">
        <f>+SUMIFS('Anlage 2b_Korrekturen'!$D:$D,'Anlage 2b_Korrekturen'!$H:$H,'LV Testat'!$H$4,'Anlage 2b_Korrekturen'!$B:$B,'LV Testat'!$D503,'Anlage 2b_Korrekturen'!$A:$A,C503)</f>
        <v>0</v>
      </c>
      <c r="K503" s="1167">
        <v>0</v>
      </c>
      <c r="L503" s="1119">
        <f>+SUMIFS('Anlage 2b_Korrekturen'!$D:$D,'Anlage 2b_Korrekturen'!$H:$H,'LV Testat'!$K$4,'Anlage 2b_Korrekturen'!$B:$B,'LV Testat'!$D503,'Anlage 2b_Korrekturen'!$A:$A,C503)</f>
        <v>0</v>
      </c>
      <c r="N503" s="1167"/>
      <c r="O503" s="1119">
        <f>+SUMIFS('Anlage 2b_Korrekturen'!$D:$D,'Anlage 2b_Korrekturen'!$H:$H,'LV Testat'!$N$4,'Anlage 2b_Korrekturen'!$B:$B,'LV Testat'!$D503,'Anlage 2b_Korrekturen'!$A:$A,C503)</f>
        <v>0</v>
      </c>
      <c r="P503" s="1041"/>
    </row>
    <row r="504" spans="1:16" hidden="1" outlineLevel="1">
      <c r="A504" s="1028"/>
      <c r="C504" s="1137">
        <f t="shared" si="16"/>
        <v>2018</v>
      </c>
      <c r="D504" s="1035" t="s">
        <v>2412</v>
      </c>
      <c r="E504" s="1100"/>
      <c r="F504" s="1119">
        <f>+SUMIFS('Anlage 2b_Korrekturen'!$D:$D,'Anlage 2b_Korrekturen'!$H:$H,'LV Testat'!$E$4,'Anlage 2b_Korrekturen'!$B:$B,'LV Testat'!$D504,'Anlage 2b_Korrekturen'!$A:$A,C504)</f>
        <v>0</v>
      </c>
      <c r="H504" s="1167"/>
      <c r="I504" s="1119">
        <f>+SUMIFS('Anlage 2b_Korrekturen'!$D:$D,'Anlage 2b_Korrekturen'!$H:$H,'LV Testat'!$H$4,'Anlage 2b_Korrekturen'!$B:$B,'LV Testat'!$D504,'Anlage 2b_Korrekturen'!$A:$A,C504)</f>
        <v>0</v>
      </c>
      <c r="K504" s="1167">
        <v>0</v>
      </c>
      <c r="L504" s="1119">
        <f>+SUMIFS('Anlage 2b_Korrekturen'!$D:$D,'Anlage 2b_Korrekturen'!$H:$H,'LV Testat'!$K$4,'Anlage 2b_Korrekturen'!$B:$B,'LV Testat'!$D504,'Anlage 2b_Korrekturen'!$A:$A,C504)</f>
        <v>0</v>
      </c>
      <c r="N504" s="1167"/>
      <c r="O504" s="1119">
        <f>+SUMIFS('Anlage 2b_Korrekturen'!$D:$D,'Anlage 2b_Korrekturen'!$H:$H,'LV Testat'!$N$4,'Anlage 2b_Korrekturen'!$B:$B,'LV Testat'!$D504,'Anlage 2b_Korrekturen'!$A:$A,C504)</f>
        <v>0</v>
      </c>
      <c r="P504" s="1041"/>
    </row>
    <row r="505" spans="1:16" hidden="1" outlineLevel="1">
      <c r="A505" s="1028"/>
      <c r="C505" s="1137">
        <f t="shared" si="16"/>
        <v>2018</v>
      </c>
      <c r="D505" s="1168" t="s">
        <v>2410</v>
      </c>
      <c r="E505" s="1100"/>
      <c r="F505" s="1119">
        <f>+SUMIFS('Anlage 2b_Korrekturen'!$D:$D,'Anlage 2b_Korrekturen'!$H:$H,'LV Testat'!$E$4,'Anlage 2b_Korrekturen'!$B:$B,'LV Testat'!$D505,'Anlage 2b_Korrekturen'!$A:$A,C505)</f>
        <v>0</v>
      </c>
      <c r="H505" s="1167"/>
      <c r="I505" s="1119">
        <f>+SUMIFS('Anlage 2b_Korrekturen'!$D:$D,'Anlage 2b_Korrekturen'!$H:$H,'LV Testat'!$H$4,'Anlage 2b_Korrekturen'!$B:$B,'LV Testat'!$D505,'Anlage 2b_Korrekturen'!$A:$A,C505)</f>
        <v>0</v>
      </c>
      <c r="K505" s="1167">
        <v>0</v>
      </c>
      <c r="L505" s="1119">
        <f>+SUMIFS('Anlage 2b_Korrekturen'!$D:$D,'Anlage 2b_Korrekturen'!$H:$H,'LV Testat'!$K$4,'Anlage 2b_Korrekturen'!$B:$B,'LV Testat'!$D505,'Anlage 2b_Korrekturen'!$A:$A,C505)</f>
        <v>0</v>
      </c>
      <c r="N505" s="1167"/>
      <c r="O505" s="1119">
        <f>+SUMIFS('Anlage 2b_Korrekturen'!$D:$D,'Anlage 2b_Korrekturen'!$H:$H,'LV Testat'!$N$4,'Anlage 2b_Korrekturen'!$B:$B,'LV Testat'!$D505,'Anlage 2b_Korrekturen'!$A:$A,C505)</f>
        <v>0</v>
      </c>
      <c r="P505" s="1041"/>
    </row>
    <row r="506" spans="1:16" ht="12" hidden="1" outlineLevel="1" thickBot="1">
      <c r="A506" s="1090"/>
      <c r="B506" s="1091"/>
      <c r="C506" s="1091"/>
      <c r="D506" s="1121"/>
      <c r="E506" s="1110">
        <f>+SUM(E498:E505)</f>
        <v>0</v>
      </c>
      <c r="F506" s="1124">
        <f>+SUM(F498:F505)</f>
        <v>0</v>
      </c>
      <c r="G506" s="1091"/>
      <c r="H506" s="1124">
        <f>+SUM(H498:H505)</f>
        <v>-898857</v>
      </c>
      <c r="I506" s="1124">
        <f>+SUM(I498:I505)</f>
        <v>-898857</v>
      </c>
      <c r="J506" s="1091"/>
      <c r="K506" s="1124">
        <f>+SUM(K498:K505)</f>
        <v>0</v>
      </c>
      <c r="L506" s="1124">
        <f>+SUM(L498:L505)</f>
        <v>0</v>
      </c>
      <c r="M506" s="1091"/>
      <c r="N506" s="1124">
        <f>+SUM(N498:N505)</f>
        <v>0</v>
      </c>
      <c r="O506" s="1124">
        <f>+SUM(O498:O505)</f>
        <v>0</v>
      </c>
      <c r="P506" s="1121"/>
    </row>
    <row r="507" spans="1:16" ht="12" collapsed="1" thickBot="1">
      <c r="A507" s="1205" t="s">
        <v>2528</v>
      </c>
      <c r="B507" s="1206"/>
      <c r="C507" s="1206"/>
      <c r="D507" s="1207"/>
      <c r="E507" s="1206"/>
      <c r="F507" s="1572" t="str">
        <f>+"Check Speicher BesAR NT "&amp;C515</f>
        <v>Check Speicher BesAR NT 2018</v>
      </c>
      <c r="G507" s="1209">
        <f>+SUM(E510:G512)-SUM(E515:G517)</f>
        <v>0</v>
      </c>
      <c r="H507" s="1210"/>
      <c r="I507" s="1572" t="str">
        <f>+"Check Speicher BesAR NT "&amp;C515</f>
        <v>Check Speicher BesAR NT 2018</v>
      </c>
      <c r="J507" s="1209">
        <f>+SUM(H510:J512)-SUM(H515:J517)</f>
        <v>0</v>
      </c>
      <c r="K507" s="1210"/>
      <c r="L507" s="1572" t="str">
        <f>+"Check Speicher BesAR NT "&amp;C515</f>
        <v>Check Speicher BesAR NT 2018</v>
      </c>
      <c r="M507" s="1209">
        <f>+SUM(K510:M512)-SUM(K515:M517)</f>
        <v>0</v>
      </c>
      <c r="N507" s="1210"/>
      <c r="O507" s="1572" t="str">
        <f>+"Check Speicher BesAR NT "&amp;C515</f>
        <v>Check Speicher BesAR NT 2018</v>
      </c>
      <c r="P507" s="1209">
        <f>+SUM(N510:P512)-SUM(N515:P517)</f>
        <v>0</v>
      </c>
    </row>
    <row r="508" spans="1:16" hidden="1" outlineLevel="1">
      <c r="A508" s="1028"/>
      <c r="D508" s="1041"/>
      <c r="F508" s="1012"/>
      <c r="G508" s="1041"/>
      <c r="H508" s="1028"/>
      <c r="I508" s="1012"/>
      <c r="J508" s="1041"/>
      <c r="K508" s="1028"/>
      <c r="L508" s="1012"/>
      <c r="M508" s="1041"/>
      <c r="N508" s="1028"/>
      <c r="O508" s="1012"/>
      <c r="P508" s="1041"/>
    </row>
    <row r="509" spans="1:16" ht="33.75" hidden="1" outlineLevel="1">
      <c r="A509" s="1028"/>
      <c r="D509" s="1030" t="s">
        <v>2506</v>
      </c>
      <c r="E509" s="1031" t="s">
        <v>2499</v>
      </c>
      <c r="F509" s="1032" t="s">
        <v>2507</v>
      </c>
      <c r="G509" s="1049" t="s">
        <v>2508</v>
      </c>
      <c r="H509" s="1034" t="s">
        <v>2499</v>
      </c>
      <c r="I509" s="1032" t="s">
        <v>2507</v>
      </c>
      <c r="J509" s="1049" t="s">
        <v>2508</v>
      </c>
      <c r="K509" s="1034" t="s">
        <v>2499</v>
      </c>
      <c r="L509" s="1032" t="s">
        <v>2507</v>
      </c>
      <c r="M509" s="1049" t="s">
        <v>2508</v>
      </c>
      <c r="N509" s="1034" t="s">
        <v>2499</v>
      </c>
      <c r="O509" s="1032" t="s">
        <v>2507</v>
      </c>
      <c r="P509" s="1049" t="s">
        <v>2508</v>
      </c>
    </row>
    <row r="510" spans="1:16" hidden="1" outlineLevel="1">
      <c r="A510" s="1028"/>
      <c r="D510" s="1050" t="s">
        <v>2429</v>
      </c>
      <c r="E510" s="1051"/>
      <c r="F510" s="1101"/>
      <c r="G510" s="1102"/>
      <c r="H510" s="1070">
        <v>0</v>
      </c>
      <c r="I510" s="1067">
        <v>0</v>
      </c>
      <c r="J510" s="1068">
        <v>0</v>
      </c>
      <c r="K510" s="1070">
        <v>0</v>
      </c>
      <c r="L510" s="1067">
        <v>0</v>
      </c>
      <c r="M510" s="1068">
        <v>0</v>
      </c>
      <c r="N510" s="1070"/>
      <c r="O510" s="1067"/>
      <c r="P510" s="1068"/>
    </row>
    <row r="511" spans="1:16" hidden="1" outlineLevel="1">
      <c r="A511" s="1028"/>
      <c r="D511" s="1050" t="s">
        <v>2430</v>
      </c>
      <c r="E511" s="1051">
        <v>0</v>
      </c>
      <c r="F511" s="1101">
        <v>0</v>
      </c>
      <c r="G511" s="1102">
        <v>0</v>
      </c>
      <c r="H511" s="1070"/>
      <c r="I511" s="1067"/>
      <c r="J511" s="1068"/>
      <c r="K511" s="1070">
        <v>0</v>
      </c>
      <c r="L511" s="1067">
        <v>0</v>
      </c>
      <c r="M511" s="1068">
        <v>0</v>
      </c>
      <c r="N511" s="1070"/>
      <c r="O511" s="1067"/>
      <c r="P511" s="1068"/>
    </row>
    <row r="512" spans="1:16" hidden="1" outlineLevel="1">
      <c r="A512" s="1028"/>
      <c r="D512" s="1050" t="s">
        <v>2431</v>
      </c>
      <c r="E512" s="1051">
        <v>0</v>
      </c>
      <c r="F512" s="1101">
        <v>0</v>
      </c>
      <c r="G512" s="1102">
        <v>0</v>
      </c>
      <c r="H512" s="1070"/>
      <c r="I512" s="1067"/>
      <c r="J512" s="1068"/>
      <c r="K512" s="1070">
        <v>0</v>
      </c>
      <c r="L512" s="1067">
        <v>0</v>
      </c>
      <c r="M512" s="1068">
        <v>0</v>
      </c>
      <c r="N512" s="1070"/>
      <c r="O512" s="1067"/>
      <c r="P512" s="1068"/>
    </row>
    <row r="513" spans="1:33" ht="11.25" hidden="1" customHeight="1" outlineLevel="1">
      <c r="A513" s="1028"/>
      <c r="D513" s="1041"/>
      <c r="F513" s="1847"/>
      <c r="G513" s="1848"/>
      <c r="H513" s="1028"/>
      <c r="I513" s="1012"/>
      <c r="J513" s="1122"/>
      <c r="K513" s="1028"/>
      <c r="L513" s="1012"/>
      <c r="M513" s="1122"/>
      <c r="N513" s="1028"/>
      <c r="O513" s="1012"/>
      <c r="P513" s="1122"/>
    </row>
    <row r="514" spans="1:33" ht="33.75" hidden="1" outlineLevel="1">
      <c r="A514" s="1028"/>
      <c r="D514" s="1030" t="s">
        <v>2506</v>
      </c>
      <c r="E514" s="1031" t="s">
        <v>2499</v>
      </c>
      <c r="F514" s="1032" t="s">
        <v>2507</v>
      </c>
      <c r="G514" s="1049" t="s">
        <v>2508</v>
      </c>
      <c r="H514" s="1034" t="s">
        <v>2499</v>
      </c>
      <c r="I514" s="1032" t="s">
        <v>2507</v>
      </c>
      <c r="J514" s="1049" t="s">
        <v>2508</v>
      </c>
      <c r="K514" s="1034" t="s">
        <v>2499</v>
      </c>
      <c r="L514" s="1032" t="s">
        <v>2507</v>
      </c>
      <c r="M514" s="1049" t="s">
        <v>2508</v>
      </c>
      <c r="N514" s="1034" t="s">
        <v>2499</v>
      </c>
      <c r="O514" s="1032" t="s">
        <v>2507</v>
      </c>
      <c r="P514" s="1049" t="s">
        <v>2508</v>
      </c>
    </row>
    <row r="515" spans="1:33" ht="12" hidden="1" outlineLevel="1" thickBot="1">
      <c r="A515" s="1056"/>
      <c r="B515" s="1029"/>
      <c r="C515" s="1137">
        <f>+A456</f>
        <v>2018</v>
      </c>
      <c r="D515" s="1050" t="s">
        <v>2429</v>
      </c>
      <c r="E515" s="1105">
        <f>+SUMIFS('Anlage 2b_Korrekturen'!$D:$D,'Anlage 2b_Korrekturen'!$H:$H,'LV Testat'!$E$4,'Anlage 2b_Korrekturen'!$B:$B,'LV Testat'!$D515,'Anlage 2b_Korrekturen'!$A:$A,C515)</f>
        <v>0</v>
      </c>
      <c r="F515" s="1119">
        <f>+SUMIFS('Anlage 2b_Korrekturen'!$E:$E,'Anlage 2b_Korrekturen'!$H:$H,'LV Testat'!$E$4,'Anlage 2b_Korrekturen'!$B:$B,'LV Testat'!$D515,'Anlage 2b_Korrekturen'!$A:$A,C515)</f>
        <v>0</v>
      </c>
      <c r="G515" s="1123">
        <f>+SUMIFS('Anlage 2b_Korrekturen'!$F:$F,'Anlage 2b_Korrekturen'!$H:$H,'LV Testat'!$E$4,'Anlage 2b_Korrekturen'!$B:$B,'LV Testat'!$D515,'Anlage 2b_Korrekturen'!$A:$A,C515)</f>
        <v>0</v>
      </c>
      <c r="H515" s="1105">
        <f>+SUMIFS('Anlage 2b_Korrekturen'!$D:$D,'Anlage 2b_Korrekturen'!$H:$H,'LV Testat'!$H$4,'Anlage 2b_Korrekturen'!$B:$B,'LV Testat'!$D515,'Anlage 2b_Korrekturen'!$A:$A,C515)</f>
        <v>0</v>
      </c>
      <c r="I515" s="1119">
        <f>+SUMIFS('Anlage 2b_Korrekturen'!$E:$E,'Anlage 2b_Korrekturen'!$H:$H,'LV Testat'!$H$4,'Anlage 2b_Korrekturen'!$B:$B,'LV Testat'!$D515,'Anlage 2b_Korrekturen'!$A:$A,C515)</f>
        <v>0</v>
      </c>
      <c r="J515" s="1123">
        <f>+SUMIFS('Anlage 2b_Korrekturen'!$F:$F,'Anlage 2b_Korrekturen'!$H:$H,'LV Testat'!$H$4,'Anlage 2b_Korrekturen'!$B:$B,'LV Testat'!$D515,'Anlage 2b_Korrekturen'!$A:$A,C515)</f>
        <v>0</v>
      </c>
      <c r="K515" s="1105">
        <f>+SUMIFS('Anlage 2b_Korrekturen'!$D:$D,'Anlage 2b_Korrekturen'!$H:$H,'LV Testat'!$K$4,'Anlage 2b_Korrekturen'!$B:$B,'LV Testat'!$D515,'Anlage 2b_Korrekturen'!$A:$A,C515)</f>
        <v>0</v>
      </c>
      <c r="L515" s="1119">
        <f>+SUMIFS('Anlage 2b_Korrekturen'!$E:$E,'Anlage 2b_Korrekturen'!$H:$H,'LV Testat'!$K$4,'Anlage 2b_Korrekturen'!$B:$B,'LV Testat'!$D515,'Anlage 2b_Korrekturen'!$A:$A,C515)</f>
        <v>0</v>
      </c>
      <c r="M515" s="1123">
        <f>+SUMIFS('Anlage 2b_Korrekturen'!$F:$F,'Anlage 2b_Korrekturen'!$H:$H,'LV Testat'!$K$4,'Anlage 2b_Korrekturen'!$B:$B,'LV Testat'!$D515,'Anlage 2b_Korrekturen'!$A:$A,C515)</f>
        <v>0</v>
      </c>
      <c r="N515" s="1105">
        <f>+SUMIFS('Anlage 2b_Korrekturen'!$D:$D,'Anlage 2b_Korrekturen'!$H:$H,'LV Testat'!$N$4,'Anlage 2b_Korrekturen'!$B:$B,'LV Testat'!$D515,'Anlage 2b_Korrekturen'!$A:$A,C515)</f>
        <v>0</v>
      </c>
      <c r="O515" s="1119">
        <f>+SUMIFS('Anlage 2b_Korrekturen'!$E:$E,'Anlage 2b_Korrekturen'!$H:$H,'LV Testat'!$N$4,'Anlage 2b_Korrekturen'!$B:$B,'LV Testat'!$D515,'Anlage 2b_Korrekturen'!$A:$A,C515)</f>
        <v>0</v>
      </c>
      <c r="P515" s="1123">
        <f>+SUMIFS('Anlage 2b_Korrekturen'!$F:$F,'Anlage 2b_Korrekturen'!$H:$H,'LV Testat'!$N$4,'Anlage 2b_Korrekturen'!$B:$B,'LV Testat'!$D515,'Anlage 2b_Korrekturen'!$A:$A,C515)</f>
        <v>0</v>
      </c>
    </row>
    <row r="516" spans="1:33" ht="12.75" hidden="1" outlineLevel="1">
      <c r="A516" s="1056"/>
      <c r="B516" s="1029"/>
      <c r="C516" s="1137">
        <f>+C515</f>
        <v>2018</v>
      </c>
      <c r="D516" s="1050" t="s">
        <v>2430</v>
      </c>
      <c r="E516" s="1105">
        <f>+SUMIFS('Anlage 2b_Korrekturen'!$D:$D,'Anlage 2b_Korrekturen'!$H:$H,'LV Testat'!$E$4,'Anlage 2b_Korrekturen'!$B:$B,'LV Testat'!$D516,'Anlage 2b_Korrekturen'!$A:$A,C516)</f>
        <v>0</v>
      </c>
      <c r="F516" s="1119">
        <f>+SUMIFS('Anlage 2b_Korrekturen'!$E:$E,'Anlage 2b_Korrekturen'!$H:$H,'LV Testat'!$E$4,'Anlage 2b_Korrekturen'!$B:$B,'LV Testat'!$D516,'Anlage 2b_Korrekturen'!$A:$A,C516)</f>
        <v>0</v>
      </c>
      <c r="G516" s="1123">
        <f>+SUMIFS('Anlage 2b_Korrekturen'!$F:$F,'Anlage 2b_Korrekturen'!$H:$H,'LV Testat'!$E$4,'Anlage 2b_Korrekturen'!$B:$B,'LV Testat'!$D516,'Anlage 2b_Korrekturen'!$A:$A,C516)</f>
        <v>0</v>
      </c>
      <c r="H516" s="1105">
        <f>+SUMIFS('Anlage 2b_Korrekturen'!$D:$D,'Anlage 2b_Korrekturen'!$H:$H,'LV Testat'!$H$4,'Anlage 2b_Korrekturen'!$B:$B,'LV Testat'!$D516,'Anlage 2b_Korrekturen'!$A:$A,C516)</f>
        <v>0</v>
      </c>
      <c r="I516" s="1119">
        <f>+SUMIFS('Anlage 2b_Korrekturen'!$E:$E,'Anlage 2b_Korrekturen'!$H:$H,'LV Testat'!$H$4,'Anlage 2b_Korrekturen'!$B:$B,'LV Testat'!$D516,'Anlage 2b_Korrekturen'!$A:$A,C516)</f>
        <v>0</v>
      </c>
      <c r="J516" s="1123">
        <f>+SUMIFS('Anlage 2b_Korrekturen'!$F:$F,'Anlage 2b_Korrekturen'!$H:$H,'LV Testat'!$H$4,'Anlage 2b_Korrekturen'!$B:$B,'LV Testat'!$D516,'Anlage 2b_Korrekturen'!$A:$A,C516)</f>
        <v>0</v>
      </c>
      <c r="K516" s="1105">
        <f>+SUMIFS('Anlage 2b_Korrekturen'!$D:$D,'Anlage 2b_Korrekturen'!$H:$H,'LV Testat'!$K$4,'Anlage 2b_Korrekturen'!$B:$B,'LV Testat'!$D516,'Anlage 2b_Korrekturen'!$A:$A,C516)</f>
        <v>0</v>
      </c>
      <c r="L516" s="1119">
        <f>+SUMIFS('Anlage 2b_Korrekturen'!$E:$E,'Anlage 2b_Korrekturen'!$H:$H,'LV Testat'!$K$4,'Anlage 2b_Korrekturen'!$B:$B,'LV Testat'!$D516,'Anlage 2b_Korrekturen'!$A:$A,C516)</f>
        <v>0</v>
      </c>
      <c r="M516" s="1123">
        <f>+SUMIFS('Anlage 2b_Korrekturen'!$F:$F,'Anlage 2b_Korrekturen'!$H:$H,'LV Testat'!$K$4,'Anlage 2b_Korrekturen'!$B:$B,'LV Testat'!$D516,'Anlage 2b_Korrekturen'!$A:$A,C516)</f>
        <v>0</v>
      </c>
      <c r="N516" s="1105">
        <f>+SUMIFS('Anlage 2b_Korrekturen'!$D:$D,'Anlage 2b_Korrekturen'!$H:$H,'LV Testat'!$N$4,'Anlage 2b_Korrekturen'!$B:$B,'LV Testat'!$D516,'Anlage 2b_Korrekturen'!$A:$A,C516)</f>
        <v>0</v>
      </c>
      <c r="O516" s="1119">
        <f>+SUMIFS('Anlage 2b_Korrekturen'!$E:$E,'Anlage 2b_Korrekturen'!$H:$H,'LV Testat'!$N$4,'Anlage 2b_Korrekturen'!$B:$B,'LV Testat'!$D516,'Anlage 2b_Korrekturen'!$A:$A,C516)</f>
        <v>0</v>
      </c>
      <c r="P516" s="1123">
        <f>+SUMIFS('Anlage 2b_Korrekturen'!$F:$F,'Anlage 2b_Korrekturen'!$H:$H,'LV Testat'!$N$4,'Anlage 2b_Korrekturen'!$B:$B,'LV Testat'!$D516,'Anlage 2b_Korrekturen'!$A:$A,C516)</f>
        <v>0</v>
      </c>
      <c r="V516" s="1844" t="s">
        <v>455</v>
      </c>
      <c r="W516" s="1845"/>
      <c r="X516" s="1846"/>
      <c r="Y516" s="1844" t="s">
        <v>774</v>
      </c>
      <c r="Z516" s="1845"/>
      <c r="AA516" s="1846"/>
      <c r="AB516" s="1844" t="s">
        <v>1220</v>
      </c>
      <c r="AC516" s="1845"/>
      <c r="AD516" s="1846"/>
      <c r="AE516" s="1844" t="s">
        <v>1828</v>
      </c>
      <c r="AF516" s="1845"/>
      <c r="AG516" s="1846"/>
    </row>
    <row r="517" spans="1:33" ht="12" hidden="1" outlineLevel="1" thickBot="1">
      <c r="A517" s="1060"/>
      <c r="B517" s="1061"/>
      <c r="C517" s="1204">
        <f>+C516</f>
        <v>2018</v>
      </c>
      <c r="D517" s="1062" t="s">
        <v>2431</v>
      </c>
      <c r="E517" s="1110">
        <f>+SUMIFS('Anlage 2b_Korrekturen'!$D:$D,'Anlage 2b_Korrekturen'!$H:$H,'LV Testat'!$E$4,'Anlage 2b_Korrekturen'!$B:$B,'LV Testat'!$D517,'Anlage 2b_Korrekturen'!$A:$A,$C$137)</f>
        <v>0</v>
      </c>
      <c r="F517" s="1124">
        <f>+SUMIFS('Anlage 2b_Korrekturen'!$E:$E,'Anlage 2b_Korrekturen'!$H:$H,'LV Testat'!$E$4,'Anlage 2b_Korrekturen'!$B:$B,'LV Testat'!$D517,'Anlage 2b_Korrekturen'!$A:$A,C517)</f>
        <v>0</v>
      </c>
      <c r="G517" s="1125">
        <f>+SUMIFS('Anlage 2b_Korrekturen'!$F:$F,'Anlage 2b_Korrekturen'!$H:$H,'LV Testat'!$E$4,'Anlage 2b_Korrekturen'!$B:$B,'LV Testat'!$D517,'Anlage 2b_Korrekturen'!$A:$A,$C$137)</f>
        <v>0</v>
      </c>
      <c r="H517" s="1110">
        <f>+SUMIFS('Anlage 2b_Korrekturen'!$D:$D,'Anlage 2b_Korrekturen'!$H:$H,'LV Testat'!$H$4,'Anlage 2b_Korrekturen'!$B:$B,'LV Testat'!$D517,'Anlage 2b_Korrekturen'!$A:$A,C517)</f>
        <v>0</v>
      </c>
      <c r="I517" s="1124">
        <f>+SUMIFS('Anlage 2b_Korrekturen'!$E:$E,'Anlage 2b_Korrekturen'!$H:$H,'LV Testat'!$H$4,'Anlage 2b_Korrekturen'!$B:$B,'LV Testat'!$D517,'Anlage 2b_Korrekturen'!$A:$A,C517)</f>
        <v>0</v>
      </c>
      <c r="J517" s="1125">
        <f>+SUMIFS('Anlage 2b_Korrekturen'!$F:$F,'Anlage 2b_Korrekturen'!$H:$H,'LV Testat'!$H$4,'Anlage 2b_Korrekturen'!$B:$B,'LV Testat'!$D517,'Anlage 2b_Korrekturen'!$A:$A,C517)</f>
        <v>0</v>
      </c>
      <c r="K517" s="1110">
        <f>+SUMIFS('Anlage 2b_Korrekturen'!$D:$D,'Anlage 2b_Korrekturen'!$H:$H,'LV Testat'!$K$4,'Anlage 2b_Korrekturen'!$B:$B,'LV Testat'!$D517,'Anlage 2b_Korrekturen'!$A:$A,C517)</f>
        <v>0</v>
      </c>
      <c r="L517" s="1124">
        <f>+SUMIFS('Anlage 2b_Korrekturen'!$E:$E,'Anlage 2b_Korrekturen'!$H:$H,'LV Testat'!$K$4,'Anlage 2b_Korrekturen'!$B:$B,'LV Testat'!$D517,'Anlage 2b_Korrekturen'!$A:$A,C517)</f>
        <v>0</v>
      </c>
      <c r="M517" s="1125">
        <f>+SUMIFS('Anlage 2b_Korrekturen'!$F:$F,'Anlage 2b_Korrekturen'!$H:$H,'LV Testat'!$K$4,'Anlage 2b_Korrekturen'!$B:$B,'LV Testat'!$D517,'Anlage 2b_Korrekturen'!$A:$A,C517)</f>
        <v>0</v>
      </c>
      <c r="N517" s="1110">
        <f>+SUMIFS('Anlage 2b_Korrekturen'!$D:$D,'Anlage 2b_Korrekturen'!$H:$H,'LV Testat'!$N$4,'Anlage 2b_Korrekturen'!$B:$B,'LV Testat'!$D517,'Anlage 2b_Korrekturen'!$A:$A,C517)</f>
        <v>0</v>
      </c>
      <c r="O517" s="1124">
        <f>+SUMIFS('Anlage 2b_Korrekturen'!$E:$E,'Anlage 2b_Korrekturen'!$H:$H,'LV Testat'!$N$4,'Anlage 2b_Korrekturen'!$B:$B,'LV Testat'!$D517,'Anlage 2b_Korrekturen'!$A:$A,C517)</f>
        <v>0</v>
      </c>
      <c r="P517" s="1125">
        <f>+SUMIFS('Anlage 2b_Korrekturen'!$F:$F,'Anlage 2b_Korrekturen'!$H:$H,'LV Testat'!$N$4,'Anlage 2b_Korrekturen'!$B:$B,'LV Testat'!$D517,'Anlage 2b_Korrekturen'!$A:$A,C517)</f>
        <v>0</v>
      </c>
    </row>
    <row r="518" spans="1:33" ht="18" collapsed="1">
      <c r="A518" s="1126" t="s">
        <v>2531</v>
      </c>
      <c r="B518" s="1127"/>
      <c r="C518" s="1127"/>
      <c r="D518" s="1128"/>
      <c r="E518" s="1129"/>
      <c r="F518" s="1129"/>
      <c r="G518" s="1130"/>
      <c r="H518" s="1131"/>
      <c r="I518" s="1129"/>
      <c r="J518" s="1130"/>
      <c r="K518" s="1131"/>
      <c r="L518" s="1129"/>
      <c r="M518" s="1130"/>
      <c r="N518" s="1131"/>
      <c r="O518" s="1129"/>
      <c r="P518" s="1130"/>
      <c r="R518" s="1126" t="s">
        <v>2536</v>
      </c>
      <c r="S518" s="1127"/>
      <c r="T518" s="1127"/>
      <c r="U518" s="1128"/>
      <c r="V518" s="1129"/>
      <c r="W518" s="1129"/>
      <c r="X518" s="1130"/>
      <c r="Y518" s="1131"/>
      <c r="Z518" s="1129"/>
      <c r="AA518" s="1130"/>
      <c r="AB518" s="1131"/>
      <c r="AC518" s="1129"/>
      <c r="AD518" s="1130"/>
      <c r="AE518" s="1131"/>
      <c r="AF518" s="1129"/>
      <c r="AG518" s="1130"/>
    </row>
    <row r="519" spans="1:33" ht="15.75" thickBot="1">
      <c r="A519" s="1841">
        <f>+A456-1</f>
        <v>2017</v>
      </c>
      <c r="B519" s="1842"/>
      <c r="C519" s="1842"/>
      <c r="D519" s="1843"/>
      <c r="E519" s="1091"/>
      <c r="F519" s="1091"/>
      <c r="G519" s="1121"/>
      <c r="H519" s="1090"/>
      <c r="I519" s="1091"/>
      <c r="J519" s="1121"/>
      <c r="K519" s="1090"/>
      <c r="L519" s="1091"/>
      <c r="M519" s="1121"/>
      <c r="N519" s="1090"/>
      <c r="O519" s="1091"/>
      <c r="P519" s="1121"/>
      <c r="R519" s="1841">
        <f>A519</f>
        <v>2017</v>
      </c>
      <c r="S519" s="1842"/>
      <c r="T519" s="1842"/>
      <c r="U519" s="1843"/>
      <c r="V519" s="1091"/>
      <c r="W519" s="1091"/>
      <c r="X519" s="1121"/>
      <c r="Y519" s="1090"/>
      <c r="Z519" s="1091"/>
      <c r="AA519" s="1121"/>
      <c r="AB519" s="1090"/>
      <c r="AC519" s="1091"/>
      <c r="AD519" s="1121"/>
      <c r="AE519" s="1090"/>
      <c r="AF519" s="1091"/>
      <c r="AG519" s="1121"/>
    </row>
    <row r="520" spans="1:33" ht="13.5" thickBot="1">
      <c r="A520" s="1013" t="s">
        <v>2532</v>
      </c>
      <c r="B520" s="1133"/>
      <c r="C520" s="1133"/>
      <c r="D520" s="1134"/>
      <c r="E520" s="1001"/>
      <c r="F520" s="1017" t="str">
        <f>+"Check LV NT "&amp;C523</f>
        <v>Check LV NT 2017</v>
      </c>
      <c r="G520" s="1018">
        <f>+F531-E531</f>
        <v>0</v>
      </c>
      <c r="H520" s="1000"/>
      <c r="I520" s="1017" t="str">
        <f>+"Check LV NT "&amp;C523</f>
        <v>Check LV NT 2017</v>
      </c>
      <c r="J520" s="1018">
        <f>+I531-H531</f>
        <v>0</v>
      </c>
      <c r="K520" s="1000"/>
      <c r="L520" s="1017" t="str">
        <f>+"Check LV NT "&amp;C523</f>
        <v>Check LV NT 2017</v>
      </c>
      <c r="M520" s="1018">
        <f>+L531-K531</f>
        <v>0</v>
      </c>
      <c r="N520" s="1000"/>
      <c r="O520" s="1017" t="str">
        <f>+"Check LV NT "&amp;C523</f>
        <v>Check LV NT 2017</v>
      </c>
      <c r="P520" s="1018">
        <f>+O531-N531</f>
        <v>0</v>
      </c>
      <c r="R520" s="1013" t="s">
        <v>2532</v>
      </c>
      <c r="S520" s="1133"/>
      <c r="T520" s="1133"/>
      <c r="U520" s="1134"/>
      <c r="V520" s="1001"/>
      <c r="W520" s="1017" t="str">
        <f>+"Check LV NT "&amp;T523</f>
        <v>Check LV NT 2017</v>
      </c>
      <c r="X520" s="1018">
        <f>+W531-V531</f>
        <v>0</v>
      </c>
      <c r="Y520" s="1000"/>
      <c r="Z520" s="1017" t="str">
        <f>+"Check LV NT "&amp;T523</f>
        <v>Check LV NT 2017</v>
      </c>
      <c r="AA520" s="1018">
        <f>+Z531-Y531</f>
        <v>0</v>
      </c>
      <c r="AB520" s="1000"/>
      <c r="AC520" s="1017" t="str">
        <f>+"Check LV NT "&amp;T523</f>
        <v>Check LV NT 2017</v>
      </c>
      <c r="AD520" s="1018">
        <f>+AC531-AB531</f>
        <v>0</v>
      </c>
      <c r="AE520" s="1000"/>
      <c r="AF520" s="1017" t="str">
        <f>+"Check LV NT "&amp;T523</f>
        <v>Check LV NT 2017</v>
      </c>
      <c r="AG520" s="1018">
        <f>+AF531-AE531</f>
        <v>0</v>
      </c>
    </row>
    <row r="521" spans="1:33" hidden="1" outlineLevel="1">
      <c r="A521" s="1028"/>
      <c r="D521" s="1041"/>
      <c r="G521" s="1041"/>
      <c r="H521" s="1028"/>
      <c r="J521" s="1041"/>
      <c r="K521" s="1028"/>
      <c r="M521" s="1041"/>
      <c r="N521" s="1028"/>
      <c r="P521" s="1041"/>
      <c r="R521" s="1028"/>
      <c r="U521" s="1041"/>
      <c r="X521" s="1041"/>
      <c r="Y521" s="1028"/>
      <c r="AA521" s="1041"/>
      <c r="AB521" s="1028"/>
      <c r="AD521" s="1041"/>
      <c r="AE521" s="1028"/>
      <c r="AG521" s="1041"/>
    </row>
    <row r="522" spans="1:33" ht="33.75" hidden="1" outlineLevel="1">
      <c r="A522" s="1028"/>
      <c r="D522" s="1135"/>
      <c r="E522" s="1032" t="s">
        <v>2499</v>
      </c>
      <c r="F522" s="1032" t="s">
        <v>2499</v>
      </c>
      <c r="H522" s="1032" t="s">
        <v>2499</v>
      </c>
      <c r="I522" s="1032" t="s">
        <v>2499</v>
      </c>
      <c r="J522" s="1041"/>
      <c r="K522" s="1034" t="s">
        <v>2499</v>
      </c>
      <c r="L522" s="1032" t="s">
        <v>2499</v>
      </c>
      <c r="M522" s="1041"/>
      <c r="N522" s="1034" t="s">
        <v>2499</v>
      </c>
      <c r="O522" s="1032" t="s">
        <v>2499</v>
      </c>
      <c r="P522" s="1041"/>
      <c r="R522" s="1028"/>
      <c r="U522" s="1135"/>
      <c r="V522" s="1032" t="s">
        <v>2499</v>
      </c>
      <c r="W522" s="1032" t="s">
        <v>2499</v>
      </c>
      <c r="Y522" s="1032" t="s">
        <v>2499</v>
      </c>
      <c r="Z522" s="1032" t="s">
        <v>2499</v>
      </c>
      <c r="AA522" s="1041"/>
      <c r="AB522" s="1034" t="s">
        <v>2499</v>
      </c>
      <c r="AC522" s="1032" t="s">
        <v>2499</v>
      </c>
      <c r="AD522" s="1041"/>
      <c r="AE522" s="1034" t="s">
        <v>2499</v>
      </c>
      <c r="AF522" s="1032" t="s">
        <v>2499</v>
      </c>
      <c r="AG522" s="1041"/>
    </row>
    <row r="523" spans="1:33" hidden="1" outlineLevel="1">
      <c r="A523" s="1136"/>
      <c r="C523" s="1137">
        <f>+A519</f>
        <v>2017</v>
      </c>
      <c r="D523" s="1138" t="s">
        <v>2408</v>
      </c>
      <c r="E523" s="1139"/>
      <c r="F523" s="1119">
        <f>+SUMIFS('Anlage 2b_Korrekturen'!$D:$D,'Anlage 2b_Korrekturen'!$H:$H,'LV Testat'!$E$4,'Anlage 2b_Korrekturen'!$C:$C,'LV Testat'!$D523,'Anlage 2b_Korrekturen'!$A:$A,'LV Testat'!C523)</f>
        <v>0</v>
      </c>
      <c r="H523" s="1139">
        <v>13449</v>
      </c>
      <c r="I523" s="1119">
        <f>+SUMIFS('Anlage 2b_Korrekturen'!$D:$D,'Anlage 2b_Korrekturen'!$H:$H,'LV Testat'!$H$4,'Anlage 2b_Korrekturen'!$C:$C,'LV Testat'!$D523,'Anlage 2b_Korrekturen'!$A:$A,'LV Testat'!C523)</f>
        <v>13449</v>
      </c>
      <c r="J523" s="1041"/>
      <c r="K523" s="1139">
        <v>0</v>
      </c>
      <c r="L523" s="1119">
        <f>+SUMIFS('Anlage 2b_Korrekturen'!$D:$D,'Anlage 2b_Korrekturen'!$H:$H,'LV Testat'!$K$4,'Anlage 2b_Korrekturen'!$C:$C,'LV Testat'!$D523,'Anlage 2b_Korrekturen'!$A:$A,'LV Testat'!C523)</f>
        <v>0</v>
      </c>
      <c r="M523" s="1041"/>
      <c r="N523" s="1139"/>
      <c r="O523" s="1119">
        <f>+SUMIFS('Anlage 2b_Korrekturen'!$D:$D,'Anlage 2b_Korrekturen'!$H:$H,'LV Testat'!$N$4,'Anlage 2b_Korrekturen'!$C:$C,'LV Testat'!$D523,'Anlage 2b_Korrekturen'!$A:$A,'LV Testat'!C523)</f>
        <v>0</v>
      </c>
      <c r="P523" s="1041"/>
      <c r="R523" s="1136"/>
      <c r="T523" s="1137">
        <f>+R519</f>
        <v>2017</v>
      </c>
      <c r="U523" s="1138" t="s">
        <v>2416</v>
      </c>
      <c r="V523" s="1139"/>
      <c r="W523" s="1119">
        <f>+SUMIFS('Anlage 2b_Korrekturen'!$D:$D,'Anlage 2b_Korrekturen'!$H:$H,'LV Testat'!$E$4,'Anlage 2b_Korrekturen'!$C:$C,'LV Testat'!$D523,'Anlage 2b_Korrekturen'!$A:$A,'LV Testat'!T523)</f>
        <v>0</v>
      </c>
      <c r="Y523" s="1139">
        <v>13449</v>
      </c>
      <c r="Z523" s="1119">
        <f>+SUMIFS('Anlage 2b_Korrekturen'!$D:$D,'Anlage 2b_Korrekturen'!$H:$H,'LV Testat'!$H$4,'Anlage 2b_Korrekturen'!$C:$C,'LV Testat'!$D523,'Anlage 2b_Korrekturen'!$A:$A,'LV Testat'!T523)</f>
        <v>13449</v>
      </c>
      <c r="AA523" s="1041"/>
      <c r="AB523" s="1139"/>
      <c r="AC523" s="1119">
        <f>+SUMIFS('Anlage 2b_Korrekturen'!$D:$D,'Anlage 2b_Korrekturen'!$H:$H,'LV Testat'!$K$4,'Anlage 2b_Korrekturen'!$C:$C,'LV Testat'!$D523,'Anlage 2b_Korrekturen'!$A:$A,'LV Testat'!T523)</f>
        <v>0</v>
      </c>
      <c r="AD523" s="1041"/>
      <c r="AE523" s="1139">
        <v>0</v>
      </c>
      <c r="AF523" s="1119">
        <f>+SUMIFS('Anlage 2b_Korrekturen'!$D:$D,'Anlage 2b_Korrekturen'!$H:$H,'LV Testat'!$N$4,'Anlage 2b_Korrekturen'!$C:$C,'LV Testat'!$D523,'Anlage 2b_Korrekturen'!$A:$A,'LV Testat'!T523)</f>
        <v>0</v>
      </c>
      <c r="AG523" s="1041"/>
    </row>
    <row r="524" spans="1:33" hidden="1" outlineLevel="1">
      <c r="A524" s="1136"/>
      <c r="C524" s="1137">
        <f t="shared" ref="C524:C531" si="17">+C523</f>
        <v>2017</v>
      </c>
      <c r="D524" s="1138" t="s">
        <v>2500</v>
      </c>
      <c r="E524" s="1139"/>
      <c r="F524" s="1119">
        <f>+SUMIFS('Anlage 2b_Korrekturen'!$D:$D,'Anlage 2b_Korrekturen'!$H:$H,'LV Testat'!$E$4,'Anlage 2b_Korrekturen'!$C:$C,'LV Testat'!$D524,'Anlage 2b_Korrekturen'!$A:$A,'LV Testat'!C524)</f>
        <v>0</v>
      </c>
      <c r="H524" s="1139"/>
      <c r="I524" s="1119">
        <f>+SUMIFS('Anlage 2b_Korrekturen'!$D:$D,'Anlage 2b_Korrekturen'!$H:$H,'LV Testat'!$H$4,'Anlage 2b_Korrekturen'!$C:$C,'LV Testat'!$D524,'Anlage 2b_Korrekturen'!$A:$A,'LV Testat'!C524)</f>
        <v>0</v>
      </c>
      <c r="J524" s="1041"/>
      <c r="K524" s="1139">
        <v>0</v>
      </c>
      <c r="L524" s="1119">
        <f>+SUMIFS('Anlage 2b_Korrekturen'!$D:$D,'Anlage 2b_Korrekturen'!$H:$H,'LV Testat'!$K$4,'Anlage 2b_Korrekturen'!$C:$C,'LV Testat'!$D524,'Anlage 2b_Korrekturen'!$A:$A,'LV Testat'!C524)</f>
        <v>0</v>
      </c>
      <c r="M524" s="1041"/>
      <c r="N524" s="1139"/>
      <c r="O524" s="1119">
        <f>+SUMIFS('Anlage 2b_Korrekturen'!$D:$D,'Anlage 2b_Korrekturen'!$H:$H,'LV Testat'!$N$4,'Anlage 2b_Korrekturen'!$C:$C,'LV Testat'!$D524,'Anlage 2b_Korrekturen'!$A:$A,'LV Testat'!C524)</f>
        <v>0</v>
      </c>
      <c r="P524" s="1041"/>
      <c r="R524" s="1136"/>
      <c r="T524" s="1137">
        <f t="shared" ref="T524:T531" si="18">+T523</f>
        <v>2017</v>
      </c>
      <c r="U524" s="1138" t="s">
        <v>2538</v>
      </c>
      <c r="V524" s="1139"/>
      <c r="W524" s="1119">
        <f>+SUMIFS('Anlage 2b_Korrekturen'!$D:$D,'Anlage 2b_Korrekturen'!$H:$H,'LV Testat'!$E$4,'Anlage 2b_Korrekturen'!$C:$C,'LV Testat'!$D524,'Anlage 2b_Korrekturen'!$A:$A,'LV Testat'!T524)</f>
        <v>0</v>
      </c>
      <c r="Y524" s="1139"/>
      <c r="Z524" s="1119">
        <f>+SUMIFS('Anlage 2b_Korrekturen'!$D:$D,'Anlage 2b_Korrekturen'!$H:$H,'LV Testat'!$H$4,'Anlage 2b_Korrekturen'!$C:$C,'LV Testat'!$D524,'Anlage 2b_Korrekturen'!$A:$A,'LV Testat'!T524)</f>
        <v>0</v>
      </c>
      <c r="AA524" s="1041"/>
      <c r="AB524" s="1139"/>
      <c r="AC524" s="1119">
        <f>+SUMIFS('Anlage 2b_Korrekturen'!$D:$D,'Anlage 2b_Korrekturen'!$H:$H,'LV Testat'!$K$4,'Anlage 2b_Korrekturen'!$C:$C,'LV Testat'!$D524,'Anlage 2b_Korrekturen'!$A:$A,'LV Testat'!T524)</f>
        <v>0</v>
      </c>
      <c r="AD524" s="1041"/>
      <c r="AE524" s="1139">
        <v>0</v>
      </c>
      <c r="AF524" s="1119">
        <f>+SUMIFS('Anlage 2b_Korrekturen'!$D:$D,'Anlage 2b_Korrekturen'!$H:$H,'LV Testat'!$N$4,'Anlage 2b_Korrekturen'!$C:$C,'LV Testat'!$D524,'Anlage 2b_Korrekturen'!$A:$A,'LV Testat'!T524)</f>
        <v>0</v>
      </c>
      <c r="AG524" s="1041"/>
    </row>
    <row r="525" spans="1:33" hidden="1" outlineLevel="1">
      <c r="A525" s="1136"/>
      <c r="C525" s="1137">
        <f t="shared" si="17"/>
        <v>2017</v>
      </c>
      <c r="D525" s="1138" t="s">
        <v>2418</v>
      </c>
      <c r="E525" s="1139"/>
      <c r="F525" s="1119">
        <f>+SUMIFS('Anlage 2b_Korrekturen'!$D:$D,'Anlage 2b_Korrekturen'!$H:$H,'LV Testat'!$E$4,'Anlage 2b_Korrekturen'!$C:$C,'LV Testat'!$D525,'Anlage 2b_Korrekturen'!$A:$A,'LV Testat'!C525)</f>
        <v>0</v>
      </c>
      <c r="H525" s="1139">
        <v>0</v>
      </c>
      <c r="I525" s="1119">
        <f>+SUMIFS('Anlage 2b_Korrekturen'!$D:$D,'Anlage 2b_Korrekturen'!$H:$H,'LV Testat'!$H$4,'Anlage 2b_Korrekturen'!$C:$C,'LV Testat'!$D525,'Anlage 2b_Korrekturen'!$A:$A,'LV Testat'!C525)</f>
        <v>0</v>
      </c>
      <c r="J525" s="1041"/>
      <c r="K525" s="1139">
        <v>0</v>
      </c>
      <c r="L525" s="1119">
        <f>+SUMIFS('Anlage 2b_Korrekturen'!$D:$D,'Anlage 2b_Korrekturen'!$H:$H,'LV Testat'!$K$4,'Anlage 2b_Korrekturen'!$C:$C,'LV Testat'!$D525,'Anlage 2b_Korrekturen'!$A:$A,'LV Testat'!C525)</f>
        <v>0</v>
      </c>
      <c r="M525" s="1041"/>
      <c r="N525" s="1139"/>
      <c r="O525" s="1119">
        <f>+SUMIFS('Anlage 2b_Korrekturen'!$D:$D,'Anlage 2b_Korrekturen'!$H:$H,'LV Testat'!$N$4,'Anlage 2b_Korrekturen'!$C:$C,'LV Testat'!$D525,'Anlage 2b_Korrekturen'!$A:$A,'LV Testat'!C525)</f>
        <v>0</v>
      </c>
      <c r="P525" s="1041"/>
      <c r="R525" s="1136"/>
      <c r="T525" s="1137">
        <f t="shared" si="18"/>
        <v>2017</v>
      </c>
      <c r="U525" s="1138" t="s">
        <v>2539</v>
      </c>
      <c r="V525" s="1139"/>
      <c r="W525" s="1119">
        <f>+SUMIFS('Anlage 2b_Korrekturen'!$D:$D,'Anlage 2b_Korrekturen'!$H:$H,'LV Testat'!$E$4,'Anlage 2b_Korrekturen'!$C:$C,'LV Testat'!$D525,'Anlage 2b_Korrekturen'!$A:$A,'LV Testat'!T525)</f>
        <v>0</v>
      </c>
      <c r="Y525" s="1139">
        <v>0</v>
      </c>
      <c r="Z525" s="1119">
        <f>+SUMIFS('Anlage 2b_Korrekturen'!$D:$D,'Anlage 2b_Korrekturen'!$H:$H,'LV Testat'!$H$4,'Anlage 2b_Korrekturen'!$C:$C,'LV Testat'!$D525,'Anlage 2b_Korrekturen'!$A:$A,'LV Testat'!T525)</f>
        <v>0</v>
      </c>
      <c r="AA525" s="1041"/>
      <c r="AB525" s="1139"/>
      <c r="AC525" s="1119">
        <f>+SUMIFS('Anlage 2b_Korrekturen'!$D:$D,'Anlage 2b_Korrekturen'!$H:$H,'LV Testat'!$K$4,'Anlage 2b_Korrekturen'!$C:$C,'LV Testat'!$D525,'Anlage 2b_Korrekturen'!$A:$A,'LV Testat'!T525)</f>
        <v>0</v>
      </c>
      <c r="AD525" s="1041"/>
      <c r="AE525" s="1139">
        <v>0</v>
      </c>
      <c r="AF525" s="1119">
        <f>+SUMIFS('Anlage 2b_Korrekturen'!$D:$D,'Anlage 2b_Korrekturen'!$H:$H,'LV Testat'!$N$4,'Anlage 2b_Korrekturen'!$C:$C,'LV Testat'!$D525,'Anlage 2b_Korrekturen'!$A:$A,'LV Testat'!T525)</f>
        <v>0</v>
      </c>
      <c r="AG525" s="1041"/>
    </row>
    <row r="526" spans="1:33" hidden="1" outlineLevel="1">
      <c r="A526" s="1136"/>
      <c r="C526" s="1137">
        <f t="shared" si="17"/>
        <v>2017</v>
      </c>
      <c r="D526" s="1141" t="s">
        <v>2501</v>
      </c>
      <c r="E526" s="1139"/>
      <c r="F526" s="1119">
        <f>+SUMIFS('Anlage 2b_Korrekturen'!$D:$D,'Anlage 2b_Korrekturen'!$H:$H,'LV Testat'!$E$4,'Anlage 2b_Korrekturen'!$C:$C,'LV Testat'!$D526,'Anlage 2b_Korrekturen'!$A:$A,'LV Testat'!C526)</f>
        <v>0</v>
      </c>
      <c r="H526" s="1139"/>
      <c r="I526" s="1119">
        <f>+SUMIFS('Anlage 2b_Korrekturen'!$D:$D,'Anlage 2b_Korrekturen'!$H:$H,'LV Testat'!$H$4,'Anlage 2b_Korrekturen'!$C:$C,'LV Testat'!$D526,'Anlage 2b_Korrekturen'!$A:$A,'LV Testat'!C526)</f>
        <v>0</v>
      </c>
      <c r="J526" s="1041"/>
      <c r="K526" s="1139">
        <v>0</v>
      </c>
      <c r="L526" s="1119">
        <f>+SUMIFS('Anlage 2b_Korrekturen'!$D:$D,'Anlage 2b_Korrekturen'!$H:$H,'LV Testat'!$K$4,'Anlage 2b_Korrekturen'!$C:$C,'LV Testat'!$D526,'Anlage 2b_Korrekturen'!$A:$A,'LV Testat'!C526)</f>
        <v>0</v>
      </c>
      <c r="M526" s="1041"/>
      <c r="N526" s="1139"/>
      <c r="O526" s="1119">
        <f>+SUMIFS('Anlage 2b_Korrekturen'!$D:$D,'Anlage 2b_Korrekturen'!$H:$H,'LV Testat'!$N$4,'Anlage 2b_Korrekturen'!$C:$C,'LV Testat'!$D526,'Anlage 2b_Korrekturen'!$A:$A,'LV Testat'!C526)</f>
        <v>0</v>
      </c>
      <c r="P526" s="1041"/>
      <c r="R526" s="1136"/>
      <c r="T526" s="1137">
        <f t="shared" si="18"/>
        <v>2017</v>
      </c>
      <c r="U526" s="1141" t="s">
        <v>2501</v>
      </c>
      <c r="V526" s="1139"/>
      <c r="W526" s="1119">
        <f>+SUMIFS('Anlage 2b_Korrekturen'!$D:$D,'Anlage 2b_Korrekturen'!$H:$H,'LV Testat'!$E$4,'Anlage 2b_Korrekturen'!$C:$C,'LV Testat'!$D526,'Anlage 2b_Korrekturen'!$A:$A,'LV Testat'!T526)</f>
        <v>0</v>
      </c>
      <c r="Y526" s="1139"/>
      <c r="Z526" s="1119">
        <f>+SUMIFS('Anlage 2b_Korrekturen'!$D:$D,'Anlage 2b_Korrekturen'!$H:$H,'LV Testat'!$H$4,'Anlage 2b_Korrekturen'!$C:$C,'LV Testat'!$D526,'Anlage 2b_Korrekturen'!$A:$A,'LV Testat'!T526)</f>
        <v>0</v>
      </c>
      <c r="AA526" s="1041"/>
      <c r="AB526" s="1139"/>
      <c r="AC526" s="1119">
        <f>+SUMIFS('Anlage 2b_Korrekturen'!$D:$D,'Anlage 2b_Korrekturen'!$H:$H,'LV Testat'!$K$4,'Anlage 2b_Korrekturen'!$C:$C,'LV Testat'!$D526,'Anlage 2b_Korrekturen'!$A:$A,'LV Testat'!T526)</f>
        <v>0</v>
      </c>
      <c r="AD526" s="1041"/>
      <c r="AE526" s="1139">
        <v>0</v>
      </c>
      <c r="AF526" s="1119">
        <f>+SUMIFS('Anlage 2b_Korrekturen'!$D:$D,'Anlage 2b_Korrekturen'!$H:$H,'LV Testat'!$N$4,'Anlage 2b_Korrekturen'!$C:$C,'LV Testat'!$D526,'Anlage 2b_Korrekturen'!$A:$A,'LV Testat'!T526)</f>
        <v>0</v>
      </c>
      <c r="AG526" s="1041"/>
    </row>
    <row r="527" spans="1:33" hidden="1" outlineLevel="1">
      <c r="A527" s="1136"/>
      <c r="C527" s="1137">
        <f t="shared" si="17"/>
        <v>2017</v>
      </c>
      <c r="D527" s="1138" t="s">
        <v>2409</v>
      </c>
      <c r="E527" s="1139"/>
      <c r="F527" s="1119">
        <f>+SUMIFS('Anlage 2b_Korrekturen'!$D:$D,'Anlage 2b_Korrekturen'!$H:$H,'LV Testat'!$E$4,'Anlage 2b_Korrekturen'!$C:$C,'LV Testat'!$D527,'Anlage 2b_Korrekturen'!$A:$A,'LV Testat'!C527)</f>
        <v>0</v>
      </c>
      <c r="H527" s="1139">
        <v>0</v>
      </c>
      <c r="I527" s="1119">
        <f>+SUMIFS('Anlage 2b_Korrekturen'!$D:$D,'Anlage 2b_Korrekturen'!$H:$H,'LV Testat'!$H$4,'Anlage 2b_Korrekturen'!$C:$C,'LV Testat'!$D527,'Anlage 2b_Korrekturen'!$A:$A,'LV Testat'!C527)</f>
        <v>0</v>
      </c>
      <c r="J527" s="1041"/>
      <c r="K527" s="1139">
        <v>0</v>
      </c>
      <c r="L527" s="1119">
        <f>+SUMIFS('Anlage 2b_Korrekturen'!$D:$D,'Anlage 2b_Korrekturen'!$H:$H,'LV Testat'!$K$4,'Anlage 2b_Korrekturen'!$C:$C,'LV Testat'!$D527,'Anlage 2b_Korrekturen'!$A:$A,'LV Testat'!C527)</f>
        <v>0</v>
      </c>
      <c r="M527" s="1041"/>
      <c r="N527" s="1139"/>
      <c r="O527" s="1119">
        <f>+SUMIFS('Anlage 2b_Korrekturen'!$D:$D,'Anlage 2b_Korrekturen'!$H:$H,'LV Testat'!$N$4,'Anlage 2b_Korrekturen'!$C:$C,'LV Testat'!$D527,'Anlage 2b_Korrekturen'!$A:$A,'LV Testat'!C527)</f>
        <v>0</v>
      </c>
      <c r="P527" s="1041"/>
      <c r="R527" s="1136"/>
      <c r="T527" s="1137">
        <f t="shared" si="18"/>
        <v>2017</v>
      </c>
      <c r="U527" s="1141" t="s">
        <v>2409</v>
      </c>
      <c r="V527" s="1139"/>
      <c r="W527" s="1119">
        <f>+SUMIFS('Anlage 2b_Korrekturen'!$D:$D,'Anlage 2b_Korrekturen'!$H:$H,'LV Testat'!$E$4,'Anlage 2b_Korrekturen'!$C:$C,'LV Testat'!$D527,'Anlage 2b_Korrekturen'!$A:$A,'LV Testat'!T527)</f>
        <v>0</v>
      </c>
      <c r="Y527" s="1139">
        <v>0</v>
      </c>
      <c r="Z527" s="1119">
        <f>+SUMIFS('Anlage 2b_Korrekturen'!$D:$D,'Anlage 2b_Korrekturen'!$H:$H,'LV Testat'!$H$4,'Anlage 2b_Korrekturen'!$C:$C,'LV Testat'!$D527,'Anlage 2b_Korrekturen'!$A:$A,'LV Testat'!T527)</f>
        <v>0</v>
      </c>
      <c r="AA527" s="1041"/>
      <c r="AB527" s="1139"/>
      <c r="AC527" s="1119">
        <f>+SUMIFS('Anlage 2b_Korrekturen'!$D:$D,'Anlage 2b_Korrekturen'!$H:$H,'LV Testat'!$K$4,'Anlage 2b_Korrekturen'!$C:$C,'LV Testat'!$D527,'Anlage 2b_Korrekturen'!$A:$A,'LV Testat'!T527)</f>
        <v>0</v>
      </c>
      <c r="AD527" s="1041"/>
      <c r="AE527" s="1139">
        <v>0</v>
      </c>
      <c r="AF527" s="1119">
        <f>+SUMIFS('Anlage 2b_Korrekturen'!$D:$D,'Anlage 2b_Korrekturen'!$H:$H,'LV Testat'!$N$4,'Anlage 2b_Korrekturen'!$C:$C,'LV Testat'!$D527,'Anlage 2b_Korrekturen'!$A:$A,'LV Testat'!T527)</f>
        <v>0</v>
      </c>
      <c r="AG527" s="1041"/>
    </row>
    <row r="528" spans="1:33" hidden="1" outlineLevel="1">
      <c r="A528" s="1136"/>
      <c r="C528" s="1137">
        <f t="shared" si="17"/>
        <v>2017</v>
      </c>
      <c r="D528" s="1138" t="s">
        <v>2419</v>
      </c>
      <c r="E528" s="1139"/>
      <c r="F528" s="1119">
        <f>+SUMIFS('Anlage 2b_Korrekturen'!$D:$D,'Anlage 2b_Korrekturen'!$H:$H,'LV Testat'!$E$4,'Anlage 2b_Korrekturen'!$C:$C,'LV Testat'!$D528,'Anlage 2b_Korrekturen'!$A:$A,'LV Testat'!C528)</f>
        <v>0</v>
      </c>
      <c r="H528" s="1139"/>
      <c r="I528" s="1119">
        <f>+SUMIFS('Anlage 2b_Korrekturen'!$D:$D,'Anlage 2b_Korrekturen'!$H:$H,'LV Testat'!$H$4,'Anlage 2b_Korrekturen'!$C:$C,'LV Testat'!$D528,'Anlage 2b_Korrekturen'!$A:$A,'LV Testat'!C528)</f>
        <v>0</v>
      </c>
      <c r="J528" s="1041"/>
      <c r="K528" s="1139">
        <v>0</v>
      </c>
      <c r="L528" s="1119">
        <f>+SUMIFS('Anlage 2b_Korrekturen'!$D:$D,'Anlage 2b_Korrekturen'!$H:$H,'LV Testat'!$K$4,'Anlage 2b_Korrekturen'!$C:$C,'LV Testat'!$D528,'Anlage 2b_Korrekturen'!$A:$A,'LV Testat'!C528)</f>
        <v>0</v>
      </c>
      <c r="M528" s="1041"/>
      <c r="N528" s="1139"/>
      <c r="O528" s="1119">
        <f>+SUMIFS('Anlage 2b_Korrekturen'!$D:$D,'Anlage 2b_Korrekturen'!$H:$H,'LV Testat'!$N$4,'Anlage 2b_Korrekturen'!$C:$C,'LV Testat'!$D528,'Anlage 2b_Korrekturen'!$A:$A,'LV Testat'!C528)</f>
        <v>0</v>
      </c>
      <c r="P528" s="1041"/>
      <c r="R528" s="1136"/>
      <c r="T528" s="1137">
        <f t="shared" si="18"/>
        <v>2017</v>
      </c>
      <c r="U528" s="1141" t="s">
        <v>2419</v>
      </c>
      <c r="V528" s="1139"/>
      <c r="W528" s="1119">
        <f>+SUMIFS('Anlage 2b_Korrekturen'!$D:$D,'Anlage 2b_Korrekturen'!$H:$H,'LV Testat'!$E$4,'Anlage 2b_Korrekturen'!$C:$C,'LV Testat'!$D528,'Anlage 2b_Korrekturen'!$A:$A,'LV Testat'!T528)</f>
        <v>0</v>
      </c>
      <c r="Y528" s="1139"/>
      <c r="Z528" s="1119">
        <f>+SUMIFS('Anlage 2b_Korrekturen'!$D:$D,'Anlage 2b_Korrekturen'!$H:$H,'LV Testat'!$H$4,'Anlage 2b_Korrekturen'!$C:$C,'LV Testat'!$D528,'Anlage 2b_Korrekturen'!$A:$A,'LV Testat'!T528)</f>
        <v>0</v>
      </c>
      <c r="AA528" s="1041"/>
      <c r="AB528" s="1139"/>
      <c r="AC528" s="1119">
        <f>+SUMIFS('Anlage 2b_Korrekturen'!$D:$D,'Anlage 2b_Korrekturen'!$H:$H,'LV Testat'!$K$4,'Anlage 2b_Korrekturen'!$C:$C,'LV Testat'!$D528,'Anlage 2b_Korrekturen'!$A:$A,'LV Testat'!T528)</f>
        <v>0</v>
      </c>
      <c r="AD528" s="1041"/>
      <c r="AE528" s="1139">
        <v>0</v>
      </c>
      <c r="AF528" s="1119">
        <f>+SUMIFS('Anlage 2b_Korrekturen'!$D:$D,'Anlage 2b_Korrekturen'!$H:$H,'LV Testat'!$N$4,'Anlage 2b_Korrekturen'!$C:$C,'LV Testat'!$D528,'Anlage 2b_Korrekturen'!$A:$A,'LV Testat'!T528)</f>
        <v>0</v>
      </c>
      <c r="AG528" s="1041"/>
    </row>
    <row r="529" spans="1:33" hidden="1" outlineLevel="1">
      <c r="A529" s="1136"/>
      <c r="C529" s="1137">
        <f t="shared" si="17"/>
        <v>2017</v>
      </c>
      <c r="D529" s="1138" t="s">
        <v>2412</v>
      </c>
      <c r="E529" s="1139"/>
      <c r="F529" s="1119">
        <f>+SUMIFS('Anlage 2b_Korrekturen'!$D:$D,'Anlage 2b_Korrekturen'!$H:$H,'LV Testat'!$E$4,'Anlage 2b_Korrekturen'!$C:$C,'LV Testat'!$D529,'Anlage 2b_Korrekturen'!$A:$A,'LV Testat'!C529)</f>
        <v>0</v>
      </c>
      <c r="H529" s="1139"/>
      <c r="I529" s="1119">
        <f>+SUMIFS('Anlage 2b_Korrekturen'!$D:$D,'Anlage 2b_Korrekturen'!$H:$H,'LV Testat'!$H$4,'Anlage 2b_Korrekturen'!$C:$C,'LV Testat'!$D529,'Anlage 2b_Korrekturen'!$A:$A,'LV Testat'!C529)</f>
        <v>0</v>
      </c>
      <c r="J529" s="1041"/>
      <c r="K529" s="1139">
        <v>0</v>
      </c>
      <c r="L529" s="1119">
        <f>+SUMIFS('Anlage 2b_Korrekturen'!$D:$D,'Anlage 2b_Korrekturen'!$H:$H,'LV Testat'!$K$4,'Anlage 2b_Korrekturen'!$C:$C,'LV Testat'!$D529,'Anlage 2b_Korrekturen'!$A:$A,'LV Testat'!C529)</f>
        <v>0</v>
      </c>
      <c r="M529" s="1041"/>
      <c r="N529" s="1139"/>
      <c r="O529" s="1119">
        <f>+SUMIFS('Anlage 2b_Korrekturen'!$D:$D,'Anlage 2b_Korrekturen'!$H:$H,'LV Testat'!$N$4,'Anlage 2b_Korrekturen'!$C:$C,'LV Testat'!$D529,'Anlage 2b_Korrekturen'!$A:$A,'LV Testat'!C529)</f>
        <v>0</v>
      </c>
      <c r="P529" s="1041"/>
      <c r="R529" s="1136"/>
      <c r="T529" s="1137">
        <f t="shared" si="18"/>
        <v>2017</v>
      </c>
      <c r="U529" s="1141" t="s">
        <v>2412</v>
      </c>
      <c r="V529" s="1139"/>
      <c r="W529" s="1119">
        <f>+SUMIFS('Anlage 2b_Korrekturen'!$D:$D,'Anlage 2b_Korrekturen'!$H:$H,'LV Testat'!$E$4,'Anlage 2b_Korrekturen'!$C:$C,'LV Testat'!$D529,'Anlage 2b_Korrekturen'!$A:$A,'LV Testat'!T529)</f>
        <v>0</v>
      </c>
      <c r="Y529" s="1139"/>
      <c r="Z529" s="1119">
        <f>+SUMIFS('Anlage 2b_Korrekturen'!$D:$D,'Anlage 2b_Korrekturen'!$H:$H,'LV Testat'!$H$4,'Anlage 2b_Korrekturen'!$C:$C,'LV Testat'!$D529,'Anlage 2b_Korrekturen'!$A:$A,'LV Testat'!T529)</f>
        <v>0</v>
      </c>
      <c r="AA529" s="1041"/>
      <c r="AB529" s="1139"/>
      <c r="AC529" s="1119">
        <f>+SUMIFS('Anlage 2b_Korrekturen'!$D:$D,'Anlage 2b_Korrekturen'!$H:$H,'LV Testat'!$K$4,'Anlage 2b_Korrekturen'!$C:$C,'LV Testat'!$D529,'Anlage 2b_Korrekturen'!$A:$A,'LV Testat'!T529)</f>
        <v>0</v>
      </c>
      <c r="AD529" s="1041"/>
      <c r="AE529" s="1139">
        <v>0</v>
      </c>
      <c r="AF529" s="1119">
        <f>+SUMIFS('Anlage 2b_Korrekturen'!$D:$D,'Anlage 2b_Korrekturen'!$H:$H,'LV Testat'!$N$4,'Anlage 2b_Korrekturen'!$C:$C,'LV Testat'!$D529,'Anlage 2b_Korrekturen'!$A:$A,'LV Testat'!T529)</f>
        <v>0</v>
      </c>
      <c r="AG529" s="1041"/>
    </row>
    <row r="530" spans="1:33" hidden="1" outlineLevel="1">
      <c r="A530" s="1028"/>
      <c r="C530" s="1137">
        <f t="shared" si="17"/>
        <v>2017</v>
      </c>
      <c r="D530" s="1141" t="s">
        <v>2410</v>
      </c>
      <c r="E530" s="1139"/>
      <c r="F530" s="1119">
        <f>+SUMIFS('Anlage 2b_Korrekturen'!$D:$D,'Anlage 2b_Korrekturen'!$H:$H,'LV Testat'!$E$4,'Anlage 2b_Korrekturen'!$C:$C,'LV Testat'!$D530,'Anlage 2b_Korrekturen'!$A:$A,'LV Testat'!C530)</f>
        <v>0</v>
      </c>
      <c r="H530" s="1139">
        <v>0</v>
      </c>
      <c r="I530" s="1119">
        <f>+SUMIFS('Anlage 2b_Korrekturen'!$D:$D,'Anlage 2b_Korrekturen'!$H:$H,'LV Testat'!$H$4,'Anlage 2b_Korrekturen'!$C:$C,'LV Testat'!$D530,'Anlage 2b_Korrekturen'!$A:$A,'LV Testat'!C530)</f>
        <v>0</v>
      </c>
      <c r="J530" s="1041"/>
      <c r="K530" s="1139">
        <v>0</v>
      </c>
      <c r="L530" s="1119">
        <f>+SUMIFS('Anlage 2b_Korrekturen'!$D:$D,'Anlage 2b_Korrekturen'!$H:$H,'LV Testat'!$K$4,'Anlage 2b_Korrekturen'!$C:$C,'LV Testat'!$D530,'Anlage 2b_Korrekturen'!$A:$A,'LV Testat'!C530)</f>
        <v>0</v>
      </c>
      <c r="M530" s="1041"/>
      <c r="N530" s="1139"/>
      <c r="O530" s="1119">
        <f>+SUMIFS('Anlage 2b_Korrekturen'!$D:$D,'Anlage 2b_Korrekturen'!$H:$H,'LV Testat'!$N$4,'Anlage 2b_Korrekturen'!$C:$C,'LV Testat'!$D530,'Anlage 2b_Korrekturen'!$A:$A,'LV Testat'!C530)</f>
        <v>0</v>
      </c>
      <c r="P530" s="1041"/>
      <c r="R530" s="1028"/>
      <c r="T530" s="1137">
        <f t="shared" si="18"/>
        <v>2017</v>
      </c>
      <c r="U530" s="1141" t="s">
        <v>2410</v>
      </c>
      <c r="V530" s="1139"/>
      <c r="W530" s="1119">
        <f>+SUMIFS('Anlage 2b_Korrekturen'!$D:$D,'Anlage 2b_Korrekturen'!$H:$H,'LV Testat'!$E$4,'Anlage 2b_Korrekturen'!$C:$C,'LV Testat'!$D530,'Anlage 2b_Korrekturen'!$A:$A,'LV Testat'!T530)</f>
        <v>0</v>
      </c>
      <c r="Y530" s="1139">
        <v>0</v>
      </c>
      <c r="Z530" s="1119">
        <f>+SUMIFS('Anlage 2b_Korrekturen'!$D:$D,'Anlage 2b_Korrekturen'!$H:$H,'LV Testat'!$H$4,'Anlage 2b_Korrekturen'!$C:$C,'LV Testat'!$D530,'Anlage 2b_Korrekturen'!$A:$A,'LV Testat'!T530)</f>
        <v>0</v>
      </c>
      <c r="AA530" s="1041"/>
      <c r="AB530" s="1139"/>
      <c r="AC530" s="1119">
        <f>+SUMIFS('Anlage 2b_Korrekturen'!$D:$D,'Anlage 2b_Korrekturen'!$H:$H,'LV Testat'!$K$4,'Anlage 2b_Korrekturen'!$C:$C,'LV Testat'!$D530,'Anlage 2b_Korrekturen'!$A:$A,'LV Testat'!T530)</f>
        <v>0</v>
      </c>
      <c r="AD530" s="1041"/>
      <c r="AE530" s="1139">
        <v>0</v>
      </c>
      <c r="AF530" s="1119">
        <f>+SUMIFS('Anlage 2b_Korrekturen'!$D:$D,'Anlage 2b_Korrekturen'!$H:$H,'LV Testat'!$N$4,'Anlage 2b_Korrekturen'!$C:$C,'LV Testat'!$D530,'Anlage 2b_Korrekturen'!$A:$A,'LV Testat'!T530)</f>
        <v>0</v>
      </c>
      <c r="AG530" s="1041"/>
    </row>
    <row r="531" spans="1:33" ht="12" hidden="1" outlineLevel="1" thickBot="1">
      <c r="A531" s="1143"/>
      <c r="B531" s="1091"/>
      <c r="C531" s="1137">
        <f t="shared" si="17"/>
        <v>2017</v>
      </c>
      <c r="D531" s="1144" t="s">
        <v>2503</v>
      </c>
      <c r="E531" s="1124">
        <f>+SUM(E523:E530)</f>
        <v>0</v>
      </c>
      <c r="F531" s="1124">
        <f>+SUM(F523:F530)</f>
        <v>0</v>
      </c>
      <c r="G531" s="1091"/>
      <c r="H531" s="1124">
        <f>+SUM(H523:H530)</f>
        <v>13449</v>
      </c>
      <c r="I531" s="1124">
        <f>+SUM(I523:I530)</f>
        <v>13449</v>
      </c>
      <c r="J531" s="1121"/>
      <c r="K531" s="1124">
        <f>+SUM(K523:K530)</f>
        <v>0</v>
      </c>
      <c r="L531" s="1124">
        <f>+SUM(L523:L530)</f>
        <v>0</v>
      </c>
      <c r="M531" s="1121"/>
      <c r="N531" s="1124">
        <f>+SUM(N523:N530)</f>
        <v>0</v>
      </c>
      <c r="O531" s="1124">
        <f>+SUM(O523:O530)</f>
        <v>0</v>
      </c>
      <c r="P531" s="1121"/>
      <c r="R531" s="1143"/>
      <c r="S531" s="1091"/>
      <c r="T531" s="1137">
        <f t="shared" si="18"/>
        <v>2017</v>
      </c>
      <c r="U531" s="1144" t="s">
        <v>2503</v>
      </c>
      <c r="V531" s="1124">
        <f>+SUM(V523:V530)</f>
        <v>0</v>
      </c>
      <c r="W531" s="1124">
        <f>+SUM(W523:W530)</f>
        <v>0</v>
      </c>
      <c r="X531" s="1091"/>
      <c r="Y531" s="1124">
        <f>+SUM(Y523:Y530)</f>
        <v>13449</v>
      </c>
      <c r="Z531" s="1124">
        <f>+SUM(Z523:Z530)</f>
        <v>13449</v>
      </c>
      <c r="AA531" s="1121"/>
      <c r="AB531" s="1124">
        <f>+SUM(AB523:AB530)</f>
        <v>0</v>
      </c>
      <c r="AC531" s="1124">
        <f>+SUM(AC523:AC530)</f>
        <v>0</v>
      </c>
      <c r="AD531" s="1121"/>
      <c r="AE531" s="1124">
        <f>+SUM(AE523:AE530)</f>
        <v>0</v>
      </c>
      <c r="AF531" s="1124">
        <f>+SUM(AF523:AF530)</f>
        <v>0</v>
      </c>
      <c r="AG531" s="1121"/>
    </row>
    <row r="532" spans="1:33" ht="12" collapsed="1" thickBot="1">
      <c r="A532" s="1013" t="s">
        <v>2504</v>
      </c>
      <c r="B532" s="1001"/>
      <c r="C532" s="1001"/>
      <c r="D532" s="1002"/>
      <c r="E532" s="1001"/>
      <c r="F532" s="1017" t="str">
        <f>+"Check Saldierungsbetrag NT "&amp;C540</f>
        <v>Check Saldierungsbetrag NT 2017</v>
      </c>
      <c r="G532" s="1018">
        <f>+SUM(E535:G537)-SUM(E540:G542)</f>
        <v>0</v>
      </c>
      <c r="H532" s="1000"/>
      <c r="I532" s="1017" t="str">
        <f>+"Check Saldierungsbetrag NT "&amp;C540</f>
        <v>Check Saldierungsbetrag NT 2017</v>
      </c>
      <c r="J532" s="1018">
        <f>+SUM(H535:J537)-SUM(H540:J542)</f>
        <v>0</v>
      </c>
      <c r="K532" s="1000"/>
      <c r="L532" s="1017" t="str">
        <f>+"Check Saldierungsbetrag NT "&amp;C540</f>
        <v>Check Saldierungsbetrag NT 2017</v>
      </c>
      <c r="M532" s="1018">
        <f>+SUM(K535:M537)-SUM(K540:M542)</f>
        <v>0</v>
      </c>
      <c r="N532" s="1000"/>
      <c r="O532" s="1017" t="str">
        <f>+"Check Saldierungsbetrag NT "&amp;C540</f>
        <v>Check Saldierungsbetrag NT 2017</v>
      </c>
      <c r="P532" s="1018">
        <f>+SUM(N535:P537)-SUM(N540:P542)</f>
        <v>0</v>
      </c>
    </row>
    <row r="533" spans="1:33" ht="12" hidden="1" outlineLevel="1" thickBot="1">
      <c r="A533" s="1028"/>
      <c r="D533" s="1041"/>
      <c r="E533" s="1012"/>
      <c r="G533" s="1041"/>
      <c r="H533" s="1028"/>
      <c r="J533" s="1041"/>
      <c r="K533" s="1028"/>
      <c r="M533" s="1041"/>
      <c r="N533" s="1028"/>
      <c r="P533" s="1041"/>
    </row>
    <row r="534" spans="1:33" ht="33.75" hidden="1" outlineLevel="1">
      <c r="A534" s="1028"/>
      <c r="D534" s="1030" t="s">
        <v>2506</v>
      </c>
      <c r="E534" s="1145" t="s">
        <v>2499</v>
      </c>
      <c r="F534" s="1146" t="s">
        <v>2507</v>
      </c>
      <c r="G534" s="1147" t="s">
        <v>2508</v>
      </c>
      <c r="H534" s="1148" t="s">
        <v>2499</v>
      </c>
      <c r="I534" s="1146" t="s">
        <v>2507</v>
      </c>
      <c r="J534" s="1147" t="s">
        <v>2508</v>
      </c>
      <c r="K534" s="1148" t="s">
        <v>2499</v>
      </c>
      <c r="L534" s="1146" t="s">
        <v>2507</v>
      </c>
      <c r="M534" s="1147" t="s">
        <v>2508</v>
      </c>
      <c r="N534" s="1148" t="s">
        <v>2499</v>
      </c>
      <c r="O534" s="1146" t="s">
        <v>2507</v>
      </c>
      <c r="P534" s="1147" t="s">
        <v>2508</v>
      </c>
    </row>
    <row r="535" spans="1:33" hidden="1" outlineLevel="1">
      <c r="A535" s="1028"/>
      <c r="D535" s="1050" t="s">
        <v>2411</v>
      </c>
      <c r="E535" s="1051"/>
      <c r="F535" s="1101"/>
      <c r="G535" s="1102"/>
      <c r="H535" s="1070">
        <v>0</v>
      </c>
      <c r="I535" s="1067">
        <v>0</v>
      </c>
      <c r="J535" s="1068">
        <v>0</v>
      </c>
      <c r="K535" s="1070">
        <v>0</v>
      </c>
      <c r="L535" s="1067">
        <v>0</v>
      </c>
      <c r="M535" s="1068">
        <v>0</v>
      </c>
      <c r="N535" s="1070"/>
      <c r="O535" s="1067"/>
      <c r="P535" s="1068"/>
    </row>
    <row r="536" spans="1:33" hidden="1" outlineLevel="1">
      <c r="A536" s="1028"/>
      <c r="D536" s="1050" t="s">
        <v>2375</v>
      </c>
      <c r="E536" s="1051"/>
      <c r="F536" s="1101"/>
      <c r="G536" s="1102"/>
      <c r="H536" s="1070"/>
      <c r="I536" s="1067"/>
      <c r="J536" s="1068"/>
      <c r="K536" s="1070">
        <v>0</v>
      </c>
      <c r="L536" s="1067">
        <v>0</v>
      </c>
      <c r="M536" s="1068">
        <v>0</v>
      </c>
      <c r="N536" s="1070"/>
      <c r="O536" s="1067"/>
      <c r="P536" s="1068"/>
    </row>
    <row r="537" spans="1:33" ht="12" hidden="1" outlineLevel="1" thickBot="1">
      <c r="A537" s="1028"/>
      <c r="D537" s="1050" t="s">
        <v>2431</v>
      </c>
      <c r="E537" s="1149"/>
      <c r="F537" s="1169"/>
      <c r="G537" s="1170"/>
      <c r="H537" s="1171"/>
      <c r="I537" s="1172"/>
      <c r="J537" s="1173"/>
      <c r="K537" s="1171">
        <v>0</v>
      </c>
      <c r="L537" s="1172">
        <v>0</v>
      </c>
      <c r="M537" s="1173">
        <v>0</v>
      </c>
      <c r="N537" s="1171"/>
      <c r="O537" s="1172"/>
      <c r="P537" s="1173"/>
    </row>
    <row r="538" spans="1:33" ht="12" hidden="1" outlineLevel="1" thickBot="1">
      <c r="A538" s="1028"/>
      <c r="D538" s="1041"/>
      <c r="F538" s="1847"/>
      <c r="G538" s="1848"/>
      <c r="H538" s="1028"/>
      <c r="I538" s="1012"/>
      <c r="J538" s="1122"/>
      <c r="K538" s="1028"/>
      <c r="L538" s="1012"/>
      <c r="M538" s="1122"/>
      <c r="N538" s="1028"/>
      <c r="O538" s="1012"/>
      <c r="P538" s="1122"/>
    </row>
    <row r="539" spans="1:33" ht="33.75" hidden="1" outlineLevel="1">
      <c r="A539" s="1028"/>
      <c r="D539" s="1099" t="s">
        <v>2506</v>
      </c>
      <c r="E539" s="1152" t="s">
        <v>2499</v>
      </c>
      <c r="F539" s="1153" t="s">
        <v>2507</v>
      </c>
      <c r="G539" s="1154" t="s">
        <v>2508</v>
      </c>
      <c r="H539" s="1148" t="s">
        <v>2499</v>
      </c>
      <c r="I539" s="1146" t="s">
        <v>2507</v>
      </c>
      <c r="J539" s="1147" t="s">
        <v>2508</v>
      </c>
      <c r="K539" s="1148" t="s">
        <v>2499</v>
      </c>
      <c r="L539" s="1146" t="s">
        <v>2507</v>
      </c>
      <c r="M539" s="1147" t="s">
        <v>2508</v>
      </c>
      <c r="N539" s="1148" t="s">
        <v>2499</v>
      </c>
      <c r="O539" s="1146" t="s">
        <v>2507</v>
      </c>
      <c r="P539" s="1147" t="s">
        <v>2508</v>
      </c>
    </row>
    <row r="540" spans="1:33" hidden="1" outlineLevel="1">
      <c r="A540" s="1028"/>
      <c r="C540" s="1137">
        <f>+A519</f>
        <v>2017</v>
      </c>
      <c r="D540" s="1050" t="s">
        <v>2411</v>
      </c>
      <c r="E540" s="1105">
        <f>+SUMIFS('Anlage 2b_Korrekturen'!$D:$D,'Anlage 2b_Korrekturen'!$H:$H,'LV Testat'!$E$4,'Anlage 2b_Korrekturen'!$C:$C,'LV Testat'!$D540,'Anlage 2b_Korrekturen'!$A:$A,C540)</f>
        <v>0</v>
      </c>
      <c r="F540" s="1119">
        <f>+SUMIFS('Anlage 2b_Korrekturen'!$E:$E,'Anlage 2b_Korrekturen'!$H:$H,'LV Testat'!$E$4,'Anlage 2b_Korrekturen'!$C:$C,'LV Testat'!$D540,'Anlage 2b_Korrekturen'!$A:$A,C540)</f>
        <v>0</v>
      </c>
      <c r="G540" s="1123">
        <f>+SUMIFS('Anlage 2b_Korrekturen'!$F:$F,'Anlage 2b_Korrekturen'!$H:$H,'LV Testat'!$E$4,'Anlage 2b_Korrekturen'!$C:$C,'LV Testat'!$D540,'Anlage 2b_Korrekturen'!$A:$A,C540)</f>
        <v>0</v>
      </c>
      <c r="H540" s="1105">
        <f>+SUMIFS('Anlage 2b_Korrekturen'!$D:$D,'Anlage 2b_Korrekturen'!$H:$H,'LV Testat'!$H$4,'Anlage 2b_Korrekturen'!$C:$C,'LV Testat'!$D540,'Anlage 2b_Korrekturen'!$A:$A,C540)</f>
        <v>0</v>
      </c>
      <c r="I540" s="1119">
        <f>+SUMIFS('Anlage 2b_Korrekturen'!$E:$E,'Anlage 2b_Korrekturen'!$H:$H,'LV Testat'!$H$4,'Anlage 2b_Korrekturen'!$C:$C,'LV Testat'!$D540,'Anlage 2b_Korrekturen'!$A:$A,C540)</f>
        <v>0</v>
      </c>
      <c r="J540" s="1123">
        <f>+SUMIFS('Anlage 2b_Korrekturen'!$F:$F,'Anlage 2b_Korrekturen'!$H:$H,'LV Testat'!$H$4,'Anlage 2b_Korrekturen'!$C:$C,'LV Testat'!$D540,'Anlage 2b_Korrekturen'!$A:$A,C540)</f>
        <v>0</v>
      </c>
      <c r="K540" s="1105">
        <f>+SUMIFS('Anlage 2b_Korrekturen'!$D:$D,'Anlage 2b_Korrekturen'!$H:$H,'LV Testat'!$K$4,'Anlage 2b_Korrekturen'!$C:$C,'LV Testat'!$D540,'Anlage 2b_Korrekturen'!$A:$A,C540)</f>
        <v>0</v>
      </c>
      <c r="L540" s="1119">
        <f>+SUMIFS('Anlage 2b_Korrekturen'!$E:$E,'Anlage 2b_Korrekturen'!$H:$H,'LV Testat'!$K$4,'Anlage 2b_Korrekturen'!$C:$C,'LV Testat'!$D540,'Anlage 2b_Korrekturen'!$A:$A,C540)</f>
        <v>0</v>
      </c>
      <c r="M540" s="1123">
        <f>+SUMIFS('Anlage 2b_Korrekturen'!$F:$F,'Anlage 2b_Korrekturen'!$H:$H,'LV Testat'!$K$4,'Anlage 2b_Korrekturen'!$C:$C,'LV Testat'!$D540,'Anlage 2b_Korrekturen'!$A:$A,C540)</f>
        <v>0</v>
      </c>
      <c r="N540" s="1105">
        <f>+SUMIFS('Anlage 2b_Korrekturen'!$D:$D,'Anlage 2b_Korrekturen'!$H:$H,'LV Testat'!$N$4,'Anlage 2b_Korrekturen'!$C:$C,'LV Testat'!$D540,'Anlage 2b_Korrekturen'!$A:$A,C540)</f>
        <v>0</v>
      </c>
      <c r="O540" s="1119">
        <f>+SUMIFS('Anlage 2b_Korrekturen'!$E:$E,'Anlage 2b_Korrekturen'!$H:$H,'LV Testat'!$N$4,'Anlage 2b_Korrekturen'!$C:$C,'LV Testat'!$D540,'Anlage 2b_Korrekturen'!$A:$A,C540)</f>
        <v>0</v>
      </c>
      <c r="P540" s="1123">
        <f>+SUMIFS('Anlage 2b_Korrekturen'!$F:$F,'Anlage 2b_Korrekturen'!$H:$H,'LV Testat'!$N$4,'Anlage 2b_Korrekturen'!$C:$C,'LV Testat'!$D540,'Anlage 2b_Korrekturen'!$A:$A,C540)</f>
        <v>0</v>
      </c>
    </row>
    <row r="541" spans="1:33" hidden="1" outlineLevel="1">
      <c r="A541" s="1028"/>
      <c r="C541" s="1137">
        <f>+C540</f>
        <v>2017</v>
      </c>
      <c r="D541" s="1050" t="s">
        <v>2375</v>
      </c>
      <c r="E541" s="1105">
        <f>+SUMIFS('Anlage 2b_Korrekturen'!$D:$D,'Anlage 2b_Korrekturen'!$H:$H,'LV Testat'!$E$4,'Anlage 2b_Korrekturen'!$C:$C,'LV Testat'!$D541,'Anlage 2b_Korrekturen'!$A:$A,C541)</f>
        <v>0</v>
      </c>
      <c r="F541" s="1119">
        <f>+SUMIFS('Anlage 2b_Korrekturen'!$E:$E,'Anlage 2b_Korrekturen'!$H:$H,'LV Testat'!$E$4,'Anlage 2b_Korrekturen'!$C:$C,'LV Testat'!$D541,'Anlage 2b_Korrekturen'!$A:$A,C541)</f>
        <v>0</v>
      </c>
      <c r="G541" s="1123">
        <f>+SUMIFS('Anlage 2b_Korrekturen'!$F:$F,'Anlage 2b_Korrekturen'!$H:$H,'LV Testat'!$E$4,'Anlage 2b_Korrekturen'!$C:$C,'LV Testat'!$D541,'Anlage 2b_Korrekturen'!$A:$A,C541)</f>
        <v>0</v>
      </c>
      <c r="H541" s="1105">
        <f>+SUMIFS('Anlage 2b_Korrekturen'!$D:$D,'Anlage 2b_Korrekturen'!$H:$H,'LV Testat'!$H$4,'Anlage 2b_Korrekturen'!$C:$C,'LV Testat'!$D541,'Anlage 2b_Korrekturen'!$A:$A,C541)</f>
        <v>0</v>
      </c>
      <c r="I541" s="1119">
        <f>+SUMIFS('Anlage 2b_Korrekturen'!$E:$E,'Anlage 2b_Korrekturen'!$H:$H,'LV Testat'!$H$4,'Anlage 2b_Korrekturen'!$C:$C,'LV Testat'!$D541,'Anlage 2b_Korrekturen'!$A:$A,C541)</f>
        <v>0</v>
      </c>
      <c r="J541" s="1123">
        <f>+SUMIFS('Anlage 2b_Korrekturen'!$F:$F,'Anlage 2b_Korrekturen'!$H:$H,'LV Testat'!$H$4,'Anlage 2b_Korrekturen'!$C:$C,'LV Testat'!$D541,'Anlage 2b_Korrekturen'!$A:$A,C541)</f>
        <v>0</v>
      </c>
      <c r="K541" s="1105">
        <f>+SUMIFS('Anlage 2b_Korrekturen'!$D:$D,'Anlage 2b_Korrekturen'!$H:$H,'LV Testat'!$K$4,'Anlage 2b_Korrekturen'!$C:$C,'LV Testat'!$D541,'Anlage 2b_Korrekturen'!$A:$A,C541)</f>
        <v>0</v>
      </c>
      <c r="L541" s="1119">
        <f>+SUMIFS('Anlage 2b_Korrekturen'!$E:$E,'Anlage 2b_Korrekturen'!$H:$H,'LV Testat'!$K$4,'Anlage 2b_Korrekturen'!$C:$C,'LV Testat'!$D541,'Anlage 2b_Korrekturen'!$A:$A,C541)</f>
        <v>0</v>
      </c>
      <c r="M541" s="1123">
        <f>+SUMIFS('Anlage 2b_Korrekturen'!$F:$F,'Anlage 2b_Korrekturen'!$H:$H,'LV Testat'!$K$4,'Anlage 2b_Korrekturen'!$C:$C,'LV Testat'!$D541,'Anlage 2b_Korrekturen'!$A:$A,C541)</f>
        <v>0</v>
      </c>
      <c r="N541" s="1105">
        <f>+SUMIFS('Anlage 2b_Korrekturen'!$D:$D,'Anlage 2b_Korrekturen'!$H:$H,'LV Testat'!$N$4,'Anlage 2b_Korrekturen'!$C:$C,'LV Testat'!$D541,'Anlage 2b_Korrekturen'!$A:$A,C541)</f>
        <v>0</v>
      </c>
      <c r="O541" s="1119">
        <f>+SUMIFS('Anlage 2b_Korrekturen'!$E:$E,'Anlage 2b_Korrekturen'!$H:$H,'LV Testat'!$N$4,'Anlage 2b_Korrekturen'!$C:$C,'LV Testat'!$D541,'Anlage 2b_Korrekturen'!$A:$A,C541)</f>
        <v>0</v>
      </c>
      <c r="P541" s="1123">
        <f>+SUMIFS('Anlage 2b_Korrekturen'!$F:$F,'Anlage 2b_Korrekturen'!$H:$H,'LV Testat'!$N$4,'Anlage 2b_Korrekturen'!$C:$C,'LV Testat'!$D541,'Anlage 2b_Korrekturen'!$A:$A,C541)</f>
        <v>0</v>
      </c>
    </row>
    <row r="542" spans="1:33" ht="12" hidden="1" outlineLevel="1" thickBot="1">
      <c r="A542" s="1090"/>
      <c r="B542" s="1091"/>
      <c r="C542" s="1137">
        <f>+C541</f>
        <v>2017</v>
      </c>
      <c r="D542" s="1062" t="s">
        <v>2431</v>
      </c>
      <c r="E542" s="1105">
        <f>+SUMIFS('Anlage 2b_Korrekturen'!$D:$D,'Anlage 2b_Korrekturen'!$H:$H,'LV Testat'!$E$4,'Anlage 2b_Korrekturen'!$C:$C,'LV Testat'!$D542,'Anlage 2b_Korrekturen'!$A:$A,C542)</f>
        <v>0</v>
      </c>
      <c r="F542" s="1119">
        <f>+SUMIFS('Anlage 2b_Korrekturen'!$E:$E,'Anlage 2b_Korrekturen'!$H:$H,'LV Testat'!$E$4,'Anlage 2b_Korrekturen'!$C:$C,'LV Testat'!$D542,'Anlage 2b_Korrekturen'!$A:$A,C542)</f>
        <v>0</v>
      </c>
      <c r="G542" s="1123">
        <f>+SUMIFS('Anlage 2b_Korrekturen'!$F:$F,'Anlage 2b_Korrekturen'!$H:$H,'LV Testat'!$E$4,'Anlage 2b_Korrekturen'!$C:$C,'LV Testat'!$D542,'Anlage 2b_Korrekturen'!$A:$A,C542)</f>
        <v>0</v>
      </c>
      <c r="H542" s="1105">
        <f>+SUMIFS('Anlage 2b_Korrekturen'!$D:$D,'Anlage 2b_Korrekturen'!$H:$H,'LV Testat'!$H$4,'Anlage 2b_Korrekturen'!$C:$C,'LV Testat'!$D542,'Anlage 2b_Korrekturen'!$A:$A,C542)</f>
        <v>0</v>
      </c>
      <c r="I542" s="1119">
        <f>+SUMIFS('Anlage 2b_Korrekturen'!$E:$E,'Anlage 2b_Korrekturen'!$H:$H,'LV Testat'!$H$4,'Anlage 2b_Korrekturen'!$C:$C,'LV Testat'!$D542,'Anlage 2b_Korrekturen'!$A:$A,C542)</f>
        <v>0</v>
      </c>
      <c r="J542" s="1123">
        <f>+SUMIFS('Anlage 2b_Korrekturen'!$F:$F,'Anlage 2b_Korrekturen'!$H:$H,'LV Testat'!$H$4,'Anlage 2b_Korrekturen'!$C:$C,'LV Testat'!$D542,'Anlage 2b_Korrekturen'!$A:$A,C542)</f>
        <v>0</v>
      </c>
      <c r="K542" s="1105">
        <f>+SUMIFS('Anlage 2b_Korrekturen'!$D:$D,'Anlage 2b_Korrekturen'!$H:$H,'LV Testat'!$K$4,'Anlage 2b_Korrekturen'!$C:$C,'LV Testat'!$D542,'Anlage 2b_Korrekturen'!$A:$A,C542)</f>
        <v>0</v>
      </c>
      <c r="L542" s="1119">
        <f>+SUMIFS('Anlage 2b_Korrekturen'!$E:$E,'Anlage 2b_Korrekturen'!$H:$H,'LV Testat'!$K$4,'Anlage 2b_Korrekturen'!$C:$C,'LV Testat'!$D542,'Anlage 2b_Korrekturen'!$A:$A,C542)</f>
        <v>0</v>
      </c>
      <c r="M542" s="1123">
        <f>+SUMIFS('Anlage 2b_Korrekturen'!$F:$F,'Anlage 2b_Korrekturen'!$H:$H,'LV Testat'!$K$4,'Anlage 2b_Korrekturen'!$C:$C,'LV Testat'!$D542,'Anlage 2b_Korrekturen'!$A:$A,C542)</f>
        <v>0</v>
      </c>
      <c r="N542" s="1105">
        <f>+SUMIFS('Anlage 2b_Korrekturen'!$D:$D,'Anlage 2b_Korrekturen'!$H:$H,'LV Testat'!$N$4,'Anlage 2b_Korrekturen'!$C:$C,'LV Testat'!$D542,'Anlage 2b_Korrekturen'!$A:$A,C542)</f>
        <v>0</v>
      </c>
      <c r="O542" s="1119">
        <f>+SUMIFS('Anlage 2b_Korrekturen'!$E:$E,'Anlage 2b_Korrekturen'!$H:$H,'LV Testat'!$N$4,'Anlage 2b_Korrekturen'!$C:$C,'LV Testat'!$D542,'Anlage 2b_Korrekturen'!$A:$A,C542)</f>
        <v>0</v>
      </c>
      <c r="P542" s="1123">
        <f>+SUMIFS('Anlage 2b_Korrekturen'!$F:$F,'Anlage 2b_Korrekturen'!$H:$H,'LV Testat'!$N$4,'Anlage 2b_Korrekturen'!$C:$C,'LV Testat'!$D542,'Anlage 2b_Korrekturen'!$A:$A,C542)</f>
        <v>0</v>
      </c>
    </row>
    <row r="543" spans="1:33" ht="17.25" customHeight="1" collapsed="1" thickBot="1">
      <c r="A543" s="1013" t="s">
        <v>2535</v>
      </c>
      <c r="B543" s="1001"/>
      <c r="C543" s="1001"/>
      <c r="D543" s="1002"/>
      <c r="E543" s="1001"/>
      <c r="F543" s="1017" t="str">
        <f>+"Check Verstoß VNB NT "&amp;C550</f>
        <v>Check Verstoß VNB NT 2017</v>
      </c>
      <c r="G543" s="1018">
        <f>+SUM(E550:G551)-SUM(E546:G547)</f>
        <v>0</v>
      </c>
      <c r="H543" s="1000"/>
      <c r="I543" s="1017" t="str">
        <f>+"Check Verstoß VNB NT "&amp;C550</f>
        <v>Check Verstoß VNB NT 2017</v>
      </c>
      <c r="J543" s="1018">
        <f>+SUM(H546:J547)-SUM(H550:J551)</f>
        <v>0</v>
      </c>
      <c r="K543" s="1000"/>
      <c r="L543" s="1017" t="str">
        <f>+"Check Verstoß VNB NT "&amp;C550</f>
        <v>Check Verstoß VNB NT 2017</v>
      </c>
      <c r="M543" s="1018">
        <f>+SUM(K546:M547)-SUM(K550:M551)</f>
        <v>0</v>
      </c>
      <c r="N543" s="1000"/>
      <c r="O543" s="1017" t="str">
        <f>+"Check Verstoß VNB NT "&amp;C550</f>
        <v>Check Verstoß VNB NT 2017</v>
      </c>
      <c r="P543" s="1018">
        <f>+SUM(N546:P547)-SUM(N550:P551)</f>
        <v>0</v>
      </c>
    </row>
    <row r="544" spans="1:33" ht="12" hidden="1" outlineLevel="1" thickBot="1">
      <c r="A544" s="1028"/>
      <c r="D544" s="1041"/>
      <c r="G544" s="1041"/>
      <c r="H544" s="1028"/>
      <c r="J544" s="1041"/>
      <c r="K544" s="1028"/>
      <c r="M544" s="1041"/>
      <c r="N544" s="1028"/>
      <c r="P544" s="1041"/>
    </row>
    <row r="545" spans="1:16" ht="33.75" hidden="1" outlineLevel="1">
      <c r="A545" s="1028"/>
      <c r="D545" s="1099" t="s">
        <v>2511</v>
      </c>
      <c r="E545" s="1155" t="s">
        <v>2512</v>
      </c>
      <c r="F545" s="1146" t="s">
        <v>2507</v>
      </c>
      <c r="G545" s="1147" t="s">
        <v>2508</v>
      </c>
      <c r="H545" s="1156" t="s">
        <v>2512</v>
      </c>
      <c r="I545" s="1146" t="s">
        <v>2507</v>
      </c>
      <c r="J545" s="1147" t="s">
        <v>2508</v>
      </c>
      <c r="K545" s="1156" t="s">
        <v>2512</v>
      </c>
      <c r="L545" s="1146" t="s">
        <v>2507</v>
      </c>
      <c r="M545" s="1147" t="s">
        <v>2508</v>
      </c>
      <c r="N545" s="1156" t="s">
        <v>2512</v>
      </c>
      <c r="O545" s="1146" t="s">
        <v>2507</v>
      </c>
      <c r="P545" s="1147" t="s">
        <v>2508</v>
      </c>
    </row>
    <row r="546" spans="1:16" hidden="1" outlineLevel="1">
      <c r="A546" s="1028"/>
      <c r="D546" s="1066" t="s">
        <v>2513</v>
      </c>
      <c r="E546" s="1100"/>
      <c r="F546" s="1101"/>
      <c r="G546" s="1102"/>
      <c r="H546" s="1069"/>
      <c r="I546" s="1067"/>
      <c r="J546" s="1068"/>
      <c r="K546" s="1069">
        <v>0</v>
      </c>
      <c r="L546" s="1067">
        <v>0</v>
      </c>
      <c r="M546" s="1068">
        <v>0</v>
      </c>
      <c r="N546" s="1069"/>
      <c r="O546" s="1067"/>
      <c r="P546" s="1068"/>
    </row>
    <row r="547" spans="1:16" ht="12" hidden="1" outlineLevel="1" thickBot="1">
      <c r="A547" s="1028"/>
      <c r="D547" s="1066" t="s">
        <v>2514</v>
      </c>
      <c r="E547" s="1149"/>
      <c r="F547" s="1169"/>
      <c r="G547" s="1170"/>
      <c r="H547" s="1171"/>
      <c r="I547" s="1172"/>
      <c r="J547" s="1173"/>
      <c r="K547" s="1171">
        <v>0</v>
      </c>
      <c r="L547" s="1172">
        <v>0</v>
      </c>
      <c r="M547" s="1173">
        <v>0</v>
      </c>
      <c r="N547" s="1171"/>
      <c r="O547" s="1172"/>
      <c r="P547" s="1173"/>
    </row>
    <row r="548" spans="1:16" ht="12" hidden="1" outlineLevel="1" thickBot="1">
      <c r="A548" s="1028"/>
      <c r="D548" s="1041"/>
      <c r="G548" s="1041"/>
      <c r="H548" s="1028"/>
      <c r="J548" s="1041"/>
      <c r="K548" s="1028"/>
      <c r="M548" s="1041"/>
      <c r="N548" s="1028"/>
      <c r="P548" s="1041"/>
    </row>
    <row r="549" spans="1:16" ht="33.75" hidden="1" outlineLevel="1">
      <c r="A549" s="1028"/>
      <c r="D549" s="1099" t="s">
        <v>2511</v>
      </c>
      <c r="E549" s="1155" t="s">
        <v>2512</v>
      </c>
      <c r="F549" s="1146" t="s">
        <v>2507</v>
      </c>
      <c r="G549" s="1147" t="s">
        <v>2508</v>
      </c>
      <c r="H549" s="1156" t="s">
        <v>2512</v>
      </c>
      <c r="I549" s="1146" t="s">
        <v>2507</v>
      </c>
      <c r="J549" s="1147" t="s">
        <v>2508</v>
      </c>
      <c r="K549" s="1156" t="s">
        <v>2512</v>
      </c>
      <c r="L549" s="1146" t="s">
        <v>2507</v>
      </c>
      <c r="M549" s="1147" t="s">
        <v>2508</v>
      </c>
      <c r="N549" s="1156" t="s">
        <v>2512</v>
      </c>
      <c r="O549" s="1146" t="s">
        <v>2507</v>
      </c>
      <c r="P549" s="1147" t="s">
        <v>2508</v>
      </c>
    </row>
    <row r="550" spans="1:16" hidden="1" outlineLevel="1">
      <c r="A550" s="1028"/>
      <c r="B550" s="1071"/>
      <c r="C550" s="1137">
        <f>+A519</f>
        <v>2017</v>
      </c>
      <c r="D550" s="1066" t="s">
        <v>2513</v>
      </c>
      <c r="E550" s="1105">
        <f>+SUMIFS('Anlage 2b_Korrekturen'!$D:$D,'Anlage 2b_Korrekturen'!$H:$H,'LV Testat'!$E$4,'Anlage 2b_Korrekturen'!$C:$C,'LV Testat'!$D550,'Anlage 2b_Korrekturen'!$A:$A,C550)</f>
        <v>0</v>
      </c>
      <c r="F550" s="1119">
        <f>+SUMIFS('Anlage 2b_Korrekturen'!$E:$E,'Anlage 2b_Korrekturen'!$H:$H,'LV Testat'!$E$4,'Anlage 2b_Korrekturen'!$C:$C,'LV Testat'!$D550,'Anlage 2b_Korrekturen'!$A:$A,C550)</f>
        <v>0</v>
      </c>
      <c r="G550" s="1123">
        <f>+SUMIFS('Anlage 2b_Korrekturen'!$F:$F,'Anlage 2b_Korrekturen'!$H:$H,'LV Testat'!$E$4,'Anlage 2b_Korrekturen'!$C:$C,'LV Testat'!$D550,'Anlage 2b_Korrekturen'!$A:$A,C550)</f>
        <v>0</v>
      </c>
      <c r="H550" s="1105">
        <f>+SUMIFS('Anlage 2b_Korrekturen'!$D:$D,'Anlage 2b_Korrekturen'!$H:$H,'LV Testat'!$H$4,'Anlage 2b_Korrekturen'!$C:$C,'LV Testat'!$D550,'Anlage 2b_Korrekturen'!$A:$A,B550)</f>
        <v>0</v>
      </c>
      <c r="I550" s="1119">
        <f>+SUMIFS('Anlage 2b_Korrekturen'!$E:$E,'Anlage 2b_Korrekturen'!$H:$H,'LV Testat'!$H$4,'Anlage 2b_Korrekturen'!$C:$C,'LV Testat'!$D550,'Anlage 2b_Korrekturen'!$A:$A,C550)</f>
        <v>0</v>
      </c>
      <c r="J550" s="1123">
        <f>+SUMIFS('Anlage 2b_Korrekturen'!$F:$F,'Anlage 2b_Korrekturen'!$H:$H,'LV Testat'!$H$4,'Anlage 2b_Korrekturen'!$C:$C,'LV Testat'!$D550,'Anlage 2b_Korrekturen'!$A:$A,C550)</f>
        <v>0</v>
      </c>
      <c r="K550" s="1105">
        <f>+SUMIFS('Anlage 2b_Korrekturen'!$D:$D,'Anlage 2b_Korrekturen'!$H:$H,'LV Testat'!$K$4,'Anlage 2b_Korrekturen'!$C:$C,'LV Testat'!$D550,'Anlage 2b_Korrekturen'!$A:$A,C550)</f>
        <v>0</v>
      </c>
      <c r="L550" s="1119">
        <f>+SUMIFS('Anlage 2b_Korrekturen'!$E:$E,'Anlage 2b_Korrekturen'!$H:$H,'LV Testat'!$K$4,'Anlage 2b_Korrekturen'!$C:$C,'LV Testat'!$D550,'Anlage 2b_Korrekturen'!$A:$A,C550)</f>
        <v>0</v>
      </c>
      <c r="M550" s="1123">
        <f>+SUMIFS('Anlage 2b_Korrekturen'!$F:$F,'Anlage 2b_Korrekturen'!$H:$H,'LV Testat'!$K$4,'Anlage 2b_Korrekturen'!$C:$C,'LV Testat'!$D550,'Anlage 2b_Korrekturen'!$A:$A,C550)</f>
        <v>0</v>
      </c>
      <c r="N550" s="1105">
        <f>+SUMIFS('Anlage 2b_Korrekturen'!$D:$D,'Anlage 2b_Korrekturen'!$H:$H,'LV Testat'!$N$4,'Anlage 2b_Korrekturen'!$C:$C,'LV Testat'!$D550,'Anlage 2b_Korrekturen'!$A:$A,C550)</f>
        <v>0</v>
      </c>
      <c r="O550" s="1119">
        <f>+SUMIFS('Anlage 2b_Korrekturen'!$E:$E,'Anlage 2b_Korrekturen'!$H:$H,'LV Testat'!$N$4,'Anlage 2b_Korrekturen'!$C:$C,'LV Testat'!$D550,'Anlage 2b_Korrekturen'!$A:$A,C550)</f>
        <v>0</v>
      </c>
      <c r="P550" s="1123">
        <f>+SUMIFS('Anlage 2b_Korrekturen'!$F:$F,'Anlage 2b_Korrekturen'!$H:$H,'LV Testat'!$N$4,'Anlage 2b_Korrekturen'!$C:$C,'LV Testat'!$D550,'Anlage 2b_Korrekturen'!$A:$A,C550)</f>
        <v>0</v>
      </c>
    </row>
    <row r="551" spans="1:16" ht="12" hidden="1" outlineLevel="1" thickBot="1">
      <c r="A551" s="1090"/>
      <c r="B551" s="1092"/>
      <c r="C551" s="1137">
        <f>+C550</f>
        <v>2017</v>
      </c>
      <c r="D551" s="1158" t="s">
        <v>2514</v>
      </c>
      <c r="E551" s="1105">
        <f>+SUMIFS('Anlage 2b_Korrekturen'!$D:$D,'Anlage 2b_Korrekturen'!$H:$H,'LV Testat'!$E$4,'Anlage 2b_Korrekturen'!$C:$C,'LV Testat'!$D551,'Anlage 2b_Korrekturen'!$A:$A,C551)</f>
        <v>0</v>
      </c>
      <c r="F551" s="1119">
        <f>+SUMIFS('Anlage 2b_Korrekturen'!$E:$E,'Anlage 2b_Korrekturen'!$H:$H,'LV Testat'!$E$4,'Anlage 2b_Korrekturen'!$C:$C,'LV Testat'!$D551,'Anlage 2b_Korrekturen'!$A:$A,C551)</f>
        <v>0</v>
      </c>
      <c r="G551" s="1123">
        <f>+SUMIFS('Anlage 2b_Korrekturen'!$F:$F,'Anlage 2b_Korrekturen'!$H:$H,'LV Testat'!$E$4,'Anlage 2b_Korrekturen'!$C:$C,'LV Testat'!$D551,'Anlage 2b_Korrekturen'!$A:$A,C551)</f>
        <v>0</v>
      </c>
      <c r="H551" s="1105">
        <f>+SUMIFS('Anlage 2b_Korrekturen'!$D:$D,'Anlage 2b_Korrekturen'!$H:$H,'LV Testat'!$H$4,'Anlage 2b_Korrekturen'!$C:$C,'LV Testat'!$D551,'Anlage 2b_Korrekturen'!$A:$A,B551)</f>
        <v>0</v>
      </c>
      <c r="I551" s="1119">
        <f>+SUMIFS('Anlage 2b_Korrekturen'!$E:$E,'Anlage 2b_Korrekturen'!$H:$H,'LV Testat'!$H$4,'Anlage 2b_Korrekturen'!$C:$C,'LV Testat'!$D551,'Anlage 2b_Korrekturen'!$A:$A,C551)</f>
        <v>0</v>
      </c>
      <c r="J551" s="1123">
        <f>+SUMIFS('Anlage 2b_Korrekturen'!$F:$F,'Anlage 2b_Korrekturen'!$H:$H,'LV Testat'!$H$4,'Anlage 2b_Korrekturen'!$C:$C,'LV Testat'!$D551,'Anlage 2b_Korrekturen'!$A:$A,C551)</f>
        <v>0</v>
      </c>
      <c r="K551" s="1105">
        <f>+SUMIFS('Anlage 2b_Korrekturen'!$D:$D,'Anlage 2b_Korrekturen'!$H:$H,'LV Testat'!$K$4,'Anlage 2b_Korrekturen'!$C:$C,'LV Testat'!$D551,'Anlage 2b_Korrekturen'!$A:$A,C551)</f>
        <v>0</v>
      </c>
      <c r="L551" s="1119">
        <f>+SUMIFS('Anlage 2b_Korrekturen'!$E:$E,'Anlage 2b_Korrekturen'!$H:$H,'LV Testat'!$K$4,'Anlage 2b_Korrekturen'!$C:$C,'LV Testat'!$D551,'Anlage 2b_Korrekturen'!$A:$A,C551)</f>
        <v>0</v>
      </c>
      <c r="M551" s="1123">
        <f>+SUMIFS('Anlage 2b_Korrekturen'!$F:$F,'Anlage 2b_Korrekturen'!$H:$H,'LV Testat'!$K$4,'Anlage 2b_Korrekturen'!$C:$C,'LV Testat'!$D551,'Anlage 2b_Korrekturen'!$A:$A,C551)</f>
        <v>0</v>
      </c>
      <c r="N551" s="1105">
        <f>+SUMIFS('Anlage 2b_Korrekturen'!$D:$D,'Anlage 2b_Korrekturen'!$H:$H,'LV Testat'!$N$4,'Anlage 2b_Korrekturen'!$C:$C,'LV Testat'!$D551,'Anlage 2b_Korrekturen'!$A:$A,C551)</f>
        <v>0</v>
      </c>
      <c r="O551" s="1119">
        <f>+SUMIFS('Anlage 2b_Korrekturen'!$E:$E,'Anlage 2b_Korrekturen'!$H:$H,'LV Testat'!$N$4,'Anlage 2b_Korrekturen'!$C:$C,'LV Testat'!$D551,'Anlage 2b_Korrekturen'!$A:$A,C551)</f>
        <v>0</v>
      </c>
      <c r="P551" s="1123">
        <f>+SUMIFS('Anlage 2b_Korrekturen'!$F:$F,'Anlage 2b_Korrekturen'!$H:$H,'LV Testat'!$N$4,'Anlage 2b_Korrekturen'!$C:$C,'LV Testat'!$D551,'Anlage 2b_Korrekturen'!$A:$A,C551)</f>
        <v>0</v>
      </c>
    </row>
    <row r="552" spans="1:16" ht="18" customHeight="1" collapsed="1">
      <c r="A552" s="1013" t="s">
        <v>2515</v>
      </c>
      <c r="B552" s="1001"/>
      <c r="C552" s="1001"/>
      <c r="D552" s="1002"/>
      <c r="E552" s="1001"/>
      <c r="F552" s="1017" t="str">
        <f>+"Check SV BesAR NT "&amp;A555</f>
        <v>Check SV BesAR NT 2017</v>
      </c>
      <c r="G552" s="1018">
        <f>+SUM(F555:F557)-SUM(E555:E557)</f>
        <v>0</v>
      </c>
      <c r="H552" s="1000"/>
      <c r="I552" s="1017" t="str">
        <f>+"Check SV BesAR NT "&amp;A555</f>
        <v>Check SV BesAR NT 2017</v>
      </c>
      <c r="J552" s="1018">
        <f>+SUM(I555:I557)-SUM(H555:H557)</f>
        <v>0</v>
      </c>
      <c r="K552" s="1000"/>
      <c r="L552" s="1017" t="str">
        <f>+"Check SV BesAR NT "&amp;A555</f>
        <v>Check SV BesAR NT 2017</v>
      </c>
      <c r="M552" s="1018">
        <f>+SUM(L555:L557)-SUM(K555:K557)</f>
        <v>0</v>
      </c>
      <c r="N552" s="1000"/>
      <c r="O552" s="1017" t="str">
        <f>+"Check SV BesAR NT "&amp;A555</f>
        <v>Check SV BesAR NT 2017</v>
      </c>
      <c r="P552" s="1018">
        <f>+SUM(O555:O557)-SUM(N555:N557)</f>
        <v>0</v>
      </c>
    </row>
    <row r="553" spans="1:16" ht="12" hidden="1" outlineLevel="1" thickBot="1">
      <c r="A553" s="1028"/>
      <c r="D553" s="1041"/>
      <c r="G553" s="1081"/>
      <c r="H553" s="1028"/>
      <c r="J553" s="1081"/>
      <c r="K553" s="1028"/>
      <c r="M553" s="1081"/>
      <c r="N553" s="1028"/>
      <c r="P553" s="1081"/>
    </row>
    <row r="554" spans="1:16" hidden="1" outlineLevel="1">
      <c r="A554" s="1028"/>
      <c r="D554" s="1041"/>
      <c r="E554" s="1159" t="s">
        <v>2517</v>
      </c>
      <c r="F554" s="1160" t="s">
        <v>2517</v>
      </c>
      <c r="G554" s="1081"/>
      <c r="H554" s="1161" t="s">
        <v>2517</v>
      </c>
      <c r="I554" s="1160" t="s">
        <v>2517</v>
      </c>
      <c r="J554" s="1081"/>
      <c r="K554" s="1161" t="s">
        <v>2517</v>
      </c>
      <c r="L554" s="1160" t="s">
        <v>2517</v>
      </c>
      <c r="M554" s="1081"/>
      <c r="N554" s="1161"/>
      <c r="O554" s="1160" t="s">
        <v>2517</v>
      </c>
      <c r="P554" s="1081"/>
    </row>
    <row r="555" spans="1:16" hidden="1" outlineLevel="1">
      <c r="A555" s="1137">
        <f>+A519</f>
        <v>2017</v>
      </c>
      <c r="C555" s="1071">
        <v>2</v>
      </c>
      <c r="D555" s="1050" t="s">
        <v>2518</v>
      </c>
      <c r="E555" s="1100"/>
      <c r="F555" s="1162">
        <f>+SUMIFS('Anlage 2b_Korrekturen'!$D:$D,'Anlage 2b_Korrekturen'!$A:$A,A555,'Anlage 2b_Korrekturen'!$H:$H,'LV Testat'!$E$4,'Anlage 2b_Korrekturen'!$B:$B,"")</f>
        <v>0</v>
      </c>
      <c r="G555" s="1081"/>
      <c r="H555" s="1175">
        <v>0</v>
      </c>
      <c r="I555" s="1162">
        <f>+SUMIFS('Anlage 2b_Korrekturen'!$D:$D,'Anlage 2b_Korrekturen'!$A:$A,A555,'Anlage 2b_Korrekturen'!$H:$H,'LV Testat'!$H$4,'Anlage 2b_Korrekturen'!$B:$B,"")</f>
        <v>0</v>
      </c>
      <c r="J555" s="1081"/>
      <c r="K555" s="1175">
        <v>0</v>
      </c>
      <c r="L555" s="1162">
        <f>+SUMIFS('Anlage 2b_Korrekturen'!$D:$D,'Anlage 2b_Korrekturen'!$A:$A,A555,'Anlage 2b_Korrekturen'!$H:$H,'LV Testat'!$K$4,'Anlage 2b_Korrekturen'!$B:$B,"")</f>
        <v>0</v>
      </c>
      <c r="M555" s="1081"/>
      <c r="N555" s="1175"/>
      <c r="O555" s="1162">
        <f>+SUMIFS('Anlage 2b_Korrekturen'!$D:$D,'Anlage 2b_Korrekturen'!$A:$A,A555,'Anlage 2b_Korrekturen'!$H:$H,'LV Testat'!$N$4,'Anlage 2b_Korrekturen'!$B:$B,"")</f>
        <v>0</v>
      </c>
      <c r="P555" s="1081"/>
    </row>
    <row r="556" spans="1:16" hidden="1" outlineLevel="1">
      <c r="A556" s="1163">
        <f>+A555</f>
        <v>2017</v>
      </c>
      <c r="C556" s="1071">
        <v>3</v>
      </c>
      <c r="D556" s="1050" t="s">
        <v>2519</v>
      </c>
      <c r="E556" s="1100"/>
      <c r="F556" s="1162">
        <f>+SUMIFS('Anlage 2b_Korrekturen'!$E:$E,'Anlage 2b_Korrekturen'!$A:$A,A556,'Anlage 2b_Korrekturen'!$H:$H,'LV Testat'!$E$4,'Anlage 2b_Korrekturen'!$B:$B,"")</f>
        <v>0</v>
      </c>
      <c r="G556" s="1081"/>
      <c r="H556" s="1175">
        <v>0</v>
      </c>
      <c r="I556" s="1162">
        <f>+SUMIFS('Anlage 2b_Korrekturen'!$E:$E,'Anlage 2b_Korrekturen'!$A:$A,A556,'Anlage 2b_Korrekturen'!$H:$H,'LV Testat'!$H$4,'Anlage 2b_Korrekturen'!$B:$B,"")</f>
        <v>0</v>
      </c>
      <c r="J556" s="1081"/>
      <c r="K556" s="1175">
        <v>0</v>
      </c>
      <c r="L556" s="1162">
        <f>+SUMIFS('Anlage 2b_Korrekturen'!$E:$E,'Anlage 2b_Korrekturen'!$A:$A,A556,'Anlage 2b_Korrekturen'!$H:$H,'LV Testat'!$K$4,'Anlage 2b_Korrekturen'!$B:$B,"")</f>
        <v>0</v>
      </c>
      <c r="M556" s="1081"/>
      <c r="N556" s="1175"/>
      <c r="O556" s="1162">
        <f>+SUMIFS('Anlage 2b_Korrekturen'!$E:$E,'Anlage 2b_Korrekturen'!$A:$A,A556,'Anlage 2b_Korrekturen'!$H:$H,'LV Testat'!$N$4,'Anlage 2b_Korrekturen'!$B:$B,"")</f>
        <v>0</v>
      </c>
      <c r="P556" s="1081"/>
    </row>
    <row r="557" spans="1:16" ht="12" collapsed="1" thickBot="1">
      <c r="A557" s="1163">
        <f>+A556</f>
        <v>2017</v>
      </c>
      <c r="B557" s="1091"/>
      <c r="C557" s="1092">
        <v>4</v>
      </c>
      <c r="D557" s="1062" t="s">
        <v>2520</v>
      </c>
      <c r="E557" s="1176"/>
      <c r="F557" s="1166">
        <f>+SUMIFS('Anlage 2b_Korrekturen'!$F:$F,'Anlage 2b_Korrekturen'!$A:$A,A557,'Anlage 2b_Korrekturen'!$H:$H,'LV Testat'!$E$4,'Anlage 2b_Korrekturen'!$B:$B,"")</f>
        <v>0</v>
      </c>
      <c r="G557" s="1095"/>
      <c r="H557" s="1177">
        <v>0</v>
      </c>
      <c r="I557" s="1166">
        <f>+SUMIFS('Anlage 2b_Korrekturen'!$F:$F,'Anlage 2b_Korrekturen'!$A:$A,A557,'Anlage 2b_Korrekturen'!$H:$H,'LV Testat'!$H$4,'Anlage 2b_Korrekturen'!$B:$B,"")</f>
        <v>0</v>
      </c>
      <c r="J557" s="1095"/>
      <c r="K557" s="1177">
        <v>0</v>
      </c>
      <c r="L557" s="1166">
        <f>+SUMIFS('Anlage 2b_Korrekturen'!$F:$F,'Anlage 2b_Korrekturen'!$A:$A,A557,'Anlage 2b_Korrekturen'!$H:$H,'LV Testat'!$K$4,'Anlage 2b_Korrekturen'!$B:$B,"")</f>
        <v>0</v>
      </c>
      <c r="M557" s="1095"/>
      <c r="N557" s="1177"/>
      <c r="O557" s="1166">
        <f>+SUMIFS('Anlage 2b_Korrekturen'!$F:$F,'Anlage 2b_Korrekturen'!$A:$A,A557,'Anlage 2b_Korrekturen'!$H:$H,'LV Testat'!$N$4,'Anlage 2b_Korrekturen'!$B:$B,"")</f>
        <v>0</v>
      </c>
      <c r="P557" s="1095"/>
    </row>
    <row r="558" spans="1:16" ht="12" thickBot="1">
      <c r="A558" s="1013" t="s">
        <v>2523</v>
      </c>
      <c r="B558" s="1001"/>
      <c r="C558" s="1001"/>
      <c r="D558" s="1002"/>
      <c r="E558" s="1001"/>
      <c r="F558" s="1017" t="str">
        <f>+"Check WL BesAR NT "&amp;C561</f>
        <v>Check WL BesAR NT 2017</v>
      </c>
      <c r="G558" s="1018">
        <f>+F569-E569</f>
        <v>0</v>
      </c>
      <c r="H558" s="1001"/>
      <c r="I558" s="1017" t="str">
        <f>+"Check WL BesAR NT "&amp;C561</f>
        <v>Check WL BesAR NT 2017</v>
      </c>
      <c r="J558" s="1018">
        <f>+I569-H569</f>
        <v>0</v>
      </c>
      <c r="K558" s="1001"/>
      <c r="L558" s="1017" t="str">
        <f>+"Check WL BesAR NT "&amp;C561</f>
        <v>Check WL BesAR NT 2017</v>
      </c>
      <c r="M558" s="1018">
        <f>+L569-K569</f>
        <v>0</v>
      </c>
      <c r="N558" s="1001"/>
      <c r="O558" s="1017" t="str">
        <f>+"Check WL BesAR NT "&amp;C561</f>
        <v>Check WL BesAR NT 2017</v>
      </c>
      <c r="P558" s="1018">
        <f>+O569-N569</f>
        <v>0</v>
      </c>
    </row>
    <row r="559" spans="1:16" hidden="1" outlineLevel="1">
      <c r="A559" s="1022"/>
      <c r="D559" s="1041"/>
      <c r="H559" s="1028"/>
      <c r="J559" s="1041"/>
      <c r="K559" s="1028"/>
      <c r="M559" s="1041"/>
      <c r="N559" s="1028"/>
      <c r="P559" s="1041"/>
    </row>
    <row r="560" spans="1:16" ht="22.5" hidden="1" outlineLevel="1">
      <c r="A560" s="1028"/>
      <c r="D560" s="1099" t="s">
        <v>2525</v>
      </c>
      <c r="E560" s="1064" t="s">
        <v>2526</v>
      </c>
      <c r="F560" s="1118" t="s">
        <v>2526</v>
      </c>
      <c r="H560" s="1118" t="s">
        <v>2526</v>
      </c>
      <c r="I560" s="1118" t="s">
        <v>2526</v>
      </c>
      <c r="K560" s="1118" t="s">
        <v>2526</v>
      </c>
      <c r="L560" s="1118" t="s">
        <v>2526</v>
      </c>
      <c r="N560" s="1118" t="s">
        <v>2526</v>
      </c>
      <c r="O560" s="1118" t="s">
        <v>2526</v>
      </c>
      <c r="P560" s="1041"/>
    </row>
    <row r="561" spans="1:16" hidden="1" outlineLevel="1">
      <c r="A561" s="1028"/>
      <c r="C561" s="1137">
        <f>+A519</f>
        <v>2017</v>
      </c>
      <c r="D561" s="1035" t="s">
        <v>2408</v>
      </c>
      <c r="E561" s="1100"/>
      <c r="F561" s="1119">
        <f>+SUMIFS('Anlage 2b_Korrekturen'!$D:$D,'Anlage 2b_Korrekturen'!$H:$H,'LV Testat'!$E$4,'Anlage 2b_Korrekturen'!$B:$B,'LV Testat'!$D561,'Anlage 2b_Korrekturen'!$A:$A,C561)</f>
        <v>0</v>
      </c>
      <c r="H561" s="1167">
        <v>0</v>
      </c>
      <c r="I561" s="1119">
        <f>+SUMIFS('Anlage 2b_Korrekturen'!$D:$D,'Anlage 2b_Korrekturen'!$H:$H,'LV Testat'!$H$4,'Anlage 2b_Korrekturen'!$B:$B,'LV Testat'!$D561,'Anlage 2b_Korrekturen'!$A:$A,C561)</f>
        <v>0</v>
      </c>
      <c r="K561" s="1167">
        <v>0</v>
      </c>
      <c r="L561" s="1119">
        <f>+SUMIFS('Anlage 2b_Korrekturen'!$D:$D,'Anlage 2b_Korrekturen'!$H:$H,'LV Testat'!$K$4,'Anlage 2b_Korrekturen'!$B:$B,'LV Testat'!$D561,'Anlage 2b_Korrekturen'!$A:$A,C561)</f>
        <v>0</v>
      </c>
      <c r="N561" s="1167"/>
      <c r="O561" s="1119">
        <f>+SUMIFS('Anlage 2b_Korrekturen'!$D:$D,'Anlage 2b_Korrekturen'!$H:$H,'LV Testat'!$N$4,'Anlage 2b_Korrekturen'!$B:$B,'LV Testat'!$D561,'Anlage 2b_Korrekturen'!$A:$A,C561)</f>
        <v>0</v>
      </c>
      <c r="P561" s="1041"/>
    </row>
    <row r="562" spans="1:16" hidden="1" outlineLevel="1">
      <c r="A562" s="1028"/>
      <c r="C562" s="1137">
        <f t="shared" ref="C562:C568" si="19">+C561</f>
        <v>2017</v>
      </c>
      <c r="D562" s="1035" t="s">
        <v>2500</v>
      </c>
      <c r="E562" s="1100"/>
      <c r="F562" s="1119">
        <f>+SUMIFS('Anlage 2b_Korrekturen'!$D:$D,'Anlage 2b_Korrekturen'!$H:$H,'LV Testat'!$E$4,'Anlage 2b_Korrekturen'!$B:$B,'LV Testat'!$D562,'Anlage 2b_Korrekturen'!$A:$A,C562)</f>
        <v>0</v>
      </c>
      <c r="H562" s="1167"/>
      <c r="I562" s="1119">
        <f>+SUMIFS('Anlage 2b_Korrekturen'!$D:$D,'Anlage 2b_Korrekturen'!$H:$H,'LV Testat'!$H$4,'Anlage 2b_Korrekturen'!$B:$B,'LV Testat'!$D562,'Anlage 2b_Korrekturen'!$A:$A,C562)</f>
        <v>0</v>
      </c>
      <c r="K562" s="1167">
        <v>0</v>
      </c>
      <c r="L562" s="1119">
        <f>+SUMIFS('Anlage 2b_Korrekturen'!$D:$D,'Anlage 2b_Korrekturen'!$H:$H,'LV Testat'!$K$4,'Anlage 2b_Korrekturen'!$B:$B,'LV Testat'!$D562,'Anlage 2b_Korrekturen'!$A:$A,C562)</f>
        <v>0</v>
      </c>
      <c r="N562" s="1167"/>
      <c r="O562" s="1119">
        <f>+SUMIFS('Anlage 2b_Korrekturen'!$D:$D,'Anlage 2b_Korrekturen'!$H:$H,'LV Testat'!$N$4,'Anlage 2b_Korrekturen'!$B:$B,'LV Testat'!$D562,'Anlage 2b_Korrekturen'!$A:$A,C562)</f>
        <v>0</v>
      </c>
      <c r="P562" s="1041"/>
    </row>
    <row r="563" spans="1:16" hidden="1" outlineLevel="1">
      <c r="A563" s="1028"/>
      <c r="C563" s="1137">
        <f t="shared" si="19"/>
        <v>2017</v>
      </c>
      <c r="D563" s="1035" t="s">
        <v>2418</v>
      </c>
      <c r="E563" s="1100"/>
      <c r="F563" s="1119">
        <f>+SUMIFS('Anlage 2b_Korrekturen'!$D:$D,'Anlage 2b_Korrekturen'!$H:$H,'LV Testat'!$E$4,'Anlage 2b_Korrekturen'!$B:$B,'LV Testat'!$D563,'Anlage 2b_Korrekturen'!$A:$A,C563)</f>
        <v>0</v>
      </c>
      <c r="H563" s="1167"/>
      <c r="I563" s="1119">
        <f>+SUMIFS('Anlage 2b_Korrekturen'!$D:$D,'Anlage 2b_Korrekturen'!$H:$H,'LV Testat'!$H$4,'Anlage 2b_Korrekturen'!$B:$B,'LV Testat'!$D563,'Anlage 2b_Korrekturen'!$A:$A,C563)</f>
        <v>0</v>
      </c>
      <c r="K563" s="1167">
        <v>0</v>
      </c>
      <c r="L563" s="1119">
        <f>+SUMIFS('Anlage 2b_Korrekturen'!$D:$D,'Anlage 2b_Korrekturen'!$H:$H,'LV Testat'!$K$4,'Anlage 2b_Korrekturen'!$B:$B,'LV Testat'!$D563,'Anlage 2b_Korrekturen'!$A:$A,C563)</f>
        <v>0</v>
      </c>
      <c r="N563" s="1167"/>
      <c r="O563" s="1119">
        <f>+SUMIFS('Anlage 2b_Korrekturen'!$D:$D,'Anlage 2b_Korrekturen'!$H:$H,'LV Testat'!$N$4,'Anlage 2b_Korrekturen'!$B:$B,'LV Testat'!$D563,'Anlage 2b_Korrekturen'!$A:$A,C563)</f>
        <v>0</v>
      </c>
      <c r="P563" s="1041"/>
    </row>
    <row r="564" spans="1:16" hidden="1" outlineLevel="1">
      <c r="A564" s="1028"/>
      <c r="C564" s="1137">
        <f t="shared" si="19"/>
        <v>2017</v>
      </c>
      <c r="D564" s="1168" t="s">
        <v>2501</v>
      </c>
      <c r="E564" s="1100"/>
      <c r="F564" s="1119">
        <f>+SUMIFS('Anlage 2b_Korrekturen'!$D:$D,'Anlage 2b_Korrekturen'!$H:$H,'LV Testat'!$E$4,'Anlage 2b_Korrekturen'!$B:$B,'LV Testat'!$D564,'Anlage 2b_Korrekturen'!$A:$A,C564)</f>
        <v>0</v>
      </c>
      <c r="H564" s="1167"/>
      <c r="I564" s="1119">
        <f>+SUMIFS('Anlage 2b_Korrekturen'!$D:$D,'Anlage 2b_Korrekturen'!$H:$H,'LV Testat'!$H$4,'Anlage 2b_Korrekturen'!$B:$B,'LV Testat'!$D564,'Anlage 2b_Korrekturen'!$A:$A,C564)</f>
        <v>0</v>
      </c>
      <c r="K564" s="1167">
        <v>0</v>
      </c>
      <c r="L564" s="1119">
        <f>+SUMIFS('Anlage 2b_Korrekturen'!$D:$D,'Anlage 2b_Korrekturen'!$H:$H,'LV Testat'!$K$4,'Anlage 2b_Korrekturen'!$B:$B,'LV Testat'!$D564,'Anlage 2b_Korrekturen'!$A:$A,C564)</f>
        <v>0</v>
      </c>
      <c r="N564" s="1167"/>
      <c r="O564" s="1119">
        <f>+SUMIFS('Anlage 2b_Korrekturen'!$D:$D,'Anlage 2b_Korrekturen'!$H:$H,'LV Testat'!$N$4,'Anlage 2b_Korrekturen'!$B:$B,'LV Testat'!$D564,'Anlage 2b_Korrekturen'!$A:$A,C564)</f>
        <v>0</v>
      </c>
      <c r="P564" s="1041"/>
    </row>
    <row r="565" spans="1:16" hidden="1" outlineLevel="1">
      <c r="A565" s="1028"/>
      <c r="C565" s="1137">
        <f t="shared" si="19"/>
        <v>2017</v>
      </c>
      <c r="D565" s="1035" t="s">
        <v>2409</v>
      </c>
      <c r="E565" s="1100"/>
      <c r="F565" s="1119">
        <f>+SUMIFS('Anlage 2b_Korrekturen'!$D:$D,'Anlage 2b_Korrekturen'!$H:$H,'LV Testat'!$E$4,'Anlage 2b_Korrekturen'!$B:$B,'LV Testat'!$D565,'Anlage 2b_Korrekturen'!$A:$A,C565)</f>
        <v>0</v>
      </c>
      <c r="H565" s="1167"/>
      <c r="I565" s="1119">
        <f>+SUMIFS('Anlage 2b_Korrekturen'!$D:$D,'Anlage 2b_Korrekturen'!$H:$H,'LV Testat'!$H$4,'Anlage 2b_Korrekturen'!$B:$B,'LV Testat'!$D565,'Anlage 2b_Korrekturen'!$A:$A,C565)</f>
        <v>0</v>
      </c>
      <c r="K565" s="1167">
        <v>0</v>
      </c>
      <c r="L565" s="1119">
        <f>+SUMIFS('Anlage 2b_Korrekturen'!$D:$D,'Anlage 2b_Korrekturen'!$H:$H,'LV Testat'!$K$4,'Anlage 2b_Korrekturen'!$B:$B,'LV Testat'!$D565,'Anlage 2b_Korrekturen'!$A:$A,C565)</f>
        <v>0</v>
      </c>
      <c r="N565" s="1167"/>
      <c r="O565" s="1119">
        <f>+SUMIFS('Anlage 2b_Korrekturen'!$D:$D,'Anlage 2b_Korrekturen'!$H:$H,'LV Testat'!$N$4,'Anlage 2b_Korrekturen'!$B:$B,'LV Testat'!$D565,'Anlage 2b_Korrekturen'!$A:$A,C565)</f>
        <v>0</v>
      </c>
      <c r="P565" s="1041"/>
    </row>
    <row r="566" spans="1:16" hidden="1" outlineLevel="1">
      <c r="A566" s="1028"/>
      <c r="C566" s="1137">
        <f t="shared" si="19"/>
        <v>2017</v>
      </c>
      <c r="D566" s="1035" t="s">
        <v>2419</v>
      </c>
      <c r="E566" s="1100"/>
      <c r="F566" s="1119">
        <f>+SUMIFS('Anlage 2b_Korrekturen'!$D:$D,'Anlage 2b_Korrekturen'!$H:$H,'LV Testat'!$E$4,'Anlage 2b_Korrekturen'!$B:$B,'LV Testat'!$D566,'Anlage 2b_Korrekturen'!$A:$A,C566)</f>
        <v>0</v>
      </c>
      <c r="H566" s="1167"/>
      <c r="I566" s="1119">
        <f>+SUMIFS('Anlage 2b_Korrekturen'!$D:$D,'Anlage 2b_Korrekturen'!$H:$H,'LV Testat'!$H$4,'Anlage 2b_Korrekturen'!$B:$B,'LV Testat'!$D566,'Anlage 2b_Korrekturen'!$A:$A,C566)</f>
        <v>0</v>
      </c>
      <c r="K566" s="1167">
        <v>0</v>
      </c>
      <c r="L566" s="1119">
        <f>+SUMIFS('Anlage 2b_Korrekturen'!$D:$D,'Anlage 2b_Korrekturen'!$H:$H,'LV Testat'!$K$4,'Anlage 2b_Korrekturen'!$B:$B,'LV Testat'!$D566,'Anlage 2b_Korrekturen'!$A:$A,C566)</f>
        <v>0</v>
      </c>
      <c r="N566" s="1167"/>
      <c r="O566" s="1119">
        <f>+SUMIFS('Anlage 2b_Korrekturen'!$D:$D,'Anlage 2b_Korrekturen'!$H:$H,'LV Testat'!$N$4,'Anlage 2b_Korrekturen'!$B:$B,'LV Testat'!$D566,'Anlage 2b_Korrekturen'!$A:$A,C566)</f>
        <v>0</v>
      </c>
      <c r="P566" s="1041"/>
    </row>
    <row r="567" spans="1:16" hidden="1" outlineLevel="1">
      <c r="A567" s="1028"/>
      <c r="C567" s="1137">
        <f t="shared" si="19"/>
        <v>2017</v>
      </c>
      <c r="D567" s="1035" t="s">
        <v>2412</v>
      </c>
      <c r="E567" s="1100"/>
      <c r="F567" s="1119">
        <f>+SUMIFS('Anlage 2b_Korrekturen'!$D:$D,'Anlage 2b_Korrekturen'!$H:$H,'LV Testat'!$E$4,'Anlage 2b_Korrekturen'!$B:$B,'LV Testat'!$D567,'Anlage 2b_Korrekturen'!$A:$A,C567)</f>
        <v>0</v>
      </c>
      <c r="H567" s="1167"/>
      <c r="I567" s="1119">
        <f>+SUMIFS('Anlage 2b_Korrekturen'!$D:$D,'Anlage 2b_Korrekturen'!$H:$H,'LV Testat'!$H$4,'Anlage 2b_Korrekturen'!$B:$B,'LV Testat'!$D567,'Anlage 2b_Korrekturen'!$A:$A,C567)</f>
        <v>0</v>
      </c>
      <c r="K567" s="1167">
        <v>0</v>
      </c>
      <c r="L567" s="1119">
        <f>+SUMIFS('Anlage 2b_Korrekturen'!$D:$D,'Anlage 2b_Korrekturen'!$H:$H,'LV Testat'!$K$4,'Anlage 2b_Korrekturen'!$B:$B,'LV Testat'!$D567,'Anlage 2b_Korrekturen'!$A:$A,C567)</f>
        <v>0</v>
      </c>
      <c r="N567" s="1167"/>
      <c r="O567" s="1119">
        <f>+SUMIFS('Anlage 2b_Korrekturen'!$D:$D,'Anlage 2b_Korrekturen'!$H:$H,'LV Testat'!$N$4,'Anlage 2b_Korrekturen'!$B:$B,'LV Testat'!$D567,'Anlage 2b_Korrekturen'!$A:$A,C567)</f>
        <v>0</v>
      </c>
      <c r="P567" s="1041"/>
    </row>
    <row r="568" spans="1:16" hidden="1" outlineLevel="1">
      <c r="A568" s="1028"/>
      <c r="C568" s="1137">
        <f t="shared" si="19"/>
        <v>2017</v>
      </c>
      <c r="D568" s="1168" t="s">
        <v>2410</v>
      </c>
      <c r="E568" s="1100"/>
      <c r="F568" s="1119">
        <f>+SUMIFS('Anlage 2b_Korrekturen'!$D:$D,'Anlage 2b_Korrekturen'!$H:$H,'LV Testat'!$E$4,'Anlage 2b_Korrekturen'!$B:$B,'LV Testat'!$D568,'Anlage 2b_Korrekturen'!$A:$A,C568)</f>
        <v>0</v>
      </c>
      <c r="H568" s="1167"/>
      <c r="I568" s="1119">
        <f>+SUMIFS('Anlage 2b_Korrekturen'!$D:$D,'Anlage 2b_Korrekturen'!$H:$H,'LV Testat'!$H$4,'Anlage 2b_Korrekturen'!$B:$B,'LV Testat'!$D568,'Anlage 2b_Korrekturen'!$A:$A,C568)</f>
        <v>0</v>
      </c>
      <c r="K568" s="1167">
        <v>0</v>
      </c>
      <c r="L568" s="1119">
        <f>+SUMIFS('Anlage 2b_Korrekturen'!$D:$D,'Anlage 2b_Korrekturen'!$H:$H,'LV Testat'!$K$4,'Anlage 2b_Korrekturen'!$B:$B,'LV Testat'!$D568,'Anlage 2b_Korrekturen'!$A:$A,C568)</f>
        <v>0</v>
      </c>
      <c r="N568" s="1167"/>
      <c r="O568" s="1119">
        <f>+SUMIFS('Anlage 2b_Korrekturen'!$D:$D,'Anlage 2b_Korrekturen'!$H:$H,'LV Testat'!$N$4,'Anlage 2b_Korrekturen'!$B:$B,'LV Testat'!$D568,'Anlage 2b_Korrekturen'!$A:$A,C568)</f>
        <v>0</v>
      </c>
      <c r="P568" s="1041"/>
    </row>
    <row r="569" spans="1:16" ht="12" hidden="1" outlineLevel="1" thickBot="1">
      <c r="A569" s="1090"/>
      <c r="B569" s="1091"/>
      <c r="C569" s="1091"/>
      <c r="D569" s="1121"/>
      <c r="E569" s="1110">
        <f>+SUM(E561:E568)</f>
        <v>0</v>
      </c>
      <c r="F569" s="1124">
        <f>+SUM(F561:F568)</f>
        <v>0</v>
      </c>
      <c r="G569" s="1091"/>
      <c r="H569" s="1124">
        <f>+SUM(H561:H568)</f>
        <v>0</v>
      </c>
      <c r="I569" s="1124">
        <f>+SUM(I561:I568)</f>
        <v>0</v>
      </c>
      <c r="J569" s="1091"/>
      <c r="K569" s="1124">
        <f>+SUM(K561:K568)</f>
        <v>0</v>
      </c>
      <c r="L569" s="1124">
        <f>+SUM(L561:L568)</f>
        <v>0</v>
      </c>
      <c r="M569" s="1091"/>
      <c r="N569" s="1124">
        <f>+SUM(N561:N568)</f>
        <v>0</v>
      </c>
      <c r="O569" s="1124">
        <f>+SUM(O561:O568)</f>
        <v>0</v>
      </c>
      <c r="P569" s="1121"/>
    </row>
    <row r="570" spans="1:16" ht="12" collapsed="1" thickBot="1">
      <c r="A570" s="1205" t="s">
        <v>2528</v>
      </c>
      <c r="B570" s="1206"/>
      <c r="C570" s="1206"/>
      <c r="D570" s="1207"/>
      <c r="E570" s="1206"/>
      <c r="F570" s="1572" t="str">
        <f>+"Check Speicher BesAR NT "&amp;C578</f>
        <v>Check Speicher BesAR NT 2017</v>
      </c>
      <c r="G570" s="1209">
        <f>+SUM(E573:G575)-SUM(E578:G580)</f>
        <v>0</v>
      </c>
      <c r="H570" s="1210"/>
      <c r="I570" s="1572" t="str">
        <f>+"Check Speicher BesAR NT "&amp;C578</f>
        <v>Check Speicher BesAR NT 2017</v>
      </c>
      <c r="J570" s="1209">
        <f>+SUM(H573:J575)-SUM(H578:J580)</f>
        <v>0</v>
      </c>
      <c r="K570" s="1210"/>
      <c r="L570" s="1572" t="str">
        <f>+"Check Speicher BesAR NT "&amp;C578</f>
        <v>Check Speicher BesAR NT 2017</v>
      </c>
      <c r="M570" s="1209">
        <f>+SUM(K573:M575)-SUM(K578:M580)</f>
        <v>0</v>
      </c>
      <c r="N570" s="1210"/>
      <c r="O570" s="1572" t="str">
        <f>+"Check Speicher BesAR NT "&amp;C578</f>
        <v>Check Speicher BesAR NT 2017</v>
      </c>
      <c r="P570" s="1209">
        <f>+SUM(N573:P575)-SUM(N578:P580)</f>
        <v>0</v>
      </c>
    </row>
    <row r="571" spans="1:16" hidden="1" outlineLevel="1">
      <c r="A571" s="1028"/>
      <c r="D571" s="1041"/>
      <c r="F571" s="1012"/>
      <c r="G571" s="1041"/>
      <c r="H571" s="1028"/>
      <c r="I571" s="1012"/>
      <c r="J571" s="1041"/>
      <c r="K571" s="1028"/>
      <c r="L571" s="1012"/>
      <c r="M571" s="1041"/>
      <c r="N571" s="1028"/>
      <c r="O571" s="1012"/>
      <c r="P571" s="1041"/>
    </row>
    <row r="572" spans="1:16" ht="33.75" hidden="1" outlineLevel="1">
      <c r="A572" s="1028"/>
      <c r="D572" s="1030" t="s">
        <v>2506</v>
      </c>
      <c r="E572" s="1031" t="s">
        <v>2499</v>
      </c>
      <c r="F572" s="1032" t="s">
        <v>2507</v>
      </c>
      <c r="G572" s="1049" t="s">
        <v>2508</v>
      </c>
      <c r="H572" s="1034" t="s">
        <v>2499</v>
      </c>
      <c r="I572" s="1032" t="s">
        <v>2507</v>
      </c>
      <c r="J572" s="1049" t="s">
        <v>2508</v>
      </c>
      <c r="K572" s="1034" t="s">
        <v>2499</v>
      </c>
      <c r="L572" s="1032" t="s">
        <v>2507</v>
      </c>
      <c r="M572" s="1049" t="s">
        <v>2508</v>
      </c>
      <c r="N572" s="1034" t="s">
        <v>2499</v>
      </c>
      <c r="O572" s="1032" t="s">
        <v>2507</v>
      </c>
      <c r="P572" s="1049" t="s">
        <v>2508</v>
      </c>
    </row>
    <row r="573" spans="1:16" hidden="1" outlineLevel="1">
      <c r="A573" s="1028"/>
      <c r="D573" s="1050" t="s">
        <v>2429</v>
      </c>
      <c r="E573" s="1051"/>
      <c r="F573" s="1101"/>
      <c r="G573" s="1102"/>
      <c r="H573" s="1070">
        <v>0</v>
      </c>
      <c r="I573" s="1067">
        <v>0</v>
      </c>
      <c r="J573" s="1068">
        <v>0</v>
      </c>
      <c r="K573" s="1070">
        <v>0</v>
      </c>
      <c r="L573" s="1067">
        <v>0</v>
      </c>
      <c r="M573" s="1068">
        <v>0</v>
      </c>
      <c r="N573" s="1070"/>
      <c r="O573" s="1067"/>
      <c r="P573" s="1068"/>
    </row>
    <row r="574" spans="1:16" hidden="1" outlineLevel="1">
      <c r="A574" s="1028"/>
      <c r="D574" s="1050" t="s">
        <v>2430</v>
      </c>
      <c r="E574" s="1051">
        <v>0</v>
      </c>
      <c r="F574" s="1101">
        <v>0</v>
      </c>
      <c r="G574" s="1102">
        <v>0</v>
      </c>
      <c r="H574" s="1070"/>
      <c r="I574" s="1067"/>
      <c r="J574" s="1068"/>
      <c r="K574" s="1070">
        <v>0</v>
      </c>
      <c r="L574" s="1067">
        <v>0</v>
      </c>
      <c r="M574" s="1068">
        <v>0</v>
      </c>
      <c r="N574" s="1070"/>
      <c r="O574" s="1067"/>
      <c r="P574" s="1068"/>
    </row>
    <row r="575" spans="1:16" hidden="1" outlineLevel="1">
      <c r="A575" s="1028"/>
      <c r="D575" s="1050" t="s">
        <v>2431</v>
      </c>
      <c r="E575" s="1051">
        <v>0</v>
      </c>
      <c r="F575" s="1101">
        <v>0</v>
      </c>
      <c r="G575" s="1102">
        <v>0</v>
      </c>
      <c r="H575" s="1070"/>
      <c r="I575" s="1067"/>
      <c r="J575" s="1068"/>
      <c r="K575" s="1070">
        <v>0</v>
      </c>
      <c r="L575" s="1067">
        <v>0</v>
      </c>
      <c r="M575" s="1068">
        <v>0</v>
      </c>
      <c r="N575" s="1070"/>
      <c r="O575" s="1067"/>
      <c r="P575" s="1068"/>
    </row>
    <row r="576" spans="1:16" hidden="1" outlineLevel="1">
      <c r="A576" s="1028"/>
      <c r="D576" s="1041"/>
      <c r="F576" s="1847"/>
      <c r="G576" s="1848"/>
      <c r="H576" s="1028"/>
      <c r="I576" s="1012"/>
      <c r="J576" s="1122"/>
      <c r="K576" s="1028"/>
      <c r="L576" s="1012"/>
      <c r="M576" s="1122"/>
      <c r="N576" s="1028"/>
      <c r="O576" s="1012"/>
      <c r="P576" s="1122"/>
    </row>
    <row r="577" spans="1:27" ht="33.75" hidden="1" outlineLevel="1">
      <c r="A577" s="1028"/>
      <c r="D577" s="1030" t="s">
        <v>2506</v>
      </c>
      <c r="E577" s="1031" t="s">
        <v>2499</v>
      </c>
      <c r="F577" s="1032" t="s">
        <v>2507</v>
      </c>
      <c r="G577" s="1049" t="s">
        <v>2508</v>
      </c>
      <c r="H577" s="1034" t="s">
        <v>2499</v>
      </c>
      <c r="I577" s="1032" t="s">
        <v>2507</v>
      </c>
      <c r="J577" s="1049" t="s">
        <v>2508</v>
      </c>
      <c r="K577" s="1034" t="s">
        <v>2499</v>
      </c>
      <c r="L577" s="1032" t="s">
        <v>2507</v>
      </c>
      <c r="M577" s="1049" t="s">
        <v>2508</v>
      </c>
      <c r="N577" s="1034" t="s">
        <v>2499</v>
      </c>
      <c r="O577" s="1032" t="s">
        <v>2507</v>
      </c>
      <c r="P577" s="1049" t="s">
        <v>2508</v>
      </c>
    </row>
    <row r="578" spans="1:27" ht="12" hidden="1" outlineLevel="1" thickBot="1">
      <c r="A578" s="1056"/>
      <c r="B578" s="1029"/>
      <c r="C578" s="1137">
        <f>+A519</f>
        <v>2017</v>
      </c>
      <c r="D578" s="1050" t="s">
        <v>2429</v>
      </c>
      <c r="E578" s="1105">
        <f>+SUMIFS('Anlage 2b_Korrekturen'!$D:$D,'Anlage 2b_Korrekturen'!$H:$H,'LV Testat'!$E$4,'Anlage 2b_Korrekturen'!$B:$B,'LV Testat'!$D578,'Anlage 2b_Korrekturen'!$A:$A,C578)</f>
        <v>0</v>
      </c>
      <c r="F578" s="1119">
        <f>+SUMIFS('Anlage 2b_Korrekturen'!$E:$E,'Anlage 2b_Korrekturen'!$H:$H,'LV Testat'!$E$4,'Anlage 2b_Korrekturen'!$B:$B,'LV Testat'!$D578,'Anlage 2b_Korrekturen'!$A:$A,C578)</f>
        <v>0</v>
      </c>
      <c r="G578" s="1123">
        <f>+SUMIFS('Anlage 2b_Korrekturen'!$F:$F,'Anlage 2b_Korrekturen'!$H:$H,'LV Testat'!$E$4,'Anlage 2b_Korrekturen'!$B:$B,'LV Testat'!$D578,'Anlage 2b_Korrekturen'!$A:$A,C578)</f>
        <v>0</v>
      </c>
      <c r="H578" s="1105">
        <f>+SUMIFS('Anlage 2b_Korrekturen'!$D:$D,'Anlage 2b_Korrekturen'!$H:$H,'LV Testat'!$H$4,'Anlage 2b_Korrekturen'!$B:$B,'LV Testat'!$D578,'Anlage 2b_Korrekturen'!$A:$A,C578)</f>
        <v>0</v>
      </c>
      <c r="I578" s="1119">
        <f>+SUMIFS('Anlage 2b_Korrekturen'!$E:$E,'Anlage 2b_Korrekturen'!$H:$H,'LV Testat'!$H$4,'Anlage 2b_Korrekturen'!$B:$B,'LV Testat'!$D578,'Anlage 2b_Korrekturen'!$A:$A,C578)</f>
        <v>0</v>
      </c>
      <c r="J578" s="1123">
        <f>+SUMIFS('Anlage 2b_Korrekturen'!$F:$F,'Anlage 2b_Korrekturen'!$H:$H,'LV Testat'!$H$4,'Anlage 2b_Korrekturen'!$B:$B,'LV Testat'!$D578,'Anlage 2b_Korrekturen'!$A:$A,C578)</f>
        <v>0</v>
      </c>
      <c r="K578" s="1105">
        <f>+SUMIFS('Anlage 2b_Korrekturen'!$D:$D,'Anlage 2b_Korrekturen'!$H:$H,'LV Testat'!$K$4,'Anlage 2b_Korrekturen'!$B:$B,'LV Testat'!$D578,'Anlage 2b_Korrekturen'!$A:$A,C578)</f>
        <v>0</v>
      </c>
      <c r="L578" s="1119">
        <f>+SUMIFS('Anlage 2b_Korrekturen'!$E:$E,'Anlage 2b_Korrekturen'!$H:$H,'LV Testat'!$K$4,'Anlage 2b_Korrekturen'!$B:$B,'LV Testat'!$D578,'Anlage 2b_Korrekturen'!$A:$A,C578)</f>
        <v>0</v>
      </c>
      <c r="M578" s="1123">
        <f>+SUMIFS('Anlage 2b_Korrekturen'!$F:$F,'Anlage 2b_Korrekturen'!$H:$H,'LV Testat'!$K$4,'Anlage 2b_Korrekturen'!$B:$B,'LV Testat'!$D578,'Anlage 2b_Korrekturen'!$A:$A,C578)</f>
        <v>0</v>
      </c>
      <c r="N578" s="1105">
        <f>+SUMIFS('Anlage 2b_Korrekturen'!$D:$D,'Anlage 2b_Korrekturen'!$H:$H,'LV Testat'!$N$4,'Anlage 2b_Korrekturen'!$B:$B,'LV Testat'!$D578,'Anlage 2b_Korrekturen'!$A:$A,C578)</f>
        <v>0</v>
      </c>
      <c r="O578" s="1119">
        <f>+SUMIFS('Anlage 2b_Korrekturen'!$E:$E,'Anlage 2b_Korrekturen'!$H:$H,'LV Testat'!$N$4,'Anlage 2b_Korrekturen'!$B:$B,'LV Testat'!$D578,'Anlage 2b_Korrekturen'!$A:$A,C578)</f>
        <v>0</v>
      </c>
      <c r="P578" s="1123">
        <f>+SUMIFS('Anlage 2b_Korrekturen'!$F:$F,'Anlage 2b_Korrekturen'!$H:$H,'LV Testat'!$N$4,'Anlage 2b_Korrekturen'!$B:$B,'LV Testat'!$D578,'Anlage 2b_Korrekturen'!$A:$A,C578)</f>
        <v>0</v>
      </c>
    </row>
    <row r="579" spans="1:27" ht="12.75" hidden="1" outlineLevel="1">
      <c r="A579" s="1056"/>
      <c r="B579" s="1029"/>
      <c r="C579" s="1137">
        <f>+C578</f>
        <v>2017</v>
      </c>
      <c r="D579" s="1050" t="s">
        <v>2430</v>
      </c>
      <c r="E579" s="1105">
        <f>+SUMIFS('Anlage 2b_Korrekturen'!$D:$D,'Anlage 2b_Korrekturen'!$H:$H,'LV Testat'!$E$4,'Anlage 2b_Korrekturen'!$B:$B,'LV Testat'!$D579,'Anlage 2b_Korrekturen'!$A:$A,C579)</f>
        <v>0</v>
      </c>
      <c r="F579" s="1119">
        <f>+SUMIFS('Anlage 2b_Korrekturen'!$E:$E,'Anlage 2b_Korrekturen'!$H:$H,'LV Testat'!$E$4,'Anlage 2b_Korrekturen'!$B:$B,'LV Testat'!$D579,'Anlage 2b_Korrekturen'!$A:$A,C579)</f>
        <v>0</v>
      </c>
      <c r="G579" s="1123">
        <f>+SUMIFS('Anlage 2b_Korrekturen'!$F:$F,'Anlage 2b_Korrekturen'!$H:$H,'LV Testat'!$E$4,'Anlage 2b_Korrekturen'!$B:$B,'LV Testat'!$D579,'Anlage 2b_Korrekturen'!$A:$A,C579)</f>
        <v>0</v>
      </c>
      <c r="H579" s="1105">
        <f>+SUMIFS('Anlage 2b_Korrekturen'!$D:$D,'Anlage 2b_Korrekturen'!$H:$H,'LV Testat'!$H$4,'Anlage 2b_Korrekturen'!$B:$B,'LV Testat'!$D579,'Anlage 2b_Korrekturen'!$A:$A,C579)</f>
        <v>0</v>
      </c>
      <c r="I579" s="1119">
        <f>+SUMIFS('Anlage 2b_Korrekturen'!$E:$E,'Anlage 2b_Korrekturen'!$H:$H,'LV Testat'!$H$4,'Anlage 2b_Korrekturen'!$B:$B,'LV Testat'!$D579,'Anlage 2b_Korrekturen'!$A:$A,C579)</f>
        <v>0</v>
      </c>
      <c r="J579" s="1123">
        <f>+SUMIFS('Anlage 2b_Korrekturen'!$F:$F,'Anlage 2b_Korrekturen'!$H:$H,'LV Testat'!$H$4,'Anlage 2b_Korrekturen'!$B:$B,'LV Testat'!$D579,'Anlage 2b_Korrekturen'!$A:$A,C579)</f>
        <v>0</v>
      </c>
      <c r="K579" s="1105">
        <f>+SUMIFS('Anlage 2b_Korrekturen'!$D:$D,'Anlage 2b_Korrekturen'!$H:$H,'LV Testat'!$K$4,'Anlage 2b_Korrekturen'!$B:$B,'LV Testat'!$D579,'Anlage 2b_Korrekturen'!$A:$A,C579)</f>
        <v>0</v>
      </c>
      <c r="L579" s="1119">
        <f>+SUMIFS('Anlage 2b_Korrekturen'!$E:$E,'Anlage 2b_Korrekturen'!$H:$H,'LV Testat'!$K$4,'Anlage 2b_Korrekturen'!$B:$B,'LV Testat'!$D579,'Anlage 2b_Korrekturen'!$A:$A,C579)</f>
        <v>0</v>
      </c>
      <c r="M579" s="1123">
        <f>+SUMIFS('Anlage 2b_Korrekturen'!$F:$F,'Anlage 2b_Korrekturen'!$H:$H,'LV Testat'!$K$4,'Anlage 2b_Korrekturen'!$B:$B,'LV Testat'!$D579,'Anlage 2b_Korrekturen'!$A:$A,C579)</f>
        <v>0</v>
      </c>
      <c r="N579" s="1105">
        <f>+SUMIFS('Anlage 2b_Korrekturen'!$D:$D,'Anlage 2b_Korrekturen'!$H:$H,'LV Testat'!$N$4,'Anlage 2b_Korrekturen'!$B:$B,'LV Testat'!$D579,'Anlage 2b_Korrekturen'!$A:$A,C579)</f>
        <v>0</v>
      </c>
      <c r="O579" s="1119">
        <f>+SUMIFS('Anlage 2b_Korrekturen'!$E:$E,'Anlage 2b_Korrekturen'!$H:$H,'LV Testat'!$N$4,'Anlage 2b_Korrekturen'!$B:$B,'LV Testat'!$D579,'Anlage 2b_Korrekturen'!$A:$A,C579)</f>
        <v>0</v>
      </c>
      <c r="P579" s="1123">
        <f>+SUMIFS('Anlage 2b_Korrekturen'!$F:$F,'Anlage 2b_Korrekturen'!$H:$H,'LV Testat'!$N$4,'Anlage 2b_Korrekturen'!$B:$B,'LV Testat'!$D579,'Anlage 2b_Korrekturen'!$A:$A,C579)</f>
        <v>0</v>
      </c>
      <c r="V579" s="1844" t="s">
        <v>455</v>
      </c>
      <c r="W579" s="1845"/>
      <c r="X579" s="1846"/>
      <c r="Y579" s="1844" t="s">
        <v>774</v>
      </c>
      <c r="Z579" s="1845"/>
      <c r="AA579" s="1846"/>
    </row>
    <row r="580" spans="1:27" ht="12" hidden="1" outlineLevel="1" thickBot="1">
      <c r="A580" s="1060"/>
      <c r="B580" s="1061"/>
      <c r="C580" s="1204">
        <f>+C579</f>
        <v>2017</v>
      </c>
      <c r="D580" s="1062" t="s">
        <v>2431</v>
      </c>
      <c r="E580" s="1110">
        <f>+SUMIFS('Anlage 2b_Korrekturen'!$D:$D,'Anlage 2b_Korrekturen'!$H:$H,'LV Testat'!$E$4,'Anlage 2b_Korrekturen'!$B:$B,'LV Testat'!$D580,'Anlage 2b_Korrekturen'!$A:$A,$C$137)</f>
        <v>0</v>
      </c>
      <c r="F580" s="1124">
        <f>+SUMIFS('Anlage 2b_Korrekturen'!$E:$E,'Anlage 2b_Korrekturen'!$H:$H,'LV Testat'!$E$4,'Anlage 2b_Korrekturen'!$B:$B,'LV Testat'!$D580,'Anlage 2b_Korrekturen'!$A:$A,C580)</f>
        <v>0</v>
      </c>
      <c r="G580" s="1125">
        <f>+SUMIFS('Anlage 2b_Korrekturen'!$F:$F,'Anlage 2b_Korrekturen'!$H:$H,'LV Testat'!$E$4,'Anlage 2b_Korrekturen'!$B:$B,'LV Testat'!$D580,'Anlage 2b_Korrekturen'!$A:$A,$C$137)</f>
        <v>0</v>
      </c>
      <c r="H580" s="1110">
        <f>+SUMIFS('Anlage 2b_Korrekturen'!$D:$D,'Anlage 2b_Korrekturen'!$H:$H,'LV Testat'!$H$4,'Anlage 2b_Korrekturen'!$B:$B,'LV Testat'!$D580,'Anlage 2b_Korrekturen'!$A:$A,C580)</f>
        <v>0</v>
      </c>
      <c r="I580" s="1124">
        <f>+SUMIFS('Anlage 2b_Korrekturen'!$E:$E,'Anlage 2b_Korrekturen'!$H:$H,'LV Testat'!$H$4,'Anlage 2b_Korrekturen'!$B:$B,'LV Testat'!$D580,'Anlage 2b_Korrekturen'!$A:$A,C580)</f>
        <v>0</v>
      </c>
      <c r="J580" s="1125">
        <f>+SUMIFS('Anlage 2b_Korrekturen'!$F:$F,'Anlage 2b_Korrekturen'!$H:$H,'LV Testat'!$H$4,'Anlage 2b_Korrekturen'!$B:$B,'LV Testat'!$D580,'Anlage 2b_Korrekturen'!$A:$A,C580)</f>
        <v>0</v>
      </c>
      <c r="K580" s="1110">
        <f>+SUMIFS('Anlage 2b_Korrekturen'!$D:$D,'Anlage 2b_Korrekturen'!$H:$H,'LV Testat'!$K$4,'Anlage 2b_Korrekturen'!$B:$B,'LV Testat'!$D580,'Anlage 2b_Korrekturen'!$A:$A,C580)</f>
        <v>0</v>
      </c>
      <c r="L580" s="1124">
        <f>+SUMIFS('Anlage 2b_Korrekturen'!$E:$E,'Anlage 2b_Korrekturen'!$H:$H,'LV Testat'!$K$4,'Anlage 2b_Korrekturen'!$B:$B,'LV Testat'!$D580,'Anlage 2b_Korrekturen'!$A:$A,C580)</f>
        <v>0</v>
      </c>
      <c r="M580" s="1125">
        <f>+SUMIFS('Anlage 2b_Korrekturen'!$F:$F,'Anlage 2b_Korrekturen'!$H:$H,'LV Testat'!$K$4,'Anlage 2b_Korrekturen'!$B:$B,'LV Testat'!$D580,'Anlage 2b_Korrekturen'!$A:$A,C580)</f>
        <v>0</v>
      </c>
      <c r="N580" s="1110">
        <f>+SUMIFS('Anlage 2b_Korrekturen'!$D:$D,'Anlage 2b_Korrekturen'!$H:$H,'LV Testat'!$N$4,'Anlage 2b_Korrekturen'!$B:$B,'LV Testat'!$D580,'Anlage 2b_Korrekturen'!$A:$A,C580)</f>
        <v>0</v>
      </c>
      <c r="O580" s="1124">
        <f>+SUMIFS('Anlage 2b_Korrekturen'!$E:$E,'Anlage 2b_Korrekturen'!$H:$H,'LV Testat'!$N$4,'Anlage 2b_Korrekturen'!$B:$B,'LV Testat'!$D580,'Anlage 2b_Korrekturen'!$A:$A,C580)</f>
        <v>0</v>
      </c>
      <c r="P580" s="1125">
        <f>+SUMIFS('Anlage 2b_Korrekturen'!$F:$F,'Anlage 2b_Korrekturen'!$H:$H,'LV Testat'!$N$4,'Anlage 2b_Korrekturen'!$B:$B,'LV Testat'!$D580,'Anlage 2b_Korrekturen'!$A:$A,C580)</f>
        <v>0</v>
      </c>
    </row>
    <row r="581" spans="1:27" ht="18" collapsed="1">
      <c r="A581" s="1126" t="s">
        <v>2531</v>
      </c>
      <c r="B581" s="1127"/>
      <c r="C581" s="1127"/>
      <c r="D581" s="1128"/>
      <c r="E581" s="1129"/>
      <c r="F581" s="1129"/>
      <c r="G581" s="1130"/>
      <c r="H581" s="1131"/>
      <c r="I581" s="1129"/>
      <c r="J581" s="1130"/>
      <c r="K581" s="1131"/>
      <c r="L581" s="1129"/>
      <c r="M581" s="1130"/>
      <c r="N581" s="1131"/>
      <c r="O581" s="1129"/>
      <c r="P581" s="1130"/>
      <c r="R581" s="1126" t="s">
        <v>2536</v>
      </c>
      <c r="S581" s="1127"/>
      <c r="T581" s="1127"/>
      <c r="U581" s="1128"/>
      <c r="V581" s="1129"/>
      <c r="W581" s="1129"/>
      <c r="X581" s="1130"/>
      <c r="Y581" s="1131"/>
      <c r="Z581" s="1129"/>
      <c r="AA581" s="1130"/>
    </row>
    <row r="582" spans="1:27" ht="15.75" thickBot="1">
      <c r="A582" s="1841">
        <f>+A519-1</f>
        <v>2016</v>
      </c>
      <c r="B582" s="1842"/>
      <c r="C582" s="1842"/>
      <c r="D582" s="1843"/>
      <c r="E582" s="1091"/>
      <c r="F582" s="1091"/>
      <c r="G582" s="1121"/>
      <c r="H582" s="1090"/>
      <c r="I582" s="1091"/>
      <c r="J582" s="1121"/>
      <c r="K582" s="1090"/>
      <c r="L582" s="1091"/>
      <c r="M582" s="1121"/>
      <c r="N582" s="1090"/>
      <c r="O582" s="1091"/>
      <c r="P582" s="1121"/>
      <c r="R582" s="1841">
        <f>A582</f>
        <v>2016</v>
      </c>
      <c r="S582" s="1842"/>
      <c r="T582" s="1842"/>
      <c r="U582" s="1843"/>
      <c r="V582" s="1091"/>
      <c r="W582" s="1091"/>
      <c r="X582" s="1121"/>
      <c r="Y582" s="1090"/>
      <c r="Z582" s="1091"/>
      <c r="AA582" s="1121"/>
    </row>
    <row r="583" spans="1:27" ht="12.75">
      <c r="A583" s="1013" t="s">
        <v>2532</v>
      </c>
      <c r="B583" s="1133"/>
      <c r="C583" s="1133"/>
      <c r="D583" s="1134"/>
      <c r="E583" s="1001"/>
      <c r="F583" s="1017" t="str">
        <f>+"Check LV NT "&amp;C586</f>
        <v>Check LV NT 2016</v>
      </c>
      <c r="G583" s="1018">
        <f>+F594-E594</f>
        <v>0</v>
      </c>
      <c r="H583" s="1000"/>
      <c r="I583" s="1017" t="str">
        <f>+"Check LV NT "&amp;C586</f>
        <v>Check LV NT 2016</v>
      </c>
      <c r="J583" s="1018">
        <f>+I594-H594</f>
        <v>0</v>
      </c>
      <c r="K583" s="1000"/>
      <c r="L583" s="1017" t="str">
        <f>+"Check LV NT "&amp;C586</f>
        <v>Check LV NT 2016</v>
      </c>
      <c r="M583" s="1018">
        <f>+L594-K594</f>
        <v>0</v>
      </c>
      <c r="N583" s="1000"/>
      <c r="O583" s="1017" t="str">
        <f>+"Check LV NT "&amp;C586</f>
        <v>Check LV NT 2016</v>
      </c>
      <c r="P583" s="1018">
        <f>+O594-N594</f>
        <v>0</v>
      </c>
      <c r="R583" s="1013" t="s">
        <v>2532</v>
      </c>
      <c r="S583" s="1133"/>
      <c r="T583" s="1133"/>
      <c r="U583" s="1134"/>
      <c r="V583" s="1001"/>
      <c r="W583" s="1017" t="str">
        <f>+"Check LV NT "&amp;T586</f>
        <v>Check LV NT 2016</v>
      </c>
      <c r="X583" s="1018">
        <f>+W594-V594</f>
        <v>0</v>
      </c>
      <c r="Y583" s="1000"/>
      <c r="Z583" s="1017" t="str">
        <f>+"Check LV NT "&amp;T586</f>
        <v>Check LV NT 2016</v>
      </c>
      <c r="AA583" s="1018">
        <f>+Z594-Y594</f>
        <v>0</v>
      </c>
    </row>
    <row r="584" spans="1:27" hidden="1" outlineLevel="1">
      <c r="A584" s="1028"/>
      <c r="D584" s="1041"/>
      <c r="G584" s="1041"/>
      <c r="H584" s="1028"/>
      <c r="J584" s="1041"/>
      <c r="K584" s="1028"/>
      <c r="M584" s="1041"/>
      <c r="N584" s="1028"/>
      <c r="P584" s="1041"/>
      <c r="R584" s="1028"/>
      <c r="U584" s="1041"/>
      <c r="X584" s="1041"/>
      <c r="Y584" s="1028"/>
      <c r="AA584" s="1041"/>
    </row>
    <row r="585" spans="1:27" ht="33.75" hidden="1" outlineLevel="1">
      <c r="A585" s="1028"/>
      <c r="D585" s="1135"/>
      <c r="E585" s="1032" t="s">
        <v>2499</v>
      </c>
      <c r="F585" s="1032" t="s">
        <v>2499</v>
      </c>
      <c r="H585" s="1032" t="s">
        <v>2499</v>
      </c>
      <c r="I585" s="1032" t="s">
        <v>2499</v>
      </c>
      <c r="J585" s="1041"/>
      <c r="K585" s="1034" t="s">
        <v>2499</v>
      </c>
      <c r="L585" s="1032" t="s">
        <v>2499</v>
      </c>
      <c r="M585" s="1041"/>
      <c r="N585" s="1034" t="s">
        <v>2499</v>
      </c>
      <c r="O585" s="1032" t="s">
        <v>2499</v>
      </c>
      <c r="P585" s="1041"/>
      <c r="R585" s="1028"/>
      <c r="U585" s="1135"/>
      <c r="V585" s="1032" t="s">
        <v>2499</v>
      </c>
      <c r="W585" s="1032" t="s">
        <v>2499</v>
      </c>
      <c r="Y585" s="1032" t="s">
        <v>2499</v>
      </c>
      <c r="Z585" s="1032" t="s">
        <v>2499</v>
      </c>
      <c r="AA585" s="1041"/>
    </row>
    <row r="586" spans="1:27" hidden="1" outlineLevel="1">
      <c r="A586" s="1136"/>
      <c r="C586" s="1137">
        <f>+A582</f>
        <v>2016</v>
      </c>
      <c r="D586" s="1138" t="s">
        <v>2416</v>
      </c>
      <c r="E586" s="1139"/>
      <c r="F586" s="1119">
        <f>+SUMIFS('Anlage 2b_Korrekturen'!$D:$D,'Anlage 2b_Korrekturen'!$H:$H,'LV Testat'!$E$4,'Anlage 2b_Korrekturen'!$C:$C,'LV Testat'!$D586,'Anlage 2b_Korrekturen'!$A:$A,'LV Testat'!C586)</f>
        <v>0</v>
      </c>
      <c r="H586" s="1139">
        <v>10045</v>
      </c>
      <c r="I586" s="1119">
        <f>+SUMIFS('Anlage 2b_Korrekturen'!$D:$D,'Anlage 2b_Korrekturen'!$H:$H,'LV Testat'!$H$4,'Anlage 2b_Korrekturen'!$C:$C,'LV Testat'!$D586,'Anlage 2b_Korrekturen'!$A:$A,'LV Testat'!C586)</f>
        <v>10045</v>
      </c>
      <c r="J586" s="1041"/>
      <c r="K586" s="1139">
        <v>0</v>
      </c>
      <c r="L586" s="1119">
        <f>+SUMIFS('Anlage 2b_Korrekturen'!$D:$D,'Anlage 2b_Korrekturen'!$H:$H,'LV Testat'!$K$4,'Anlage 2b_Korrekturen'!$C:$C,'LV Testat'!$D586,'Anlage 2b_Korrekturen'!$A:$A,'LV Testat'!C586)</f>
        <v>0</v>
      </c>
      <c r="M586" s="1041"/>
      <c r="N586" s="1139"/>
      <c r="O586" s="1119">
        <f>+SUMIFS('Anlage 2b_Korrekturen'!$D:$D,'Anlage 2b_Korrekturen'!$H:$H,'LV Testat'!$N$4,'Anlage 2b_Korrekturen'!$C:$C,'LV Testat'!$D586,'Anlage 2b_Korrekturen'!$A:$A,'LV Testat'!C586)</f>
        <v>0</v>
      </c>
      <c r="P586" s="1041"/>
      <c r="R586" s="1136"/>
      <c r="T586" s="1137">
        <f>+R582</f>
        <v>2016</v>
      </c>
      <c r="U586" s="1138" t="s">
        <v>2416</v>
      </c>
      <c r="V586" s="1139"/>
      <c r="W586" s="1119">
        <f>+SUMIFS('Anlage 2b_Korrekturen'!$D:$D,'Anlage 2b_Korrekturen'!$H:$H,'LV Testat'!$E$4,'Anlage 2b_Korrekturen'!$C:$C,'LV Testat'!$D586,'Anlage 2b_Korrekturen'!$A:$A,'LV Testat'!T586)</f>
        <v>0</v>
      </c>
      <c r="Y586" s="1139">
        <v>10045</v>
      </c>
      <c r="Z586" s="1119">
        <f>+SUMIFS('Anlage 2b_Korrekturen'!$D:$D,'Anlage 2b_Korrekturen'!$H:$H,'LV Testat'!$H$4,'Anlage 2b_Korrekturen'!$C:$C,'LV Testat'!$D586,'Anlage 2b_Korrekturen'!$A:$A,'LV Testat'!T586)</f>
        <v>10045</v>
      </c>
      <c r="AA586" s="1041"/>
    </row>
    <row r="587" spans="1:27" hidden="1" outlineLevel="1">
      <c r="A587" s="1136"/>
      <c r="C587" s="1137">
        <f t="shared" ref="C587:C594" si="20">+C586</f>
        <v>2016</v>
      </c>
      <c r="D587" s="1138" t="s">
        <v>2538</v>
      </c>
      <c r="E587" s="1139"/>
      <c r="F587" s="1119">
        <f>+SUMIFS('Anlage 2b_Korrekturen'!$D:$D,'Anlage 2b_Korrekturen'!$H:$H,'LV Testat'!$E$4,'Anlage 2b_Korrekturen'!$C:$C,'LV Testat'!$D587,'Anlage 2b_Korrekturen'!$A:$A,'LV Testat'!C587)</f>
        <v>0</v>
      </c>
      <c r="H587" s="1139"/>
      <c r="I587" s="1119">
        <f>+SUMIFS('Anlage 2b_Korrekturen'!$D:$D,'Anlage 2b_Korrekturen'!$H:$H,'LV Testat'!$H$4,'Anlage 2b_Korrekturen'!$C:$C,'LV Testat'!$D587,'Anlage 2b_Korrekturen'!$A:$A,'LV Testat'!C587)</f>
        <v>0</v>
      </c>
      <c r="J587" s="1041"/>
      <c r="K587" s="1139">
        <v>0</v>
      </c>
      <c r="L587" s="1119">
        <f>+SUMIFS('Anlage 2b_Korrekturen'!$D:$D,'Anlage 2b_Korrekturen'!$H:$H,'LV Testat'!$K$4,'Anlage 2b_Korrekturen'!$C:$C,'LV Testat'!$D587,'Anlage 2b_Korrekturen'!$A:$A,'LV Testat'!C587)</f>
        <v>0</v>
      </c>
      <c r="M587" s="1041"/>
      <c r="N587" s="1139"/>
      <c r="O587" s="1119">
        <f>+SUMIFS('Anlage 2b_Korrekturen'!$D:$D,'Anlage 2b_Korrekturen'!$H:$H,'LV Testat'!$N$4,'Anlage 2b_Korrekturen'!$C:$C,'LV Testat'!$D587,'Anlage 2b_Korrekturen'!$A:$A,'LV Testat'!C587)</f>
        <v>0</v>
      </c>
      <c r="P587" s="1041"/>
      <c r="R587" s="1136"/>
      <c r="T587" s="1137">
        <f t="shared" ref="T587:T594" si="21">+T586</f>
        <v>2016</v>
      </c>
      <c r="U587" s="1138" t="s">
        <v>2538</v>
      </c>
      <c r="V587" s="1139"/>
      <c r="W587" s="1119">
        <f>+SUMIFS('Anlage 2b_Korrekturen'!$D:$D,'Anlage 2b_Korrekturen'!$H:$H,'LV Testat'!$E$4,'Anlage 2b_Korrekturen'!$C:$C,'LV Testat'!$D587,'Anlage 2b_Korrekturen'!$A:$A,'LV Testat'!T587)</f>
        <v>0</v>
      </c>
      <c r="Y587" s="1139"/>
      <c r="Z587" s="1119">
        <f>+SUMIFS('Anlage 2b_Korrekturen'!$D:$D,'Anlage 2b_Korrekturen'!$H:$H,'LV Testat'!$H$4,'Anlage 2b_Korrekturen'!$C:$C,'LV Testat'!$D587,'Anlage 2b_Korrekturen'!$A:$A,'LV Testat'!T587)</f>
        <v>0</v>
      </c>
      <c r="AA587" s="1041"/>
    </row>
    <row r="588" spans="1:27" hidden="1" outlineLevel="1">
      <c r="A588" s="1136"/>
      <c r="C588" s="1137">
        <f t="shared" si="20"/>
        <v>2016</v>
      </c>
      <c r="D588" s="1138" t="s">
        <v>2539</v>
      </c>
      <c r="E588" s="1139"/>
      <c r="F588" s="1119">
        <f>+SUMIFS('Anlage 2b_Korrekturen'!$D:$D,'Anlage 2b_Korrekturen'!$H:$H,'LV Testat'!$E$4,'Anlage 2b_Korrekturen'!$C:$C,'LV Testat'!$D588,'Anlage 2b_Korrekturen'!$A:$A,'LV Testat'!C588)</f>
        <v>0</v>
      </c>
      <c r="H588" s="1139">
        <v>0</v>
      </c>
      <c r="I588" s="1119">
        <f>+SUMIFS('Anlage 2b_Korrekturen'!$D:$D,'Anlage 2b_Korrekturen'!$H:$H,'LV Testat'!$H$4,'Anlage 2b_Korrekturen'!$C:$C,'LV Testat'!$D588,'Anlage 2b_Korrekturen'!$A:$A,'LV Testat'!C588)</f>
        <v>0</v>
      </c>
      <c r="J588" s="1041"/>
      <c r="K588" s="1139">
        <v>0</v>
      </c>
      <c r="L588" s="1119">
        <f>+SUMIFS('Anlage 2b_Korrekturen'!$D:$D,'Anlage 2b_Korrekturen'!$H:$H,'LV Testat'!$K$4,'Anlage 2b_Korrekturen'!$C:$C,'LV Testat'!$D588,'Anlage 2b_Korrekturen'!$A:$A,'LV Testat'!C588)</f>
        <v>0</v>
      </c>
      <c r="M588" s="1041"/>
      <c r="N588" s="1139"/>
      <c r="O588" s="1119">
        <f>+SUMIFS('Anlage 2b_Korrekturen'!$D:$D,'Anlage 2b_Korrekturen'!$H:$H,'LV Testat'!$N$4,'Anlage 2b_Korrekturen'!$C:$C,'LV Testat'!$D588,'Anlage 2b_Korrekturen'!$A:$A,'LV Testat'!C588)</f>
        <v>0</v>
      </c>
      <c r="P588" s="1041"/>
      <c r="R588" s="1136"/>
      <c r="T588" s="1137">
        <f t="shared" si="21"/>
        <v>2016</v>
      </c>
      <c r="U588" s="1138" t="s">
        <v>2539</v>
      </c>
      <c r="V588" s="1139"/>
      <c r="W588" s="1119">
        <f>+SUMIFS('Anlage 2b_Korrekturen'!$D:$D,'Anlage 2b_Korrekturen'!$H:$H,'LV Testat'!$E$4,'Anlage 2b_Korrekturen'!$C:$C,'LV Testat'!$D588,'Anlage 2b_Korrekturen'!$A:$A,'LV Testat'!T588)</f>
        <v>0</v>
      </c>
      <c r="Y588" s="1139">
        <v>0</v>
      </c>
      <c r="Z588" s="1119">
        <f>+SUMIFS('Anlage 2b_Korrekturen'!$D:$D,'Anlage 2b_Korrekturen'!$H:$H,'LV Testat'!$H$4,'Anlage 2b_Korrekturen'!$C:$C,'LV Testat'!$D588,'Anlage 2b_Korrekturen'!$A:$A,'LV Testat'!T588)</f>
        <v>0</v>
      </c>
      <c r="AA588" s="1041"/>
    </row>
    <row r="589" spans="1:27" hidden="1" outlineLevel="1">
      <c r="A589" s="1136"/>
      <c r="C589" s="1137">
        <f t="shared" si="20"/>
        <v>2016</v>
      </c>
      <c r="D589" s="1141" t="s">
        <v>2501</v>
      </c>
      <c r="E589" s="1139"/>
      <c r="F589" s="1119">
        <f>+SUMIFS('Anlage 2b_Korrekturen'!$D:$D,'Anlage 2b_Korrekturen'!$H:$H,'LV Testat'!$E$4,'Anlage 2b_Korrekturen'!$C:$C,'LV Testat'!$D589,'Anlage 2b_Korrekturen'!$A:$A,'LV Testat'!C589)</f>
        <v>0</v>
      </c>
      <c r="H589" s="1139"/>
      <c r="I589" s="1119">
        <f>+SUMIFS('Anlage 2b_Korrekturen'!$D:$D,'Anlage 2b_Korrekturen'!$H:$H,'LV Testat'!$H$4,'Anlage 2b_Korrekturen'!$C:$C,'LV Testat'!$D589,'Anlage 2b_Korrekturen'!$A:$A,'LV Testat'!C589)</f>
        <v>0</v>
      </c>
      <c r="J589" s="1041"/>
      <c r="K589" s="1139">
        <v>0</v>
      </c>
      <c r="L589" s="1119">
        <f>+SUMIFS('Anlage 2b_Korrekturen'!$D:$D,'Anlage 2b_Korrekturen'!$H:$H,'LV Testat'!$K$4,'Anlage 2b_Korrekturen'!$C:$C,'LV Testat'!$D589,'Anlage 2b_Korrekturen'!$A:$A,'LV Testat'!C589)</f>
        <v>0</v>
      </c>
      <c r="M589" s="1041"/>
      <c r="N589" s="1139"/>
      <c r="O589" s="1119">
        <f>+SUMIFS('Anlage 2b_Korrekturen'!$D:$D,'Anlage 2b_Korrekturen'!$H:$H,'LV Testat'!$N$4,'Anlage 2b_Korrekturen'!$C:$C,'LV Testat'!$D589,'Anlage 2b_Korrekturen'!$A:$A,'LV Testat'!C589)</f>
        <v>0</v>
      </c>
      <c r="P589" s="1041"/>
      <c r="R589" s="1136"/>
      <c r="T589" s="1137">
        <f t="shared" si="21"/>
        <v>2016</v>
      </c>
      <c r="U589" s="1141" t="s">
        <v>2501</v>
      </c>
      <c r="V589" s="1139"/>
      <c r="W589" s="1119">
        <f>+SUMIFS('Anlage 2b_Korrekturen'!$D:$D,'Anlage 2b_Korrekturen'!$H:$H,'LV Testat'!$E$4,'Anlage 2b_Korrekturen'!$C:$C,'LV Testat'!$D589,'Anlage 2b_Korrekturen'!$A:$A,'LV Testat'!T589)</f>
        <v>0</v>
      </c>
      <c r="Y589" s="1139"/>
      <c r="Z589" s="1119">
        <f>+SUMIFS('Anlage 2b_Korrekturen'!$D:$D,'Anlage 2b_Korrekturen'!$H:$H,'LV Testat'!$H$4,'Anlage 2b_Korrekturen'!$C:$C,'LV Testat'!$D589,'Anlage 2b_Korrekturen'!$A:$A,'LV Testat'!T589)</f>
        <v>0</v>
      </c>
      <c r="AA589" s="1041"/>
    </row>
    <row r="590" spans="1:27" hidden="1" outlineLevel="1">
      <c r="A590" s="1136"/>
      <c r="C590" s="1137">
        <f t="shared" si="20"/>
        <v>2016</v>
      </c>
      <c r="D590" s="1138" t="s">
        <v>2409</v>
      </c>
      <c r="E590" s="1139"/>
      <c r="F590" s="1119">
        <f>+SUMIFS('Anlage 2b_Korrekturen'!$D:$D,'Anlage 2b_Korrekturen'!$H:$H,'LV Testat'!$E$4,'Anlage 2b_Korrekturen'!$C:$C,'LV Testat'!$D590,'Anlage 2b_Korrekturen'!$A:$A,'LV Testat'!C590)</f>
        <v>0</v>
      </c>
      <c r="H590" s="1139">
        <v>0</v>
      </c>
      <c r="I590" s="1119">
        <f>+SUMIFS('Anlage 2b_Korrekturen'!$D:$D,'Anlage 2b_Korrekturen'!$H:$H,'LV Testat'!$H$4,'Anlage 2b_Korrekturen'!$C:$C,'LV Testat'!$D590,'Anlage 2b_Korrekturen'!$A:$A,'LV Testat'!C590)</f>
        <v>0</v>
      </c>
      <c r="J590" s="1041"/>
      <c r="K590" s="1139">
        <v>0</v>
      </c>
      <c r="L590" s="1119">
        <f>+SUMIFS('Anlage 2b_Korrekturen'!$D:$D,'Anlage 2b_Korrekturen'!$H:$H,'LV Testat'!$K$4,'Anlage 2b_Korrekturen'!$C:$C,'LV Testat'!$D590,'Anlage 2b_Korrekturen'!$A:$A,'LV Testat'!C590)</f>
        <v>0</v>
      </c>
      <c r="M590" s="1041"/>
      <c r="N590" s="1139"/>
      <c r="O590" s="1119">
        <f>+SUMIFS('Anlage 2b_Korrekturen'!$D:$D,'Anlage 2b_Korrekturen'!$H:$H,'LV Testat'!$N$4,'Anlage 2b_Korrekturen'!$C:$C,'LV Testat'!$D590,'Anlage 2b_Korrekturen'!$A:$A,'LV Testat'!C590)</f>
        <v>0</v>
      </c>
      <c r="P590" s="1041"/>
      <c r="R590" s="1136"/>
      <c r="T590" s="1137">
        <f t="shared" si="21"/>
        <v>2016</v>
      </c>
      <c r="U590" s="1141" t="s">
        <v>2409</v>
      </c>
      <c r="V590" s="1139"/>
      <c r="W590" s="1119">
        <f>+SUMIFS('Anlage 2b_Korrekturen'!$D:$D,'Anlage 2b_Korrekturen'!$H:$H,'LV Testat'!$E$4,'Anlage 2b_Korrekturen'!$C:$C,'LV Testat'!$D590,'Anlage 2b_Korrekturen'!$A:$A,'LV Testat'!T590)</f>
        <v>0</v>
      </c>
      <c r="Y590" s="1139">
        <v>0</v>
      </c>
      <c r="Z590" s="1119">
        <f>+SUMIFS('Anlage 2b_Korrekturen'!$D:$D,'Anlage 2b_Korrekturen'!$H:$H,'LV Testat'!$H$4,'Anlage 2b_Korrekturen'!$C:$C,'LV Testat'!$D590,'Anlage 2b_Korrekturen'!$A:$A,'LV Testat'!T590)</f>
        <v>0</v>
      </c>
      <c r="AA590" s="1041"/>
    </row>
    <row r="591" spans="1:27" hidden="1" outlineLevel="1">
      <c r="A591" s="1136"/>
      <c r="C591" s="1137">
        <f t="shared" si="20"/>
        <v>2016</v>
      </c>
      <c r="D591" s="1138" t="s">
        <v>2419</v>
      </c>
      <c r="E591" s="1139"/>
      <c r="F591" s="1119">
        <f>+SUMIFS('Anlage 2b_Korrekturen'!$D:$D,'Anlage 2b_Korrekturen'!$H:$H,'LV Testat'!$E$4,'Anlage 2b_Korrekturen'!$C:$C,'LV Testat'!$D591,'Anlage 2b_Korrekturen'!$A:$A,'LV Testat'!C591)</f>
        <v>0</v>
      </c>
      <c r="H591" s="1139"/>
      <c r="I591" s="1119">
        <f>+SUMIFS('Anlage 2b_Korrekturen'!$D:$D,'Anlage 2b_Korrekturen'!$H:$H,'LV Testat'!$H$4,'Anlage 2b_Korrekturen'!$C:$C,'LV Testat'!$D591,'Anlage 2b_Korrekturen'!$A:$A,'LV Testat'!C591)</f>
        <v>0</v>
      </c>
      <c r="J591" s="1041"/>
      <c r="K591" s="1139">
        <v>0</v>
      </c>
      <c r="L591" s="1119">
        <f>+SUMIFS('Anlage 2b_Korrekturen'!$D:$D,'Anlage 2b_Korrekturen'!$H:$H,'LV Testat'!$K$4,'Anlage 2b_Korrekturen'!$C:$C,'LV Testat'!$D591,'Anlage 2b_Korrekturen'!$A:$A,'LV Testat'!C591)</f>
        <v>0</v>
      </c>
      <c r="M591" s="1041"/>
      <c r="N591" s="1139"/>
      <c r="O591" s="1119">
        <f>+SUMIFS('Anlage 2b_Korrekturen'!$D:$D,'Anlage 2b_Korrekturen'!$H:$H,'LV Testat'!$N$4,'Anlage 2b_Korrekturen'!$C:$C,'LV Testat'!$D591,'Anlage 2b_Korrekturen'!$A:$A,'LV Testat'!C591)</f>
        <v>0</v>
      </c>
      <c r="P591" s="1041"/>
      <c r="R591" s="1136"/>
      <c r="T591" s="1137">
        <f t="shared" si="21"/>
        <v>2016</v>
      </c>
      <c r="U591" s="1141" t="s">
        <v>2419</v>
      </c>
      <c r="V591" s="1139"/>
      <c r="W591" s="1119">
        <f>+SUMIFS('Anlage 2b_Korrekturen'!$D:$D,'Anlage 2b_Korrekturen'!$H:$H,'LV Testat'!$E$4,'Anlage 2b_Korrekturen'!$C:$C,'LV Testat'!$D591,'Anlage 2b_Korrekturen'!$A:$A,'LV Testat'!T591)</f>
        <v>0</v>
      </c>
      <c r="Y591" s="1139"/>
      <c r="Z591" s="1119">
        <f>+SUMIFS('Anlage 2b_Korrekturen'!$D:$D,'Anlage 2b_Korrekturen'!$H:$H,'LV Testat'!$H$4,'Anlage 2b_Korrekturen'!$C:$C,'LV Testat'!$D591,'Anlage 2b_Korrekturen'!$A:$A,'LV Testat'!T591)</f>
        <v>0</v>
      </c>
      <c r="AA591" s="1041"/>
    </row>
    <row r="592" spans="1:27" hidden="1" outlineLevel="1">
      <c r="A592" s="1136"/>
      <c r="C592" s="1137">
        <f t="shared" si="20"/>
        <v>2016</v>
      </c>
      <c r="D592" s="1138" t="s">
        <v>2412</v>
      </c>
      <c r="E592" s="1139"/>
      <c r="F592" s="1119">
        <f>+SUMIFS('Anlage 2b_Korrekturen'!$D:$D,'Anlage 2b_Korrekturen'!$H:$H,'LV Testat'!$E$4,'Anlage 2b_Korrekturen'!$C:$C,'LV Testat'!$D592,'Anlage 2b_Korrekturen'!$A:$A,'LV Testat'!C592)</f>
        <v>0</v>
      </c>
      <c r="H592" s="1139"/>
      <c r="I592" s="1119">
        <f>+SUMIFS('Anlage 2b_Korrekturen'!$D:$D,'Anlage 2b_Korrekturen'!$H:$H,'LV Testat'!$H$4,'Anlage 2b_Korrekturen'!$C:$C,'LV Testat'!$D592,'Anlage 2b_Korrekturen'!$A:$A,'LV Testat'!C592)</f>
        <v>0</v>
      </c>
      <c r="J592" s="1041"/>
      <c r="K592" s="1139">
        <v>0</v>
      </c>
      <c r="L592" s="1119">
        <f>+SUMIFS('Anlage 2b_Korrekturen'!$D:$D,'Anlage 2b_Korrekturen'!$H:$H,'LV Testat'!$K$4,'Anlage 2b_Korrekturen'!$C:$C,'LV Testat'!$D592,'Anlage 2b_Korrekturen'!$A:$A,'LV Testat'!C592)</f>
        <v>0</v>
      </c>
      <c r="M592" s="1041"/>
      <c r="N592" s="1139"/>
      <c r="O592" s="1119">
        <f>+SUMIFS('Anlage 2b_Korrekturen'!$D:$D,'Anlage 2b_Korrekturen'!$H:$H,'LV Testat'!$N$4,'Anlage 2b_Korrekturen'!$C:$C,'LV Testat'!$D592,'Anlage 2b_Korrekturen'!$A:$A,'LV Testat'!C592)</f>
        <v>0</v>
      </c>
      <c r="P592" s="1041"/>
      <c r="R592" s="1136"/>
      <c r="T592" s="1137">
        <f t="shared" si="21"/>
        <v>2016</v>
      </c>
      <c r="U592" s="1141" t="s">
        <v>2412</v>
      </c>
      <c r="V592" s="1139"/>
      <c r="W592" s="1119">
        <f>+SUMIFS('Anlage 2b_Korrekturen'!$D:$D,'Anlage 2b_Korrekturen'!$H:$H,'LV Testat'!$E$4,'Anlage 2b_Korrekturen'!$C:$C,'LV Testat'!$D592,'Anlage 2b_Korrekturen'!$A:$A,'LV Testat'!T592)</f>
        <v>0</v>
      </c>
      <c r="Y592" s="1139"/>
      <c r="Z592" s="1119">
        <f>+SUMIFS('Anlage 2b_Korrekturen'!$D:$D,'Anlage 2b_Korrekturen'!$H:$H,'LV Testat'!$H$4,'Anlage 2b_Korrekturen'!$C:$C,'LV Testat'!$D592,'Anlage 2b_Korrekturen'!$A:$A,'LV Testat'!T592)</f>
        <v>0</v>
      </c>
      <c r="AA592" s="1041"/>
    </row>
    <row r="593" spans="1:27" hidden="1" outlineLevel="1">
      <c r="A593" s="1028"/>
      <c r="C593" s="1137">
        <f t="shared" si="20"/>
        <v>2016</v>
      </c>
      <c r="D593" s="1141" t="s">
        <v>2410</v>
      </c>
      <c r="E593" s="1139"/>
      <c r="F593" s="1119">
        <f>+SUMIFS('Anlage 2b_Korrekturen'!$D:$D,'Anlage 2b_Korrekturen'!$H:$H,'LV Testat'!$E$4,'Anlage 2b_Korrekturen'!$C:$C,'LV Testat'!$D593,'Anlage 2b_Korrekturen'!$A:$A,'LV Testat'!C593)</f>
        <v>0</v>
      </c>
      <c r="H593" s="1139">
        <v>0</v>
      </c>
      <c r="I593" s="1119">
        <f>+SUMIFS('Anlage 2b_Korrekturen'!$D:$D,'Anlage 2b_Korrekturen'!$H:$H,'LV Testat'!$H$4,'Anlage 2b_Korrekturen'!$C:$C,'LV Testat'!$D593,'Anlage 2b_Korrekturen'!$A:$A,'LV Testat'!C593)</f>
        <v>0</v>
      </c>
      <c r="J593" s="1041"/>
      <c r="K593" s="1139">
        <v>0</v>
      </c>
      <c r="L593" s="1119">
        <f>+SUMIFS('Anlage 2b_Korrekturen'!$D:$D,'Anlage 2b_Korrekturen'!$H:$H,'LV Testat'!$K$4,'Anlage 2b_Korrekturen'!$C:$C,'LV Testat'!$D593,'Anlage 2b_Korrekturen'!$A:$A,'LV Testat'!C593)</f>
        <v>0</v>
      </c>
      <c r="M593" s="1041"/>
      <c r="N593" s="1139"/>
      <c r="O593" s="1119">
        <f>+SUMIFS('Anlage 2b_Korrekturen'!$D:$D,'Anlage 2b_Korrekturen'!$H:$H,'LV Testat'!$N$4,'Anlage 2b_Korrekturen'!$C:$C,'LV Testat'!$D593,'Anlage 2b_Korrekturen'!$A:$A,'LV Testat'!C593)</f>
        <v>0</v>
      </c>
      <c r="P593" s="1041"/>
      <c r="R593" s="1028"/>
      <c r="T593" s="1137">
        <f t="shared" si="21"/>
        <v>2016</v>
      </c>
      <c r="U593" s="1141" t="s">
        <v>2410</v>
      </c>
      <c r="V593" s="1139"/>
      <c r="W593" s="1119">
        <f>+SUMIFS('Anlage 2b_Korrekturen'!$D:$D,'Anlage 2b_Korrekturen'!$H:$H,'LV Testat'!$E$4,'Anlage 2b_Korrekturen'!$C:$C,'LV Testat'!$D593,'Anlage 2b_Korrekturen'!$A:$A,'LV Testat'!T593)</f>
        <v>0</v>
      </c>
      <c r="Y593" s="1139">
        <v>0</v>
      </c>
      <c r="Z593" s="1119">
        <f>+SUMIFS('Anlage 2b_Korrekturen'!$D:$D,'Anlage 2b_Korrekturen'!$H:$H,'LV Testat'!$H$4,'Anlage 2b_Korrekturen'!$C:$C,'LV Testat'!$D593,'Anlage 2b_Korrekturen'!$A:$A,'LV Testat'!T593)</f>
        <v>0</v>
      </c>
      <c r="AA593" s="1041"/>
    </row>
    <row r="594" spans="1:27" ht="12" hidden="1" outlineLevel="1" thickBot="1">
      <c r="A594" s="1143"/>
      <c r="B594" s="1091"/>
      <c r="C594" s="1204">
        <f t="shared" si="20"/>
        <v>2016</v>
      </c>
      <c r="D594" s="1144" t="s">
        <v>2503</v>
      </c>
      <c r="E594" s="1124">
        <f>+SUM(E586:E593)</f>
        <v>0</v>
      </c>
      <c r="F594" s="1124">
        <f>+SUM(F586:F593)</f>
        <v>0</v>
      </c>
      <c r="G594" s="1091"/>
      <c r="H594" s="1124">
        <f>+SUM(H586:H593)</f>
        <v>10045</v>
      </c>
      <c r="I594" s="1124">
        <f>+SUM(I586:I593)</f>
        <v>10045</v>
      </c>
      <c r="J594" s="1121"/>
      <c r="K594" s="1124">
        <f>+SUM(K586:K593)</f>
        <v>0</v>
      </c>
      <c r="L594" s="1124">
        <f>+SUM(L586:L593)</f>
        <v>0</v>
      </c>
      <c r="M594" s="1121"/>
      <c r="N594" s="1124">
        <f>+SUM(N586:N593)</f>
        <v>0</v>
      </c>
      <c r="O594" s="1124">
        <f>+SUM(O586:O593)</f>
        <v>0</v>
      </c>
      <c r="P594" s="1121"/>
      <c r="R594" s="1143"/>
      <c r="S594" s="1091"/>
      <c r="T594" s="1137">
        <f t="shared" si="21"/>
        <v>2016</v>
      </c>
      <c r="U594" s="1144" t="s">
        <v>2503</v>
      </c>
      <c r="V594" s="1124">
        <f>+SUM(V586:V593)</f>
        <v>0</v>
      </c>
      <c r="W594" s="1124">
        <f>+SUM(W586:W593)</f>
        <v>0</v>
      </c>
      <c r="X594" s="1091"/>
      <c r="Y594" s="1124">
        <f>+SUM(Y586:Y593)</f>
        <v>10045</v>
      </c>
      <c r="Z594" s="1124">
        <f>+SUM(Z586:Z593)</f>
        <v>10045</v>
      </c>
      <c r="AA594" s="1121"/>
    </row>
    <row r="595" spans="1:27" ht="12.75" hidden="1" outlineLevel="1">
      <c r="A595" s="1578"/>
      <c r="C595" s="1137"/>
      <c r="D595" s="1579"/>
      <c r="E595" s="1580"/>
      <c r="F595" s="1580"/>
      <c r="H595" s="1580"/>
      <c r="I595" s="1580"/>
      <c r="J595" s="1041"/>
      <c r="K595" s="1580"/>
      <c r="L595" s="1580"/>
      <c r="M595" s="1041"/>
      <c r="N595" s="1580"/>
      <c r="O595" s="1580"/>
      <c r="P595" s="1041"/>
      <c r="V595" s="1844"/>
      <c r="W595" s="1845"/>
      <c r="X595" s="1846"/>
      <c r="Y595" s="1844" t="s">
        <v>774</v>
      </c>
      <c r="Z595" s="1845"/>
      <c r="AA595" s="1846"/>
    </row>
    <row r="596" spans="1:27" ht="12" collapsed="1" thickBot="1">
      <c r="A596" s="1578"/>
      <c r="C596" s="1137"/>
      <c r="D596" s="1579"/>
      <c r="E596" s="1580"/>
      <c r="F596" s="1580"/>
      <c r="H596" s="1580"/>
      <c r="I596" s="1580"/>
      <c r="J596" s="1041"/>
      <c r="K596" s="1580"/>
      <c r="L596" s="1580"/>
      <c r="M596" s="1041"/>
      <c r="N596" s="1580"/>
      <c r="O596" s="1580"/>
      <c r="P596" s="1041"/>
    </row>
    <row r="597" spans="1:27" ht="18" customHeight="1">
      <c r="A597" s="1126" t="s">
        <v>2531</v>
      </c>
      <c r="B597" s="1127"/>
      <c r="C597" s="1127"/>
      <c r="D597" s="1128"/>
      <c r="E597" s="1129"/>
      <c r="F597" s="1129"/>
      <c r="G597" s="1130"/>
      <c r="H597" s="1131"/>
      <c r="I597" s="1129"/>
      <c r="J597" s="1130"/>
      <c r="K597" s="1131"/>
      <c r="L597" s="1129"/>
      <c r="M597" s="1130"/>
      <c r="N597" s="1131"/>
      <c r="O597" s="1129"/>
      <c r="P597" s="1130"/>
      <c r="R597" s="1126" t="s">
        <v>2536</v>
      </c>
      <c r="S597" s="1127"/>
      <c r="T597" s="1127"/>
      <c r="U597" s="1128"/>
      <c r="V597" s="1129"/>
      <c r="W597" s="1129"/>
      <c r="X597" s="1130"/>
      <c r="Y597" s="1131"/>
      <c r="Z597" s="1129"/>
      <c r="AA597" s="1130"/>
    </row>
    <row r="598" spans="1:27" ht="15.75" thickBot="1">
      <c r="A598" s="1841">
        <f>+A582-1</f>
        <v>2015</v>
      </c>
      <c r="B598" s="1842"/>
      <c r="C598" s="1842"/>
      <c r="D598" s="1843"/>
      <c r="E598" s="1091"/>
      <c r="F598" s="1091"/>
      <c r="G598" s="1121"/>
      <c r="H598" s="1090"/>
      <c r="I598" s="1091"/>
      <c r="J598" s="1121"/>
      <c r="K598" s="1090"/>
      <c r="L598" s="1091"/>
      <c r="M598" s="1121"/>
      <c r="N598" s="1090"/>
      <c r="O598" s="1091"/>
      <c r="P598" s="1121"/>
      <c r="R598" s="1841">
        <f>A598</f>
        <v>2015</v>
      </c>
      <c r="S598" s="1842"/>
      <c r="T598" s="1842"/>
      <c r="U598" s="1843"/>
      <c r="V598" s="1091"/>
      <c r="W598" s="1091"/>
      <c r="X598" s="1121"/>
      <c r="Y598" s="1090"/>
      <c r="Z598" s="1091"/>
      <c r="AA598" s="1121"/>
    </row>
    <row r="599" spans="1:27" ht="12.75">
      <c r="A599" s="1013" t="s">
        <v>2532</v>
      </c>
      <c r="B599" s="1133"/>
      <c r="C599" s="1133"/>
      <c r="D599" s="1134"/>
      <c r="E599" s="1001"/>
      <c r="F599" s="1017" t="str">
        <f>+"Check LV NT "&amp;C602</f>
        <v>Check LV NT 2015</v>
      </c>
      <c r="G599" s="1018">
        <f>+F610-E610</f>
        <v>0</v>
      </c>
      <c r="H599" s="1000"/>
      <c r="I599" s="1017" t="str">
        <f>+"Check LV NT "&amp;C602</f>
        <v>Check LV NT 2015</v>
      </c>
      <c r="J599" s="1018">
        <f>+I610-H610</f>
        <v>0</v>
      </c>
      <c r="K599" s="1000"/>
      <c r="L599" s="1017" t="str">
        <f>+"Check LV NT "&amp;C602</f>
        <v>Check LV NT 2015</v>
      </c>
      <c r="M599" s="1018">
        <f>+L610-K610</f>
        <v>0</v>
      </c>
      <c r="N599" s="1000"/>
      <c r="O599" s="1017" t="str">
        <f>+"Check LV NT "&amp;C602</f>
        <v>Check LV NT 2015</v>
      </c>
      <c r="P599" s="1018">
        <f>+O610-N610</f>
        <v>0</v>
      </c>
      <c r="R599" s="1013" t="s">
        <v>2532</v>
      </c>
      <c r="S599" s="1133"/>
      <c r="T599" s="1133"/>
      <c r="U599" s="1134"/>
      <c r="V599" s="1001"/>
      <c r="W599" s="1017" t="str">
        <f>+"Check LV NT "&amp;T602</f>
        <v>Check LV NT 2015</v>
      </c>
      <c r="X599" s="1018">
        <f>+W610-V610</f>
        <v>0</v>
      </c>
      <c r="Y599" s="1000"/>
      <c r="Z599" s="1017" t="str">
        <f>+"Check LV NT "&amp;T602</f>
        <v>Check LV NT 2015</v>
      </c>
      <c r="AA599" s="1018">
        <f>+Z610-Y610</f>
        <v>0</v>
      </c>
    </row>
    <row r="600" spans="1:27" ht="12" thickBot="1">
      <c r="A600" s="1028"/>
      <c r="D600" s="1041"/>
      <c r="G600" s="1041"/>
      <c r="H600" s="1028"/>
      <c r="J600" s="1041"/>
      <c r="K600" s="1028"/>
      <c r="M600" s="1041"/>
      <c r="N600" s="1028"/>
      <c r="P600" s="1041"/>
      <c r="R600" s="1028"/>
      <c r="U600" s="1041"/>
      <c r="X600" s="1041"/>
      <c r="Y600" s="1028"/>
      <c r="AA600" s="1041"/>
    </row>
    <row r="601" spans="1:27" ht="33.75" hidden="1" outlineLevel="1">
      <c r="A601" s="1028"/>
      <c r="D601" s="1135"/>
      <c r="E601" s="1032" t="s">
        <v>2499</v>
      </c>
      <c r="F601" s="1032" t="s">
        <v>2499</v>
      </c>
      <c r="H601" s="1032" t="s">
        <v>2499</v>
      </c>
      <c r="I601" s="1032" t="s">
        <v>2499</v>
      </c>
      <c r="J601" s="1041"/>
      <c r="K601" s="1034" t="s">
        <v>2499</v>
      </c>
      <c r="L601" s="1032" t="s">
        <v>2499</v>
      </c>
      <c r="M601" s="1041"/>
      <c r="N601" s="1034" t="s">
        <v>2499</v>
      </c>
      <c r="O601" s="1032" t="s">
        <v>2499</v>
      </c>
      <c r="P601" s="1041"/>
      <c r="R601" s="1028"/>
      <c r="U601" s="1135"/>
      <c r="V601" s="1032" t="s">
        <v>2499</v>
      </c>
      <c r="W601" s="1032" t="s">
        <v>2499</v>
      </c>
      <c r="Y601" s="1032" t="s">
        <v>2499</v>
      </c>
      <c r="Z601" s="1032" t="s">
        <v>2499</v>
      </c>
      <c r="AA601" s="1041"/>
    </row>
    <row r="602" spans="1:27" hidden="1" outlineLevel="1">
      <c r="A602" s="1136"/>
      <c r="C602" s="1137">
        <f>+A598</f>
        <v>2015</v>
      </c>
      <c r="D602" s="1138" t="s">
        <v>2415</v>
      </c>
      <c r="E602" s="1139"/>
      <c r="F602" s="1119">
        <f>+SUMIFS('Anlage 2b_Korrekturen'!$D:$D,'Anlage 2b_Korrekturen'!$H:$H,'LV Testat'!$E$4,'Anlage 2b_Korrekturen'!$C:$C,'LV Testat'!$D602,'Anlage 2b_Korrekturen'!$A:$A,'LV Testat'!C602)</f>
        <v>0</v>
      </c>
      <c r="H602" s="1139">
        <v>9649</v>
      </c>
      <c r="I602" s="1119">
        <f>+SUMIFS('Anlage 2b_Korrekturen'!$D:$D,'Anlage 2b_Korrekturen'!$H:$H,'LV Testat'!$H$4,'Anlage 2b_Korrekturen'!$C:$C,'LV Testat'!$D602,'Anlage 2b_Korrekturen'!$A:$A,'LV Testat'!C602)</f>
        <v>9649</v>
      </c>
      <c r="J602" s="1041"/>
      <c r="K602" s="1139">
        <v>0</v>
      </c>
      <c r="L602" s="1119">
        <f>+SUMIFS('Anlage 2b_Korrekturen'!$D:$D,'Anlage 2b_Korrekturen'!$H:$H,'LV Testat'!$K$4,'Anlage 2b_Korrekturen'!$C:$C,'LV Testat'!$D602,'Anlage 2b_Korrekturen'!$A:$A,'LV Testat'!C602)</f>
        <v>0</v>
      </c>
      <c r="M602" s="1041"/>
      <c r="N602" s="1139"/>
      <c r="O602" s="1119">
        <f>+SUMIFS('Anlage 2b_Korrekturen'!$D:$D,'Anlage 2b_Korrekturen'!$H:$H,'LV Testat'!$N$4,'Anlage 2b_Korrekturen'!$C:$C,'LV Testat'!$D602,'Anlage 2b_Korrekturen'!$A:$A,'LV Testat'!C602)</f>
        <v>0</v>
      </c>
      <c r="P602" s="1041"/>
      <c r="R602" s="1136"/>
      <c r="T602" s="1137">
        <f>+R598</f>
        <v>2015</v>
      </c>
      <c r="U602" s="1138" t="s">
        <v>2416</v>
      </c>
      <c r="V602" s="1139"/>
      <c r="W602" s="1119">
        <f>+SUMIFS('Anlage 2b_Korrekturen'!$D:$D,'Anlage 2b_Korrekturen'!$H:$H,'LV Testat'!$E$4,'Anlage 2b_Korrekturen'!$C:$C,'LV Testat'!$D602,'Anlage 2b_Korrekturen'!$A:$A,'LV Testat'!T602)</f>
        <v>0</v>
      </c>
      <c r="Y602" s="1139">
        <v>9649</v>
      </c>
      <c r="Z602" s="1119">
        <f>+SUMIFS('Anlage 2b_Korrekturen'!$D:$D,'Anlage 2b_Korrekturen'!$H:$H,'LV Testat'!$H$4,'Anlage 2b_Korrekturen'!$C:$C,'LV Testat'!$D602,'Anlage 2b_Korrekturen'!$A:$A,'LV Testat'!T602)</f>
        <v>9649</v>
      </c>
      <c r="AA602" s="1041"/>
    </row>
    <row r="603" spans="1:27" hidden="1" outlineLevel="1">
      <c r="A603" s="1136"/>
      <c r="C603" s="1137">
        <f t="shared" ref="C603:C610" si="22">+C602</f>
        <v>2015</v>
      </c>
      <c r="D603" s="1138" t="s">
        <v>2540</v>
      </c>
      <c r="E603" s="1139"/>
      <c r="F603" s="1119">
        <f>+SUMIFS('Anlage 2b_Korrekturen'!$D:$D,'Anlage 2b_Korrekturen'!$H:$H,'LV Testat'!$E$4,'Anlage 2b_Korrekturen'!$C:$C,'LV Testat'!$D603,'Anlage 2b_Korrekturen'!$A:$A,'LV Testat'!C603)</f>
        <v>0</v>
      </c>
      <c r="H603" s="1139"/>
      <c r="I603" s="1119">
        <f>+SUMIFS('Anlage 2b_Korrekturen'!$D:$D,'Anlage 2b_Korrekturen'!$H:$H,'LV Testat'!$H$4,'Anlage 2b_Korrekturen'!$C:$C,'LV Testat'!$D603,'Anlage 2b_Korrekturen'!$A:$A,'LV Testat'!C603)</f>
        <v>0</v>
      </c>
      <c r="J603" s="1041"/>
      <c r="K603" s="1139">
        <v>0</v>
      </c>
      <c r="L603" s="1119">
        <f>+SUMIFS('Anlage 2b_Korrekturen'!$D:$D,'Anlage 2b_Korrekturen'!$H:$H,'LV Testat'!$K$4,'Anlage 2b_Korrekturen'!$C:$C,'LV Testat'!$D603,'Anlage 2b_Korrekturen'!$A:$A,'LV Testat'!C603)</f>
        <v>0</v>
      </c>
      <c r="M603" s="1041"/>
      <c r="N603" s="1139"/>
      <c r="O603" s="1119">
        <f>+SUMIFS('Anlage 2b_Korrekturen'!$D:$D,'Anlage 2b_Korrekturen'!$H:$H,'LV Testat'!$N$4,'Anlage 2b_Korrekturen'!$C:$C,'LV Testat'!$D603,'Anlage 2b_Korrekturen'!$A:$A,'LV Testat'!C603)</f>
        <v>0</v>
      </c>
      <c r="P603" s="1041"/>
      <c r="R603" s="1136"/>
      <c r="T603" s="1137">
        <f t="shared" ref="T603:T610" si="23">+T602</f>
        <v>2015</v>
      </c>
      <c r="U603" s="1138" t="s">
        <v>2538</v>
      </c>
      <c r="V603" s="1139"/>
      <c r="W603" s="1119">
        <f>+SUMIFS('Anlage 2b_Korrekturen'!$D:$D,'Anlage 2b_Korrekturen'!$H:$H,'LV Testat'!$E$4,'Anlage 2b_Korrekturen'!$C:$C,'LV Testat'!$D603,'Anlage 2b_Korrekturen'!$A:$A,'LV Testat'!T603)</f>
        <v>0</v>
      </c>
      <c r="Y603" s="1139"/>
      <c r="Z603" s="1119">
        <f>+SUMIFS('Anlage 2b_Korrekturen'!$D:$D,'Anlage 2b_Korrekturen'!$H:$H,'LV Testat'!$H$4,'Anlage 2b_Korrekturen'!$C:$C,'LV Testat'!$D603,'Anlage 2b_Korrekturen'!$A:$A,'LV Testat'!T603)</f>
        <v>0</v>
      </c>
      <c r="AA603" s="1041"/>
    </row>
    <row r="604" spans="1:27" hidden="1" outlineLevel="1">
      <c r="A604" s="1136"/>
      <c r="C604" s="1137">
        <f t="shared" si="22"/>
        <v>2015</v>
      </c>
      <c r="D604" s="1138" t="s">
        <v>2541</v>
      </c>
      <c r="E604" s="1139"/>
      <c r="F604" s="1119">
        <f>+SUMIFS('Anlage 2b_Korrekturen'!$D:$D,'Anlage 2b_Korrekturen'!$H:$H,'LV Testat'!$E$4,'Anlage 2b_Korrekturen'!$C:$C,'LV Testat'!$D604,'Anlage 2b_Korrekturen'!$A:$A,'LV Testat'!C604)</f>
        <v>0</v>
      </c>
      <c r="H604" s="1139">
        <v>0</v>
      </c>
      <c r="I604" s="1119">
        <f>+SUMIFS('Anlage 2b_Korrekturen'!$D:$D,'Anlage 2b_Korrekturen'!$H:$H,'LV Testat'!$H$4,'Anlage 2b_Korrekturen'!$C:$C,'LV Testat'!$D604,'Anlage 2b_Korrekturen'!$A:$A,'LV Testat'!C604)</f>
        <v>0</v>
      </c>
      <c r="J604" s="1041"/>
      <c r="K604" s="1139">
        <v>0</v>
      </c>
      <c r="L604" s="1119">
        <f>+SUMIFS('Anlage 2b_Korrekturen'!$D:$D,'Anlage 2b_Korrekturen'!$H:$H,'LV Testat'!$K$4,'Anlage 2b_Korrekturen'!$C:$C,'LV Testat'!$D604,'Anlage 2b_Korrekturen'!$A:$A,'LV Testat'!C604)</f>
        <v>0</v>
      </c>
      <c r="M604" s="1041"/>
      <c r="N604" s="1139"/>
      <c r="O604" s="1119">
        <f>+SUMIFS('Anlage 2b_Korrekturen'!$D:$D,'Anlage 2b_Korrekturen'!$H:$H,'LV Testat'!$N$4,'Anlage 2b_Korrekturen'!$C:$C,'LV Testat'!$D604,'Anlage 2b_Korrekturen'!$A:$A,'LV Testat'!C604)</f>
        <v>0</v>
      </c>
      <c r="P604" s="1041"/>
      <c r="R604" s="1136"/>
      <c r="T604" s="1137">
        <f t="shared" si="23"/>
        <v>2015</v>
      </c>
      <c r="U604" s="1138" t="s">
        <v>2539</v>
      </c>
      <c r="V604" s="1139"/>
      <c r="W604" s="1119">
        <f>+SUMIFS('Anlage 2b_Korrekturen'!$D:$D,'Anlage 2b_Korrekturen'!$H:$H,'LV Testat'!$E$4,'Anlage 2b_Korrekturen'!$C:$C,'LV Testat'!$D604,'Anlage 2b_Korrekturen'!$A:$A,'LV Testat'!T604)</f>
        <v>0</v>
      </c>
      <c r="Y604" s="1139">
        <v>0</v>
      </c>
      <c r="Z604" s="1119">
        <f>+SUMIFS('Anlage 2b_Korrekturen'!$D:$D,'Anlage 2b_Korrekturen'!$H:$H,'LV Testat'!$H$4,'Anlage 2b_Korrekturen'!$C:$C,'LV Testat'!$D604,'Anlage 2b_Korrekturen'!$A:$A,'LV Testat'!T604)</f>
        <v>0</v>
      </c>
      <c r="AA604" s="1041"/>
    </row>
    <row r="605" spans="1:27" hidden="1" outlineLevel="1">
      <c r="A605" s="1136"/>
      <c r="C605" s="1137">
        <f t="shared" si="22"/>
        <v>2015</v>
      </c>
      <c r="D605" s="1141" t="s">
        <v>2501</v>
      </c>
      <c r="E605" s="1139"/>
      <c r="F605" s="1119">
        <f>+SUMIFS('Anlage 2b_Korrekturen'!$D:$D,'Anlage 2b_Korrekturen'!$H:$H,'LV Testat'!$E$4,'Anlage 2b_Korrekturen'!$C:$C,'LV Testat'!$D605,'Anlage 2b_Korrekturen'!$A:$A,'LV Testat'!C605)</f>
        <v>0</v>
      </c>
      <c r="H605" s="1139"/>
      <c r="I605" s="1119">
        <f>+SUMIFS('Anlage 2b_Korrekturen'!$D:$D,'Anlage 2b_Korrekturen'!$H:$H,'LV Testat'!$H$4,'Anlage 2b_Korrekturen'!$C:$C,'LV Testat'!$D605,'Anlage 2b_Korrekturen'!$A:$A,'LV Testat'!C605)</f>
        <v>0</v>
      </c>
      <c r="J605" s="1041"/>
      <c r="K605" s="1139">
        <v>0</v>
      </c>
      <c r="L605" s="1119">
        <f>+SUMIFS('Anlage 2b_Korrekturen'!$D:$D,'Anlage 2b_Korrekturen'!$H:$H,'LV Testat'!$K$4,'Anlage 2b_Korrekturen'!$C:$C,'LV Testat'!$D605,'Anlage 2b_Korrekturen'!$A:$A,'LV Testat'!C605)</f>
        <v>0</v>
      </c>
      <c r="M605" s="1041"/>
      <c r="N605" s="1139"/>
      <c r="O605" s="1119">
        <f>+SUMIFS('Anlage 2b_Korrekturen'!$D:$D,'Anlage 2b_Korrekturen'!$H:$H,'LV Testat'!$N$4,'Anlage 2b_Korrekturen'!$C:$C,'LV Testat'!$D605,'Anlage 2b_Korrekturen'!$A:$A,'LV Testat'!C605)</f>
        <v>0</v>
      </c>
      <c r="P605" s="1041"/>
      <c r="R605" s="1136"/>
      <c r="T605" s="1137">
        <f t="shared" si="23"/>
        <v>2015</v>
      </c>
      <c r="U605" s="1141" t="s">
        <v>2501</v>
      </c>
      <c r="V605" s="1139"/>
      <c r="W605" s="1119">
        <f>+SUMIFS('Anlage 2b_Korrekturen'!$D:$D,'Anlage 2b_Korrekturen'!$H:$H,'LV Testat'!$E$4,'Anlage 2b_Korrekturen'!$C:$C,'LV Testat'!$D605,'Anlage 2b_Korrekturen'!$A:$A,'LV Testat'!T605)</f>
        <v>0</v>
      </c>
      <c r="Y605" s="1139"/>
      <c r="Z605" s="1119">
        <f>+SUMIFS('Anlage 2b_Korrekturen'!$D:$D,'Anlage 2b_Korrekturen'!$H:$H,'LV Testat'!$H$4,'Anlage 2b_Korrekturen'!$C:$C,'LV Testat'!$D605,'Anlage 2b_Korrekturen'!$A:$A,'LV Testat'!T605)</f>
        <v>0</v>
      </c>
      <c r="AA605" s="1041"/>
    </row>
    <row r="606" spans="1:27" hidden="1" outlineLevel="1">
      <c r="A606" s="1136"/>
      <c r="C606" s="1137">
        <f t="shared" si="22"/>
        <v>2015</v>
      </c>
      <c r="D606" s="1138" t="s">
        <v>2409</v>
      </c>
      <c r="E606" s="1139"/>
      <c r="F606" s="1119">
        <f>+SUMIFS('Anlage 2b_Korrekturen'!$D:$D,'Anlage 2b_Korrekturen'!$H:$H,'LV Testat'!$E$4,'Anlage 2b_Korrekturen'!$C:$C,'LV Testat'!$D606,'Anlage 2b_Korrekturen'!$A:$A,'LV Testat'!C606)</f>
        <v>0</v>
      </c>
      <c r="H606" s="1139">
        <v>0</v>
      </c>
      <c r="I606" s="1119">
        <f>+SUMIFS('Anlage 2b_Korrekturen'!$D:$D,'Anlage 2b_Korrekturen'!$H:$H,'LV Testat'!$H$4,'Anlage 2b_Korrekturen'!$C:$C,'LV Testat'!$D606,'Anlage 2b_Korrekturen'!$A:$A,'LV Testat'!C606)</f>
        <v>0</v>
      </c>
      <c r="J606" s="1041"/>
      <c r="K606" s="1139">
        <v>0</v>
      </c>
      <c r="L606" s="1119">
        <f>+SUMIFS('Anlage 2b_Korrekturen'!$D:$D,'Anlage 2b_Korrekturen'!$H:$H,'LV Testat'!$K$4,'Anlage 2b_Korrekturen'!$C:$C,'LV Testat'!$D606,'Anlage 2b_Korrekturen'!$A:$A,'LV Testat'!C606)</f>
        <v>0</v>
      </c>
      <c r="M606" s="1041"/>
      <c r="N606" s="1139"/>
      <c r="O606" s="1119">
        <f>+SUMIFS('Anlage 2b_Korrekturen'!$D:$D,'Anlage 2b_Korrekturen'!$H:$H,'LV Testat'!$N$4,'Anlage 2b_Korrekturen'!$C:$C,'LV Testat'!$D606,'Anlage 2b_Korrekturen'!$A:$A,'LV Testat'!C606)</f>
        <v>0</v>
      </c>
      <c r="P606" s="1041"/>
      <c r="R606" s="1136"/>
      <c r="T606" s="1137">
        <f t="shared" si="23"/>
        <v>2015</v>
      </c>
      <c r="U606" s="1141" t="s">
        <v>2409</v>
      </c>
      <c r="V606" s="1139"/>
      <c r="W606" s="1119">
        <f>+SUMIFS('Anlage 2b_Korrekturen'!$D:$D,'Anlage 2b_Korrekturen'!$H:$H,'LV Testat'!$E$4,'Anlage 2b_Korrekturen'!$C:$C,'LV Testat'!$D606,'Anlage 2b_Korrekturen'!$A:$A,'LV Testat'!T606)</f>
        <v>0</v>
      </c>
      <c r="Y606" s="1139">
        <v>0</v>
      </c>
      <c r="Z606" s="1119">
        <f>+SUMIFS('Anlage 2b_Korrekturen'!$D:$D,'Anlage 2b_Korrekturen'!$H:$H,'LV Testat'!$H$4,'Anlage 2b_Korrekturen'!$C:$C,'LV Testat'!$D606,'Anlage 2b_Korrekturen'!$A:$A,'LV Testat'!T606)</f>
        <v>0</v>
      </c>
      <c r="AA606" s="1041"/>
    </row>
    <row r="607" spans="1:27" hidden="1" outlineLevel="1">
      <c r="A607" s="1136"/>
      <c r="C607" s="1137">
        <f t="shared" si="22"/>
        <v>2015</v>
      </c>
      <c r="D607" s="1138" t="s">
        <v>2419</v>
      </c>
      <c r="E607" s="1139"/>
      <c r="F607" s="1119">
        <f>+SUMIFS('Anlage 2b_Korrekturen'!$D:$D,'Anlage 2b_Korrekturen'!$H:$H,'LV Testat'!$E$4,'Anlage 2b_Korrekturen'!$C:$C,'LV Testat'!$D607,'Anlage 2b_Korrekturen'!$A:$A,'LV Testat'!C607)</f>
        <v>0</v>
      </c>
      <c r="H607" s="1139"/>
      <c r="I607" s="1119">
        <f>+SUMIFS('Anlage 2b_Korrekturen'!$D:$D,'Anlage 2b_Korrekturen'!$H:$H,'LV Testat'!$H$4,'Anlage 2b_Korrekturen'!$C:$C,'LV Testat'!$D607,'Anlage 2b_Korrekturen'!$A:$A,'LV Testat'!C607)</f>
        <v>0</v>
      </c>
      <c r="J607" s="1041"/>
      <c r="K607" s="1139">
        <v>0</v>
      </c>
      <c r="L607" s="1119">
        <f>+SUMIFS('Anlage 2b_Korrekturen'!$D:$D,'Anlage 2b_Korrekturen'!$H:$H,'LV Testat'!$K$4,'Anlage 2b_Korrekturen'!$C:$C,'LV Testat'!$D607,'Anlage 2b_Korrekturen'!$A:$A,'LV Testat'!C607)</f>
        <v>0</v>
      </c>
      <c r="M607" s="1041"/>
      <c r="N607" s="1139"/>
      <c r="O607" s="1119">
        <f>+SUMIFS('Anlage 2b_Korrekturen'!$D:$D,'Anlage 2b_Korrekturen'!$H:$H,'LV Testat'!$N$4,'Anlage 2b_Korrekturen'!$C:$C,'LV Testat'!$D607,'Anlage 2b_Korrekturen'!$A:$A,'LV Testat'!C607)</f>
        <v>0</v>
      </c>
      <c r="P607" s="1041"/>
      <c r="R607" s="1136"/>
      <c r="T607" s="1137">
        <f t="shared" si="23"/>
        <v>2015</v>
      </c>
      <c r="U607" s="1141" t="s">
        <v>2419</v>
      </c>
      <c r="V607" s="1139"/>
      <c r="W607" s="1119">
        <f>+SUMIFS('Anlage 2b_Korrekturen'!$D:$D,'Anlage 2b_Korrekturen'!$H:$H,'LV Testat'!$E$4,'Anlage 2b_Korrekturen'!$C:$C,'LV Testat'!$D607,'Anlage 2b_Korrekturen'!$A:$A,'LV Testat'!T607)</f>
        <v>0</v>
      </c>
      <c r="Y607" s="1139"/>
      <c r="Z607" s="1119">
        <f>+SUMIFS('Anlage 2b_Korrekturen'!$D:$D,'Anlage 2b_Korrekturen'!$H:$H,'LV Testat'!$H$4,'Anlage 2b_Korrekturen'!$C:$C,'LV Testat'!$D607,'Anlage 2b_Korrekturen'!$A:$A,'LV Testat'!T607)</f>
        <v>0</v>
      </c>
      <c r="AA607" s="1041"/>
    </row>
    <row r="608" spans="1:27" hidden="1" outlineLevel="1">
      <c r="A608" s="1136"/>
      <c r="C608" s="1137">
        <f t="shared" si="22"/>
        <v>2015</v>
      </c>
      <c r="D608" s="1138" t="s">
        <v>2412</v>
      </c>
      <c r="E608" s="1139"/>
      <c r="F608" s="1119">
        <f>+SUMIFS('Anlage 2b_Korrekturen'!$D:$D,'Anlage 2b_Korrekturen'!$H:$H,'LV Testat'!$E$4,'Anlage 2b_Korrekturen'!$C:$C,'LV Testat'!$D608,'Anlage 2b_Korrekturen'!$A:$A,'LV Testat'!C608)</f>
        <v>0</v>
      </c>
      <c r="H608" s="1139"/>
      <c r="I608" s="1119">
        <f>+SUMIFS('Anlage 2b_Korrekturen'!$D:$D,'Anlage 2b_Korrekturen'!$H:$H,'LV Testat'!$H$4,'Anlage 2b_Korrekturen'!$C:$C,'LV Testat'!$D608,'Anlage 2b_Korrekturen'!$A:$A,'LV Testat'!C608)</f>
        <v>0</v>
      </c>
      <c r="J608" s="1041"/>
      <c r="K608" s="1139">
        <v>0</v>
      </c>
      <c r="L608" s="1119">
        <f>+SUMIFS('Anlage 2b_Korrekturen'!$D:$D,'Anlage 2b_Korrekturen'!$H:$H,'LV Testat'!$K$4,'Anlage 2b_Korrekturen'!$C:$C,'LV Testat'!$D608,'Anlage 2b_Korrekturen'!$A:$A,'LV Testat'!C608)</f>
        <v>0</v>
      </c>
      <c r="M608" s="1041"/>
      <c r="N608" s="1139"/>
      <c r="O608" s="1119">
        <f>+SUMIFS('Anlage 2b_Korrekturen'!$D:$D,'Anlage 2b_Korrekturen'!$H:$H,'LV Testat'!$N$4,'Anlage 2b_Korrekturen'!$C:$C,'LV Testat'!$D608,'Anlage 2b_Korrekturen'!$A:$A,'LV Testat'!C608)</f>
        <v>0</v>
      </c>
      <c r="P608" s="1041"/>
      <c r="R608" s="1136"/>
      <c r="T608" s="1137">
        <f t="shared" si="23"/>
        <v>2015</v>
      </c>
      <c r="U608" s="1141" t="s">
        <v>2412</v>
      </c>
      <c r="V608" s="1139"/>
      <c r="W608" s="1119">
        <f>+SUMIFS('Anlage 2b_Korrekturen'!$D:$D,'Anlage 2b_Korrekturen'!$H:$H,'LV Testat'!$E$4,'Anlage 2b_Korrekturen'!$C:$C,'LV Testat'!$D608,'Anlage 2b_Korrekturen'!$A:$A,'LV Testat'!T608)</f>
        <v>0</v>
      </c>
      <c r="Y608" s="1139"/>
      <c r="Z608" s="1119">
        <f>+SUMIFS('Anlage 2b_Korrekturen'!$D:$D,'Anlage 2b_Korrekturen'!$H:$H,'LV Testat'!$H$4,'Anlage 2b_Korrekturen'!$C:$C,'LV Testat'!$D608,'Anlage 2b_Korrekturen'!$A:$A,'LV Testat'!T608)</f>
        <v>0</v>
      </c>
      <c r="AA608" s="1041"/>
    </row>
    <row r="609" spans="1:27" hidden="1" outlineLevel="1">
      <c r="A609" s="1028"/>
      <c r="C609" s="1137">
        <f t="shared" si="22"/>
        <v>2015</v>
      </c>
      <c r="D609" s="1141" t="s">
        <v>2410</v>
      </c>
      <c r="E609" s="1139"/>
      <c r="F609" s="1119">
        <f>+SUMIFS('Anlage 2b_Korrekturen'!$D:$D,'Anlage 2b_Korrekturen'!$H:$H,'LV Testat'!$E$4,'Anlage 2b_Korrekturen'!$C:$C,'LV Testat'!$D609,'Anlage 2b_Korrekturen'!$A:$A,'LV Testat'!C609)</f>
        <v>0</v>
      </c>
      <c r="H609" s="1139">
        <v>0</v>
      </c>
      <c r="I609" s="1119">
        <f>+SUMIFS('Anlage 2b_Korrekturen'!$D:$D,'Anlage 2b_Korrekturen'!$H:$H,'LV Testat'!$H$4,'Anlage 2b_Korrekturen'!$C:$C,'LV Testat'!$D609,'Anlage 2b_Korrekturen'!$A:$A,'LV Testat'!C609)</f>
        <v>0</v>
      </c>
      <c r="J609" s="1041"/>
      <c r="K609" s="1139">
        <v>0</v>
      </c>
      <c r="L609" s="1119">
        <f>+SUMIFS('Anlage 2b_Korrekturen'!$D:$D,'Anlage 2b_Korrekturen'!$H:$H,'LV Testat'!$K$4,'Anlage 2b_Korrekturen'!$C:$C,'LV Testat'!$D609,'Anlage 2b_Korrekturen'!$A:$A,'LV Testat'!C609)</f>
        <v>0</v>
      </c>
      <c r="M609" s="1041"/>
      <c r="N609" s="1139"/>
      <c r="O609" s="1119">
        <f>+SUMIFS('Anlage 2b_Korrekturen'!$D:$D,'Anlage 2b_Korrekturen'!$H:$H,'LV Testat'!$N$4,'Anlage 2b_Korrekturen'!$C:$C,'LV Testat'!$D609,'Anlage 2b_Korrekturen'!$A:$A,'LV Testat'!C609)</f>
        <v>0</v>
      </c>
      <c r="P609" s="1041"/>
      <c r="R609" s="1028"/>
      <c r="T609" s="1137">
        <f t="shared" si="23"/>
        <v>2015</v>
      </c>
      <c r="U609" s="1141" t="s">
        <v>2410</v>
      </c>
      <c r="V609" s="1139"/>
      <c r="W609" s="1119">
        <f>+SUMIFS('Anlage 2b_Korrekturen'!$D:$D,'Anlage 2b_Korrekturen'!$H:$H,'LV Testat'!$E$4,'Anlage 2b_Korrekturen'!$C:$C,'LV Testat'!$D609,'Anlage 2b_Korrekturen'!$A:$A,'LV Testat'!T609)</f>
        <v>0</v>
      </c>
      <c r="Y609" s="1139">
        <v>0</v>
      </c>
      <c r="Z609" s="1119">
        <f>+SUMIFS('Anlage 2b_Korrekturen'!$D:$D,'Anlage 2b_Korrekturen'!$H:$H,'LV Testat'!$H$4,'Anlage 2b_Korrekturen'!$C:$C,'LV Testat'!$D609,'Anlage 2b_Korrekturen'!$A:$A,'LV Testat'!T609)</f>
        <v>0</v>
      </c>
      <c r="AA609" s="1041"/>
    </row>
    <row r="610" spans="1:27" ht="12" hidden="1" outlineLevel="1" thickBot="1">
      <c r="A610" s="1143"/>
      <c r="B610" s="1091"/>
      <c r="C610" s="1204">
        <f t="shared" si="22"/>
        <v>2015</v>
      </c>
      <c r="D610" s="1144" t="s">
        <v>2503</v>
      </c>
      <c r="E610" s="1124">
        <f>+SUM(E602:E609)</f>
        <v>0</v>
      </c>
      <c r="F610" s="1124">
        <f>+SUM(F602:F609)</f>
        <v>0</v>
      </c>
      <c r="G610" s="1091"/>
      <c r="H610" s="1124">
        <f>+SUM(H602:H609)</f>
        <v>9649</v>
      </c>
      <c r="I610" s="1124">
        <f>+SUM(I602:I609)</f>
        <v>9649</v>
      </c>
      <c r="J610" s="1121"/>
      <c r="K610" s="1124">
        <f>+SUM(K602:K609)</f>
        <v>0</v>
      </c>
      <c r="L610" s="1124">
        <f>+SUM(L602:L609)</f>
        <v>0</v>
      </c>
      <c r="M610" s="1121"/>
      <c r="N610" s="1124">
        <f>+SUM(N602:N609)</f>
        <v>0</v>
      </c>
      <c r="O610" s="1124">
        <f>+SUM(O602:O609)</f>
        <v>0</v>
      </c>
      <c r="P610" s="1121"/>
      <c r="R610" s="1143"/>
      <c r="S610" s="1091"/>
      <c r="T610" s="1137">
        <f t="shared" si="23"/>
        <v>2015</v>
      </c>
      <c r="U610" s="1144" t="s">
        <v>2503</v>
      </c>
      <c r="V610" s="1124">
        <f>+SUM(V602:V609)</f>
        <v>0</v>
      </c>
      <c r="W610" s="1124">
        <f>+SUM(W602:W609)</f>
        <v>0</v>
      </c>
      <c r="X610" s="1091"/>
      <c r="Y610" s="1124">
        <f>+SUM(Y602:Y609)</f>
        <v>9649</v>
      </c>
      <c r="Z610" s="1124">
        <f>+SUM(Z602:Z609)</f>
        <v>9649</v>
      </c>
      <c r="AA610" s="1121"/>
    </row>
    <row r="611" spans="1:27" ht="12.75" collapsed="1">
      <c r="A611" s="1578"/>
      <c r="C611" s="1137"/>
      <c r="D611" s="1579"/>
      <c r="E611" s="1580"/>
      <c r="F611" s="1580"/>
      <c r="H611" s="1580"/>
      <c r="I611" s="1580"/>
      <c r="J611" s="1041"/>
      <c r="K611" s="1580"/>
      <c r="L611" s="1580"/>
      <c r="M611" s="1041"/>
      <c r="N611" s="1580"/>
      <c r="O611" s="1580"/>
      <c r="P611" s="1041"/>
      <c r="V611" s="1844"/>
      <c r="W611" s="1845"/>
      <c r="X611" s="1846"/>
      <c r="Y611" s="1844"/>
      <c r="Z611" s="1845"/>
      <c r="AA611" s="1846"/>
    </row>
    <row r="612" spans="1:27" ht="12" thickBot="1">
      <c r="A612" s="1578"/>
      <c r="C612" s="1137"/>
      <c r="D612" s="1579"/>
      <c r="E612" s="1580"/>
      <c r="F612" s="1580"/>
      <c r="H612" s="1580"/>
      <c r="I612" s="1580"/>
      <c r="J612" s="1041"/>
      <c r="K612" s="1580"/>
      <c r="L612" s="1580"/>
      <c r="M612" s="1041"/>
      <c r="N612" s="1580"/>
      <c r="O612" s="1580"/>
      <c r="P612" s="1041"/>
    </row>
    <row r="613" spans="1:27" ht="18" customHeight="1">
      <c r="A613" s="1126" t="s">
        <v>2531</v>
      </c>
      <c r="B613" s="1127"/>
      <c r="C613" s="1127"/>
      <c r="D613" s="1128"/>
      <c r="E613" s="1129"/>
      <c r="F613" s="1129"/>
      <c r="G613" s="1130"/>
      <c r="H613" s="1131"/>
      <c r="I613" s="1129"/>
      <c r="J613" s="1130"/>
      <c r="K613" s="1131"/>
      <c r="L613" s="1129"/>
      <c r="M613" s="1130"/>
      <c r="N613" s="1131"/>
      <c r="O613" s="1129"/>
      <c r="P613" s="1130"/>
      <c r="R613" s="1126" t="s">
        <v>2536</v>
      </c>
      <c r="S613" s="1127"/>
      <c r="T613" s="1127"/>
      <c r="U613" s="1128"/>
      <c r="V613" s="1129"/>
      <c r="W613" s="1129"/>
      <c r="X613" s="1130"/>
      <c r="Y613" s="1131"/>
      <c r="Z613" s="1129"/>
      <c r="AA613" s="1130"/>
    </row>
    <row r="614" spans="1:27" ht="15.75" thickBot="1">
      <c r="A614" s="1841">
        <f>+A598-1</f>
        <v>2014</v>
      </c>
      <c r="B614" s="1842"/>
      <c r="C614" s="1842"/>
      <c r="D614" s="1843"/>
      <c r="E614" s="1091"/>
      <c r="F614" s="1091"/>
      <c r="G614" s="1121"/>
      <c r="H614" s="1090"/>
      <c r="I614" s="1091"/>
      <c r="J614" s="1121"/>
      <c r="K614" s="1090"/>
      <c r="L614" s="1091"/>
      <c r="M614" s="1121"/>
      <c r="N614" s="1090"/>
      <c r="O614" s="1091"/>
      <c r="P614" s="1121"/>
      <c r="R614" s="1841">
        <f>A614</f>
        <v>2014</v>
      </c>
      <c r="S614" s="1842"/>
      <c r="T614" s="1842"/>
      <c r="U614" s="1843"/>
      <c r="V614" s="1091"/>
      <c r="W614" s="1091"/>
      <c r="X614" s="1121"/>
      <c r="Y614" s="1090"/>
      <c r="Z614" s="1091"/>
      <c r="AA614" s="1121"/>
    </row>
    <row r="615" spans="1:27" ht="13.5" thickBot="1">
      <c r="A615" s="1013" t="s">
        <v>2532</v>
      </c>
      <c r="B615" s="1133"/>
      <c r="C615" s="1133"/>
      <c r="D615" s="1134"/>
      <c r="E615" s="1001"/>
      <c r="F615" s="1017" t="str">
        <f>+"Check LV NT "&amp;C618</f>
        <v>Check LV NT 2014</v>
      </c>
      <c r="G615" s="1018">
        <f>+F626-E626</f>
        <v>0</v>
      </c>
      <c r="H615" s="1000"/>
      <c r="I615" s="1017" t="str">
        <f>+"Check LV NT "&amp;C618</f>
        <v>Check LV NT 2014</v>
      </c>
      <c r="J615" s="1018">
        <f>+I626-H626</f>
        <v>0</v>
      </c>
      <c r="K615" s="1000"/>
      <c r="L615" s="1017" t="str">
        <f>+"Check LV NT "&amp;C618</f>
        <v>Check LV NT 2014</v>
      </c>
      <c r="M615" s="1018">
        <f>+L626-K626</f>
        <v>0</v>
      </c>
      <c r="N615" s="1000"/>
      <c r="O615" s="1017" t="str">
        <f>+"Check LV NT "&amp;C618</f>
        <v>Check LV NT 2014</v>
      </c>
      <c r="P615" s="1018">
        <f>+O626-N626</f>
        <v>0</v>
      </c>
      <c r="R615" s="1013" t="s">
        <v>2532</v>
      </c>
      <c r="S615" s="1133"/>
      <c r="T615" s="1133"/>
      <c r="U615" s="1134"/>
      <c r="V615" s="1001"/>
      <c r="W615" s="1017" t="str">
        <f>+"Check LV NT "&amp;T618</f>
        <v>Check LV NT 2014</v>
      </c>
      <c r="X615" s="1018">
        <f>+W626-V626</f>
        <v>0</v>
      </c>
      <c r="Y615" s="1000"/>
      <c r="Z615" s="1017" t="str">
        <f>+"Check LV NT "&amp;T618</f>
        <v>Check LV NT 2014</v>
      </c>
      <c r="AA615" s="1018">
        <f>+Z626-Y626</f>
        <v>0</v>
      </c>
    </row>
    <row r="616" spans="1:27" hidden="1" outlineLevel="1">
      <c r="A616" s="1028"/>
      <c r="D616" s="1041"/>
      <c r="G616" s="1041"/>
      <c r="H616" s="1028"/>
      <c r="J616" s="1041"/>
      <c r="K616" s="1028"/>
      <c r="M616" s="1041"/>
      <c r="N616" s="1028"/>
      <c r="P616" s="1041"/>
      <c r="R616" s="1028"/>
      <c r="U616" s="1041"/>
      <c r="X616" s="1041"/>
      <c r="Y616" s="1028"/>
      <c r="AA616" s="1041"/>
    </row>
    <row r="617" spans="1:27" ht="33.75" hidden="1" outlineLevel="1">
      <c r="A617" s="1028"/>
      <c r="D617" s="1135"/>
      <c r="E617" s="1032" t="s">
        <v>2499</v>
      </c>
      <c r="F617" s="1032" t="s">
        <v>2499</v>
      </c>
      <c r="H617" s="1032" t="s">
        <v>2499</v>
      </c>
      <c r="I617" s="1032" t="s">
        <v>2499</v>
      </c>
      <c r="J617" s="1041"/>
      <c r="K617" s="1034" t="s">
        <v>2499</v>
      </c>
      <c r="L617" s="1032" t="s">
        <v>2499</v>
      </c>
      <c r="M617" s="1041"/>
      <c r="N617" s="1034" t="s">
        <v>2499</v>
      </c>
      <c r="O617" s="1032" t="s">
        <v>2499</v>
      </c>
      <c r="P617" s="1041"/>
      <c r="R617" s="1028"/>
      <c r="U617" s="1135"/>
      <c r="V617" s="1032" t="s">
        <v>2499</v>
      </c>
      <c r="W617" s="1032" t="s">
        <v>2499</v>
      </c>
      <c r="Y617" s="1032" t="s">
        <v>2499</v>
      </c>
      <c r="Z617" s="1032" t="s">
        <v>2499</v>
      </c>
      <c r="AA617" s="1041"/>
    </row>
    <row r="618" spans="1:27" hidden="1" outlineLevel="1">
      <c r="A618" s="1136"/>
      <c r="C618" s="1137">
        <f>+A614</f>
        <v>2014</v>
      </c>
      <c r="D618" s="1138" t="s">
        <v>2415</v>
      </c>
      <c r="E618" s="1139"/>
      <c r="F618" s="1119">
        <f>+SUMIFS('Anlage 2b_Korrekturen'!$D:$D,'Anlage 2b_Korrekturen'!$H:$H,'LV Testat'!$E$4,'Anlage 2b_Korrekturen'!$C:$C,'LV Testat'!$D618,'Anlage 2b_Korrekturen'!$A:$A,'LV Testat'!C618)</f>
        <v>0</v>
      </c>
      <c r="H618" s="1139">
        <v>646</v>
      </c>
      <c r="I618" s="1119">
        <f>+SUMIFS('Anlage 2b_Korrekturen'!$D:$D,'Anlage 2b_Korrekturen'!$H:$H,'LV Testat'!$H$4,'Anlage 2b_Korrekturen'!$C:$C,'LV Testat'!$D618,'Anlage 2b_Korrekturen'!$A:$A,'LV Testat'!C618)</f>
        <v>646</v>
      </c>
      <c r="J618" s="1041"/>
      <c r="K618" s="1139">
        <v>0</v>
      </c>
      <c r="L618" s="1119">
        <f>+SUMIFS('Anlage 2b_Korrekturen'!$D:$D,'Anlage 2b_Korrekturen'!$H:$H,'LV Testat'!$K$4,'Anlage 2b_Korrekturen'!$C:$C,'LV Testat'!$D618,'Anlage 2b_Korrekturen'!$A:$A,'LV Testat'!C618)</f>
        <v>0</v>
      </c>
      <c r="M618" s="1041"/>
      <c r="N618" s="1139"/>
      <c r="O618" s="1119">
        <f>+SUMIFS('Anlage 2b_Korrekturen'!$D:$D,'Anlage 2b_Korrekturen'!$H:$H,'LV Testat'!$N$4,'Anlage 2b_Korrekturen'!$C:$C,'LV Testat'!$D618,'Anlage 2b_Korrekturen'!$A:$A,'LV Testat'!C618)</f>
        <v>0</v>
      </c>
      <c r="P618" s="1041"/>
      <c r="R618" s="1136"/>
      <c r="T618" s="1137">
        <f>+R614</f>
        <v>2014</v>
      </c>
      <c r="U618" s="1138" t="s">
        <v>2416</v>
      </c>
      <c r="V618" s="1139"/>
      <c r="W618" s="1119">
        <f>+SUMIFS('Anlage 2b_Korrekturen'!$D:$D,'Anlage 2b_Korrekturen'!$H:$H,'LV Testat'!$E$4,'Anlage 2b_Korrekturen'!$C:$C,'LV Testat'!$D618,'Anlage 2b_Korrekturen'!$A:$A,'LV Testat'!T618)</f>
        <v>0</v>
      </c>
      <c r="Y618" s="1139">
        <v>646</v>
      </c>
      <c r="Z618" s="1119">
        <f>+SUMIFS('Anlage 2b_Korrekturen'!$D:$D,'Anlage 2b_Korrekturen'!$H:$H,'LV Testat'!$H$4,'Anlage 2b_Korrekturen'!$C:$C,'LV Testat'!$D618,'Anlage 2b_Korrekturen'!$A:$A,'LV Testat'!T618)</f>
        <v>646</v>
      </c>
      <c r="AA618" s="1041"/>
    </row>
    <row r="619" spans="1:27" hidden="1" outlineLevel="1">
      <c r="A619" s="1136"/>
      <c r="C619" s="1137">
        <f t="shared" ref="C619:C626" si="24">+C618</f>
        <v>2014</v>
      </c>
      <c r="D619" s="1138" t="s">
        <v>2540</v>
      </c>
      <c r="E619" s="1139"/>
      <c r="F619" s="1119">
        <f>+SUMIFS('Anlage 2b_Korrekturen'!$D:$D,'Anlage 2b_Korrekturen'!$H:$H,'LV Testat'!$E$4,'Anlage 2b_Korrekturen'!$C:$C,'LV Testat'!$D619,'Anlage 2b_Korrekturen'!$A:$A,'LV Testat'!C619)</f>
        <v>0</v>
      </c>
      <c r="H619" s="1139"/>
      <c r="I619" s="1119">
        <f>+SUMIFS('Anlage 2b_Korrekturen'!$D:$D,'Anlage 2b_Korrekturen'!$H:$H,'LV Testat'!$H$4,'Anlage 2b_Korrekturen'!$C:$C,'LV Testat'!$D619,'Anlage 2b_Korrekturen'!$A:$A,'LV Testat'!C619)</f>
        <v>0</v>
      </c>
      <c r="J619" s="1041"/>
      <c r="K619" s="1139">
        <v>0</v>
      </c>
      <c r="L619" s="1119">
        <f>+SUMIFS('Anlage 2b_Korrekturen'!$D:$D,'Anlage 2b_Korrekturen'!$H:$H,'LV Testat'!$K$4,'Anlage 2b_Korrekturen'!$C:$C,'LV Testat'!$D619,'Anlage 2b_Korrekturen'!$A:$A,'LV Testat'!C619)</f>
        <v>0</v>
      </c>
      <c r="M619" s="1041"/>
      <c r="N619" s="1139"/>
      <c r="O619" s="1119">
        <f>+SUMIFS('Anlage 2b_Korrekturen'!$D:$D,'Anlage 2b_Korrekturen'!$H:$H,'LV Testat'!$N$4,'Anlage 2b_Korrekturen'!$C:$C,'LV Testat'!$D619,'Anlage 2b_Korrekturen'!$A:$A,'LV Testat'!C619)</f>
        <v>0</v>
      </c>
      <c r="P619" s="1041"/>
      <c r="R619" s="1136"/>
      <c r="T619" s="1137">
        <f t="shared" ref="T619:T626" si="25">+T618</f>
        <v>2014</v>
      </c>
      <c r="U619" s="1138" t="s">
        <v>2538</v>
      </c>
      <c r="V619" s="1139"/>
      <c r="W619" s="1119">
        <f>+SUMIFS('Anlage 2b_Korrekturen'!$D:$D,'Anlage 2b_Korrekturen'!$H:$H,'LV Testat'!$E$4,'Anlage 2b_Korrekturen'!$C:$C,'LV Testat'!$D619,'Anlage 2b_Korrekturen'!$A:$A,'LV Testat'!T619)</f>
        <v>0</v>
      </c>
      <c r="Y619" s="1139"/>
      <c r="Z619" s="1119">
        <f>+SUMIFS('Anlage 2b_Korrekturen'!$D:$D,'Anlage 2b_Korrekturen'!$H:$H,'LV Testat'!$H$4,'Anlage 2b_Korrekturen'!$C:$C,'LV Testat'!$D619,'Anlage 2b_Korrekturen'!$A:$A,'LV Testat'!T619)</f>
        <v>0</v>
      </c>
      <c r="AA619" s="1041"/>
    </row>
    <row r="620" spans="1:27" hidden="1" outlineLevel="1">
      <c r="A620" s="1136"/>
      <c r="C620" s="1137">
        <f t="shared" si="24"/>
        <v>2014</v>
      </c>
      <c r="D620" s="1138" t="s">
        <v>2541</v>
      </c>
      <c r="E620" s="1139"/>
      <c r="F620" s="1119">
        <f>+SUMIFS('Anlage 2b_Korrekturen'!$D:$D,'Anlage 2b_Korrekturen'!$H:$H,'LV Testat'!$E$4,'Anlage 2b_Korrekturen'!$C:$C,'LV Testat'!$D620,'Anlage 2b_Korrekturen'!$A:$A,'LV Testat'!C620)</f>
        <v>0</v>
      </c>
      <c r="H620" s="1139">
        <v>0</v>
      </c>
      <c r="I620" s="1119">
        <f>+SUMIFS('Anlage 2b_Korrekturen'!$D:$D,'Anlage 2b_Korrekturen'!$H:$H,'LV Testat'!$H$4,'Anlage 2b_Korrekturen'!$C:$C,'LV Testat'!$D620,'Anlage 2b_Korrekturen'!$A:$A,'LV Testat'!C620)</f>
        <v>0</v>
      </c>
      <c r="J620" s="1041"/>
      <c r="K620" s="1139">
        <v>0</v>
      </c>
      <c r="L620" s="1119">
        <f>+SUMIFS('Anlage 2b_Korrekturen'!$D:$D,'Anlage 2b_Korrekturen'!$H:$H,'LV Testat'!$K$4,'Anlage 2b_Korrekturen'!$C:$C,'LV Testat'!$D620,'Anlage 2b_Korrekturen'!$A:$A,'LV Testat'!C620)</f>
        <v>0</v>
      </c>
      <c r="M620" s="1041"/>
      <c r="N620" s="1139"/>
      <c r="O620" s="1119">
        <f>+SUMIFS('Anlage 2b_Korrekturen'!$D:$D,'Anlage 2b_Korrekturen'!$H:$H,'LV Testat'!$N$4,'Anlage 2b_Korrekturen'!$C:$C,'LV Testat'!$D620,'Anlage 2b_Korrekturen'!$A:$A,'LV Testat'!C620)</f>
        <v>0</v>
      </c>
      <c r="P620" s="1041"/>
      <c r="R620" s="1136"/>
      <c r="T620" s="1137">
        <f t="shared" si="25"/>
        <v>2014</v>
      </c>
      <c r="U620" s="1138" t="s">
        <v>2539</v>
      </c>
      <c r="V620" s="1139"/>
      <c r="W620" s="1119">
        <f>+SUMIFS('Anlage 2b_Korrekturen'!$D:$D,'Anlage 2b_Korrekturen'!$H:$H,'LV Testat'!$E$4,'Anlage 2b_Korrekturen'!$C:$C,'LV Testat'!$D620,'Anlage 2b_Korrekturen'!$A:$A,'LV Testat'!T620)</f>
        <v>0</v>
      </c>
      <c r="Y620" s="1139">
        <v>0</v>
      </c>
      <c r="Z620" s="1119">
        <f>+SUMIFS('Anlage 2b_Korrekturen'!$D:$D,'Anlage 2b_Korrekturen'!$H:$H,'LV Testat'!$H$4,'Anlage 2b_Korrekturen'!$C:$C,'LV Testat'!$D620,'Anlage 2b_Korrekturen'!$A:$A,'LV Testat'!T620)</f>
        <v>0</v>
      </c>
      <c r="AA620" s="1041"/>
    </row>
    <row r="621" spans="1:27" hidden="1" outlineLevel="1">
      <c r="A621" s="1136"/>
      <c r="C621" s="1137">
        <f t="shared" si="24"/>
        <v>2014</v>
      </c>
      <c r="D621" s="1141" t="s">
        <v>2501</v>
      </c>
      <c r="E621" s="1139"/>
      <c r="F621" s="1119">
        <f>+SUMIFS('Anlage 2b_Korrekturen'!$D:$D,'Anlage 2b_Korrekturen'!$H:$H,'LV Testat'!$E$4,'Anlage 2b_Korrekturen'!$C:$C,'LV Testat'!$D621,'Anlage 2b_Korrekturen'!$A:$A,'LV Testat'!C621)</f>
        <v>0</v>
      </c>
      <c r="H621" s="1139"/>
      <c r="I621" s="1119">
        <f>+SUMIFS('Anlage 2b_Korrekturen'!$D:$D,'Anlage 2b_Korrekturen'!$H:$H,'LV Testat'!$H$4,'Anlage 2b_Korrekturen'!$C:$C,'LV Testat'!$D621,'Anlage 2b_Korrekturen'!$A:$A,'LV Testat'!C621)</f>
        <v>0</v>
      </c>
      <c r="J621" s="1041"/>
      <c r="K621" s="1139">
        <v>0</v>
      </c>
      <c r="L621" s="1119">
        <f>+SUMIFS('Anlage 2b_Korrekturen'!$D:$D,'Anlage 2b_Korrekturen'!$H:$H,'LV Testat'!$K$4,'Anlage 2b_Korrekturen'!$C:$C,'LV Testat'!$D621,'Anlage 2b_Korrekturen'!$A:$A,'LV Testat'!C621)</f>
        <v>0</v>
      </c>
      <c r="M621" s="1041"/>
      <c r="N621" s="1139"/>
      <c r="O621" s="1119">
        <f>+SUMIFS('Anlage 2b_Korrekturen'!$D:$D,'Anlage 2b_Korrekturen'!$H:$H,'LV Testat'!$N$4,'Anlage 2b_Korrekturen'!$C:$C,'LV Testat'!$D621,'Anlage 2b_Korrekturen'!$A:$A,'LV Testat'!C621)</f>
        <v>0</v>
      </c>
      <c r="P621" s="1041"/>
      <c r="R621" s="1136"/>
      <c r="T621" s="1137">
        <f t="shared" si="25"/>
        <v>2014</v>
      </c>
      <c r="U621" s="1141" t="s">
        <v>2501</v>
      </c>
      <c r="V621" s="1139"/>
      <c r="W621" s="1119">
        <f>+SUMIFS('Anlage 2b_Korrekturen'!$D:$D,'Anlage 2b_Korrekturen'!$H:$H,'LV Testat'!$E$4,'Anlage 2b_Korrekturen'!$C:$C,'LV Testat'!$D621,'Anlage 2b_Korrekturen'!$A:$A,'LV Testat'!T621)</f>
        <v>0</v>
      </c>
      <c r="Y621" s="1139"/>
      <c r="Z621" s="1119">
        <f>+SUMIFS('Anlage 2b_Korrekturen'!$D:$D,'Anlage 2b_Korrekturen'!$H:$H,'LV Testat'!$H$4,'Anlage 2b_Korrekturen'!$C:$C,'LV Testat'!$D621,'Anlage 2b_Korrekturen'!$A:$A,'LV Testat'!T621)</f>
        <v>0</v>
      </c>
      <c r="AA621" s="1041"/>
    </row>
    <row r="622" spans="1:27" hidden="1" outlineLevel="1">
      <c r="A622" s="1136"/>
      <c r="C622" s="1137">
        <f t="shared" si="24"/>
        <v>2014</v>
      </c>
      <c r="D622" s="1138" t="s">
        <v>2409</v>
      </c>
      <c r="E622" s="1139"/>
      <c r="F622" s="1119">
        <f>+SUMIFS('Anlage 2b_Korrekturen'!$D:$D,'Anlage 2b_Korrekturen'!$H:$H,'LV Testat'!$E$4,'Anlage 2b_Korrekturen'!$C:$C,'LV Testat'!$D622,'Anlage 2b_Korrekturen'!$A:$A,'LV Testat'!C622)</f>
        <v>0</v>
      </c>
      <c r="H622" s="1139">
        <v>0</v>
      </c>
      <c r="I622" s="1119">
        <f>+SUMIFS('Anlage 2b_Korrekturen'!$D:$D,'Anlage 2b_Korrekturen'!$H:$H,'LV Testat'!$H$4,'Anlage 2b_Korrekturen'!$C:$C,'LV Testat'!$D622,'Anlage 2b_Korrekturen'!$A:$A,'LV Testat'!C622)</f>
        <v>0</v>
      </c>
      <c r="J622" s="1041"/>
      <c r="K622" s="1139">
        <v>0</v>
      </c>
      <c r="L622" s="1119">
        <f>+SUMIFS('Anlage 2b_Korrekturen'!$D:$D,'Anlage 2b_Korrekturen'!$H:$H,'LV Testat'!$K$4,'Anlage 2b_Korrekturen'!$C:$C,'LV Testat'!$D622,'Anlage 2b_Korrekturen'!$A:$A,'LV Testat'!C622)</f>
        <v>0</v>
      </c>
      <c r="M622" s="1041"/>
      <c r="N622" s="1139"/>
      <c r="O622" s="1119">
        <f>+SUMIFS('Anlage 2b_Korrekturen'!$D:$D,'Anlage 2b_Korrekturen'!$H:$H,'LV Testat'!$N$4,'Anlage 2b_Korrekturen'!$C:$C,'LV Testat'!$D622,'Anlage 2b_Korrekturen'!$A:$A,'LV Testat'!C622)</f>
        <v>0</v>
      </c>
      <c r="P622" s="1041"/>
      <c r="R622" s="1136"/>
      <c r="T622" s="1137">
        <f t="shared" si="25"/>
        <v>2014</v>
      </c>
      <c r="U622" s="1141" t="s">
        <v>2409</v>
      </c>
      <c r="V622" s="1139"/>
      <c r="W622" s="1119">
        <f>+SUMIFS('Anlage 2b_Korrekturen'!$D:$D,'Anlage 2b_Korrekturen'!$H:$H,'LV Testat'!$E$4,'Anlage 2b_Korrekturen'!$C:$C,'LV Testat'!$D622,'Anlage 2b_Korrekturen'!$A:$A,'LV Testat'!T622)</f>
        <v>0</v>
      </c>
      <c r="Y622" s="1139">
        <v>0</v>
      </c>
      <c r="Z622" s="1119">
        <f>+SUMIFS('Anlage 2b_Korrekturen'!$D:$D,'Anlage 2b_Korrekturen'!$H:$H,'LV Testat'!$H$4,'Anlage 2b_Korrekturen'!$C:$C,'LV Testat'!$D622,'Anlage 2b_Korrekturen'!$A:$A,'LV Testat'!T622)</f>
        <v>0</v>
      </c>
      <c r="AA622" s="1041"/>
    </row>
    <row r="623" spans="1:27" hidden="1" outlineLevel="1">
      <c r="A623" s="1136"/>
      <c r="C623" s="1137">
        <f t="shared" si="24"/>
        <v>2014</v>
      </c>
      <c r="D623" s="1138" t="s">
        <v>2419</v>
      </c>
      <c r="E623" s="1139"/>
      <c r="F623" s="1119">
        <f>+SUMIFS('Anlage 2b_Korrekturen'!$D:$D,'Anlage 2b_Korrekturen'!$H:$H,'LV Testat'!$E$4,'Anlage 2b_Korrekturen'!$C:$C,'LV Testat'!$D623,'Anlage 2b_Korrekturen'!$A:$A,'LV Testat'!C623)</f>
        <v>0</v>
      </c>
      <c r="H623" s="1139"/>
      <c r="I623" s="1119">
        <f>+SUMIFS('Anlage 2b_Korrekturen'!$D:$D,'Anlage 2b_Korrekturen'!$H:$H,'LV Testat'!$H$4,'Anlage 2b_Korrekturen'!$C:$C,'LV Testat'!$D623,'Anlage 2b_Korrekturen'!$A:$A,'LV Testat'!C623)</f>
        <v>0</v>
      </c>
      <c r="J623" s="1041"/>
      <c r="K623" s="1139">
        <v>0</v>
      </c>
      <c r="L623" s="1119">
        <f>+SUMIFS('Anlage 2b_Korrekturen'!$D:$D,'Anlage 2b_Korrekturen'!$H:$H,'LV Testat'!$K$4,'Anlage 2b_Korrekturen'!$C:$C,'LV Testat'!$D623,'Anlage 2b_Korrekturen'!$A:$A,'LV Testat'!C623)</f>
        <v>0</v>
      </c>
      <c r="M623" s="1041"/>
      <c r="N623" s="1139"/>
      <c r="O623" s="1119">
        <f>+SUMIFS('Anlage 2b_Korrekturen'!$D:$D,'Anlage 2b_Korrekturen'!$H:$H,'LV Testat'!$N$4,'Anlage 2b_Korrekturen'!$C:$C,'LV Testat'!$D623,'Anlage 2b_Korrekturen'!$A:$A,'LV Testat'!C623)</f>
        <v>0</v>
      </c>
      <c r="P623" s="1041"/>
      <c r="R623" s="1136"/>
      <c r="T623" s="1137">
        <f t="shared" si="25"/>
        <v>2014</v>
      </c>
      <c r="U623" s="1141" t="s">
        <v>2419</v>
      </c>
      <c r="V623" s="1139"/>
      <c r="W623" s="1119">
        <f>+SUMIFS('Anlage 2b_Korrekturen'!$D:$D,'Anlage 2b_Korrekturen'!$H:$H,'LV Testat'!$E$4,'Anlage 2b_Korrekturen'!$C:$C,'LV Testat'!$D623,'Anlage 2b_Korrekturen'!$A:$A,'LV Testat'!T623)</f>
        <v>0</v>
      </c>
      <c r="Y623" s="1139"/>
      <c r="Z623" s="1119">
        <f>+SUMIFS('Anlage 2b_Korrekturen'!$D:$D,'Anlage 2b_Korrekturen'!$H:$H,'LV Testat'!$H$4,'Anlage 2b_Korrekturen'!$C:$C,'LV Testat'!$D623,'Anlage 2b_Korrekturen'!$A:$A,'LV Testat'!T623)</f>
        <v>0</v>
      </c>
      <c r="AA623" s="1041"/>
    </row>
    <row r="624" spans="1:27" hidden="1" outlineLevel="1">
      <c r="A624" s="1136"/>
      <c r="C624" s="1137">
        <f t="shared" si="24"/>
        <v>2014</v>
      </c>
      <c r="D624" s="1138" t="s">
        <v>2412</v>
      </c>
      <c r="E624" s="1139"/>
      <c r="F624" s="1119">
        <f>+SUMIFS('Anlage 2b_Korrekturen'!$D:$D,'Anlage 2b_Korrekturen'!$H:$H,'LV Testat'!$E$4,'Anlage 2b_Korrekturen'!$C:$C,'LV Testat'!$D624,'Anlage 2b_Korrekturen'!$A:$A,'LV Testat'!C624)</f>
        <v>0</v>
      </c>
      <c r="H624" s="1139"/>
      <c r="I624" s="1119">
        <f>+SUMIFS('Anlage 2b_Korrekturen'!$D:$D,'Anlage 2b_Korrekturen'!$H:$H,'LV Testat'!$H$4,'Anlage 2b_Korrekturen'!$C:$C,'LV Testat'!$D624,'Anlage 2b_Korrekturen'!$A:$A,'LV Testat'!C624)</f>
        <v>0</v>
      </c>
      <c r="J624" s="1041"/>
      <c r="K624" s="1139">
        <v>0</v>
      </c>
      <c r="L624" s="1119">
        <f>+SUMIFS('Anlage 2b_Korrekturen'!$D:$D,'Anlage 2b_Korrekturen'!$H:$H,'LV Testat'!$K$4,'Anlage 2b_Korrekturen'!$C:$C,'LV Testat'!$D624,'Anlage 2b_Korrekturen'!$A:$A,'LV Testat'!C624)</f>
        <v>0</v>
      </c>
      <c r="M624" s="1041"/>
      <c r="N624" s="1139"/>
      <c r="O624" s="1119">
        <f>+SUMIFS('Anlage 2b_Korrekturen'!$D:$D,'Anlage 2b_Korrekturen'!$H:$H,'LV Testat'!$N$4,'Anlage 2b_Korrekturen'!$C:$C,'LV Testat'!$D624,'Anlage 2b_Korrekturen'!$A:$A,'LV Testat'!C624)</f>
        <v>0</v>
      </c>
      <c r="P624" s="1041"/>
      <c r="R624" s="1136"/>
      <c r="T624" s="1137">
        <f t="shared" si="25"/>
        <v>2014</v>
      </c>
      <c r="U624" s="1141" t="s">
        <v>2412</v>
      </c>
      <c r="V624" s="1139"/>
      <c r="W624" s="1119">
        <f>+SUMIFS('Anlage 2b_Korrekturen'!$D:$D,'Anlage 2b_Korrekturen'!$H:$H,'LV Testat'!$E$4,'Anlage 2b_Korrekturen'!$C:$C,'LV Testat'!$D624,'Anlage 2b_Korrekturen'!$A:$A,'LV Testat'!T624)</f>
        <v>0</v>
      </c>
      <c r="Y624" s="1139"/>
      <c r="Z624" s="1119">
        <f>+SUMIFS('Anlage 2b_Korrekturen'!$D:$D,'Anlage 2b_Korrekturen'!$H:$H,'LV Testat'!$H$4,'Anlage 2b_Korrekturen'!$C:$C,'LV Testat'!$D624,'Anlage 2b_Korrekturen'!$A:$A,'LV Testat'!T624)</f>
        <v>0</v>
      </c>
      <c r="AA624" s="1041"/>
    </row>
    <row r="625" spans="1:27" hidden="1" outlineLevel="1">
      <c r="A625" s="1028"/>
      <c r="C625" s="1137">
        <f t="shared" si="24"/>
        <v>2014</v>
      </c>
      <c r="D625" s="1141" t="s">
        <v>2410</v>
      </c>
      <c r="E625" s="1139"/>
      <c r="F625" s="1119">
        <f>+SUMIFS('Anlage 2b_Korrekturen'!$D:$D,'Anlage 2b_Korrekturen'!$H:$H,'LV Testat'!$E$4,'Anlage 2b_Korrekturen'!$C:$C,'LV Testat'!$D625,'Anlage 2b_Korrekturen'!$A:$A,'LV Testat'!C625)</f>
        <v>0</v>
      </c>
      <c r="H625" s="1139">
        <v>0</v>
      </c>
      <c r="I625" s="1119">
        <f>+SUMIFS('Anlage 2b_Korrekturen'!$D:$D,'Anlage 2b_Korrekturen'!$H:$H,'LV Testat'!$H$4,'Anlage 2b_Korrekturen'!$C:$C,'LV Testat'!$D625,'Anlage 2b_Korrekturen'!$A:$A,'LV Testat'!C625)</f>
        <v>0</v>
      </c>
      <c r="J625" s="1041"/>
      <c r="K625" s="1139">
        <v>0</v>
      </c>
      <c r="L625" s="1119">
        <f>+SUMIFS('Anlage 2b_Korrekturen'!$D:$D,'Anlage 2b_Korrekturen'!$H:$H,'LV Testat'!$K$4,'Anlage 2b_Korrekturen'!$C:$C,'LV Testat'!$D625,'Anlage 2b_Korrekturen'!$A:$A,'LV Testat'!C625)</f>
        <v>0</v>
      </c>
      <c r="M625" s="1041"/>
      <c r="N625" s="1139"/>
      <c r="O625" s="1119">
        <f>+SUMIFS('Anlage 2b_Korrekturen'!$D:$D,'Anlage 2b_Korrekturen'!$H:$H,'LV Testat'!$N$4,'Anlage 2b_Korrekturen'!$C:$C,'LV Testat'!$D625,'Anlage 2b_Korrekturen'!$A:$A,'LV Testat'!C625)</f>
        <v>0</v>
      </c>
      <c r="P625" s="1041"/>
      <c r="R625" s="1028"/>
      <c r="T625" s="1137">
        <f t="shared" si="25"/>
        <v>2014</v>
      </c>
      <c r="U625" s="1141" t="s">
        <v>2410</v>
      </c>
      <c r="V625" s="1139"/>
      <c r="W625" s="1119">
        <f>+SUMIFS('Anlage 2b_Korrekturen'!$D:$D,'Anlage 2b_Korrekturen'!$H:$H,'LV Testat'!$E$4,'Anlage 2b_Korrekturen'!$C:$C,'LV Testat'!$D625,'Anlage 2b_Korrekturen'!$A:$A,'LV Testat'!T625)</f>
        <v>0</v>
      </c>
      <c r="Y625" s="1139">
        <v>0</v>
      </c>
      <c r="Z625" s="1119">
        <f>+SUMIFS('Anlage 2b_Korrekturen'!$D:$D,'Anlage 2b_Korrekturen'!$H:$H,'LV Testat'!$H$4,'Anlage 2b_Korrekturen'!$C:$C,'LV Testat'!$D625,'Anlage 2b_Korrekturen'!$A:$A,'LV Testat'!T625)</f>
        <v>0</v>
      </c>
      <c r="AA625" s="1041"/>
    </row>
    <row r="626" spans="1:27" ht="12" hidden="1" outlineLevel="1" thickBot="1">
      <c r="A626" s="1143"/>
      <c r="B626" s="1091"/>
      <c r="C626" s="1204">
        <f t="shared" si="24"/>
        <v>2014</v>
      </c>
      <c r="D626" s="1144" t="s">
        <v>2503</v>
      </c>
      <c r="E626" s="1124">
        <f>+SUM(E618:E625)</f>
        <v>0</v>
      </c>
      <c r="F626" s="1124">
        <f>+SUM(F618:F625)</f>
        <v>0</v>
      </c>
      <c r="G626" s="1091"/>
      <c r="H626" s="1124">
        <f>+SUM(H618:H625)</f>
        <v>646</v>
      </c>
      <c r="I626" s="1124">
        <f>+SUM(I618:I625)</f>
        <v>646</v>
      </c>
      <c r="J626" s="1121"/>
      <c r="K626" s="1124">
        <f>+SUM(K618:K625)</f>
        <v>0</v>
      </c>
      <c r="L626" s="1124">
        <f>+SUM(L618:L625)</f>
        <v>0</v>
      </c>
      <c r="M626" s="1121"/>
      <c r="N626" s="1124">
        <f>+SUM(N618:N625)</f>
        <v>0</v>
      </c>
      <c r="O626" s="1124">
        <f>+SUM(O618:O625)</f>
        <v>0</v>
      </c>
      <c r="P626" s="1121"/>
      <c r="R626" s="1143"/>
      <c r="S626" s="1091"/>
      <c r="T626" s="1137">
        <f t="shared" si="25"/>
        <v>2014</v>
      </c>
      <c r="U626" s="1144" t="s">
        <v>2503</v>
      </c>
      <c r="V626" s="1124">
        <f>+SUM(V618:V625)</f>
        <v>0</v>
      </c>
      <c r="W626" s="1124">
        <f>+SUM(W618:W625)</f>
        <v>0</v>
      </c>
      <c r="X626" s="1091"/>
      <c r="Y626" s="1124">
        <f>+SUM(Y618:Y625)</f>
        <v>646</v>
      </c>
      <c r="Z626" s="1124">
        <f>+SUM(Z618:Z625)</f>
        <v>646</v>
      </c>
      <c r="AA626" s="1121"/>
    </row>
    <row r="627" spans="1:27" ht="12.75" hidden="1" outlineLevel="1">
      <c r="A627" s="1578"/>
      <c r="C627" s="1137"/>
      <c r="D627" s="1579"/>
      <c r="E627" s="1580"/>
      <c r="F627" s="1580"/>
      <c r="H627" s="1580"/>
      <c r="I627" s="1580"/>
      <c r="J627" s="1041"/>
      <c r="K627" s="1580"/>
      <c r="L627" s="1580"/>
      <c r="M627" s="1041"/>
      <c r="N627" s="1580"/>
      <c r="O627" s="1580"/>
      <c r="P627" s="1041"/>
      <c r="V627" s="1844"/>
      <c r="W627" s="1845"/>
      <c r="X627" s="1846"/>
      <c r="Y627" s="1844"/>
      <c r="Z627" s="1845"/>
      <c r="AA627" s="1846"/>
    </row>
    <row r="628" spans="1:27" ht="12" hidden="1" outlineLevel="1" thickBot="1">
      <c r="A628" s="1578"/>
      <c r="C628" s="1137"/>
      <c r="D628" s="1579"/>
      <c r="E628" s="1580"/>
      <c r="F628" s="1580"/>
      <c r="H628" s="1580"/>
      <c r="I628" s="1580"/>
      <c r="J628" s="1041"/>
      <c r="K628" s="1580"/>
      <c r="L628" s="1580"/>
      <c r="M628" s="1041"/>
      <c r="N628" s="1580"/>
      <c r="O628" s="1580"/>
      <c r="P628" s="1041"/>
    </row>
    <row r="629" spans="1:27" ht="18" customHeight="1" collapsed="1">
      <c r="A629" s="1126" t="s">
        <v>2531</v>
      </c>
      <c r="B629" s="1127"/>
      <c r="C629" s="1127"/>
      <c r="D629" s="1128"/>
      <c r="E629" s="1129"/>
      <c r="F629" s="1129"/>
      <c r="G629" s="1130"/>
      <c r="H629" s="1131"/>
      <c r="I629" s="1129"/>
      <c r="J629" s="1130"/>
      <c r="K629" s="1131"/>
      <c r="L629" s="1129"/>
      <c r="M629" s="1130"/>
      <c r="N629" s="1131"/>
      <c r="O629" s="1129"/>
      <c r="P629" s="1130"/>
      <c r="R629" s="1126" t="s">
        <v>2536</v>
      </c>
      <c r="S629" s="1127"/>
      <c r="T629" s="1127"/>
      <c r="U629" s="1128"/>
      <c r="V629" s="1129"/>
      <c r="W629" s="1129"/>
      <c r="X629" s="1130"/>
      <c r="Y629" s="1131"/>
      <c r="Z629" s="1129"/>
      <c r="AA629" s="1130"/>
    </row>
    <row r="630" spans="1:27" ht="15.75" thickBot="1">
      <c r="A630" s="1841">
        <f>+A614-1</f>
        <v>2013</v>
      </c>
      <c r="B630" s="1842"/>
      <c r="C630" s="1842"/>
      <c r="D630" s="1843"/>
      <c r="E630" s="1091"/>
      <c r="F630" s="1091"/>
      <c r="G630" s="1121"/>
      <c r="H630" s="1090"/>
      <c r="I630" s="1091"/>
      <c r="J630" s="1121"/>
      <c r="K630" s="1090"/>
      <c r="L630" s="1091"/>
      <c r="M630" s="1121"/>
      <c r="N630" s="1090"/>
      <c r="O630" s="1091"/>
      <c r="P630" s="1121"/>
      <c r="R630" s="1841">
        <f>A630</f>
        <v>2013</v>
      </c>
      <c r="S630" s="1842"/>
      <c r="T630" s="1842"/>
      <c r="U630" s="1843"/>
      <c r="V630" s="1091"/>
      <c r="W630" s="1091"/>
      <c r="X630" s="1121"/>
      <c r="Y630" s="1090"/>
      <c r="Z630" s="1091"/>
      <c r="AA630" s="1121"/>
    </row>
    <row r="631" spans="1:27" ht="12.75">
      <c r="A631" s="1013" t="s">
        <v>2532</v>
      </c>
      <c r="B631" s="1133"/>
      <c r="C631" s="1133"/>
      <c r="D631" s="1134"/>
      <c r="E631" s="1001"/>
      <c r="F631" s="1017" t="str">
        <f>+"Check LV NT "&amp;C634</f>
        <v>Check LV NT 2013</v>
      </c>
      <c r="G631" s="1018">
        <f>+F642-E642</f>
        <v>0</v>
      </c>
      <c r="H631" s="1000"/>
      <c r="I631" s="1017" t="str">
        <f>+"Check LV NT "&amp;C634</f>
        <v>Check LV NT 2013</v>
      </c>
      <c r="J631" s="1018">
        <f>+I642-H642</f>
        <v>0</v>
      </c>
      <c r="K631" s="1000"/>
      <c r="L631" s="1017" t="str">
        <f>+"Check LV NT "&amp;C634</f>
        <v>Check LV NT 2013</v>
      </c>
      <c r="M631" s="1018">
        <f>+L642-K642</f>
        <v>0</v>
      </c>
      <c r="N631" s="1000"/>
      <c r="O631" s="1017" t="str">
        <f>+"Check LV NT "&amp;C634</f>
        <v>Check LV NT 2013</v>
      </c>
      <c r="P631" s="1018">
        <f>+O642-N642</f>
        <v>0</v>
      </c>
      <c r="R631" s="1013" t="s">
        <v>2532</v>
      </c>
      <c r="S631" s="1133"/>
      <c r="T631" s="1133"/>
      <c r="U631" s="1134"/>
      <c r="V631" s="1001"/>
      <c r="W631" s="1017" t="str">
        <f>+"Check LV NT "&amp;T634</f>
        <v>Check LV NT 2013</v>
      </c>
      <c r="X631" s="1018">
        <f>+W642-V642</f>
        <v>0</v>
      </c>
      <c r="Y631" s="1000"/>
      <c r="Z631" s="1017" t="str">
        <f>+"Check LV NT "&amp;T634</f>
        <v>Check LV NT 2013</v>
      </c>
      <c r="AA631" s="1018">
        <f>+Z642-Y642</f>
        <v>0</v>
      </c>
    </row>
    <row r="632" spans="1:27" hidden="1" outlineLevel="1">
      <c r="A632" s="1028"/>
      <c r="D632" s="1041"/>
      <c r="G632" s="1041"/>
      <c r="H632" s="1028"/>
      <c r="J632" s="1041"/>
      <c r="K632" s="1028"/>
      <c r="M632" s="1041"/>
      <c r="N632" s="1028"/>
      <c r="P632" s="1041"/>
      <c r="R632" s="1028"/>
      <c r="U632" s="1041"/>
      <c r="X632" s="1041"/>
      <c r="Y632" s="1028"/>
      <c r="AA632" s="1041"/>
    </row>
    <row r="633" spans="1:27" ht="33.75" hidden="1" outlineLevel="1">
      <c r="A633" s="1028"/>
      <c r="D633" s="1135"/>
      <c r="E633" s="1032" t="s">
        <v>2499</v>
      </c>
      <c r="F633" s="1032" t="s">
        <v>2499</v>
      </c>
      <c r="H633" s="1032" t="s">
        <v>2499</v>
      </c>
      <c r="I633" s="1032" t="s">
        <v>2499</v>
      </c>
      <c r="J633" s="1041"/>
      <c r="K633" s="1034" t="s">
        <v>2499</v>
      </c>
      <c r="L633" s="1032" t="s">
        <v>2499</v>
      </c>
      <c r="M633" s="1041"/>
      <c r="N633" s="1034" t="s">
        <v>2499</v>
      </c>
      <c r="O633" s="1032" t="s">
        <v>2499</v>
      </c>
      <c r="P633" s="1041"/>
      <c r="R633" s="1028"/>
      <c r="U633" s="1135"/>
      <c r="V633" s="1032" t="s">
        <v>2499</v>
      </c>
      <c r="W633" s="1032" t="s">
        <v>2499</v>
      </c>
      <c r="Y633" s="1032" t="s">
        <v>2499</v>
      </c>
      <c r="Z633" s="1032" t="s">
        <v>2499</v>
      </c>
      <c r="AA633" s="1041"/>
    </row>
    <row r="634" spans="1:27" hidden="1" outlineLevel="1">
      <c r="A634" s="1136"/>
      <c r="C634" s="1137">
        <f>+A630</f>
        <v>2013</v>
      </c>
      <c r="D634" s="1138" t="s">
        <v>2415</v>
      </c>
      <c r="E634" s="1139"/>
      <c r="F634" s="1119">
        <f>+SUMIFS('Anlage 2b_Korrekturen'!$D:$D,'Anlage 2b_Korrekturen'!$H:$H,'LV Testat'!$E$4,'Anlage 2b_Korrekturen'!$C:$C,'LV Testat'!$D634,'Anlage 2b_Korrekturen'!$A:$A,'LV Testat'!C634)</f>
        <v>0</v>
      </c>
      <c r="H634" s="1139">
        <v>646</v>
      </c>
      <c r="I634" s="1119">
        <f>+SUMIFS('Anlage 2b_Korrekturen'!$D:$D,'Anlage 2b_Korrekturen'!$H:$H,'LV Testat'!$H$4,'Anlage 2b_Korrekturen'!$C:$C,'LV Testat'!$D634,'Anlage 2b_Korrekturen'!$A:$A,'LV Testat'!C634)</f>
        <v>646</v>
      </c>
      <c r="J634" s="1041"/>
      <c r="K634" s="1139">
        <v>0</v>
      </c>
      <c r="L634" s="1119">
        <f>+SUMIFS('Anlage 2b_Korrekturen'!$D:$D,'Anlage 2b_Korrekturen'!$H:$H,'LV Testat'!$K$4,'Anlage 2b_Korrekturen'!$C:$C,'LV Testat'!$D634,'Anlage 2b_Korrekturen'!$A:$A,'LV Testat'!C634)</f>
        <v>0</v>
      </c>
      <c r="M634" s="1041"/>
      <c r="N634" s="1139"/>
      <c r="O634" s="1119">
        <f>+SUMIFS('Anlage 2b_Korrekturen'!$D:$D,'Anlage 2b_Korrekturen'!$H:$H,'LV Testat'!$N$4,'Anlage 2b_Korrekturen'!$C:$C,'LV Testat'!$D634,'Anlage 2b_Korrekturen'!$A:$A,'LV Testat'!C634)</f>
        <v>0</v>
      </c>
      <c r="P634" s="1041"/>
      <c r="R634" s="1136"/>
      <c r="T634" s="1137">
        <f>+R630</f>
        <v>2013</v>
      </c>
      <c r="U634" s="1138" t="s">
        <v>2416</v>
      </c>
      <c r="V634" s="1139"/>
      <c r="W634" s="1119">
        <f>+SUMIFS('Anlage 2b_Korrekturen'!$D:$D,'Anlage 2b_Korrekturen'!$H:$H,'LV Testat'!$E$4,'Anlage 2b_Korrekturen'!$C:$C,'LV Testat'!$D634,'Anlage 2b_Korrekturen'!$A:$A,'LV Testat'!T634)</f>
        <v>0</v>
      </c>
      <c r="Y634" s="1139">
        <v>646</v>
      </c>
      <c r="Z634" s="1119">
        <f>+SUMIFS('Anlage 2b_Korrekturen'!$D:$D,'Anlage 2b_Korrekturen'!$H:$H,'LV Testat'!$H$4,'Anlage 2b_Korrekturen'!$C:$C,'LV Testat'!$D634,'Anlage 2b_Korrekturen'!$A:$A,'LV Testat'!T634)</f>
        <v>646</v>
      </c>
      <c r="AA634" s="1041"/>
    </row>
    <row r="635" spans="1:27" hidden="1" outlineLevel="1">
      <c r="A635" s="1136"/>
      <c r="C635" s="1137">
        <f t="shared" ref="C635:C642" si="26">+C634</f>
        <v>2013</v>
      </c>
      <c r="D635" s="1138" t="s">
        <v>2540</v>
      </c>
      <c r="E635" s="1139"/>
      <c r="F635" s="1119">
        <f>+SUMIFS('Anlage 2b_Korrekturen'!$D:$D,'Anlage 2b_Korrekturen'!$H:$H,'LV Testat'!$E$4,'Anlage 2b_Korrekturen'!$C:$C,'LV Testat'!$D635,'Anlage 2b_Korrekturen'!$A:$A,'LV Testat'!C635)</f>
        <v>0</v>
      </c>
      <c r="H635" s="1139"/>
      <c r="I635" s="1119">
        <f>+SUMIFS('Anlage 2b_Korrekturen'!$D:$D,'Anlage 2b_Korrekturen'!$H:$H,'LV Testat'!$H$4,'Anlage 2b_Korrekturen'!$C:$C,'LV Testat'!$D635,'Anlage 2b_Korrekturen'!$A:$A,'LV Testat'!C635)</f>
        <v>0</v>
      </c>
      <c r="J635" s="1041"/>
      <c r="K635" s="1139">
        <v>0</v>
      </c>
      <c r="L635" s="1119">
        <f>+SUMIFS('Anlage 2b_Korrekturen'!$D:$D,'Anlage 2b_Korrekturen'!$H:$H,'LV Testat'!$K$4,'Anlage 2b_Korrekturen'!$C:$C,'LV Testat'!$D635,'Anlage 2b_Korrekturen'!$A:$A,'LV Testat'!C635)</f>
        <v>0</v>
      </c>
      <c r="M635" s="1041"/>
      <c r="N635" s="1139"/>
      <c r="O635" s="1119">
        <f>+SUMIFS('Anlage 2b_Korrekturen'!$D:$D,'Anlage 2b_Korrekturen'!$H:$H,'LV Testat'!$N$4,'Anlage 2b_Korrekturen'!$C:$C,'LV Testat'!$D635,'Anlage 2b_Korrekturen'!$A:$A,'LV Testat'!C635)</f>
        <v>0</v>
      </c>
      <c r="P635" s="1041"/>
      <c r="R635" s="1136"/>
      <c r="T635" s="1137">
        <f t="shared" ref="T635:T642" si="27">+T634</f>
        <v>2013</v>
      </c>
      <c r="U635" s="1138" t="s">
        <v>2538</v>
      </c>
      <c r="V635" s="1139"/>
      <c r="W635" s="1119">
        <f>+SUMIFS('Anlage 2b_Korrekturen'!$D:$D,'Anlage 2b_Korrekturen'!$H:$H,'LV Testat'!$E$4,'Anlage 2b_Korrekturen'!$C:$C,'LV Testat'!$D635,'Anlage 2b_Korrekturen'!$A:$A,'LV Testat'!T635)</f>
        <v>0</v>
      </c>
      <c r="Y635" s="1139"/>
      <c r="Z635" s="1119">
        <f>+SUMIFS('Anlage 2b_Korrekturen'!$D:$D,'Anlage 2b_Korrekturen'!$H:$H,'LV Testat'!$H$4,'Anlage 2b_Korrekturen'!$C:$C,'LV Testat'!$D635,'Anlage 2b_Korrekturen'!$A:$A,'LV Testat'!T635)</f>
        <v>0</v>
      </c>
      <c r="AA635" s="1041"/>
    </row>
    <row r="636" spans="1:27" hidden="1" outlineLevel="1">
      <c r="A636" s="1136"/>
      <c r="C636" s="1137">
        <f t="shared" si="26"/>
        <v>2013</v>
      </c>
      <c r="D636" s="1138" t="s">
        <v>2541</v>
      </c>
      <c r="E636" s="1139"/>
      <c r="F636" s="1119">
        <f>+SUMIFS('Anlage 2b_Korrekturen'!$D:$D,'Anlage 2b_Korrekturen'!$H:$H,'LV Testat'!$E$4,'Anlage 2b_Korrekturen'!$C:$C,'LV Testat'!$D636,'Anlage 2b_Korrekturen'!$A:$A,'LV Testat'!C636)</f>
        <v>0</v>
      </c>
      <c r="H636" s="1139"/>
      <c r="I636" s="1119">
        <f>+SUMIFS('Anlage 2b_Korrekturen'!$D:$D,'Anlage 2b_Korrekturen'!$H:$H,'LV Testat'!$H$4,'Anlage 2b_Korrekturen'!$C:$C,'LV Testat'!$D636,'Anlage 2b_Korrekturen'!$A:$A,'LV Testat'!C636)</f>
        <v>0</v>
      </c>
      <c r="J636" s="1041"/>
      <c r="K636" s="1139">
        <v>0</v>
      </c>
      <c r="L636" s="1119">
        <f>+SUMIFS('Anlage 2b_Korrekturen'!$D:$D,'Anlage 2b_Korrekturen'!$H:$H,'LV Testat'!$K$4,'Anlage 2b_Korrekturen'!$C:$C,'LV Testat'!$D636,'Anlage 2b_Korrekturen'!$A:$A,'LV Testat'!C636)</f>
        <v>0</v>
      </c>
      <c r="M636" s="1041"/>
      <c r="N636" s="1139"/>
      <c r="O636" s="1119">
        <f>+SUMIFS('Anlage 2b_Korrekturen'!$D:$D,'Anlage 2b_Korrekturen'!$H:$H,'LV Testat'!$N$4,'Anlage 2b_Korrekturen'!$C:$C,'LV Testat'!$D636,'Anlage 2b_Korrekturen'!$A:$A,'LV Testat'!C636)</f>
        <v>0</v>
      </c>
      <c r="P636" s="1041"/>
      <c r="R636" s="1136"/>
      <c r="T636" s="1137">
        <f t="shared" si="27"/>
        <v>2013</v>
      </c>
      <c r="U636" s="1138" t="s">
        <v>2539</v>
      </c>
      <c r="V636" s="1139"/>
      <c r="W636" s="1119">
        <f>+SUMIFS('Anlage 2b_Korrekturen'!$D:$D,'Anlage 2b_Korrekturen'!$H:$H,'LV Testat'!$E$4,'Anlage 2b_Korrekturen'!$C:$C,'LV Testat'!$D636,'Anlage 2b_Korrekturen'!$A:$A,'LV Testat'!T636)</f>
        <v>0</v>
      </c>
      <c r="Y636" s="1139">
        <v>0</v>
      </c>
      <c r="Z636" s="1119">
        <f>+SUMIFS('Anlage 2b_Korrekturen'!$D:$D,'Anlage 2b_Korrekturen'!$H:$H,'LV Testat'!$H$4,'Anlage 2b_Korrekturen'!$C:$C,'LV Testat'!$D636,'Anlage 2b_Korrekturen'!$A:$A,'LV Testat'!T636)</f>
        <v>0</v>
      </c>
      <c r="AA636" s="1041"/>
    </row>
    <row r="637" spans="1:27" hidden="1" outlineLevel="1">
      <c r="A637" s="1136"/>
      <c r="C637" s="1137">
        <f t="shared" si="26"/>
        <v>2013</v>
      </c>
      <c r="D637" s="1141" t="s">
        <v>2501</v>
      </c>
      <c r="E637" s="1139"/>
      <c r="F637" s="1119">
        <f>+SUMIFS('Anlage 2b_Korrekturen'!$D:$D,'Anlage 2b_Korrekturen'!$H:$H,'LV Testat'!$E$4,'Anlage 2b_Korrekturen'!$C:$C,'LV Testat'!$D637,'Anlage 2b_Korrekturen'!$A:$A,'LV Testat'!C637)</f>
        <v>0</v>
      </c>
      <c r="H637" s="1139"/>
      <c r="I637" s="1119">
        <f>+SUMIFS('Anlage 2b_Korrekturen'!$D:$D,'Anlage 2b_Korrekturen'!$H:$H,'LV Testat'!$H$4,'Anlage 2b_Korrekturen'!$C:$C,'LV Testat'!$D637,'Anlage 2b_Korrekturen'!$A:$A,'LV Testat'!C637)</f>
        <v>0</v>
      </c>
      <c r="J637" s="1041"/>
      <c r="K637" s="1139">
        <v>0</v>
      </c>
      <c r="L637" s="1119">
        <f>+SUMIFS('Anlage 2b_Korrekturen'!$D:$D,'Anlage 2b_Korrekturen'!$H:$H,'LV Testat'!$K$4,'Anlage 2b_Korrekturen'!$C:$C,'LV Testat'!$D637,'Anlage 2b_Korrekturen'!$A:$A,'LV Testat'!C637)</f>
        <v>0</v>
      </c>
      <c r="M637" s="1041"/>
      <c r="N637" s="1139"/>
      <c r="O637" s="1119">
        <f>+SUMIFS('Anlage 2b_Korrekturen'!$D:$D,'Anlage 2b_Korrekturen'!$H:$H,'LV Testat'!$N$4,'Anlage 2b_Korrekturen'!$C:$C,'LV Testat'!$D637,'Anlage 2b_Korrekturen'!$A:$A,'LV Testat'!C637)</f>
        <v>0</v>
      </c>
      <c r="P637" s="1041"/>
      <c r="R637" s="1136"/>
      <c r="T637" s="1137">
        <f t="shared" si="27"/>
        <v>2013</v>
      </c>
      <c r="U637" s="1141" t="s">
        <v>2501</v>
      </c>
      <c r="V637" s="1139"/>
      <c r="W637" s="1119">
        <f>+SUMIFS('Anlage 2b_Korrekturen'!$D:$D,'Anlage 2b_Korrekturen'!$H:$H,'LV Testat'!$E$4,'Anlage 2b_Korrekturen'!$C:$C,'LV Testat'!$D637,'Anlage 2b_Korrekturen'!$A:$A,'LV Testat'!T637)</f>
        <v>0</v>
      </c>
      <c r="Y637" s="1139"/>
      <c r="Z637" s="1119">
        <f>+SUMIFS('Anlage 2b_Korrekturen'!$D:$D,'Anlage 2b_Korrekturen'!$H:$H,'LV Testat'!$H$4,'Anlage 2b_Korrekturen'!$C:$C,'LV Testat'!$D637,'Anlage 2b_Korrekturen'!$A:$A,'LV Testat'!T637)</f>
        <v>0</v>
      </c>
      <c r="AA637" s="1041"/>
    </row>
    <row r="638" spans="1:27" hidden="1" outlineLevel="1">
      <c r="A638" s="1136"/>
      <c r="C638" s="1137">
        <f t="shared" si="26"/>
        <v>2013</v>
      </c>
      <c r="D638" s="1138" t="s">
        <v>2409</v>
      </c>
      <c r="E638" s="1139"/>
      <c r="F638" s="1119">
        <f>+SUMIFS('Anlage 2b_Korrekturen'!$D:$D,'Anlage 2b_Korrekturen'!$H:$H,'LV Testat'!$E$4,'Anlage 2b_Korrekturen'!$C:$C,'LV Testat'!$D638,'Anlage 2b_Korrekturen'!$A:$A,'LV Testat'!C638)</f>
        <v>0</v>
      </c>
      <c r="H638" s="1139"/>
      <c r="I638" s="1119">
        <f>+SUMIFS('Anlage 2b_Korrekturen'!$D:$D,'Anlage 2b_Korrekturen'!$H:$H,'LV Testat'!$H$4,'Anlage 2b_Korrekturen'!$C:$C,'LV Testat'!$D638,'Anlage 2b_Korrekturen'!$A:$A,'LV Testat'!C638)</f>
        <v>0</v>
      </c>
      <c r="J638" s="1041"/>
      <c r="K638" s="1139">
        <v>0</v>
      </c>
      <c r="L638" s="1119">
        <f>+SUMIFS('Anlage 2b_Korrekturen'!$D:$D,'Anlage 2b_Korrekturen'!$H:$H,'LV Testat'!$K$4,'Anlage 2b_Korrekturen'!$C:$C,'LV Testat'!$D638,'Anlage 2b_Korrekturen'!$A:$A,'LV Testat'!C638)</f>
        <v>0</v>
      </c>
      <c r="M638" s="1041"/>
      <c r="N638" s="1139"/>
      <c r="O638" s="1119">
        <f>+SUMIFS('Anlage 2b_Korrekturen'!$D:$D,'Anlage 2b_Korrekturen'!$H:$H,'LV Testat'!$N$4,'Anlage 2b_Korrekturen'!$C:$C,'LV Testat'!$D638,'Anlage 2b_Korrekturen'!$A:$A,'LV Testat'!C638)</f>
        <v>0</v>
      </c>
      <c r="P638" s="1041"/>
      <c r="R638" s="1136"/>
      <c r="T638" s="1137">
        <f t="shared" si="27"/>
        <v>2013</v>
      </c>
      <c r="U638" s="1141" t="s">
        <v>2409</v>
      </c>
      <c r="V638" s="1139"/>
      <c r="W638" s="1119">
        <f>+SUMIFS('Anlage 2b_Korrekturen'!$D:$D,'Anlage 2b_Korrekturen'!$H:$H,'LV Testat'!$E$4,'Anlage 2b_Korrekturen'!$C:$C,'LV Testat'!$D638,'Anlage 2b_Korrekturen'!$A:$A,'LV Testat'!T638)</f>
        <v>0</v>
      </c>
      <c r="Y638" s="1139">
        <v>0</v>
      </c>
      <c r="Z638" s="1119">
        <f>+SUMIFS('Anlage 2b_Korrekturen'!$D:$D,'Anlage 2b_Korrekturen'!$H:$H,'LV Testat'!$H$4,'Anlage 2b_Korrekturen'!$C:$C,'LV Testat'!$D638,'Anlage 2b_Korrekturen'!$A:$A,'LV Testat'!T638)</f>
        <v>0</v>
      </c>
      <c r="AA638" s="1041"/>
    </row>
    <row r="639" spans="1:27" hidden="1" outlineLevel="1">
      <c r="A639" s="1136"/>
      <c r="C639" s="1137">
        <f t="shared" si="26"/>
        <v>2013</v>
      </c>
      <c r="D639" s="1138" t="s">
        <v>2419</v>
      </c>
      <c r="E639" s="1139"/>
      <c r="F639" s="1119">
        <f>+SUMIFS('Anlage 2b_Korrekturen'!$D:$D,'Anlage 2b_Korrekturen'!$H:$H,'LV Testat'!$E$4,'Anlage 2b_Korrekturen'!$C:$C,'LV Testat'!$D639,'Anlage 2b_Korrekturen'!$A:$A,'LV Testat'!C639)</f>
        <v>0</v>
      </c>
      <c r="H639" s="1139"/>
      <c r="I639" s="1119">
        <f>+SUMIFS('Anlage 2b_Korrekturen'!$D:$D,'Anlage 2b_Korrekturen'!$H:$H,'LV Testat'!$H$4,'Anlage 2b_Korrekturen'!$C:$C,'LV Testat'!$D639,'Anlage 2b_Korrekturen'!$A:$A,'LV Testat'!C639)</f>
        <v>0</v>
      </c>
      <c r="J639" s="1041"/>
      <c r="K639" s="1139">
        <v>0</v>
      </c>
      <c r="L639" s="1119">
        <f>+SUMIFS('Anlage 2b_Korrekturen'!$D:$D,'Anlage 2b_Korrekturen'!$H:$H,'LV Testat'!$K$4,'Anlage 2b_Korrekturen'!$C:$C,'LV Testat'!$D639,'Anlage 2b_Korrekturen'!$A:$A,'LV Testat'!C639)</f>
        <v>0</v>
      </c>
      <c r="M639" s="1041"/>
      <c r="N639" s="1139"/>
      <c r="O639" s="1119">
        <f>+SUMIFS('Anlage 2b_Korrekturen'!$D:$D,'Anlage 2b_Korrekturen'!$H:$H,'LV Testat'!$N$4,'Anlage 2b_Korrekturen'!$C:$C,'LV Testat'!$D639,'Anlage 2b_Korrekturen'!$A:$A,'LV Testat'!C639)</f>
        <v>0</v>
      </c>
      <c r="P639" s="1041"/>
      <c r="R639" s="1136"/>
      <c r="T639" s="1137">
        <f t="shared" si="27"/>
        <v>2013</v>
      </c>
      <c r="U639" s="1141" t="s">
        <v>2419</v>
      </c>
      <c r="V639" s="1139"/>
      <c r="W639" s="1119">
        <f>+SUMIFS('Anlage 2b_Korrekturen'!$D:$D,'Anlage 2b_Korrekturen'!$H:$H,'LV Testat'!$E$4,'Anlage 2b_Korrekturen'!$C:$C,'LV Testat'!$D639,'Anlage 2b_Korrekturen'!$A:$A,'LV Testat'!T639)</f>
        <v>0</v>
      </c>
      <c r="Y639" s="1139"/>
      <c r="Z639" s="1119">
        <f>+SUMIFS('Anlage 2b_Korrekturen'!$D:$D,'Anlage 2b_Korrekturen'!$H:$H,'LV Testat'!$H$4,'Anlage 2b_Korrekturen'!$C:$C,'LV Testat'!$D639,'Anlage 2b_Korrekturen'!$A:$A,'LV Testat'!T639)</f>
        <v>0</v>
      </c>
      <c r="AA639" s="1041"/>
    </row>
    <row r="640" spans="1:27" hidden="1" outlineLevel="1">
      <c r="A640" s="1136"/>
      <c r="C640" s="1137">
        <f t="shared" si="26"/>
        <v>2013</v>
      </c>
      <c r="D640" s="1138" t="s">
        <v>2412</v>
      </c>
      <c r="E640" s="1139"/>
      <c r="F640" s="1119">
        <f>+SUMIFS('Anlage 2b_Korrekturen'!$D:$D,'Anlage 2b_Korrekturen'!$H:$H,'LV Testat'!$E$4,'Anlage 2b_Korrekturen'!$C:$C,'LV Testat'!$D640,'Anlage 2b_Korrekturen'!$A:$A,'LV Testat'!C640)</f>
        <v>0</v>
      </c>
      <c r="H640" s="1139"/>
      <c r="I640" s="1119">
        <f>+SUMIFS('Anlage 2b_Korrekturen'!$D:$D,'Anlage 2b_Korrekturen'!$H:$H,'LV Testat'!$H$4,'Anlage 2b_Korrekturen'!$C:$C,'LV Testat'!$D640,'Anlage 2b_Korrekturen'!$A:$A,'LV Testat'!C640)</f>
        <v>0</v>
      </c>
      <c r="J640" s="1041"/>
      <c r="K640" s="1139">
        <v>0</v>
      </c>
      <c r="L640" s="1119">
        <f>+SUMIFS('Anlage 2b_Korrekturen'!$D:$D,'Anlage 2b_Korrekturen'!$H:$H,'LV Testat'!$K$4,'Anlage 2b_Korrekturen'!$C:$C,'LV Testat'!$D640,'Anlage 2b_Korrekturen'!$A:$A,'LV Testat'!C640)</f>
        <v>0</v>
      </c>
      <c r="M640" s="1041"/>
      <c r="N640" s="1139"/>
      <c r="O640" s="1119">
        <f>+SUMIFS('Anlage 2b_Korrekturen'!$D:$D,'Anlage 2b_Korrekturen'!$H:$H,'LV Testat'!$N$4,'Anlage 2b_Korrekturen'!$C:$C,'LV Testat'!$D640,'Anlage 2b_Korrekturen'!$A:$A,'LV Testat'!C640)</f>
        <v>0</v>
      </c>
      <c r="P640" s="1041"/>
      <c r="R640" s="1136"/>
      <c r="T640" s="1137">
        <f t="shared" si="27"/>
        <v>2013</v>
      </c>
      <c r="U640" s="1141" t="s">
        <v>2412</v>
      </c>
      <c r="V640" s="1139"/>
      <c r="W640" s="1119">
        <f>+SUMIFS('Anlage 2b_Korrekturen'!$D:$D,'Anlage 2b_Korrekturen'!$H:$H,'LV Testat'!$E$4,'Anlage 2b_Korrekturen'!$C:$C,'LV Testat'!$D640,'Anlage 2b_Korrekturen'!$A:$A,'LV Testat'!T640)</f>
        <v>0</v>
      </c>
      <c r="Y640" s="1139"/>
      <c r="Z640" s="1119">
        <f>+SUMIFS('Anlage 2b_Korrekturen'!$D:$D,'Anlage 2b_Korrekturen'!$H:$H,'LV Testat'!$H$4,'Anlage 2b_Korrekturen'!$C:$C,'LV Testat'!$D640,'Anlage 2b_Korrekturen'!$A:$A,'LV Testat'!T640)</f>
        <v>0</v>
      </c>
      <c r="AA640" s="1041"/>
    </row>
    <row r="641" spans="1:27" hidden="1" outlineLevel="1">
      <c r="A641" s="1028"/>
      <c r="C641" s="1137">
        <f t="shared" si="26"/>
        <v>2013</v>
      </c>
      <c r="D641" s="1141" t="s">
        <v>2410</v>
      </c>
      <c r="E641" s="1139"/>
      <c r="F641" s="1119">
        <f>+SUMIFS('Anlage 2b_Korrekturen'!$D:$D,'Anlage 2b_Korrekturen'!$H:$H,'LV Testat'!$E$4,'Anlage 2b_Korrekturen'!$C:$C,'LV Testat'!$D641,'Anlage 2b_Korrekturen'!$A:$A,'LV Testat'!C641)</f>
        <v>0</v>
      </c>
      <c r="H641" s="1139"/>
      <c r="I641" s="1119">
        <f>+SUMIFS('Anlage 2b_Korrekturen'!$D:$D,'Anlage 2b_Korrekturen'!$H:$H,'LV Testat'!$H$4,'Anlage 2b_Korrekturen'!$C:$C,'LV Testat'!$D641,'Anlage 2b_Korrekturen'!$A:$A,'LV Testat'!C641)</f>
        <v>0</v>
      </c>
      <c r="J641" s="1041"/>
      <c r="K641" s="1139">
        <v>0</v>
      </c>
      <c r="L641" s="1119">
        <f>+SUMIFS('Anlage 2b_Korrekturen'!$D:$D,'Anlage 2b_Korrekturen'!$H:$H,'LV Testat'!$K$4,'Anlage 2b_Korrekturen'!$C:$C,'LV Testat'!$D641,'Anlage 2b_Korrekturen'!$A:$A,'LV Testat'!C641)</f>
        <v>0</v>
      </c>
      <c r="M641" s="1041"/>
      <c r="N641" s="1139"/>
      <c r="O641" s="1119">
        <f>+SUMIFS('Anlage 2b_Korrekturen'!$D:$D,'Anlage 2b_Korrekturen'!$H:$H,'LV Testat'!$N$4,'Anlage 2b_Korrekturen'!$C:$C,'LV Testat'!$D641,'Anlage 2b_Korrekturen'!$A:$A,'LV Testat'!C641)</f>
        <v>0</v>
      </c>
      <c r="P641" s="1041"/>
      <c r="R641" s="1028"/>
      <c r="T641" s="1137">
        <f t="shared" si="27"/>
        <v>2013</v>
      </c>
      <c r="U641" s="1141" t="s">
        <v>2410</v>
      </c>
      <c r="V641" s="1139"/>
      <c r="W641" s="1119">
        <f>+SUMIFS('Anlage 2b_Korrekturen'!$D:$D,'Anlage 2b_Korrekturen'!$H:$H,'LV Testat'!$E$4,'Anlage 2b_Korrekturen'!$C:$C,'LV Testat'!$D641,'Anlage 2b_Korrekturen'!$A:$A,'LV Testat'!T641)</f>
        <v>0</v>
      </c>
      <c r="Y641" s="1139">
        <v>0</v>
      </c>
      <c r="Z641" s="1119">
        <f>+SUMIFS('Anlage 2b_Korrekturen'!$D:$D,'Anlage 2b_Korrekturen'!$H:$H,'LV Testat'!$H$4,'Anlage 2b_Korrekturen'!$C:$C,'LV Testat'!$D641,'Anlage 2b_Korrekturen'!$A:$A,'LV Testat'!T641)</f>
        <v>0</v>
      </c>
      <c r="AA641" s="1041"/>
    </row>
    <row r="642" spans="1:27" ht="12" hidden="1" outlineLevel="1" thickBot="1">
      <c r="A642" s="1143"/>
      <c r="B642" s="1091"/>
      <c r="C642" s="1204">
        <f t="shared" si="26"/>
        <v>2013</v>
      </c>
      <c r="D642" s="1144" t="s">
        <v>2503</v>
      </c>
      <c r="E642" s="1124">
        <f>+SUM(E634:E641)</f>
        <v>0</v>
      </c>
      <c r="F642" s="1124">
        <f>+SUM(F634:F641)</f>
        <v>0</v>
      </c>
      <c r="G642" s="1091"/>
      <c r="H642" s="1124">
        <f>+SUM(H634:H641)</f>
        <v>646</v>
      </c>
      <c r="I642" s="1124">
        <f>+SUM(I634:I641)</f>
        <v>646</v>
      </c>
      <c r="J642" s="1121"/>
      <c r="K642" s="1124">
        <f>+SUM(K634:K641)</f>
        <v>0</v>
      </c>
      <c r="L642" s="1124">
        <f>+SUM(L634:L641)</f>
        <v>0</v>
      </c>
      <c r="M642" s="1121"/>
      <c r="N642" s="1124">
        <f>+SUM(N634:N641)</f>
        <v>0</v>
      </c>
      <c r="O642" s="1124">
        <f>+SUM(O634:O641)</f>
        <v>0</v>
      </c>
      <c r="P642" s="1121"/>
      <c r="R642" s="1143"/>
      <c r="S642" s="1091"/>
      <c r="T642" s="1137">
        <f t="shared" si="27"/>
        <v>2013</v>
      </c>
      <c r="U642" s="1144" t="s">
        <v>2503</v>
      </c>
      <c r="V642" s="1124">
        <f>+SUM(V634:V641)</f>
        <v>0</v>
      </c>
      <c r="W642" s="1124">
        <f>+SUM(W634:W641)</f>
        <v>0</v>
      </c>
      <c r="X642" s="1091"/>
      <c r="Y642" s="1124">
        <f>+SUM(Y634:Y641)</f>
        <v>646</v>
      </c>
      <c r="Z642" s="1124">
        <f>+SUM(Z634:Z641)</f>
        <v>646</v>
      </c>
      <c r="AA642" s="1121"/>
    </row>
    <row r="643" spans="1:27" collapsed="1"/>
  </sheetData>
  <mergeCells count="68">
    <mergeCell ref="V627:X627"/>
    <mergeCell ref="Y627:AA627"/>
    <mergeCell ref="A630:D630"/>
    <mergeCell ref="R630:U630"/>
    <mergeCell ref="R598:U598"/>
    <mergeCell ref="V611:X611"/>
    <mergeCell ref="Y611:AA611"/>
    <mergeCell ref="A614:D614"/>
    <mergeCell ref="R614:U614"/>
    <mergeCell ref="V579:X579"/>
    <mergeCell ref="Y579:AA579"/>
    <mergeCell ref="R582:U582"/>
    <mergeCell ref="A582:D582"/>
    <mergeCell ref="A598:D598"/>
    <mergeCell ref="V595:X595"/>
    <mergeCell ref="Y595:AA595"/>
    <mergeCell ref="V516:X516"/>
    <mergeCell ref="Y516:AA516"/>
    <mergeCell ref="AB516:AD516"/>
    <mergeCell ref="AE516:AG516"/>
    <mergeCell ref="R519:U519"/>
    <mergeCell ref="F576:G576"/>
    <mergeCell ref="A456:D456"/>
    <mergeCell ref="F475:G475"/>
    <mergeCell ref="F513:G513"/>
    <mergeCell ref="A519:D519"/>
    <mergeCell ref="F538:G538"/>
    <mergeCell ref="H24:J24"/>
    <mergeCell ref="K24:M24"/>
    <mergeCell ref="N24:P24"/>
    <mergeCell ref="E4:G4"/>
    <mergeCell ref="H4:J4"/>
    <mergeCell ref="K4:M4"/>
    <mergeCell ref="N4:P4"/>
    <mergeCell ref="H34:J34"/>
    <mergeCell ref="K34:M34"/>
    <mergeCell ref="F72:G72"/>
    <mergeCell ref="A78:D78"/>
    <mergeCell ref="F97:G97"/>
    <mergeCell ref="F261:G261"/>
    <mergeCell ref="A267:D267"/>
    <mergeCell ref="A5:D5"/>
    <mergeCell ref="F160:G160"/>
    <mergeCell ref="E34:G34"/>
    <mergeCell ref="F135:G135"/>
    <mergeCell ref="A141:D141"/>
    <mergeCell ref="E24:G24"/>
    <mergeCell ref="F450:G450"/>
    <mergeCell ref="F412:G412"/>
    <mergeCell ref="A393:D393"/>
    <mergeCell ref="N34:P34"/>
    <mergeCell ref="E51:G51"/>
    <mergeCell ref="H51:J51"/>
    <mergeCell ref="K51:M51"/>
    <mergeCell ref="N51:P51"/>
    <mergeCell ref="F286:G286"/>
    <mergeCell ref="F324:G324"/>
    <mergeCell ref="A330:D330"/>
    <mergeCell ref="F349:G349"/>
    <mergeCell ref="F387:G387"/>
    <mergeCell ref="F198:G198"/>
    <mergeCell ref="A204:D204"/>
    <mergeCell ref="F223:G223"/>
    <mergeCell ref="R456:U456"/>
    <mergeCell ref="V453:X453"/>
    <mergeCell ref="Y453:AA453"/>
    <mergeCell ref="AB453:AD453"/>
    <mergeCell ref="AE453:AG453"/>
  </mergeCells>
  <conditionalFormatting sqref="G6 G79 J79 M79 P79">
    <cfRule type="cellIs" dxfId="409" priority="469" operator="notEqual">
      <formula>0</formula>
    </cfRule>
    <cfRule type="cellIs" dxfId="408" priority="470" operator="equal">
      <formula>0</formula>
    </cfRule>
  </conditionalFormatting>
  <conditionalFormatting sqref="G18">
    <cfRule type="cellIs" dxfId="407" priority="465" operator="notEqual">
      <formula>0</formula>
    </cfRule>
    <cfRule type="cellIs" dxfId="406" priority="466" operator="equal">
      <formula>0</formula>
    </cfRule>
  </conditionalFormatting>
  <conditionalFormatting sqref="G29">
    <cfRule type="cellIs" dxfId="405" priority="457" operator="notEqual">
      <formula>0</formula>
    </cfRule>
    <cfRule type="cellIs" dxfId="404" priority="458" operator="equal">
      <formula>0</formula>
    </cfRule>
  </conditionalFormatting>
  <conditionalFormatting sqref="G39">
    <cfRule type="cellIs" dxfId="403" priority="443" operator="notEqual">
      <formula>0</formula>
    </cfRule>
    <cfRule type="cellIs" dxfId="402" priority="444" operator="equal">
      <formula>0</formula>
    </cfRule>
  </conditionalFormatting>
  <conditionalFormatting sqref="G46">
    <cfRule type="cellIs" dxfId="401" priority="435" operator="notEqual">
      <formula>0</formula>
    </cfRule>
    <cfRule type="cellIs" dxfId="400" priority="436" operator="equal">
      <formula>0</formula>
    </cfRule>
  </conditionalFormatting>
  <conditionalFormatting sqref="G55">
    <cfRule type="cellIs" dxfId="399" priority="427" operator="notEqual">
      <formula>0</formula>
    </cfRule>
    <cfRule type="cellIs" dxfId="398" priority="428" operator="equal">
      <formula>0</formula>
    </cfRule>
  </conditionalFormatting>
  <conditionalFormatting sqref="G66">
    <cfRule type="cellIs" dxfId="397" priority="419" operator="notEqual">
      <formula>0</formula>
    </cfRule>
    <cfRule type="cellIs" dxfId="396" priority="420" operator="equal">
      <formula>0</formula>
    </cfRule>
  </conditionalFormatting>
  <conditionalFormatting sqref="G91">
    <cfRule type="cellIs" dxfId="395" priority="467" operator="notEqual">
      <formula>0</formula>
    </cfRule>
    <cfRule type="cellIs" dxfId="394" priority="468" operator="equal">
      <formula>0</formula>
    </cfRule>
  </conditionalFormatting>
  <conditionalFormatting sqref="G102">
    <cfRule type="cellIs" dxfId="393" priority="405" operator="notEqual">
      <formula>0</formula>
    </cfRule>
    <cfRule type="cellIs" dxfId="392" priority="406" operator="equal">
      <formula>0</formula>
    </cfRule>
  </conditionalFormatting>
  <conditionalFormatting sqref="G111">
    <cfRule type="cellIs" dxfId="391" priority="397" operator="notEqual">
      <formula>0</formula>
    </cfRule>
    <cfRule type="cellIs" dxfId="390" priority="398" operator="equal">
      <formula>0</formula>
    </cfRule>
  </conditionalFormatting>
  <conditionalFormatting sqref="G117">
    <cfRule type="cellIs" dxfId="389" priority="389" operator="notEqual">
      <formula>0</formula>
    </cfRule>
    <cfRule type="cellIs" dxfId="388" priority="390" operator="equal">
      <formula>0</formula>
    </cfRule>
  </conditionalFormatting>
  <conditionalFormatting sqref="G129">
    <cfRule type="cellIs" dxfId="387" priority="381" operator="notEqual">
      <formula>0</formula>
    </cfRule>
    <cfRule type="cellIs" dxfId="386" priority="382" operator="equal">
      <formula>0</formula>
    </cfRule>
  </conditionalFormatting>
  <conditionalFormatting sqref="G142 J142 M142 P142">
    <cfRule type="cellIs" dxfId="385" priority="297" operator="notEqual">
      <formula>0</formula>
    </cfRule>
    <cfRule type="cellIs" dxfId="384" priority="298" operator="equal">
      <formula>0</formula>
    </cfRule>
  </conditionalFormatting>
  <conditionalFormatting sqref="G154">
    <cfRule type="cellIs" dxfId="383" priority="295" operator="notEqual">
      <formula>0</formula>
    </cfRule>
    <cfRule type="cellIs" dxfId="382" priority="296" operator="equal">
      <formula>0</formula>
    </cfRule>
  </conditionalFormatting>
  <conditionalFormatting sqref="G165">
    <cfRule type="cellIs" dxfId="381" priority="169" operator="notEqual">
      <formula>0</formula>
    </cfRule>
    <cfRule type="cellIs" dxfId="380" priority="170" operator="equal">
      <formula>0</formula>
    </cfRule>
  </conditionalFormatting>
  <conditionalFormatting sqref="G174">
    <cfRule type="cellIs" dxfId="379" priority="287" operator="notEqual">
      <formula>0</formula>
    </cfRule>
    <cfRule type="cellIs" dxfId="378" priority="288" operator="equal">
      <formula>0</formula>
    </cfRule>
  </conditionalFormatting>
  <conditionalFormatting sqref="G180">
    <cfRule type="cellIs" dxfId="377" priority="279" operator="notEqual">
      <formula>0</formula>
    </cfRule>
    <cfRule type="cellIs" dxfId="376" priority="280" operator="equal">
      <formula>0</formula>
    </cfRule>
  </conditionalFormatting>
  <conditionalFormatting sqref="G192">
    <cfRule type="cellIs" dxfId="375" priority="321" operator="notEqual">
      <formula>0</formula>
    </cfRule>
    <cfRule type="cellIs" dxfId="374" priority="322" operator="equal">
      <formula>0</formula>
    </cfRule>
  </conditionalFormatting>
  <conditionalFormatting sqref="G205 J205 M205 P205">
    <cfRule type="cellIs" dxfId="373" priority="373" operator="notEqual">
      <formula>0</formula>
    </cfRule>
    <cfRule type="cellIs" dxfId="372" priority="374" operator="equal">
      <formula>0</formula>
    </cfRule>
  </conditionalFormatting>
  <conditionalFormatting sqref="G217">
    <cfRule type="cellIs" dxfId="371" priority="371" operator="notEqual">
      <formula>0</formula>
    </cfRule>
    <cfRule type="cellIs" dxfId="370" priority="372" operator="equal">
      <formula>0</formula>
    </cfRule>
  </conditionalFormatting>
  <conditionalFormatting sqref="G228">
    <cfRule type="cellIs" dxfId="369" priority="161" operator="notEqual">
      <formula>0</formula>
    </cfRule>
    <cfRule type="cellIs" dxfId="368" priority="162" operator="equal">
      <formula>0</formula>
    </cfRule>
  </conditionalFormatting>
  <conditionalFormatting sqref="G237">
    <cfRule type="cellIs" dxfId="367" priority="363" operator="notEqual">
      <formula>0</formula>
    </cfRule>
    <cfRule type="cellIs" dxfId="366" priority="364" operator="equal">
      <formula>0</formula>
    </cfRule>
  </conditionalFormatting>
  <conditionalFormatting sqref="G243">
    <cfRule type="cellIs" dxfId="365" priority="355" operator="notEqual">
      <formula>0</formula>
    </cfRule>
    <cfRule type="cellIs" dxfId="364" priority="356" operator="equal">
      <formula>0</formula>
    </cfRule>
  </conditionalFormatting>
  <conditionalFormatting sqref="G255">
    <cfRule type="cellIs" dxfId="363" priority="313" operator="notEqual">
      <formula>0</formula>
    </cfRule>
    <cfRule type="cellIs" dxfId="362" priority="314" operator="equal">
      <formula>0</formula>
    </cfRule>
  </conditionalFormatting>
  <conditionalFormatting sqref="G268 J268 M268 P268">
    <cfRule type="cellIs" dxfId="361" priority="347" operator="notEqual">
      <formula>0</formula>
    </cfRule>
    <cfRule type="cellIs" dxfId="360" priority="348" operator="equal">
      <formula>0</formula>
    </cfRule>
  </conditionalFormatting>
  <conditionalFormatting sqref="G280">
    <cfRule type="cellIs" dxfId="359" priority="345" operator="notEqual">
      <formula>0</formula>
    </cfRule>
    <cfRule type="cellIs" dxfId="358" priority="346" operator="equal">
      <formula>0</formula>
    </cfRule>
  </conditionalFormatting>
  <conditionalFormatting sqref="G291">
    <cfRule type="cellIs" dxfId="357" priority="153" operator="notEqual">
      <formula>0</formula>
    </cfRule>
    <cfRule type="cellIs" dxfId="356" priority="154" operator="equal">
      <formula>0</formula>
    </cfRule>
  </conditionalFormatting>
  <conditionalFormatting sqref="G300">
    <cfRule type="cellIs" dxfId="355" priority="337" operator="notEqual">
      <formula>0</formula>
    </cfRule>
    <cfRule type="cellIs" dxfId="354" priority="338" operator="equal">
      <formula>0</formula>
    </cfRule>
  </conditionalFormatting>
  <conditionalFormatting sqref="G306">
    <cfRule type="cellIs" dxfId="353" priority="329" operator="notEqual">
      <formula>0</formula>
    </cfRule>
    <cfRule type="cellIs" dxfId="352" priority="330" operator="equal">
      <formula>0</formula>
    </cfRule>
  </conditionalFormatting>
  <conditionalFormatting sqref="G318">
    <cfRule type="cellIs" dxfId="351" priority="305" operator="notEqual">
      <formula>0</formula>
    </cfRule>
    <cfRule type="cellIs" dxfId="350" priority="306" operator="equal">
      <formula>0</formula>
    </cfRule>
  </conditionalFormatting>
  <conditionalFormatting sqref="G331 J331 M331 P331">
    <cfRule type="cellIs" dxfId="349" priority="271" operator="notEqual">
      <formula>0</formula>
    </cfRule>
    <cfRule type="cellIs" dxfId="348" priority="272" operator="equal">
      <formula>0</formula>
    </cfRule>
  </conditionalFormatting>
  <conditionalFormatting sqref="G343">
    <cfRule type="cellIs" dxfId="347" priority="269" operator="notEqual">
      <formula>0</formula>
    </cfRule>
    <cfRule type="cellIs" dxfId="346" priority="270" operator="equal">
      <formula>0</formula>
    </cfRule>
  </conditionalFormatting>
  <conditionalFormatting sqref="G354">
    <cfRule type="cellIs" dxfId="345" priority="145" operator="notEqual">
      <formula>0</formula>
    </cfRule>
    <cfRule type="cellIs" dxfId="344" priority="146" operator="equal">
      <formula>0</formula>
    </cfRule>
  </conditionalFormatting>
  <conditionalFormatting sqref="G363">
    <cfRule type="cellIs" dxfId="343" priority="261" operator="notEqual">
      <formula>0</formula>
    </cfRule>
    <cfRule type="cellIs" dxfId="342" priority="262" operator="equal">
      <formula>0</formula>
    </cfRule>
  </conditionalFormatting>
  <conditionalFormatting sqref="G369">
    <cfRule type="cellIs" dxfId="341" priority="253" operator="notEqual">
      <formula>0</formula>
    </cfRule>
    <cfRule type="cellIs" dxfId="340" priority="254" operator="equal">
      <formula>0</formula>
    </cfRule>
  </conditionalFormatting>
  <conditionalFormatting sqref="G381">
    <cfRule type="cellIs" dxfId="339" priority="245" operator="notEqual">
      <formula>0</formula>
    </cfRule>
    <cfRule type="cellIs" dxfId="338" priority="246" operator="equal">
      <formula>0</formula>
    </cfRule>
  </conditionalFormatting>
  <conditionalFormatting sqref="G394 J394 M394 P394">
    <cfRule type="cellIs" dxfId="337" priority="237" operator="notEqual">
      <formula>0</formula>
    </cfRule>
    <cfRule type="cellIs" dxfId="336" priority="238" operator="equal">
      <formula>0</formula>
    </cfRule>
  </conditionalFormatting>
  <conditionalFormatting sqref="G406">
    <cfRule type="cellIs" dxfId="335" priority="235" operator="notEqual">
      <formula>0</formula>
    </cfRule>
    <cfRule type="cellIs" dxfId="334" priority="236" operator="equal">
      <formula>0</formula>
    </cfRule>
  </conditionalFormatting>
  <conditionalFormatting sqref="G417">
    <cfRule type="cellIs" dxfId="333" priority="137" operator="notEqual">
      <formula>0</formula>
    </cfRule>
    <cfRule type="cellIs" dxfId="332" priority="138" operator="equal">
      <formula>0</formula>
    </cfRule>
  </conditionalFormatting>
  <conditionalFormatting sqref="G426">
    <cfRule type="cellIs" dxfId="331" priority="227" operator="notEqual">
      <formula>0</formula>
    </cfRule>
    <cfRule type="cellIs" dxfId="330" priority="228" operator="equal">
      <formula>0</formula>
    </cfRule>
  </conditionalFormatting>
  <conditionalFormatting sqref="G432">
    <cfRule type="cellIs" dxfId="329" priority="219" operator="notEqual">
      <formula>0</formula>
    </cfRule>
    <cfRule type="cellIs" dxfId="328" priority="220" operator="equal">
      <formula>0</formula>
    </cfRule>
  </conditionalFormatting>
  <conditionalFormatting sqref="G444">
    <cfRule type="cellIs" dxfId="327" priority="211" operator="notEqual">
      <formula>0</formula>
    </cfRule>
    <cfRule type="cellIs" dxfId="326" priority="212" operator="equal">
      <formula>0</formula>
    </cfRule>
  </conditionalFormatting>
  <conditionalFormatting sqref="G457 J457 M457 P457">
    <cfRule type="cellIs" dxfId="325" priority="121" operator="notEqual">
      <formula>0</formula>
    </cfRule>
    <cfRule type="cellIs" dxfId="324" priority="122" operator="equal">
      <formula>0</formula>
    </cfRule>
  </conditionalFormatting>
  <conditionalFormatting sqref="G469">
    <cfRule type="cellIs" dxfId="323" priority="119" operator="notEqual">
      <formula>0</formula>
    </cfRule>
    <cfRule type="cellIs" dxfId="322" priority="120" operator="equal">
      <formula>0</formula>
    </cfRule>
  </conditionalFormatting>
  <conditionalFormatting sqref="G480">
    <cfRule type="cellIs" dxfId="321" priority="87" operator="notEqual">
      <formula>0</formula>
    </cfRule>
    <cfRule type="cellIs" dxfId="320" priority="88" operator="equal">
      <formula>0</formula>
    </cfRule>
  </conditionalFormatting>
  <conditionalFormatting sqref="G489">
    <cfRule type="cellIs" dxfId="319" priority="111" operator="notEqual">
      <formula>0</formula>
    </cfRule>
    <cfRule type="cellIs" dxfId="318" priority="112" operator="equal">
      <formula>0</formula>
    </cfRule>
  </conditionalFormatting>
  <conditionalFormatting sqref="G495">
    <cfRule type="cellIs" dxfId="317" priority="103" operator="notEqual">
      <formula>0</formula>
    </cfRule>
    <cfRule type="cellIs" dxfId="316" priority="104" operator="equal">
      <formula>0</formula>
    </cfRule>
  </conditionalFormatting>
  <conditionalFormatting sqref="G507">
    <cfRule type="cellIs" dxfId="315" priority="95" operator="notEqual">
      <formula>0</formula>
    </cfRule>
    <cfRule type="cellIs" dxfId="314" priority="96" operator="equal">
      <formula>0</formula>
    </cfRule>
  </conditionalFormatting>
  <conditionalFormatting sqref="G520 J520 M520 P520">
    <cfRule type="cellIs" dxfId="313" priority="79" operator="notEqual">
      <formula>0</formula>
    </cfRule>
    <cfRule type="cellIs" dxfId="312" priority="80" operator="equal">
      <formula>0</formula>
    </cfRule>
  </conditionalFormatting>
  <conditionalFormatting sqref="G532">
    <cfRule type="cellIs" dxfId="311" priority="77" operator="notEqual">
      <formula>0</formula>
    </cfRule>
    <cfRule type="cellIs" dxfId="310" priority="78" operator="equal">
      <formula>0</formula>
    </cfRule>
  </conditionalFormatting>
  <conditionalFormatting sqref="G543">
    <cfRule type="cellIs" dxfId="309" priority="45" operator="notEqual">
      <formula>0</formula>
    </cfRule>
    <cfRule type="cellIs" dxfId="308" priority="46" operator="equal">
      <formula>0</formula>
    </cfRule>
  </conditionalFormatting>
  <conditionalFormatting sqref="G552">
    <cfRule type="cellIs" dxfId="307" priority="69" operator="notEqual">
      <formula>0</formula>
    </cfRule>
    <cfRule type="cellIs" dxfId="306" priority="70" operator="equal">
      <formula>0</formula>
    </cfRule>
  </conditionalFormatting>
  <conditionalFormatting sqref="G558">
    <cfRule type="cellIs" dxfId="305" priority="61" operator="notEqual">
      <formula>0</formula>
    </cfRule>
    <cfRule type="cellIs" dxfId="304" priority="62" operator="equal">
      <formula>0</formula>
    </cfRule>
  </conditionalFormatting>
  <conditionalFormatting sqref="G570">
    <cfRule type="cellIs" dxfId="303" priority="53" operator="notEqual">
      <formula>0</formula>
    </cfRule>
    <cfRule type="cellIs" dxfId="302" priority="54" operator="equal">
      <formula>0</formula>
    </cfRule>
  </conditionalFormatting>
  <conditionalFormatting sqref="G583 J583 M583 P583">
    <cfRule type="cellIs" dxfId="301" priority="29" operator="notEqual">
      <formula>0</formula>
    </cfRule>
    <cfRule type="cellIs" dxfId="300" priority="30" operator="equal">
      <formula>0</formula>
    </cfRule>
  </conditionalFormatting>
  <conditionalFormatting sqref="G599 J599 M599 P599">
    <cfRule type="cellIs" dxfId="299" priority="27" operator="notEqual">
      <formula>0</formula>
    </cfRule>
    <cfRule type="cellIs" dxfId="298" priority="28" operator="equal">
      <formula>0</formula>
    </cfRule>
  </conditionalFormatting>
  <conditionalFormatting sqref="G615 J615 M615 P615">
    <cfRule type="cellIs" dxfId="297" priority="23" operator="notEqual">
      <formula>0</formula>
    </cfRule>
    <cfRule type="cellIs" dxfId="296" priority="24" operator="equal">
      <formula>0</formula>
    </cfRule>
  </conditionalFormatting>
  <conditionalFormatting sqref="G631 J631 M631 P631">
    <cfRule type="cellIs" dxfId="295" priority="19" operator="notEqual">
      <formula>0</formula>
    </cfRule>
    <cfRule type="cellIs" dxfId="294" priority="20" operator="equal">
      <formula>0</formula>
    </cfRule>
  </conditionalFormatting>
  <conditionalFormatting sqref="J6">
    <cfRule type="cellIs" dxfId="293" priority="449" operator="notEqual">
      <formula>0</formula>
    </cfRule>
    <cfRule type="cellIs" dxfId="292" priority="450" operator="equal">
      <formula>0</formula>
    </cfRule>
  </conditionalFormatting>
  <conditionalFormatting sqref="J18">
    <cfRule type="cellIs" dxfId="291" priority="463" operator="notEqual">
      <formula>0</formula>
    </cfRule>
    <cfRule type="cellIs" dxfId="290" priority="464" operator="equal">
      <formula>0</formula>
    </cfRule>
  </conditionalFormatting>
  <conditionalFormatting sqref="J29">
    <cfRule type="cellIs" dxfId="289" priority="455" operator="notEqual">
      <formula>0</formula>
    </cfRule>
    <cfRule type="cellIs" dxfId="288" priority="456" operator="equal">
      <formula>0</formula>
    </cfRule>
  </conditionalFormatting>
  <conditionalFormatting sqref="J39">
    <cfRule type="cellIs" dxfId="287" priority="441" operator="notEqual">
      <formula>0</formula>
    </cfRule>
    <cfRule type="cellIs" dxfId="286" priority="442" operator="equal">
      <formula>0</formula>
    </cfRule>
  </conditionalFormatting>
  <conditionalFormatting sqref="J46">
    <cfRule type="cellIs" dxfId="285" priority="433" operator="notEqual">
      <formula>0</formula>
    </cfRule>
    <cfRule type="cellIs" dxfId="284" priority="434" operator="equal">
      <formula>0</formula>
    </cfRule>
  </conditionalFormatting>
  <conditionalFormatting sqref="J55">
    <cfRule type="cellIs" dxfId="283" priority="425" operator="notEqual">
      <formula>0</formula>
    </cfRule>
    <cfRule type="cellIs" dxfId="282" priority="426" operator="equal">
      <formula>0</formula>
    </cfRule>
  </conditionalFormatting>
  <conditionalFormatting sqref="J66">
    <cfRule type="cellIs" dxfId="281" priority="417" operator="notEqual">
      <formula>0</formula>
    </cfRule>
    <cfRule type="cellIs" dxfId="280" priority="418" operator="equal">
      <formula>0</formula>
    </cfRule>
  </conditionalFormatting>
  <conditionalFormatting sqref="J91">
    <cfRule type="cellIs" dxfId="279" priority="411" operator="notEqual">
      <formula>0</formula>
    </cfRule>
    <cfRule type="cellIs" dxfId="278" priority="412" operator="equal">
      <formula>0</formula>
    </cfRule>
  </conditionalFormatting>
  <conditionalFormatting sqref="J102">
    <cfRule type="cellIs" dxfId="277" priority="403" operator="notEqual">
      <formula>0</formula>
    </cfRule>
    <cfRule type="cellIs" dxfId="276" priority="404" operator="equal">
      <formula>0</formula>
    </cfRule>
  </conditionalFormatting>
  <conditionalFormatting sqref="J111">
    <cfRule type="cellIs" dxfId="275" priority="395" operator="notEqual">
      <formula>0</formula>
    </cfRule>
    <cfRule type="cellIs" dxfId="274" priority="396" operator="equal">
      <formula>0</formula>
    </cfRule>
  </conditionalFormatting>
  <conditionalFormatting sqref="J117">
    <cfRule type="cellIs" dxfId="273" priority="387" operator="notEqual">
      <formula>0</formula>
    </cfRule>
    <cfRule type="cellIs" dxfId="272" priority="388" operator="equal">
      <formula>0</formula>
    </cfRule>
  </conditionalFormatting>
  <conditionalFormatting sqref="J129">
    <cfRule type="cellIs" dxfId="271" priority="379" operator="notEqual">
      <formula>0</formula>
    </cfRule>
    <cfRule type="cellIs" dxfId="270" priority="380" operator="equal">
      <formula>0</formula>
    </cfRule>
  </conditionalFormatting>
  <conditionalFormatting sqref="J154">
    <cfRule type="cellIs" dxfId="269" priority="293" operator="notEqual">
      <formula>0</formula>
    </cfRule>
    <cfRule type="cellIs" dxfId="268" priority="294" operator="equal">
      <formula>0</formula>
    </cfRule>
  </conditionalFormatting>
  <conditionalFormatting sqref="J165">
    <cfRule type="cellIs" dxfId="267" priority="167" operator="notEqual">
      <formula>0</formula>
    </cfRule>
    <cfRule type="cellIs" dxfId="266" priority="168" operator="equal">
      <formula>0</formula>
    </cfRule>
  </conditionalFormatting>
  <conditionalFormatting sqref="J174">
    <cfRule type="cellIs" dxfId="265" priority="285" operator="notEqual">
      <formula>0</formula>
    </cfRule>
    <cfRule type="cellIs" dxfId="264" priority="286" operator="equal">
      <formula>0</formula>
    </cfRule>
  </conditionalFormatting>
  <conditionalFormatting sqref="J180">
    <cfRule type="cellIs" dxfId="263" priority="277" operator="notEqual">
      <formula>0</formula>
    </cfRule>
    <cfRule type="cellIs" dxfId="262" priority="278" operator="equal">
      <formula>0</formula>
    </cfRule>
  </conditionalFormatting>
  <conditionalFormatting sqref="J192">
    <cfRule type="cellIs" dxfId="261" priority="319" operator="notEqual">
      <formula>0</formula>
    </cfRule>
    <cfRule type="cellIs" dxfId="260" priority="320" operator="equal">
      <formula>0</formula>
    </cfRule>
  </conditionalFormatting>
  <conditionalFormatting sqref="J217">
    <cfRule type="cellIs" dxfId="259" priority="369" operator="notEqual">
      <formula>0</formula>
    </cfRule>
    <cfRule type="cellIs" dxfId="258" priority="370" operator="equal">
      <formula>0</formula>
    </cfRule>
  </conditionalFormatting>
  <conditionalFormatting sqref="J228">
    <cfRule type="cellIs" dxfId="257" priority="159" operator="notEqual">
      <formula>0</formula>
    </cfRule>
    <cfRule type="cellIs" dxfId="256" priority="160" operator="equal">
      <formula>0</formula>
    </cfRule>
  </conditionalFormatting>
  <conditionalFormatting sqref="J237">
    <cfRule type="cellIs" dxfId="255" priority="361" operator="notEqual">
      <formula>0</formula>
    </cfRule>
    <cfRule type="cellIs" dxfId="254" priority="362" operator="equal">
      <formula>0</formula>
    </cfRule>
  </conditionalFormatting>
  <conditionalFormatting sqref="J243">
    <cfRule type="cellIs" dxfId="253" priority="353" operator="notEqual">
      <formula>0</formula>
    </cfRule>
    <cfRule type="cellIs" dxfId="252" priority="354" operator="equal">
      <formula>0</formula>
    </cfRule>
  </conditionalFormatting>
  <conditionalFormatting sqref="J255">
    <cfRule type="cellIs" dxfId="251" priority="311" operator="notEqual">
      <formula>0</formula>
    </cfRule>
    <cfRule type="cellIs" dxfId="250" priority="312" operator="equal">
      <formula>0</formula>
    </cfRule>
  </conditionalFormatting>
  <conditionalFormatting sqref="J280">
    <cfRule type="cellIs" dxfId="249" priority="343" operator="notEqual">
      <formula>0</formula>
    </cfRule>
    <cfRule type="cellIs" dxfId="248" priority="344" operator="equal">
      <formula>0</formula>
    </cfRule>
  </conditionalFormatting>
  <conditionalFormatting sqref="J291">
    <cfRule type="cellIs" dxfId="247" priority="151" operator="notEqual">
      <formula>0</formula>
    </cfRule>
    <cfRule type="cellIs" dxfId="246" priority="152" operator="equal">
      <formula>0</formula>
    </cfRule>
  </conditionalFormatting>
  <conditionalFormatting sqref="J300">
    <cfRule type="cellIs" dxfId="245" priority="335" operator="notEqual">
      <formula>0</formula>
    </cfRule>
    <cfRule type="cellIs" dxfId="244" priority="336" operator="equal">
      <formula>0</formula>
    </cfRule>
  </conditionalFormatting>
  <conditionalFormatting sqref="J306">
    <cfRule type="cellIs" dxfId="243" priority="327" operator="notEqual">
      <formula>0</formula>
    </cfRule>
    <cfRule type="cellIs" dxfId="242" priority="328" operator="equal">
      <formula>0</formula>
    </cfRule>
  </conditionalFormatting>
  <conditionalFormatting sqref="J318">
    <cfRule type="cellIs" dxfId="241" priority="303" operator="notEqual">
      <formula>0</formula>
    </cfRule>
    <cfRule type="cellIs" dxfId="240" priority="304" operator="equal">
      <formula>0</formula>
    </cfRule>
  </conditionalFormatting>
  <conditionalFormatting sqref="J343">
    <cfRule type="cellIs" dxfId="239" priority="267" operator="notEqual">
      <formula>0</formula>
    </cfRule>
    <cfRule type="cellIs" dxfId="238" priority="268" operator="equal">
      <formula>0</formula>
    </cfRule>
  </conditionalFormatting>
  <conditionalFormatting sqref="J354">
    <cfRule type="cellIs" dxfId="237" priority="143" operator="notEqual">
      <formula>0</formula>
    </cfRule>
    <cfRule type="cellIs" dxfId="236" priority="144" operator="equal">
      <formula>0</formula>
    </cfRule>
  </conditionalFormatting>
  <conditionalFormatting sqref="J363">
    <cfRule type="cellIs" dxfId="235" priority="259" operator="notEqual">
      <formula>0</formula>
    </cfRule>
    <cfRule type="cellIs" dxfId="234" priority="260" operator="equal">
      <formula>0</formula>
    </cfRule>
  </conditionalFormatting>
  <conditionalFormatting sqref="J369">
    <cfRule type="cellIs" dxfId="233" priority="251" operator="notEqual">
      <formula>0</formula>
    </cfRule>
    <cfRule type="cellIs" dxfId="232" priority="252" operator="equal">
      <formula>0</formula>
    </cfRule>
  </conditionalFormatting>
  <conditionalFormatting sqref="J381">
    <cfRule type="cellIs" dxfId="231" priority="243" operator="notEqual">
      <formula>0</formula>
    </cfRule>
    <cfRule type="cellIs" dxfId="230" priority="244" operator="equal">
      <formula>0</formula>
    </cfRule>
  </conditionalFormatting>
  <conditionalFormatting sqref="J406">
    <cfRule type="cellIs" dxfId="229" priority="233" operator="notEqual">
      <formula>0</formula>
    </cfRule>
    <cfRule type="cellIs" dxfId="228" priority="234" operator="equal">
      <formula>0</formula>
    </cfRule>
  </conditionalFormatting>
  <conditionalFormatting sqref="J417">
    <cfRule type="cellIs" dxfId="227" priority="135" operator="notEqual">
      <formula>0</formula>
    </cfRule>
    <cfRule type="cellIs" dxfId="226" priority="136" operator="equal">
      <formula>0</formula>
    </cfRule>
  </conditionalFormatting>
  <conditionalFormatting sqref="J426">
    <cfRule type="cellIs" dxfId="225" priority="225" operator="notEqual">
      <formula>0</formula>
    </cfRule>
    <cfRule type="cellIs" dxfId="224" priority="226" operator="equal">
      <formula>0</formula>
    </cfRule>
  </conditionalFormatting>
  <conditionalFormatting sqref="J432">
    <cfRule type="cellIs" dxfId="223" priority="217" operator="notEqual">
      <formula>0</formula>
    </cfRule>
    <cfRule type="cellIs" dxfId="222" priority="218" operator="equal">
      <formula>0</formula>
    </cfRule>
  </conditionalFormatting>
  <conditionalFormatting sqref="J444">
    <cfRule type="cellIs" dxfId="221" priority="209" operator="notEqual">
      <formula>0</formula>
    </cfRule>
    <cfRule type="cellIs" dxfId="220" priority="210" operator="equal">
      <formula>0</formula>
    </cfRule>
  </conditionalFormatting>
  <conditionalFormatting sqref="J469">
    <cfRule type="cellIs" dxfId="219" priority="117" operator="notEqual">
      <formula>0</formula>
    </cfRule>
    <cfRule type="cellIs" dxfId="218" priority="118" operator="equal">
      <formula>0</formula>
    </cfRule>
  </conditionalFormatting>
  <conditionalFormatting sqref="J480">
    <cfRule type="cellIs" dxfId="217" priority="85" operator="notEqual">
      <formula>0</formula>
    </cfRule>
    <cfRule type="cellIs" dxfId="216" priority="86" operator="equal">
      <formula>0</formula>
    </cfRule>
  </conditionalFormatting>
  <conditionalFormatting sqref="J489">
    <cfRule type="cellIs" dxfId="215" priority="109" operator="notEqual">
      <formula>0</formula>
    </cfRule>
    <cfRule type="cellIs" dxfId="214" priority="110" operator="equal">
      <formula>0</formula>
    </cfRule>
  </conditionalFormatting>
  <conditionalFormatting sqref="J495">
    <cfRule type="cellIs" dxfId="213" priority="101" operator="notEqual">
      <formula>0</formula>
    </cfRule>
    <cfRule type="cellIs" dxfId="212" priority="102" operator="equal">
      <formula>0</formula>
    </cfRule>
  </conditionalFormatting>
  <conditionalFormatting sqref="J507">
    <cfRule type="cellIs" dxfId="211" priority="93" operator="notEqual">
      <formula>0</formula>
    </cfRule>
    <cfRule type="cellIs" dxfId="210" priority="94" operator="equal">
      <formula>0</formula>
    </cfRule>
  </conditionalFormatting>
  <conditionalFormatting sqref="J532">
    <cfRule type="cellIs" dxfId="209" priority="75" operator="notEqual">
      <formula>0</formula>
    </cfRule>
    <cfRule type="cellIs" dxfId="208" priority="76" operator="equal">
      <formula>0</formula>
    </cfRule>
  </conditionalFormatting>
  <conditionalFormatting sqref="J543">
    <cfRule type="cellIs" dxfId="207" priority="43" operator="notEqual">
      <formula>0</formula>
    </cfRule>
    <cfRule type="cellIs" dxfId="206" priority="44" operator="equal">
      <formula>0</formula>
    </cfRule>
  </conditionalFormatting>
  <conditionalFormatting sqref="J552">
    <cfRule type="cellIs" dxfId="205" priority="67" operator="notEqual">
      <formula>0</formula>
    </cfRule>
    <cfRule type="cellIs" dxfId="204" priority="68" operator="equal">
      <formula>0</formula>
    </cfRule>
  </conditionalFormatting>
  <conditionalFormatting sqref="J558">
    <cfRule type="cellIs" dxfId="203" priority="59" operator="notEqual">
      <formula>0</formula>
    </cfRule>
    <cfRule type="cellIs" dxfId="202" priority="60" operator="equal">
      <formula>0</formula>
    </cfRule>
  </conditionalFormatting>
  <conditionalFormatting sqref="J570">
    <cfRule type="cellIs" dxfId="201" priority="51" operator="notEqual">
      <formula>0</formula>
    </cfRule>
    <cfRule type="cellIs" dxfId="200" priority="52" operator="equal">
      <formula>0</formula>
    </cfRule>
  </conditionalFormatting>
  <conditionalFormatting sqref="M6">
    <cfRule type="cellIs" dxfId="199" priority="447" operator="notEqual">
      <formula>0</formula>
    </cfRule>
    <cfRule type="cellIs" dxfId="198" priority="448" operator="equal">
      <formula>0</formula>
    </cfRule>
  </conditionalFormatting>
  <conditionalFormatting sqref="M18">
    <cfRule type="cellIs" dxfId="197" priority="461" operator="notEqual">
      <formula>0</formula>
    </cfRule>
    <cfRule type="cellIs" dxfId="196" priority="462" operator="equal">
      <formula>0</formula>
    </cfRule>
  </conditionalFormatting>
  <conditionalFormatting sqref="M29">
    <cfRule type="cellIs" dxfId="195" priority="453" operator="notEqual">
      <formula>0</formula>
    </cfRule>
    <cfRule type="cellIs" dxfId="194" priority="454" operator="equal">
      <formula>0</formula>
    </cfRule>
  </conditionalFormatting>
  <conditionalFormatting sqref="M39">
    <cfRule type="cellIs" dxfId="193" priority="439" operator="notEqual">
      <formula>0</formula>
    </cfRule>
    <cfRule type="cellIs" dxfId="192" priority="440" operator="equal">
      <formula>0</formula>
    </cfRule>
  </conditionalFormatting>
  <conditionalFormatting sqref="M46">
    <cfRule type="cellIs" dxfId="191" priority="431" operator="notEqual">
      <formula>0</formula>
    </cfRule>
    <cfRule type="cellIs" dxfId="190" priority="432" operator="equal">
      <formula>0</formula>
    </cfRule>
  </conditionalFormatting>
  <conditionalFormatting sqref="M55">
    <cfRule type="cellIs" dxfId="189" priority="423" operator="notEqual">
      <formula>0</formula>
    </cfRule>
    <cfRule type="cellIs" dxfId="188" priority="424" operator="equal">
      <formula>0</formula>
    </cfRule>
  </conditionalFormatting>
  <conditionalFormatting sqref="M66">
    <cfRule type="cellIs" dxfId="187" priority="415" operator="notEqual">
      <formula>0</formula>
    </cfRule>
    <cfRule type="cellIs" dxfId="186" priority="416" operator="equal">
      <formula>0</formula>
    </cfRule>
  </conditionalFormatting>
  <conditionalFormatting sqref="M91">
    <cfRule type="cellIs" dxfId="185" priority="409" operator="notEqual">
      <formula>0</formula>
    </cfRule>
    <cfRule type="cellIs" dxfId="184" priority="410" operator="equal">
      <formula>0</formula>
    </cfRule>
  </conditionalFormatting>
  <conditionalFormatting sqref="M102">
    <cfRule type="cellIs" dxfId="183" priority="401" operator="notEqual">
      <formula>0</formula>
    </cfRule>
    <cfRule type="cellIs" dxfId="182" priority="402" operator="equal">
      <formula>0</formula>
    </cfRule>
  </conditionalFormatting>
  <conditionalFormatting sqref="M111">
    <cfRule type="cellIs" dxfId="181" priority="393" operator="notEqual">
      <formula>0</formula>
    </cfRule>
    <cfRule type="cellIs" dxfId="180" priority="394" operator="equal">
      <formula>0</formula>
    </cfRule>
  </conditionalFormatting>
  <conditionalFormatting sqref="M117">
    <cfRule type="cellIs" dxfId="179" priority="385" operator="notEqual">
      <formula>0</formula>
    </cfRule>
    <cfRule type="cellIs" dxfId="178" priority="386" operator="equal">
      <formula>0</formula>
    </cfRule>
  </conditionalFormatting>
  <conditionalFormatting sqref="M129">
    <cfRule type="cellIs" dxfId="177" priority="377" operator="notEqual">
      <formula>0</formula>
    </cfRule>
    <cfRule type="cellIs" dxfId="176" priority="378" operator="equal">
      <formula>0</formula>
    </cfRule>
  </conditionalFormatting>
  <conditionalFormatting sqref="M154">
    <cfRule type="cellIs" dxfId="175" priority="291" operator="notEqual">
      <formula>0</formula>
    </cfRule>
    <cfRule type="cellIs" dxfId="174" priority="292" operator="equal">
      <formula>0</formula>
    </cfRule>
  </conditionalFormatting>
  <conditionalFormatting sqref="M165">
    <cfRule type="cellIs" dxfId="173" priority="165" operator="notEqual">
      <formula>0</formula>
    </cfRule>
    <cfRule type="cellIs" dxfId="172" priority="166" operator="equal">
      <formula>0</formula>
    </cfRule>
  </conditionalFormatting>
  <conditionalFormatting sqref="M174">
    <cfRule type="cellIs" dxfId="171" priority="283" operator="notEqual">
      <formula>0</formula>
    </cfRule>
    <cfRule type="cellIs" dxfId="170" priority="284" operator="equal">
      <formula>0</formula>
    </cfRule>
  </conditionalFormatting>
  <conditionalFormatting sqref="M180">
    <cfRule type="cellIs" dxfId="169" priority="275" operator="notEqual">
      <formula>0</formula>
    </cfRule>
    <cfRule type="cellIs" dxfId="168" priority="276" operator="equal">
      <formula>0</formula>
    </cfRule>
  </conditionalFormatting>
  <conditionalFormatting sqref="M192">
    <cfRule type="cellIs" dxfId="167" priority="317" operator="notEqual">
      <formula>0</formula>
    </cfRule>
    <cfRule type="cellIs" dxfId="166" priority="318" operator="equal">
      <formula>0</formula>
    </cfRule>
  </conditionalFormatting>
  <conditionalFormatting sqref="M217">
    <cfRule type="cellIs" dxfId="165" priority="367" operator="notEqual">
      <formula>0</formula>
    </cfRule>
    <cfRule type="cellIs" dxfId="164" priority="368" operator="equal">
      <formula>0</formula>
    </cfRule>
  </conditionalFormatting>
  <conditionalFormatting sqref="M228">
    <cfRule type="cellIs" dxfId="163" priority="157" operator="notEqual">
      <formula>0</formula>
    </cfRule>
    <cfRule type="cellIs" dxfId="162" priority="158" operator="equal">
      <formula>0</formula>
    </cfRule>
  </conditionalFormatting>
  <conditionalFormatting sqref="M237">
    <cfRule type="cellIs" dxfId="161" priority="359" operator="notEqual">
      <formula>0</formula>
    </cfRule>
    <cfRule type="cellIs" dxfId="160" priority="360" operator="equal">
      <formula>0</formula>
    </cfRule>
  </conditionalFormatting>
  <conditionalFormatting sqref="M243">
    <cfRule type="cellIs" dxfId="159" priority="351" operator="notEqual">
      <formula>0</formula>
    </cfRule>
    <cfRule type="cellIs" dxfId="158" priority="352" operator="equal">
      <formula>0</formula>
    </cfRule>
  </conditionalFormatting>
  <conditionalFormatting sqref="M255">
    <cfRule type="cellIs" dxfId="157" priority="309" operator="notEqual">
      <formula>0</formula>
    </cfRule>
    <cfRule type="cellIs" dxfId="156" priority="310" operator="equal">
      <formula>0</formula>
    </cfRule>
  </conditionalFormatting>
  <conditionalFormatting sqref="M280">
    <cfRule type="cellIs" dxfId="155" priority="341" operator="notEqual">
      <formula>0</formula>
    </cfRule>
    <cfRule type="cellIs" dxfId="154" priority="342" operator="equal">
      <formula>0</formula>
    </cfRule>
  </conditionalFormatting>
  <conditionalFormatting sqref="M291">
    <cfRule type="cellIs" dxfId="153" priority="149" operator="notEqual">
      <formula>0</formula>
    </cfRule>
    <cfRule type="cellIs" dxfId="152" priority="150" operator="equal">
      <formula>0</formula>
    </cfRule>
  </conditionalFormatting>
  <conditionalFormatting sqref="M300">
    <cfRule type="cellIs" dxfId="151" priority="333" operator="notEqual">
      <formula>0</formula>
    </cfRule>
    <cfRule type="cellIs" dxfId="150" priority="334" operator="equal">
      <formula>0</formula>
    </cfRule>
  </conditionalFormatting>
  <conditionalFormatting sqref="M306">
    <cfRule type="cellIs" dxfId="149" priority="325" operator="notEqual">
      <formula>0</formula>
    </cfRule>
    <cfRule type="cellIs" dxfId="148" priority="326" operator="equal">
      <formula>0</formula>
    </cfRule>
  </conditionalFormatting>
  <conditionalFormatting sqref="M318">
    <cfRule type="cellIs" dxfId="147" priority="301" operator="notEqual">
      <formula>0</formula>
    </cfRule>
    <cfRule type="cellIs" dxfId="146" priority="302" operator="equal">
      <formula>0</formula>
    </cfRule>
  </conditionalFormatting>
  <conditionalFormatting sqref="M343">
    <cfRule type="cellIs" dxfId="145" priority="265" operator="notEqual">
      <formula>0</formula>
    </cfRule>
    <cfRule type="cellIs" dxfId="144" priority="266" operator="equal">
      <formula>0</formula>
    </cfRule>
  </conditionalFormatting>
  <conditionalFormatting sqref="M354">
    <cfRule type="cellIs" dxfId="143" priority="141" operator="notEqual">
      <formula>0</formula>
    </cfRule>
    <cfRule type="cellIs" dxfId="142" priority="142" operator="equal">
      <formula>0</formula>
    </cfRule>
  </conditionalFormatting>
  <conditionalFormatting sqref="M363">
    <cfRule type="cellIs" dxfId="141" priority="257" operator="notEqual">
      <formula>0</formula>
    </cfRule>
    <cfRule type="cellIs" dxfId="140" priority="258" operator="equal">
      <formula>0</formula>
    </cfRule>
  </conditionalFormatting>
  <conditionalFormatting sqref="M369">
    <cfRule type="cellIs" dxfId="139" priority="249" operator="notEqual">
      <formula>0</formula>
    </cfRule>
    <cfRule type="cellIs" dxfId="138" priority="250" operator="equal">
      <formula>0</formula>
    </cfRule>
  </conditionalFormatting>
  <conditionalFormatting sqref="M381">
    <cfRule type="cellIs" dxfId="137" priority="241" operator="notEqual">
      <formula>0</formula>
    </cfRule>
    <cfRule type="cellIs" dxfId="136" priority="242" operator="equal">
      <formula>0</formula>
    </cfRule>
  </conditionalFormatting>
  <conditionalFormatting sqref="M406">
    <cfRule type="cellIs" dxfId="135" priority="231" operator="notEqual">
      <formula>0</formula>
    </cfRule>
    <cfRule type="cellIs" dxfId="134" priority="232" operator="equal">
      <formula>0</formula>
    </cfRule>
  </conditionalFormatting>
  <conditionalFormatting sqref="M417">
    <cfRule type="cellIs" dxfId="133" priority="133" operator="notEqual">
      <formula>0</formula>
    </cfRule>
    <cfRule type="cellIs" dxfId="132" priority="134" operator="equal">
      <formula>0</formula>
    </cfRule>
  </conditionalFormatting>
  <conditionalFormatting sqref="M426">
    <cfRule type="cellIs" dxfId="131" priority="223" operator="notEqual">
      <formula>0</formula>
    </cfRule>
    <cfRule type="cellIs" dxfId="130" priority="224" operator="equal">
      <formula>0</formula>
    </cfRule>
  </conditionalFormatting>
  <conditionalFormatting sqref="M432">
    <cfRule type="cellIs" dxfId="129" priority="215" operator="notEqual">
      <formula>0</formula>
    </cfRule>
    <cfRule type="cellIs" dxfId="128" priority="216" operator="equal">
      <formula>0</formula>
    </cfRule>
  </conditionalFormatting>
  <conditionalFormatting sqref="M444">
    <cfRule type="cellIs" dxfId="127" priority="207" operator="notEqual">
      <formula>0</formula>
    </cfRule>
    <cfRule type="cellIs" dxfId="126" priority="208" operator="equal">
      <formula>0</formula>
    </cfRule>
  </conditionalFormatting>
  <conditionalFormatting sqref="M469">
    <cfRule type="cellIs" dxfId="125" priority="115" operator="notEqual">
      <formula>0</formula>
    </cfRule>
    <cfRule type="cellIs" dxfId="124" priority="116" operator="equal">
      <formula>0</formula>
    </cfRule>
  </conditionalFormatting>
  <conditionalFormatting sqref="M480">
    <cfRule type="cellIs" dxfId="123" priority="83" operator="notEqual">
      <formula>0</formula>
    </cfRule>
    <cfRule type="cellIs" dxfId="122" priority="84" operator="equal">
      <formula>0</formula>
    </cfRule>
  </conditionalFormatting>
  <conditionalFormatting sqref="M489">
    <cfRule type="cellIs" dxfId="121" priority="107" operator="notEqual">
      <formula>0</formula>
    </cfRule>
    <cfRule type="cellIs" dxfId="120" priority="108" operator="equal">
      <formula>0</formula>
    </cfRule>
  </conditionalFormatting>
  <conditionalFormatting sqref="M495">
    <cfRule type="cellIs" dxfId="119" priority="99" operator="notEqual">
      <formula>0</formula>
    </cfRule>
    <cfRule type="cellIs" dxfId="118" priority="100" operator="equal">
      <formula>0</formula>
    </cfRule>
  </conditionalFormatting>
  <conditionalFormatting sqref="M507">
    <cfRule type="cellIs" dxfId="117" priority="91" operator="notEqual">
      <formula>0</formula>
    </cfRule>
    <cfRule type="cellIs" dxfId="116" priority="92" operator="equal">
      <formula>0</formula>
    </cfRule>
  </conditionalFormatting>
  <conditionalFormatting sqref="M532">
    <cfRule type="cellIs" dxfId="115" priority="73" operator="notEqual">
      <formula>0</formula>
    </cfRule>
    <cfRule type="cellIs" dxfId="114" priority="74" operator="equal">
      <formula>0</formula>
    </cfRule>
  </conditionalFormatting>
  <conditionalFormatting sqref="M543">
    <cfRule type="cellIs" dxfId="113" priority="41" operator="notEqual">
      <formula>0</formula>
    </cfRule>
    <cfRule type="cellIs" dxfId="112" priority="42" operator="equal">
      <formula>0</formula>
    </cfRule>
  </conditionalFormatting>
  <conditionalFormatting sqref="M552">
    <cfRule type="cellIs" dxfId="111" priority="65" operator="notEqual">
      <formula>0</formula>
    </cfRule>
    <cfRule type="cellIs" dxfId="110" priority="66" operator="equal">
      <formula>0</formula>
    </cfRule>
  </conditionalFormatting>
  <conditionalFormatting sqref="M558">
    <cfRule type="cellIs" dxfId="109" priority="57" operator="notEqual">
      <formula>0</formula>
    </cfRule>
    <cfRule type="cellIs" dxfId="108" priority="58" operator="equal">
      <formula>0</formula>
    </cfRule>
  </conditionalFormatting>
  <conditionalFormatting sqref="M570">
    <cfRule type="cellIs" dxfId="107" priority="49" operator="notEqual">
      <formula>0</formula>
    </cfRule>
    <cfRule type="cellIs" dxfId="106" priority="50" operator="equal">
      <formula>0</formula>
    </cfRule>
  </conditionalFormatting>
  <conditionalFormatting sqref="P6">
    <cfRule type="cellIs" dxfId="105" priority="445" operator="notEqual">
      <formula>0</formula>
    </cfRule>
    <cfRule type="cellIs" dxfId="104" priority="446" operator="equal">
      <formula>0</formula>
    </cfRule>
  </conditionalFormatting>
  <conditionalFormatting sqref="P18">
    <cfRule type="cellIs" dxfId="103" priority="459" operator="notEqual">
      <formula>0</formula>
    </cfRule>
    <cfRule type="cellIs" dxfId="102" priority="460" operator="equal">
      <formula>0</formula>
    </cfRule>
  </conditionalFormatting>
  <conditionalFormatting sqref="P29">
    <cfRule type="cellIs" dxfId="101" priority="451" operator="notEqual">
      <formula>0</formula>
    </cfRule>
    <cfRule type="cellIs" dxfId="100" priority="452" operator="equal">
      <formula>0</formula>
    </cfRule>
  </conditionalFormatting>
  <conditionalFormatting sqref="P39">
    <cfRule type="cellIs" dxfId="99" priority="437" operator="notEqual">
      <formula>0</formula>
    </cfRule>
    <cfRule type="cellIs" dxfId="98" priority="438" operator="equal">
      <formula>0</formula>
    </cfRule>
  </conditionalFormatting>
  <conditionalFormatting sqref="P46">
    <cfRule type="cellIs" dxfId="97" priority="429" operator="notEqual">
      <formula>0</formula>
    </cfRule>
    <cfRule type="cellIs" dxfId="96" priority="430" operator="equal">
      <formula>0</formula>
    </cfRule>
  </conditionalFormatting>
  <conditionalFormatting sqref="P55">
    <cfRule type="cellIs" dxfId="95" priority="421" operator="notEqual">
      <formula>0</formula>
    </cfRule>
    <cfRule type="cellIs" dxfId="94" priority="422" operator="equal">
      <formula>0</formula>
    </cfRule>
  </conditionalFormatting>
  <conditionalFormatting sqref="P66">
    <cfRule type="cellIs" dxfId="93" priority="413" operator="notEqual">
      <formula>0</formula>
    </cfRule>
    <cfRule type="cellIs" dxfId="92" priority="414" operator="equal">
      <formula>0</formula>
    </cfRule>
  </conditionalFormatting>
  <conditionalFormatting sqref="P91">
    <cfRule type="cellIs" dxfId="91" priority="407" operator="notEqual">
      <formula>0</formula>
    </cfRule>
    <cfRule type="cellIs" dxfId="90" priority="408" operator="equal">
      <formula>0</formula>
    </cfRule>
  </conditionalFormatting>
  <conditionalFormatting sqref="P102">
    <cfRule type="cellIs" dxfId="89" priority="399" operator="notEqual">
      <formula>0</formula>
    </cfRule>
    <cfRule type="cellIs" dxfId="88" priority="400" operator="equal">
      <formula>0</formula>
    </cfRule>
  </conditionalFormatting>
  <conditionalFormatting sqref="P111">
    <cfRule type="cellIs" dxfId="87" priority="391" operator="notEqual">
      <formula>0</formula>
    </cfRule>
    <cfRule type="cellIs" dxfId="86" priority="392" operator="equal">
      <formula>0</formula>
    </cfRule>
  </conditionalFormatting>
  <conditionalFormatting sqref="P117">
    <cfRule type="cellIs" dxfId="85" priority="383" operator="notEqual">
      <formula>0</formula>
    </cfRule>
    <cfRule type="cellIs" dxfId="84" priority="384" operator="equal">
      <formula>0</formula>
    </cfRule>
  </conditionalFormatting>
  <conditionalFormatting sqref="P129">
    <cfRule type="cellIs" dxfId="83" priority="375" operator="notEqual">
      <formula>0</formula>
    </cfRule>
    <cfRule type="cellIs" dxfId="82" priority="376" operator="equal">
      <formula>0</formula>
    </cfRule>
  </conditionalFormatting>
  <conditionalFormatting sqref="P154">
    <cfRule type="cellIs" dxfId="81" priority="289" operator="notEqual">
      <formula>0</formula>
    </cfRule>
    <cfRule type="cellIs" dxfId="80" priority="290" operator="equal">
      <formula>0</formula>
    </cfRule>
  </conditionalFormatting>
  <conditionalFormatting sqref="P165">
    <cfRule type="cellIs" dxfId="79" priority="163" operator="notEqual">
      <formula>0</formula>
    </cfRule>
    <cfRule type="cellIs" dxfId="78" priority="164" operator="equal">
      <formula>0</formula>
    </cfRule>
  </conditionalFormatting>
  <conditionalFormatting sqref="P174">
    <cfRule type="cellIs" dxfId="77" priority="281" operator="notEqual">
      <formula>0</formula>
    </cfRule>
    <cfRule type="cellIs" dxfId="76" priority="282" operator="equal">
      <formula>0</formula>
    </cfRule>
  </conditionalFormatting>
  <conditionalFormatting sqref="P180">
    <cfRule type="cellIs" dxfId="75" priority="273" operator="notEqual">
      <formula>0</formula>
    </cfRule>
    <cfRule type="cellIs" dxfId="74" priority="274" operator="equal">
      <formula>0</formula>
    </cfRule>
  </conditionalFormatting>
  <conditionalFormatting sqref="P192">
    <cfRule type="cellIs" dxfId="73" priority="315" operator="notEqual">
      <formula>0</formula>
    </cfRule>
    <cfRule type="cellIs" dxfId="72" priority="316" operator="equal">
      <formula>0</formula>
    </cfRule>
  </conditionalFormatting>
  <conditionalFormatting sqref="P217">
    <cfRule type="cellIs" dxfId="71" priority="365" operator="notEqual">
      <formula>0</formula>
    </cfRule>
    <cfRule type="cellIs" dxfId="70" priority="366" operator="equal">
      <formula>0</formula>
    </cfRule>
  </conditionalFormatting>
  <conditionalFormatting sqref="P228">
    <cfRule type="cellIs" dxfId="69" priority="155" operator="notEqual">
      <formula>0</formula>
    </cfRule>
    <cfRule type="cellIs" dxfId="68" priority="156" operator="equal">
      <formula>0</formula>
    </cfRule>
  </conditionalFormatting>
  <conditionalFormatting sqref="P237">
    <cfRule type="cellIs" dxfId="67" priority="357" operator="notEqual">
      <formula>0</formula>
    </cfRule>
    <cfRule type="cellIs" dxfId="66" priority="358" operator="equal">
      <formula>0</formula>
    </cfRule>
  </conditionalFormatting>
  <conditionalFormatting sqref="P243">
    <cfRule type="cellIs" dxfId="65" priority="349" operator="notEqual">
      <formula>0</formula>
    </cfRule>
    <cfRule type="cellIs" dxfId="64" priority="350" operator="equal">
      <formula>0</formula>
    </cfRule>
  </conditionalFormatting>
  <conditionalFormatting sqref="P255">
    <cfRule type="cellIs" dxfId="63" priority="307" operator="notEqual">
      <formula>0</formula>
    </cfRule>
    <cfRule type="cellIs" dxfId="62" priority="308" operator="equal">
      <formula>0</formula>
    </cfRule>
  </conditionalFormatting>
  <conditionalFormatting sqref="P280">
    <cfRule type="cellIs" dxfId="61" priority="339" operator="notEqual">
      <formula>0</formula>
    </cfRule>
    <cfRule type="cellIs" dxfId="60" priority="340" operator="equal">
      <formula>0</formula>
    </cfRule>
  </conditionalFormatting>
  <conditionalFormatting sqref="P291">
    <cfRule type="cellIs" dxfId="59" priority="147" operator="notEqual">
      <formula>0</formula>
    </cfRule>
    <cfRule type="cellIs" dxfId="58" priority="148" operator="equal">
      <formula>0</formula>
    </cfRule>
  </conditionalFormatting>
  <conditionalFormatting sqref="P300">
    <cfRule type="cellIs" dxfId="57" priority="331" operator="notEqual">
      <formula>0</formula>
    </cfRule>
    <cfRule type="cellIs" dxfId="56" priority="332" operator="equal">
      <formula>0</formula>
    </cfRule>
  </conditionalFormatting>
  <conditionalFormatting sqref="P306">
    <cfRule type="cellIs" dxfId="55" priority="323" operator="notEqual">
      <formula>0</formula>
    </cfRule>
    <cfRule type="cellIs" dxfId="54" priority="324" operator="equal">
      <formula>0</formula>
    </cfRule>
  </conditionalFormatting>
  <conditionalFormatting sqref="P318">
    <cfRule type="cellIs" dxfId="53" priority="299" operator="notEqual">
      <formula>0</formula>
    </cfRule>
    <cfRule type="cellIs" dxfId="52" priority="300" operator="equal">
      <formula>0</formula>
    </cfRule>
  </conditionalFormatting>
  <conditionalFormatting sqref="P343">
    <cfRule type="cellIs" dxfId="51" priority="263" operator="notEqual">
      <formula>0</formula>
    </cfRule>
    <cfRule type="cellIs" dxfId="50" priority="264" operator="equal">
      <formula>0</formula>
    </cfRule>
  </conditionalFormatting>
  <conditionalFormatting sqref="P354">
    <cfRule type="cellIs" dxfId="49" priority="139" operator="notEqual">
      <formula>0</formula>
    </cfRule>
    <cfRule type="cellIs" dxfId="48" priority="140" operator="equal">
      <formula>0</formula>
    </cfRule>
  </conditionalFormatting>
  <conditionalFormatting sqref="P363">
    <cfRule type="cellIs" dxfId="47" priority="255" operator="notEqual">
      <formula>0</formula>
    </cfRule>
    <cfRule type="cellIs" dxfId="46" priority="256" operator="equal">
      <formula>0</formula>
    </cfRule>
  </conditionalFormatting>
  <conditionalFormatting sqref="P369">
    <cfRule type="cellIs" dxfId="45" priority="247" operator="notEqual">
      <formula>0</formula>
    </cfRule>
    <cfRule type="cellIs" dxfId="44" priority="248" operator="equal">
      <formula>0</formula>
    </cfRule>
  </conditionalFormatting>
  <conditionalFormatting sqref="P381">
    <cfRule type="cellIs" dxfId="43" priority="239" operator="notEqual">
      <formula>0</formula>
    </cfRule>
    <cfRule type="cellIs" dxfId="42" priority="240" operator="equal">
      <formula>0</formula>
    </cfRule>
  </conditionalFormatting>
  <conditionalFormatting sqref="P406">
    <cfRule type="cellIs" dxfId="41" priority="229" operator="notEqual">
      <formula>0</formula>
    </cfRule>
    <cfRule type="cellIs" dxfId="40" priority="230" operator="equal">
      <formula>0</formula>
    </cfRule>
  </conditionalFormatting>
  <conditionalFormatting sqref="P417">
    <cfRule type="cellIs" dxfId="39" priority="131" operator="notEqual">
      <formula>0</formula>
    </cfRule>
    <cfRule type="cellIs" dxfId="38" priority="132" operator="equal">
      <formula>0</formula>
    </cfRule>
  </conditionalFormatting>
  <conditionalFormatting sqref="P426">
    <cfRule type="cellIs" dxfId="37" priority="221" operator="notEqual">
      <formula>0</formula>
    </cfRule>
    <cfRule type="cellIs" dxfId="36" priority="222" operator="equal">
      <formula>0</formula>
    </cfRule>
  </conditionalFormatting>
  <conditionalFormatting sqref="P432">
    <cfRule type="cellIs" dxfId="35" priority="213" operator="notEqual">
      <formula>0</formula>
    </cfRule>
    <cfRule type="cellIs" dxfId="34" priority="214" operator="equal">
      <formula>0</formula>
    </cfRule>
  </conditionalFormatting>
  <conditionalFormatting sqref="P444">
    <cfRule type="cellIs" dxfId="33" priority="205" operator="notEqual">
      <formula>0</formula>
    </cfRule>
    <cfRule type="cellIs" dxfId="32" priority="206" operator="equal">
      <formula>0</formula>
    </cfRule>
  </conditionalFormatting>
  <conditionalFormatting sqref="P469">
    <cfRule type="cellIs" dxfId="31" priority="113" operator="notEqual">
      <formula>0</formula>
    </cfRule>
    <cfRule type="cellIs" dxfId="30" priority="114" operator="equal">
      <formula>0</formula>
    </cfRule>
  </conditionalFormatting>
  <conditionalFormatting sqref="P480">
    <cfRule type="cellIs" dxfId="29" priority="81" operator="notEqual">
      <formula>0</formula>
    </cfRule>
    <cfRule type="cellIs" dxfId="28" priority="82" operator="equal">
      <formula>0</formula>
    </cfRule>
  </conditionalFormatting>
  <conditionalFormatting sqref="P489">
    <cfRule type="cellIs" dxfId="27" priority="105" operator="notEqual">
      <formula>0</formula>
    </cfRule>
    <cfRule type="cellIs" dxfId="26" priority="106" operator="equal">
      <formula>0</formula>
    </cfRule>
  </conditionalFormatting>
  <conditionalFormatting sqref="P495">
    <cfRule type="cellIs" dxfId="25" priority="97" operator="notEqual">
      <formula>0</formula>
    </cfRule>
    <cfRule type="cellIs" dxfId="24" priority="98" operator="equal">
      <formula>0</formula>
    </cfRule>
  </conditionalFormatting>
  <conditionalFormatting sqref="P507">
    <cfRule type="cellIs" dxfId="23" priority="89" operator="notEqual">
      <formula>0</formula>
    </cfRule>
    <cfRule type="cellIs" dxfId="22" priority="90" operator="equal">
      <formula>0</formula>
    </cfRule>
  </conditionalFormatting>
  <conditionalFormatting sqref="P532">
    <cfRule type="cellIs" dxfId="21" priority="71" operator="notEqual">
      <formula>0</formula>
    </cfRule>
    <cfRule type="cellIs" dxfId="20" priority="72" operator="equal">
      <formula>0</formula>
    </cfRule>
  </conditionalFormatting>
  <conditionalFormatting sqref="P543">
    <cfRule type="cellIs" dxfId="19" priority="39" operator="notEqual">
      <formula>0</formula>
    </cfRule>
    <cfRule type="cellIs" dxfId="18" priority="40" operator="equal">
      <formula>0</formula>
    </cfRule>
  </conditionalFormatting>
  <conditionalFormatting sqref="P552">
    <cfRule type="cellIs" dxfId="17" priority="63" operator="notEqual">
      <formula>0</formula>
    </cfRule>
    <cfRule type="cellIs" dxfId="16" priority="64" operator="equal">
      <formula>0</formula>
    </cfRule>
  </conditionalFormatting>
  <conditionalFormatting sqref="P558">
    <cfRule type="cellIs" dxfId="15" priority="55" operator="notEqual">
      <formula>0</formula>
    </cfRule>
    <cfRule type="cellIs" dxfId="14" priority="56" operator="equal">
      <formula>0</formula>
    </cfRule>
  </conditionalFormatting>
  <conditionalFormatting sqref="P570">
    <cfRule type="cellIs" dxfId="13" priority="47" operator="notEqual">
      <formula>0</formula>
    </cfRule>
    <cfRule type="cellIs" dxfId="12" priority="48" operator="equal">
      <formula>0</formula>
    </cfRule>
  </conditionalFormatting>
  <conditionalFormatting sqref="X457 AA457 AD457 AG457">
    <cfRule type="cellIs" dxfId="11" priority="37" operator="notEqual">
      <formula>0</formula>
    </cfRule>
    <cfRule type="cellIs" dxfId="10" priority="38" operator="equal">
      <formula>0</formula>
    </cfRule>
  </conditionalFormatting>
  <conditionalFormatting sqref="X520 AA520 AD520 AG520">
    <cfRule type="cellIs" dxfId="9" priority="35" operator="notEqual">
      <formula>0</formula>
    </cfRule>
    <cfRule type="cellIs" dxfId="8" priority="36" operator="equal">
      <formula>0</formula>
    </cfRule>
  </conditionalFormatting>
  <conditionalFormatting sqref="X583 AA583">
    <cfRule type="cellIs" dxfId="7" priority="33" operator="notEqual">
      <formula>0</formula>
    </cfRule>
    <cfRule type="cellIs" dxfId="6" priority="34" operator="equal">
      <formula>0</formula>
    </cfRule>
  </conditionalFormatting>
  <conditionalFormatting sqref="X599 AA599">
    <cfRule type="cellIs" dxfId="5" priority="25" operator="notEqual">
      <formula>0</formula>
    </cfRule>
    <cfRule type="cellIs" dxfId="4" priority="26" operator="equal">
      <formula>0</formula>
    </cfRule>
  </conditionalFormatting>
  <conditionalFormatting sqref="X615 AA615">
    <cfRule type="cellIs" dxfId="3" priority="21" operator="notEqual">
      <formula>0</formula>
    </cfRule>
    <cfRule type="cellIs" dxfId="2" priority="22" operator="equal">
      <formula>0</formula>
    </cfRule>
  </conditionalFormatting>
  <conditionalFormatting sqref="X631 AA631">
    <cfRule type="cellIs" dxfId="1" priority="17" operator="notEqual">
      <formula>0</formula>
    </cfRule>
    <cfRule type="cellIs" dxfId="0" priority="18" operator="equal">
      <formula>0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EBAB-D983-460D-B568-4081174D3832}">
  <sheetPr codeName="Tabelle12">
    <tabColor rgb="FFFF0000"/>
    <pageSetUpPr fitToPage="1"/>
  </sheetPr>
  <dimension ref="A1:F11"/>
  <sheetViews>
    <sheetView workbookViewId="0">
      <selection activeCell="F24" sqref="F24"/>
    </sheetView>
  </sheetViews>
  <sheetFormatPr baseColWidth="10" defaultColWidth="11.42578125" defaultRowHeight="12.75"/>
  <cols>
    <col min="1" max="1" width="36" bestFit="1" customWidth="1"/>
    <col min="2" max="2" width="21.140625" customWidth="1"/>
    <col min="3" max="3" width="33.5703125" customWidth="1"/>
    <col min="5" max="5" width="16.7109375" bestFit="1" customWidth="1"/>
    <col min="6" max="6" width="24.85546875" bestFit="1" customWidth="1"/>
  </cols>
  <sheetData>
    <row r="1" spans="1:6">
      <c r="A1" s="28" t="str">
        <f>+"KWK-Schlüssel für das Kalenderjahr "&amp;'LV Testat'!A1</f>
        <v>KWK-Schlüssel für das Kalenderjahr 2025</v>
      </c>
    </row>
    <row r="2" spans="1:6">
      <c r="D2" s="29">
        <f>'Anlage 1a_Zuschlagszahlungen_NB'!E1</f>
        <v>46280</v>
      </c>
    </row>
    <row r="3" spans="1:6" ht="13.5" thickBot="1"/>
    <row r="4" spans="1:6" ht="15.75">
      <c r="A4" s="329"/>
      <c r="B4" s="330"/>
      <c r="C4" s="328" t="str">
        <f>+"Summe "&amp; 'LV Testat'!A1</f>
        <v>Summe 2025</v>
      </c>
    </row>
    <row r="5" spans="1:6" ht="31.5">
      <c r="A5" s="332"/>
      <c r="B5" s="331" t="s">
        <v>2542</v>
      </c>
      <c r="C5" s="427" t="s">
        <v>2543</v>
      </c>
    </row>
    <row r="6" spans="1:6" ht="16.5" thickBot="1">
      <c r="A6" s="334"/>
      <c r="B6" s="333" t="s">
        <v>2544</v>
      </c>
      <c r="C6" s="333" t="s">
        <v>2098</v>
      </c>
      <c r="E6" s="1180" t="s">
        <v>2545</v>
      </c>
      <c r="F6" s="1180" t="s">
        <v>2546</v>
      </c>
    </row>
    <row r="7" spans="1:6" ht="15.75">
      <c r="A7" s="335" t="s">
        <v>2547</v>
      </c>
      <c r="B7" s="336">
        <f>C7/C11*100</f>
        <v>20.869614500101729</v>
      </c>
      <c r="C7" s="342">
        <v>89654912900</v>
      </c>
      <c r="E7" s="1181">
        <f>+'LV Testat'!E17</f>
        <v>89654912900</v>
      </c>
      <c r="F7" s="1181">
        <f>+E7-C7</f>
        <v>0</v>
      </c>
    </row>
    <row r="8" spans="1:6" ht="15.75">
      <c r="A8" s="337" t="s">
        <v>2548</v>
      </c>
      <c r="B8" s="338">
        <f>C8/C11*100</f>
        <v>35.611710646508847</v>
      </c>
      <c r="C8" s="342">
        <v>152986286173</v>
      </c>
      <c r="E8" s="1181">
        <f>+'LV Testat'!H17</f>
        <v>152986286173</v>
      </c>
      <c r="F8" s="1181">
        <f>+E8-C8</f>
        <v>0</v>
      </c>
    </row>
    <row r="9" spans="1:6" ht="15.75">
      <c r="A9" s="337" t="s">
        <v>2549</v>
      </c>
      <c r="B9" s="338">
        <f>C9/C11*100</f>
        <v>30.588759045190184</v>
      </c>
      <c r="C9" s="342">
        <v>131407914981</v>
      </c>
      <c r="E9" s="1181">
        <f>+'LV Testat'!K17</f>
        <v>131407914981</v>
      </c>
      <c r="F9" s="1181">
        <f>+E9-C9</f>
        <v>0</v>
      </c>
    </row>
    <row r="10" spans="1:6" ht="15.75">
      <c r="A10" s="339" t="s">
        <v>2550</v>
      </c>
      <c r="B10" s="338">
        <f>C10/C11*100</f>
        <v>12.929915808199238</v>
      </c>
      <c r="C10" s="342">
        <v>55546329118</v>
      </c>
      <c r="E10" s="1181">
        <f>+'LV Testat'!N17</f>
        <v>55546329118</v>
      </c>
      <c r="F10" s="1181">
        <f>+E10-C10</f>
        <v>0</v>
      </c>
    </row>
    <row r="11" spans="1:6" ht="16.5" thickBot="1">
      <c r="A11" s="340" t="s">
        <v>2047</v>
      </c>
      <c r="B11" s="341">
        <f>SUM(B7:B10)</f>
        <v>100</v>
      </c>
      <c r="C11" s="343">
        <f>SUM(C7:C10)</f>
        <v>429595443172</v>
      </c>
      <c r="E11" s="1181"/>
      <c r="F11" s="1181"/>
    </row>
  </sheetData>
  <pageMargins left="0.70866141732283472" right="0.70866141732283472" top="0.78740157480314965" bottom="0.78740157480314965" header="0.31496062992125984" footer="0.31496062992125984"/>
  <pageSetup paperSize="9" scale="62" fitToHeight="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81EA-B4B2-4676-BFDD-43C70EF55C77}">
  <sheetPr>
    <tabColor theme="5"/>
  </sheetPr>
  <dimension ref="A1:W164"/>
  <sheetViews>
    <sheetView zoomScaleNormal="100" workbookViewId="0">
      <pane xSplit="1" topLeftCell="B1" activePane="topRight" state="frozen"/>
      <selection activeCell="A4" sqref="A4"/>
      <selection pane="topRight" activeCell="A91" sqref="A91"/>
    </sheetView>
  </sheetViews>
  <sheetFormatPr baseColWidth="10" defaultColWidth="11.42578125" defaultRowHeight="12.75" outlineLevelCol="1"/>
  <cols>
    <col min="1" max="1" width="17.140625" customWidth="1"/>
    <col min="2" max="2" width="15.7109375" customWidth="1"/>
    <col min="4" max="4" width="94.42578125" customWidth="1"/>
    <col min="6" max="6" width="36" customWidth="1"/>
    <col min="11" max="11" width="2.7109375" customWidth="1"/>
    <col min="12" max="12" width="53.28515625" customWidth="1"/>
    <col min="13" max="13" width="2.7109375" customWidth="1"/>
    <col min="14" max="14" width="15.7109375" customWidth="1" outlineLevel="1"/>
    <col min="15" max="15" width="17.5703125" customWidth="1" outlineLevel="1"/>
    <col min="16" max="16" width="15.7109375" customWidth="1" outlineLevel="1"/>
    <col min="17" max="17" width="17.7109375" customWidth="1" outlineLevel="1"/>
    <col min="18" max="18" width="15.7109375" customWidth="1" outlineLevel="1"/>
    <col min="19" max="19" width="18.7109375" customWidth="1" outlineLevel="1"/>
    <col min="20" max="20" width="15.7109375" customWidth="1" outlineLevel="1"/>
    <col min="21" max="21" width="17.5703125" customWidth="1" outlineLevel="1"/>
    <col min="22" max="22" width="2.7109375" customWidth="1" outlineLevel="1"/>
  </cols>
  <sheetData>
    <row r="1" spans="1:23" ht="18">
      <c r="A1" s="1769" t="s">
        <v>87</v>
      </c>
      <c r="B1" s="1770"/>
      <c r="C1" s="1770"/>
      <c r="D1" s="1770"/>
      <c r="E1" s="1770"/>
      <c r="F1" s="1770"/>
      <c r="G1" s="1770"/>
      <c r="H1" s="1770"/>
      <c r="I1" s="1770"/>
      <c r="J1" s="1770"/>
    </row>
    <row r="2" spans="1:23" ht="13.5" thickBot="1">
      <c r="A2" s="1211"/>
      <c r="B2" s="1212"/>
      <c r="C2" s="1212"/>
      <c r="D2" s="1213"/>
      <c r="E2" s="1214"/>
    </row>
    <row r="3" spans="1:23" ht="15.75" thickBot="1">
      <c r="A3" s="1215" t="s">
        <v>88</v>
      </c>
      <c r="B3" s="1215" t="s">
        <v>89</v>
      </c>
      <c r="C3" s="1215" t="s">
        <v>90</v>
      </c>
      <c r="D3" s="1215" t="s">
        <v>91</v>
      </c>
      <c r="E3" s="1215" t="s">
        <v>92</v>
      </c>
      <c r="F3" s="1215" t="s">
        <v>93</v>
      </c>
      <c r="G3" s="1215" t="s">
        <v>94</v>
      </c>
      <c r="H3" s="1215" t="s">
        <v>95</v>
      </c>
      <c r="I3" s="1215" t="s">
        <v>96</v>
      </c>
      <c r="J3" s="1215" t="s">
        <v>97</v>
      </c>
      <c r="N3" s="1747" t="s">
        <v>98</v>
      </c>
      <c r="O3" s="1748"/>
      <c r="P3" s="1747" t="s">
        <v>99</v>
      </c>
      <c r="Q3" s="1748"/>
      <c r="R3" s="1747" t="s">
        <v>100</v>
      </c>
      <c r="S3" s="1748"/>
      <c r="T3" s="1747" t="s">
        <v>101</v>
      </c>
      <c r="U3" s="1748"/>
    </row>
    <row r="4" spans="1:23" ht="90" thickBot="1">
      <c r="A4" s="1216" t="s">
        <v>102</v>
      </c>
      <c r="B4" s="1216" t="s">
        <v>103</v>
      </c>
      <c r="C4" s="1216" t="s">
        <v>104</v>
      </c>
      <c r="D4" s="1216" t="s">
        <v>105</v>
      </c>
      <c r="E4" s="1216" t="s">
        <v>106</v>
      </c>
      <c r="F4" s="1216" t="s">
        <v>107</v>
      </c>
      <c r="G4" s="1216" t="s">
        <v>108</v>
      </c>
      <c r="H4" s="1216" t="s">
        <v>109</v>
      </c>
      <c r="I4" s="1216" t="s">
        <v>110</v>
      </c>
      <c r="J4" s="1216" t="s">
        <v>111</v>
      </c>
      <c r="L4" s="1442" t="s">
        <v>112</v>
      </c>
      <c r="N4" s="1443" t="s">
        <v>113</v>
      </c>
      <c r="O4" s="1442" t="s">
        <v>114</v>
      </c>
      <c r="P4" s="1443" t="s">
        <v>113</v>
      </c>
      <c r="Q4" s="1442" t="s">
        <v>114</v>
      </c>
      <c r="R4" s="1443" t="s">
        <v>113</v>
      </c>
      <c r="S4" s="1442" t="s">
        <v>114</v>
      </c>
      <c r="T4" s="1443" t="s">
        <v>113</v>
      </c>
      <c r="U4" s="1442" t="s">
        <v>114</v>
      </c>
      <c r="W4" s="1442" t="s">
        <v>115</v>
      </c>
    </row>
    <row r="5" spans="1:23" ht="18.75" thickBot="1">
      <c r="A5" s="1755" t="s">
        <v>116</v>
      </c>
      <c r="B5" s="1756"/>
      <c r="C5" s="1756"/>
      <c r="D5" s="1756"/>
      <c r="E5" s="1756"/>
      <c r="F5" s="1756"/>
      <c r="G5" s="1756"/>
      <c r="H5" s="1756"/>
      <c r="I5" s="1756"/>
      <c r="J5" s="1757"/>
    </row>
    <row r="6" spans="1:23" ht="13.5" thickBot="1">
      <c r="A6" s="1752" t="s">
        <v>117</v>
      </c>
      <c r="B6" s="1753"/>
      <c r="C6" s="1753"/>
      <c r="D6" s="1753"/>
      <c r="E6" s="1753"/>
      <c r="F6" s="1753"/>
      <c r="G6" s="1753"/>
      <c r="H6" s="1753"/>
      <c r="I6" s="1753"/>
      <c r="J6" s="1754"/>
      <c r="N6" s="1444"/>
      <c r="O6" s="1444"/>
    </row>
    <row r="7" spans="1:23" ht="13.9" customHeight="1">
      <c r="A7" s="1217" t="s">
        <v>118</v>
      </c>
      <c r="B7" s="1218" t="s">
        <v>119</v>
      </c>
      <c r="C7" s="1219"/>
      <c r="D7" s="1220" t="s">
        <v>120</v>
      </c>
      <c r="E7" s="1221">
        <v>0.4</v>
      </c>
      <c r="F7" s="1222"/>
      <c r="G7" s="1222"/>
      <c r="H7" s="1223">
        <v>43831</v>
      </c>
      <c r="I7" s="1224"/>
      <c r="J7" s="1225"/>
      <c r="L7" s="96" t="s">
        <v>121</v>
      </c>
      <c r="N7" s="1445"/>
      <c r="O7" s="1446"/>
      <c r="P7" s="1445">
        <v>0</v>
      </c>
      <c r="Q7" s="1446">
        <v>0</v>
      </c>
      <c r="R7" s="1592">
        <v>0</v>
      </c>
      <c r="S7" s="1446">
        <v>0</v>
      </c>
      <c r="T7" s="1445">
        <v>0</v>
      </c>
      <c r="U7" s="1446">
        <v>0</v>
      </c>
      <c r="W7" t="s">
        <v>122</v>
      </c>
    </row>
    <row r="8" spans="1:23" ht="13.9" customHeight="1">
      <c r="A8" s="1217" t="s">
        <v>123</v>
      </c>
      <c r="B8" s="1218" t="s">
        <v>124</v>
      </c>
      <c r="C8" s="1219"/>
      <c r="D8" s="1220" t="s">
        <v>125</v>
      </c>
      <c r="E8" s="1221">
        <v>0.8</v>
      </c>
      <c r="F8" s="1226"/>
      <c r="G8" s="1226"/>
      <c r="H8" s="1227">
        <v>43831</v>
      </c>
      <c r="I8" s="1228"/>
      <c r="J8" s="1229"/>
      <c r="L8" s="96" t="s">
        <v>121</v>
      </c>
      <c r="N8" s="1447"/>
      <c r="O8" s="1448"/>
      <c r="P8" s="1447">
        <v>0</v>
      </c>
      <c r="Q8" s="1448">
        <v>0</v>
      </c>
      <c r="R8" s="1593">
        <v>0</v>
      </c>
      <c r="S8" s="1448">
        <v>0</v>
      </c>
      <c r="T8" s="1447">
        <v>0</v>
      </c>
      <c r="U8" s="1448">
        <v>0</v>
      </c>
      <c r="W8" t="s">
        <v>122</v>
      </c>
    </row>
    <row r="9" spans="1:23" ht="13.9" customHeight="1">
      <c r="A9" s="1217" t="s">
        <v>126</v>
      </c>
      <c r="B9" s="1218" t="s">
        <v>127</v>
      </c>
      <c r="C9" s="1219"/>
      <c r="D9" s="1220" t="s">
        <v>128</v>
      </c>
      <c r="E9" s="1221">
        <v>1.2</v>
      </c>
      <c r="F9" s="1226"/>
      <c r="G9" s="1226"/>
      <c r="H9" s="1227">
        <v>43831</v>
      </c>
      <c r="I9" s="1228"/>
      <c r="J9" s="1229"/>
      <c r="L9" s="96" t="s">
        <v>121</v>
      </c>
      <c r="N9" s="1447"/>
      <c r="O9" s="1448"/>
      <c r="P9" s="1447">
        <v>0</v>
      </c>
      <c r="Q9" s="1448">
        <v>0</v>
      </c>
      <c r="R9" s="1594">
        <v>0</v>
      </c>
      <c r="S9" s="1595">
        <v>0</v>
      </c>
      <c r="T9" s="1447">
        <v>0</v>
      </c>
      <c r="U9" s="1448">
        <v>0</v>
      </c>
      <c r="W9" t="s">
        <v>122</v>
      </c>
    </row>
    <row r="10" spans="1:23" ht="13.9" customHeight="1">
      <c r="A10" s="1217" t="s">
        <v>129</v>
      </c>
      <c r="B10" s="1218" t="s">
        <v>130</v>
      </c>
      <c r="C10" s="1219"/>
      <c r="D10" s="1220" t="s">
        <v>131</v>
      </c>
      <c r="E10" s="1221">
        <v>1.8</v>
      </c>
      <c r="F10" s="1226"/>
      <c r="G10" s="1226"/>
      <c r="H10" s="1227">
        <v>43831</v>
      </c>
      <c r="I10" s="1228"/>
      <c r="J10" s="1229"/>
      <c r="L10" s="96" t="s">
        <v>121</v>
      </c>
      <c r="N10" s="1447"/>
      <c r="O10" s="1448"/>
      <c r="P10" s="1447">
        <v>0</v>
      </c>
      <c r="Q10" s="1448">
        <v>0</v>
      </c>
      <c r="R10" s="1596">
        <v>0</v>
      </c>
      <c r="S10" s="1597">
        <v>0</v>
      </c>
      <c r="T10" s="1447">
        <v>0</v>
      </c>
      <c r="U10" s="1448">
        <v>0</v>
      </c>
      <c r="W10" t="s">
        <v>122</v>
      </c>
    </row>
    <row r="11" spans="1:23" ht="13.9" customHeight="1">
      <c r="A11" s="1217" t="s">
        <v>132</v>
      </c>
      <c r="B11" s="1218" t="s">
        <v>133</v>
      </c>
      <c r="C11" s="1219"/>
      <c r="D11" s="1220" t="s">
        <v>134</v>
      </c>
      <c r="E11" s="1221">
        <v>2.2999999999999998</v>
      </c>
      <c r="F11" s="1226"/>
      <c r="G11" s="1226"/>
      <c r="H11" s="1227">
        <v>43831</v>
      </c>
      <c r="I11" s="1228"/>
      <c r="J11" s="1229"/>
      <c r="L11" s="96" t="s">
        <v>121</v>
      </c>
      <c r="N11" s="1447"/>
      <c r="O11" s="1448"/>
      <c r="P11" s="1447">
        <v>0</v>
      </c>
      <c r="Q11" s="1448">
        <v>0</v>
      </c>
      <c r="R11" s="1594">
        <v>0</v>
      </c>
      <c r="S11" s="1597">
        <v>0</v>
      </c>
      <c r="T11" s="1447">
        <v>0</v>
      </c>
      <c r="U11" s="1448">
        <v>0</v>
      </c>
      <c r="W11" t="s">
        <v>122</v>
      </c>
    </row>
    <row r="12" spans="1:23" ht="13.9" customHeight="1">
      <c r="A12" s="1217" t="s">
        <v>135</v>
      </c>
      <c r="B12" s="1218" t="s">
        <v>136</v>
      </c>
      <c r="C12" s="1219"/>
      <c r="D12" s="1220" t="s">
        <v>137</v>
      </c>
      <c r="E12" s="1221">
        <v>3</v>
      </c>
      <c r="F12" s="1226"/>
      <c r="G12" s="1226"/>
      <c r="H12" s="1227">
        <v>43831</v>
      </c>
      <c r="I12" s="1228"/>
      <c r="J12" s="1229"/>
      <c r="L12" s="96" t="s">
        <v>121</v>
      </c>
      <c r="N12" s="1447"/>
      <c r="O12" s="1448"/>
      <c r="P12" s="1447">
        <v>0</v>
      </c>
      <c r="Q12" s="1448">
        <v>0</v>
      </c>
      <c r="R12" s="1596">
        <v>0</v>
      </c>
      <c r="S12" s="1597">
        <v>0</v>
      </c>
      <c r="T12" s="1447">
        <v>0</v>
      </c>
      <c r="U12" s="1448">
        <v>0</v>
      </c>
      <c r="W12" t="s">
        <v>122</v>
      </c>
    </row>
    <row r="13" spans="1:23" ht="13.9" customHeight="1">
      <c r="A13" s="1217" t="s">
        <v>138</v>
      </c>
      <c r="B13" s="1218" t="s">
        <v>139</v>
      </c>
      <c r="C13" s="1219"/>
      <c r="D13" s="1220" t="s">
        <v>140</v>
      </c>
      <c r="E13" s="1221">
        <v>3.8</v>
      </c>
      <c r="F13" s="1226"/>
      <c r="G13" s="1226"/>
      <c r="H13" s="1227">
        <v>43831</v>
      </c>
      <c r="I13" s="1228"/>
      <c r="J13" s="1229"/>
      <c r="L13" s="96" t="s">
        <v>121</v>
      </c>
      <c r="N13" s="1447"/>
      <c r="O13" s="1448"/>
      <c r="P13" s="1447">
        <v>0</v>
      </c>
      <c r="Q13" s="1448">
        <v>0</v>
      </c>
      <c r="R13" s="1593">
        <v>0</v>
      </c>
      <c r="S13" s="1448">
        <v>0</v>
      </c>
      <c r="T13" s="1447">
        <v>0</v>
      </c>
      <c r="U13" s="1448">
        <v>0</v>
      </c>
      <c r="W13" t="s">
        <v>122</v>
      </c>
    </row>
    <row r="14" spans="1:23" ht="13.9" customHeight="1">
      <c r="A14" s="1217" t="s">
        <v>141</v>
      </c>
      <c r="B14" s="1218" t="s">
        <v>142</v>
      </c>
      <c r="C14" s="1219"/>
      <c r="D14" s="1220" t="s">
        <v>143</v>
      </c>
      <c r="E14" s="1221">
        <v>4.7</v>
      </c>
      <c r="F14" s="1226"/>
      <c r="G14" s="1226"/>
      <c r="H14" s="1227">
        <v>43831</v>
      </c>
      <c r="I14" s="1228"/>
      <c r="J14" s="1229"/>
      <c r="L14" s="96" t="s">
        <v>121</v>
      </c>
      <c r="N14" s="1447"/>
      <c r="O14" s="1448"/>
      <c r="P14" s="1447">
        <v>0</v>
      </c>
      <c r="Q14" s="1448">
        <v>0</v>
      </c>
      <c r="R14" s="1594">
        <v>0</v>
      </c>
      <c r="S14" s="1595">
        <v>0</v>
      </c>
      <c r="T14" s="1447">
        <v>0</v>
      </c>
      <c r="U14" s="1448">
        <v>0</v>
      </c>
      <c r="W14" t="s">
        <v>122</v>
      </c>
    </row>
    <row r="15" spans="1:23" ht="13.9" customHeight="1">
      <c r="A15" s="1217" t="s">
        <v>144</v>
      </c>
      <c r="B15" s="1218" t="s">
        <v>145</v>
      </c>
      <c r="C15" s="1219"/>
      <c r="D15" s="1220" t="s">
        <v>146</v>
      </c>
      <c r="E15" s="1221">
        <v>5.7</v>
      </c>
      <c r="F15" s="1226"/>
      <c r="G15" s="1226"/>
      <c r="H15" s="1227">
        <v>43831</v>
      </c>
      <c r="I15" s="1228"/>
      <c r="J15" s="1229"/>
      <c r="L15" s="96" t="s">
        <v>121</v>
      </c>
      <c r="N15" s="1447"/>
      <c r="O15" s="1448"/>
      <c r="P15" s="1447">
        <v>0</v>
      </c>
      <c r="Q15" s="1448">
        <v>0</v>
      </c>
      <c r="R15" s="1596">
        <v>0</v>
      </c>
      <c r="S15" s="1597">
        <v>0</v>
      </c>
      <c r="T15" s="1447">
        <v>0</v>
      </c>
      <c r="U15" s="1448">
        <v>0</v>
      </c>
      <c r="W15" t="s">
        <v>122</v>
      </c>
    </row>
    <row r="16" spans="1:23" ht="13.9" customHeight="1" thickBot="1">
      <c r="A16" s="1217" t="s">
        <v>147</v>
      </c>
      <c r="B16" s="1218" t="s">
        <v>148</v>
      </c>
      <c r="C16" s="1219"/>
      <c r="D16" s="1230" t="s">
        <v>149</v>
      </c>
      <c r="E16" s="1231">
        <v>7</v>
      </c>
      <c r="F16" s="1232"/>
      <c r="G16" s="1232"/>
      <c r="H16" s="1233">
        <v>43831</v>
      </c>
      <c r="I16" s="1234"/>
      <c r="J16" s="1235"/>
      <c r="L16" s="96" t="s">
        <v>121</v>
      </c>
      <c r="N16" s="1447"/>
      <c r="O16" s="1448"/>
      <c r="P16" s="1447">
        <v>0</v>
      </c>
      <c r="Q16" s="1448">
        <v>0</v>
      </c>
      <c r="R16" s="1596">
        <v>0</v>
      </c>
      <c r="S16" s="1448">
        <v>19980927.68</v>
      </c>
      <c r="T16" s="1447">
        <v>0</v>
      </c>
      <c r="U16" s="1448">
        <v>0</v>
      </c>
      <c r="W16" t="s">
        <v>122</v>
      </c>
    </row>
    <row r="17" spans="1:23" ht="13.9" customHeight="1" thickBot="1">
      <c r="A17" s="1752" t="s">
        <v>150</v>
      </c>
      <c r="B17" s="1753"/>
      <c r="C17" s="1753"/>
      <c r="D17" s="1753"/>
      <c r="E17" s="1753"/>
      <c r="F17" s="1753"/>
      <c r="G17" s="1753"/>
      <c r="H17" s="1753"/>
      <c r="I17" s="1753"/>
      <c r="J17" s="1754"/>
      <c r="L17" s="96"/>
      <c r="N17" s="1449"/>
      <c r="O17" s="1450"/>
      <c r="P17" s="1516"/>
      <c r="Q17" s="1517"/>
      <c r="R17" s="1449"/>
      <c r="S17" s="1450"/>
      <c r="T17" s="1516"/>
      <c r="U17" s="1517"/>
    </row>
    <row r="18" spans="1:23" ht="13.9" customHeight="1" thickBot="1">
      <c r="A18" s="1236" t="s">
        <v>151</v>
      </c>
      <c r="B18" s="1237" t="s">
        <v>152</v>
      </c>
      <c r="C18" s="1238"/>
      <c r="D18" s="1239" t="s">
        <v>153</v>
      </c>
      <c r="E18" s="1240" t="s">
        <v>154</v>
      </c>
      <c r="F18" s="1241"/>
      <c r="G18" s="1242"/>
      <c r="H18" s="1243">
        <v>45658</v>
      </c>
      <c r="I18" s="1241"/>
      <c r="J18" s="1244"/>
      <c r="L18" s="96" t="s">
        <v>121</v>
      </c>
      <c r="N18" s="1453"/>
      <c r="O18" s="1448"/>
      <c r="P18" s="1453"/>
      <c r="Q18" s="1448">
        <v>0</v>
      </c>
      <c r="R18" s="1453"/>
      <c r="S18" s="1448">
        <v>0</v>
      </c>
      <c r="T18" s="1453"/>
      <c r="U18" s="1448">
        <v>0</v>
      </c>
      <c r="W18" t="s">
        <v>155</v>
      </c>
    </row>
    <row r="19" spans="1:23" ht="13.9" customHeight="1" thickBot="1">
      <c r="A19" s="1752" t="s">
        <v>156</v>
      </c>
      <c r="B19" s="1753"/>
      <c r="C19" s="1753"/>
      <c r="D19" s="1753"/>
      <c r="E19" s="1753"/>
      <c r="F19" s="1753"/>
      <c r="G19" s="1753"/>
      <c r="H19" s="1753"/>
      <c r="I19" s="1753"/>
      <c r="J19" s="1754"/>
      <c r="L19" s="96"/>
      <c r="N19" s="1449"/>
      <c r="O19" s="1450"/>
      <c r="P19" s="1516"/>
      <c r="Q19" s="1517"/>
      <c r="R19" s="1449"/>
      <c r="S19" s="1450"/>
      <c r="T19" s="1516"/>
      <c r="U19" s="1517"/>
    </row>
    <row r="20" spans="1:23" ht="13.9" customHeight="1">
      <c r="A20" s="1245" t="s">
        <v>157</v>
      </c>
      <c r="B20" s="1246" t="s">
        <v>158</v>
      </c>
      <c r="C20" s="1247"/>
      <c r="D20" s="1248" t="s">
        <v>159</v>
      </c>
      <c r="E20" s="1249" t="s">
        <v>154</v>
      </c>
      <c r="F20" s="1250"/>
      <c r="G20" s="1251"/>
      <c r="H20" s="1252">
        <v>44057</v>
      </c>
      <c r="I20" s="1252"/>
      <c r="J20" s="1253"/>
      <c r="L20" s="96" t="s">
        <v>121</v>
      </c>
      <c r="N20" s="1453"/>
      <c r="O20" s="1448"/>
      <c r="P20" s="1453"/>
      <c r="Q20" s="1448">
        <v>0</v>
      </c>
      <c r="R20" s="1453"/>
      <c r="S20" s="1448">
        <v>0</v>
      </c>
      <c r="T20" s="1453"/>
      <c r="U20" s="1448">
        <v>0</v>
      </c>
      <c r="W20" t="s">
        <v>160</v>
      </c>
    </row>
    <row r="21" spans="1:23" ht="13.9" customHeight="1">
      <c r="A21" s="1217" t="s">
        <v>161</v>
      </c>
      <c r="B21" s="1218" t="s">
        <v>162</v>
      </c>
      <c r="C21" s="1219"/>
      <c r="D21" s="1220" t="s">
        <v>163</v>
      </c>
      <c r="E21" s="1254" t="s">
        <v>154</v>
      </c>
      <c r="F21" s="1226"/>
      <c r="G21" s="1255"/>
      <c r="H21" s="1223">
        <v>44057</v>
      </c>
      <c r="I21" s="1227"/>
      <c r="J21" s="1253"/>
      <c r="L21" s="96" t="s">
        <v>121</v>
      </c>
      <c r="N21" s="1453"/>
      <c r="O21" s="1448">
        <v>16038900</v>
      </c>
      <c r="P21" s="1453"/>
      <c r="Q21" s="1448">
        <v>0</v>
      </c>
      <c r="R21" s="1453"/>
      <c r="S21" s="1448">
        <v>14895000</v>
      </c>
      <c r="T21" s="1453"/>
      <c r="U21" s="1448">
        <v>0</v>
      </c>
      <c r="W21" t="s">
        <v>160</v>
      </c>
    </row>
    <row r="22" spans="1:23" ht="13.9" customHeight="1" thickBot="1">
      <c r="A22" s="1217" t="s">
        <v>164</v>
      </c>
      <c r="B22" s="1218" t="s">
        <v>165</v>
      </c>
      <c r="C22" s="1256"/>
      <c r="D22" s="1230" t="s">
        <v>166</v>
      </c>
      <c r="E22" s="1257" t="s">
        <v>154</v>
      </c>
      <c r="F22" s="1232"/>
      <c r="G22" s="1258"/>
      <c r="H22" s="1259">
        <v>44057</v>
      </c>
      <c r="I22" s="1260"/>
      <c r="J22" s="1261"/>
      <c r="L22" s="96" t="s">
        <v>121</v>
      </c>
      <c r="N22" s="1453"/>
      <c r="O22" s="1448">
        <v>6462300</v>
      </c>
      <c r="P22" s="1453"/>
      <c r="Q22" s="1448">
        <v>0</v>
      </c>
      <c r="R22" s="1453"/>
      <c r="S22" s="1448">
        <v>0</v>
      </c>
      <c r="T22" s="1453"/>
      <c r="U22" s="1448">
        <v>0</v>
      </c>
      <c r="W22" t="s">
        <v>160</v>
      </c>
    </row>
    <row r="23" spans="1:23" ht="13.9" customHeight="1" thickBot="1">
      <c r="A23" s="1262"/>
      <c r="B23" s="1263"/>
      <c r="C23" s="1263"/>
      <c r="D23" s="1264"/>
      <c r="E23" s="1265"/>
      <c r="F23" s="1266"/>
      <c r="G23" s="1266"/>
      <c r="H23" s="1266"/>
      <c r="I23" s="1266"/>
      <c r="J23" s="1267"/>
      <c r="L23" s="96"/>
      <c r="N23" s="1449"/>
      <c r="O23" s="1450"/>
      <c r="P23" s="1516"/>
      <c r="Q23" s="1517"/>
      <c r="R23" s="1449"/>
      <c r="S23" s="1450"/>
      <c r="T23" s="1469"/>
      <c r="U23" s="1470"/>
    </row>
    <row r="24" spans="1:23" ht="13.9" customHeight="1" thickBot="1">
      <c r="A24" s="1749" t="s">
        <v>167</v>
      </c>
      <c r="B24" s="1750"/>
      <c r="C24" s="1750"/>
      <c r="D24" s="1750"/>
      <c r="E24" s="1750"/>
      <c r="F24" s="1750"/>
      <c r="G24" s="1750"/>
      <c r="H24" s="1750"/>
      <c r="I24" s="1750"/>
      <c r="J24" s="1751"/>
      <c r="L24" s="96"/>
      <c r="N24" s="1449"/>
      <c r="O24" s="1450"/>
      <c r="P24" s="1516"/>
      <c r="Q24" s="1517"/>
      <c r="R24" s="1449"/>
      <c r="S24" s="1450"/>
      <c r="T24" s="1469"/>
      <c r="U24" s="1470"/>
    </row>
    <row r="25" spans="1:23" ht="13.9" customHeight="1" thickBot="1">
      <c r="A25" s="1752" t="s">
        <v>168</v>
      </c>
      <c r="B25" s="1753"/>
      <c r="C25" s="1753"/>
      <c r="D25" s="1753"/>
      <c r="E25" s="1753"/>
      <c r="F25" s="1753"/>
      <c r="G25" s="1753"/>
      <c r="H25" s="1753"/>
      <c r="I25" s="1753"/>
      <c r="J25" s="1754"/>
      <c r="L25" s="96"/>
      <c r="N25" s="1449"/>
      <c r="O25" s="1450"/>
      <c r="P25" s="1516"/>
      <c r="Q25" s="1517"/>
      <c r="R25" s="1449"/>
      <c r="S25" s="1450"/>
      <c r="T25" s="1469"/>
      <c r="U25" s="1470"/>
    </row>
    <row r="26" spans="1:23" ht="13.9" customHeight="1" thickBot="1">
      <c r="A26" s="1236" t="s">
        <v>169</v>
      </c>
      <c r="B26" s="1237" t="s">
        <v>170</v>
      </c>
      <c r="C26" s="1238"/>
      <c r="D26" s="1239" t="s">
        <v>171</v>
      </c>
      <c r="E26" s="1240" t="s">
        <v>154</v>
      </c>
      <c r="F26" s="1268" t="s">
        <v>172</v>
      </c>
      <c r="G26" s="1240" t="s">
        <v>154</v>
      </c>
      <c r="H26" s="1243">
        <v>42736</v>
      </c>
      <c r="I26" s="1243"/>
      <c r="J26" s="1253"/>
      <c r="L26" s="244" t="s">
        <v>173</v>
      </c>
      <c r="N26" s="1447">
        <v>504178226</v>
      </c>
      <c r="O26" s="1448">
        <v>31092502.34</v>
      </c>
      <c r="P26" s="1447">
        <v>670120214</v>
      </c>
      <c r="Q26" s="1448">
        <v>33086904.519999996</v>
      </c>
      <c r="R26" s="1447">
        <v>371197670.73699999</v>
      </c>
      <c r="S26" s="1448">
        <v>27503659.729999993</v>
      </c>
      <c r="T26" s="1447">
        <v>162286808</v>
      </c>
      <c r="U26" s="1448">
        <v>10534118.189999999</v>
      </c>
      <c r="W26" t="s">
        <v>171</v>
      </c>
    </row>
    <row r="27" spans="1:23" ht="13.9" customHeight="1" thickBot="1">
      <c r="A27" s="1752" t="s">
        <v>174</v>
      </c>
      <c r="B27" s="1753"/>
      <c r="C27" s="1753"/>
      <c r="D27" s="1753"/>
      <c r="E27" s="1753"/>
      <c r="F27" s="1753"/>
      <c r="G27" s="1753"/>
      <c r="H27" s="1753"/>
      <c r="I27" s="1753"/>
      <c r="J27" s="1754"/>
      <c r="L27" s="96"/>
      <c r="N27" s="1516"/>
      <c r="O27" s="1450"/>
      <c r="P27" s="1516"/>
      <c r="Q27" s="1517"/>
      <c r="R27" s="1449"/>
      <c r="S27" s="1450"/>
      <c r="T27" s="1469"/>
      <c r="U27" s="1470"/>
    </row>
    <row r="28" spans="1:23" ht="13.9" customHeight="1">
      <c r="A28" s="1269" t="s">
        <v>175</v>
      </c>
      <c r="B28" s="1270" t="s">
        <v>176</v>
      </c>
      <c r="C28" s="1271"/>
      <c r="D28" s="1272" t="s">
        <v>177</v>
      </c>
      <c r="E28" s="1221">
        <v>8</v>
      </c>
      <c r="F28" s="1273" t="s">
        <v>178</v>
      </c>
      <c r="G28" s="1274" t="s">
        <v>154</v>
      </c>
      <c r="H28" s="1275">
        <v>42370</v>
      </c>
      <c r="I28" s="1276"/>
      <c r="J28" s="1277"/>
      <c r="L28" s="96" t="s">
        <v>179</v>
      </c>
      <c r="N28" s="1447">
        <v>73850071</v>
      </c>
      <c r="O28" s="1448">
        <v>5908005.6799999997</v>
      </c>
      <c r="P28" s="1447">
        <v>77943986</v>
      </c>
      <c r="Q28" s="1448">
        <v>6235518.879999999</v>
      </c>
      <c r="R28" s="1447">
        <v>110904816.21600001</v>
      </c>
      <c r="S28" s="1448">
        <v>8872385.2899999991</v>
      </c>
      <c r="T28" s="1447">
        <v>87103042</v>
      </c>
      <c r="U28" s="1448">
        <v>6968243.3499999996</v>
      </c>
      <c r="W28" t="s">
        <v>180</v>
      </c>
    </row>
    <row r="29" spans="1:23" ht="13.9" customHeight="1">
      <c r="A29" s="1269" t="s">
        <v>181</v>
      </c>
      <c r="B29" s="1270" t="s">
        <v>176</v>
      </c>
      <c r="C29" s="1271"/>
      <c r="D29" s="1278" t="s">
        <v>182</v>
      </c>
      <c r="E29" s="1279">
        <v>6</v>
      </c>
      <c r="F29" s="1280" t="s">
        <v>183</v>
      </c>
      <c r="G29" s="1281" t="s">
        <v>154</v>
      </c>
      <c r="H29" s="1282">
        <v>42370</v>
      </c>
      <c r="I29" s="1282"/>
      <c r="J29" s="1283"/>
      <c r="L29" s="96" t="s">
        <v>179</v>
      </c>
      <c r="N29" s="1447">
        <v>22600974</v>
      </c>
      <c r="O29" s="1448">
        <v>1356058.44</v>
      </c>
      <c r="P29" s="1447">
        <v>18791617</v>
      </c>
      <c r="Q29" s="1448">
        <v>1127497.02</v>
      </c>
      <c r="R29" s="1447">
        <v>25312059.077999994</v>
      </c>
      <c r="S29" s="1448">
        <v>1518723.5299999993</v>
      </c>
      <c r="T29" s="1447">
        <v>18789459</v>
      </c>
      <c r="U29" s="1448">
        <v>1127367.54</v>
      </c>
      <c r="W29" t="s">
        <v>180</v>
      </c>
    </row>
    <row r="30" spans="1:23" ht="13.9" customHeight="1">
      <c r="A30" s="1269" t="s">
        <v>184</v>
      </c>
      <c r="B30" s="1270" t="s">
        <v>176</v>
      </c>
      <c r="C30" s="1271"/>
      <c r="D30" s="1278" t="s">
        <v>185</v>
      </c>
      <c r="E30" s="1279">
        <v>5</v>
      </c>
      <c r="F30" s="1280" t="s">
        <v>183</v>
      </c>
      <c r="G30" s="1281" t="s">
        <v>154</v>
      </c>
      <c r="H30" s="1282">
        <v>42370</v>
      </c>
      <c r="I30" s="1282"/>
      <c r="J30" s="1283"/>
      <c r="L30" s="96" t="s">
        <v>179</v>
      </c>
      <c r="N30" s="1447">
        <v>55951436</v>
      </c>
      <c r="O30" s="1448">
        <v>2797571.8</v>
      </c>
      <c r="P30" s="1447">
        <v>33002486</v>
      </c>
      <c r="Q30" s="1448">
        <v>1650124.2999999996</v>
      </c>
      <c r="R30" s="1447">
        <v>55124158.302999981</v>
      </c>
      <c r="S30" s="1448">
        <v>2756207.9200000013</v>
      </c>
      <c r="T30" s="1447">
        <v>33247793</v>
      </c>
      <c r="U30" s="1448">
        <v>1662389.65</v>
      </c>
      <c r="W30" t="s">
        <v>180</v>
      </c>
    </row>
    <row r="31" spans="1:23" ht="13.9" customHeight="1">
      <c r="A31" s="1269" t="s">
        <v>186</v>
      </c>
      <c r="B31" s="1270" t="s">
        <v>176</v>
      </c>
      <c r="C31" s="1271"/>
      <c r="D31" s="1278" t="s">
        <v>187</v>
      </c>
      <c r="E31" s="1279">
        <v>4.4000000000000004</v>
      </c>
      <c r="F31" s="1280" t="s">
        <v>183</v>
      </c>
      <c r="G31" s="1281" t="s">
        <v>154</v>
      </c>
      <c r="H31" s="1282">
        <v>42370</v>
      </c>
      <c r="I31" s="1282"/>
      <c r="J31" s="1283"/>
      <c r="L31" s="96" t="s">
        <v>179</v>
      </c>
      <c r="N31" s="1447">
        <v>204493040</v>
      </c>
      <c r="O31" s="1448">
        <v>8997693.7200000007</v>
      </c>
      <c r="P31" s="1447">
        <v>64948641</v>
      </c>
      <c r="Q31" s="1448">
        <v>2857740.21</v>
      </c>
      <c r="R31" s="1447">
        <v>141655642.94899997</v>
      </c>
      <c r="S31" s="1448">
        <v>6232848.2899999982</v>
      </c>
      <c r="T31" s="1447">
        <v>74308846</v>
      </c>
      <c r="U31" s="1448">
        <v>3269589.22</v>
      </c>
      <c r="W31" t="s">
        <v>180</v>
      </c>
    </row>
    <row r="32" spans="1:23" ht="13.9" customHeight="1">
      <c r="A32" s="1269" t="s">
        <v>188</v>
      </c>
      <c r="B32" s="1270" t="s">
        <v>189</v>
      </c>
      <c r="C32" s="1271"/>
      <c r="D32" s="1278" t="s">
        <v>190</v>
      </c>
      <c r="E32" s="1279">
        <v>3.1</v>
      </c>
      <c r="F32" s="1280" t="s">
        <v>183</v>
      </c>
      <c r="G32" s="1281" t="s">
        <v>154</v>
      </c>
      <c r="H32" s="1282">
        <v>42370</v>
      </c>
      <c r="I32" s="1282">
        <v>44196</v>
      </c>
      <c r="J32" s="1283"/>
      <c r="L32" s="96" t="s">
        <v>191</v>
      </c>
      <c r="N32" s="1447">
        <v>21385028</v>
      </c>
      <c r="O32" s="1448">
        <v>662935.86</v>
      </c>
      <c r="P32" s="1447">
        <v>0</v>
      </c>
      <c r="Q32" s="1448">
        <v>0</v>
      </c>
      <c r="R32" s="1447">
        <v>39943022.57</v>
      </c>
      <c r="S32" s="1448">
        <v>1238233.7000000002</v>
      </c>
      <c r="T32" s="1447">
        <v>0</v>
      </c>
      <c r="U32" s="1448">
        <v>0</v>
      </c>
      <c r="W32" t="s">
        <v>180</v>
      </c>
    </row>
    <row r="33" spans="1:23" ht="13.9" customHeight="1">
      <c r="A33" s="1269" t="s">
        <v>192</v>
      </c>
      <c r="B33" s="1270" t="s">
        <v>193</v>
      </c>
      <c r="C33" s="1271"/>
      <c r="D33" s="1284" t="s">
        <v>194</v>
      </c>
      <c r="E33" s="1285">
        <v>3.4</v>
      </c>
      <c r="F33" s="1280">
        <v>30000</v>
      </c>
      <c r="G33" s="1281" t="s">
        <v>154</v>
      </c>
      <c r="H33" s="1282">
        <v>44197</v>
      </c>
      <c r="I33" s="1282"/>
      <c r="J33" s="1283"/>
      <c r="L33" s="96" t="s">
        <v>191</v>
      </c>
      <c r="N33" s="1447">
        <v>299418610</v>
      </c>
      <c r="O33" s="1448">
        <v>11677325.789999999</v>
      </c>
      <c r="P33" s="1447">
        <v>163370795</v>
      </c>
      <c r="Q33" s="1448">
        <v>5554607.0299999993</v>
      </c>
      <c r="R33" s="1447">
        <v>961907671.21200001</v>
      </c>
      <c r="S33" s="1448">
        <v>32704860.82</v>
      </c>
      <c r="T33" s="1447">
        <v>139678294</v>
      </c>
      <c r="U33" s="1448">
        <v>4749062</v>
      </c>
      <c r="W33" t="s">
        <v>180</v>
      </c>
    </row>
    <row r="34" spans="1:23" ht="13.9" customHeight="1">
      <c r="A34" s="1269" t="s">
        <v>195</v>
      </c>
      <c r="B34" s="1270" t="s">
        <v>196</v>
      </c>
      <c r="C34" s="1271"/>
      <c r="D34" s="1284" t="s">
        <v>197</v>
      </c>
      <c r="E34" s="1285">
        <v>3.9</v>
      </c>
      <c r="F34" s="1280">
        <v>30000</v>
      </c>
      <c r="G34" s="1281" t="s">
        <v>154</v>
      </c>
      <c r="H34" s="1282">
        <v>44927</v>
      </c>
      <c r="I34" s="1282"/>
      <c r="J34" s="1283"/>
      <c r="L34" s="96" t="s">
        <v>191</v>
      </c>
      <c r="N34" s="1447">
        <v>772444535</v>
      </c>
      <c r="O34" s="1448">
        <v>26263114.190000001</v>
      </c>
      <c r="P34" s="1447">
        <v>462690179</v>
      </c>
      <c r="Q34" s="1448">
        <v>18044916.98</v>
      </c>
      <c r="R34" s="1447">
        <v>0</v>
      </c>
      <c r="S34" s="1448">
        <v>0</v>
      </c>
      <c r="T34" s="1447">
        <v>0</v>
      </c>
      <c r="U34" s="1448">
        <v>0</v>
      </c>
      <c r="W34" t="s">
        <v>180</v>
      </c>
    </row>
    <row r="35" spans="1:23" ht="13.9" customHeight="1">
      <c r="A35" s="1269" t="s">
        <v>198</v>
      </c>
      <c r="B35" s="1270" t="s">
        <v>199</v>
      </c>
      <c r="C35" s="1271"/>
      <c r="D35" s="1284" t="s">
        <v>200</v>
      </c>
      <c r="E35" s="1285">
        <v>3.4</v>
      </c>
      <c r="F35" s="1286" t="s">
        <v>201</v>
      </c>
      <c r="G35" s="1281" t="s">
        <v>154</v>
      </c>
      <c r="H35" s="1282">
        <v>44197</v>
      </c>
      <c r="I35" s="1282"/>
      <c r="J35" s="1283"/>
      <c r="L35" s="96" t="s">
        <v>191</v>
      </c>
      <c r="N35" s="1447">
        <v>454563384</v>
      </c>
      <c r="O35" s="1448">
        <v>15455155.060000001</v>
      </c>
      <c r="P35" s="1447">
        <v>243114537</v>
      </c>
      <c r="Q35" s="1448">
        <v>8265894.25</v>
      </c>
      <c r="R35" s="1447">
        <v>1796345759.1850002</v>
      </c>
      <c r="S35" s="1448">
        <v>61075755.820000008</v>
      </c>
      <c r="T35" s="1447">
        <v>0</v>
      </c>
      <c r="U35" s="1448">
        <v>0</v>
      </c>
      <c r="W35" t="s">
        <v>180</v>
      </c>
    </row>
    <row r="36" spans="1:23" ht="13.9" customHeight="1">
      <c r="A36" s="1269" t="s">
        <v>202</v>
      </c>
      <c r="B36" s="1270" t="s">
        <v>203</v>
      </c>
      <c r="C36" s="1271"/>
      <c r="D36" s="1284" t="s">
        <v>204</v>
      </c>
      <c r="E36" s="1285">
        <v>3.1</v>
      </c>
      <c r="F36" s="1286" t="s">
        <v>205</v>
      </c>
      <c r="G36" s="1281" t="s">
        <v>154</v>
      </c>
      <c r="H36" s="1282">
        <v>44197</v>
      </c>
      <c r="I36" s="1282"/>
      <c r="J36" s="1283"/>
      <c r="L36" s="96" t="s">
        <v>191</v>
      </c>
      <c r="N36" s="1447"/>
      <c r="O36" s="1448"/>
      <c r="P36" s="1447">
        <v>0</v>
      </c>
      <c r="Q36" s="1448">
        <v>0</v>
      </c>
      <c r="R36" s="1447">
        <v>0</v>
      </c>
      <c r="S36" s="1448">
        <v>0</v>
      </c>
      <c r="T36" s="1447">
        <v>0</v>
      </c>
      <c r="U36" s="1448">
        <v>0</v>
      </c>
      <c r="W36" t="s">
        <v>180</v>
      </c>
    </row>
    <row r="37" spans="1:23" ht="13.9" customHeight="1">
      <c r="A37" s="1287" t="s">
        <v>206</v>
      </c>
      <c r="B37" s="1288" t="s">
        <v>176</v>
      </c>
      <c r="C37" s="1288" t="s">
        <v>207</v>
      </c>
      <c r="D37" s="1278" t="s">
        <v>208</v>
      </c>
      <c r="E37" s="1285">
        <v>8.6</v>
      </c>
      <c r="F37" s="1280" t="s">
        <v>178</v>
      </c>
      <c r="G37" s="1281" t="s">
        <v>154</v>
      </c>
      <c r="H37" s="1282">
        <v>42370</v>
      </c>
      <c r="I37" s="1282">
        <v>44056</v>
      </c>
      <c r="J37" s="1283"/>
      <c r="L37" s="96" t="s">
        <v>179</v>
      </c>
      <c r="N37" s="1447"/>
      <c r="O37" s="1448"/>
      <c r="P37" s="1447">
        <v>195283</v>
      </c>
      <c r="Q37" s="1448">
        <v>16794.34</v>
      </c>
      <c r="R37" s="1447">
        <v>0</v>
      </c>
      <c r="S37" s="1448">
        <v>0</v>
      </c>
      <c r="T37" s="1447">
        <v>0</v>
      </c>
      <c r="U37" s="1448">
        <v>0</v>
      </c>
      <c r="W37" t="s">
        <v>180</v>
      </c>
    </row>
    <row r="38" spans="1:23" ht="13.9" customHeight="1">
      <c r="A38" s="1269" t="s">
        <v>209</v>
      </c>
      <c r="B38" s="1270" t="s">
        <v>176</v>
      </c>
      <c r="C38" s="1270" t="s">
        <v>207</v>
      </c>
      <c r="D38" s="1272" t="s">
        <v>210</v>
      </c>
      <c r="E38" s="1285">
        <v>6.6</v>
      </c>
      <c r="F38" s="1280" t="s">
        <v>183</v>
      </c>
      <c r="G38" s="1281" t="s">
        <v>154</v>
      </c>
      <c r="H38" s="1282">
        <v>42370</v>
      </c>
      <c r="I38" s="1282">
        <v>44056</v>
      </c>
      <c r="J38" s="1283"/>
      <c r="L38" s="96" t="s">
        <v>179</v>
      </c>
      <c r="N38" s="1447"/>
      <c r="O38" s="1448"/>
      <c r="P38" s="1447">
        <v>195283</v>
      </c>
      <c r="Q38" s="1448">
        <v>12888.68</v>
      </c>
      <c r="R38" s="1447">
        <v>0</v>
      </c>
      <c r="S38" s="1448">
        <v>0</v>
      </c>
      <c r="T38" s="1447">
        <v>0</v>
      </c>
      <c r="U38" s="1448">
        <v>0</v>
      </c>
      <c r="W38" t="s">
        <v>180</v>
      </c>
    </row>
    <row r="39" spans="1:23" ht="13.9" customHeight="1">
      <c r="A39" s="1269" t="s">
        <v>211</v>
      </c>
      <c r="B39" s="1270" t="s">
        <v>176</v>
      </c>
      <c r="C39" s="1270" t="s">
        <v>207</v>
      </c>
      <c r="D39" s="1272" t="s">
        <v>212</v>
      </c>
      <c r="E39" s="1285">
        <v>5.6</v>
      </c>
      <c r="F39" s="1280" t="s">
        <v>183</v>
      </c>
      <c r="G39" s="1281" t="s">
        <v>154</v>
      </c>
      <c r="H39" s="1282">
        <v>42370</v>
      </c>
      <c r="I39" s="1282">
        <v>44056</v>
      </c>
      <c r="J39" s="1283"/>
      <c r="L39" s="96" t="s">
        <v>179</v>
      </c>
      <c r="N39" s="1447"/>
      <c r="O39" s="1448"/>
      <c r="P39" s="1447">
        <v>585849</v>
      </c>
      <c r="Q39" s="1448">
        <v>32807.549999999996</v>
      </c>
      <c r="R39" s="1447">
        <v>0</v>
      </c>
      <c r="S39" s="1448">
        <v>0</v>
      </c>
      <c r="T39" s="1447">
        <v>0</v>
      </c>
      <c r="U39" s="1448">
        <v>0</v>
      </c>
      <c r="W39" t="s">
        <v>180</v>
      </c>
    </row>
    <row r="40" spans="1:23" ht="13.9" customHeight="1">
      <c r="A40" s="1269" t="s">
        <v>213</v>
      </c>
      <c r="B40" s="1270" t="s">
        <v>176</v>
      </c>
      <c r="C40" s="1270" t="s">
        <v>207</v>
      </c>
      <c r="D40" s="1272" t="s">
        <v>214</v>
      </c>
      <c r="E40" s="1285">
        <v>5</v>
      </c>
      <c r="F40" s="1280" t="s">
        <v>183</v>
      </c>
      <c r="G40" s="1281" t="s">
        <v>154</v>
      </c>
      <c r="H40" s="1282">
        <v>42370</v>
      </c>
      <c r="I40" s="1282">
        <v>44056</v>
      </c>
      <c r="J40" s="1283"/>
      <c r="L40" s="96" t="s">
        <v>179</v>
      </c>
      <c r="N40" s="1447"/>
      <c r="O40" s="1448"/>
      <c r="P40" s="1447">
        <v>4142752</v>
      </c>
      <c r="Q40" s="1448">
        <v>207137.59999999998</v>
      </c>
      <c r="R40" s="1447">
        <v>0</v>
      </c>
      <c r="S40" s="1448">
        <v>0</v>
      </c>
      <c r="T40" s="1447">
        <v>0</v>
      </c>
      <c r="U40" s="1448">
        <v>0</v>
      </c>
      <c r="W40" t="s">
        <v>180</v>
      </c>
    </row>
    <row r="41" spans="1:23" ht="13.9" customHeight="1">
      <c r="A41" s="1289" t="s">
        <v>215</v>
      </c>
      <c r="B41" s="1270" t="s">
        <v>189</v>
      </c>
      <c r="C41" s="1270" t="s">
        <v>207</v>
      </c>
      <c r="D41" s="1290" t="s">
        <v>216</v>
      </c>
      <c r="E41" s="1279">
        <v>3.7</v>
      </c>
      <c r="F41" s="1280" t="s">
        <v>183</v>
      </c>
      <c r="G41" s="1281" t="s">
        <v>154</v>
      </c>
      <c r="H41" s="1282">
        <v>42370</v>
      </c>
      <c r="I41" s="1282">
        <v>44056</v>
      </c>
      <c r="J41" s="1283"/>
      <c r="L41" s="96" t="s">
        <v>191</v>
      </c>
      <c r="N41" s="1447"/>
      <c r="O41" s="1448"/>
      <c r="P41" s="1447">
        <v>16639527</v>
      </c>
      <c r="Q41" s="1448">
        <v>615662.5</v>
      </c>
      <c r="R41" s="1447">
        <v>0</v>
      </c>
      <c r="S41" s="1448">
        <v>0</v>
      </c>
      <c r="T41" s="1447">
        <v>0</v>
      </c>
      <c r="U41" s="1448">
        <v>0</v>
      </c>
      <c r="W41" t="s">
        <v>180</v>
      </c>
    </row>
    <row r="42" spans="1:23" ht="13.9" customHeight="1">
      <c r="A42" s="1269" t="s">
        <v>217</v>
      </c>
      <c r="B42" s="1270" t="s">
        <v>193</v>
      </c>
      <c r="C42" s="1270" t="s">
        <v>218</v>
      </c>
      <c r="D42" s="1284" t="s">
        <v>219</v>
      </c>
      <c r="E42" s="1221">
        <v>4</v>
      </c>
      <c r="F42" s="1280">
        <v>30000</v>
      </c>
      <c r="G42" s="1281" t="s">
        <v>154</v>
      </c>
      <c r="H42" s="1282">
        <v>44197</v>
      </c>
      <c r="I42" s="1282"/>
      <c r="J42" s="1283"/>
      <c r="L42" s="96" t="s">
        <v>191</v>
      </c>
      <c r="N42" s="1447"/>
      <c r="O42" s="1448"/>
      <c r="P42" s="1447">
        <v>0</v>
      </c>
      <c r="Q42" s="1448">
        <v>0</v>
      </c>
      <c r="R42" s="1447">
        <v>0</v>
      </c>
      <c r="S42" s="1448">
        <v>0</v>
      </c>
      <c r="T42" s="1447">
        <v>0</v>
      </c>
      <c r="U42" s="1448">
        <v>0</v>
      </c>
      <c r="W42" t="s">
        <v>180</v>
      </c>
    </row>
    <row r="43" spans="1:23" ht="13.9" customHeight="1">
      <c r="A43" s="1269" t="s">
        <v>220</v>
      </c>
      <c r="B43" s="1270" t="s">
        <v>199</v>
      </c>
      <c r="C43" s="1270" t="s">
        <v>218</v>
      </c>
      <c r="D43" s="1284" t="s">
        <v>221</v>
      </c>
      <c r="E43" s="1221">
        <v>4</v>
      </c>
      <c r="F43" s="1286" t="s">
        <v>201</v>
      </c>
      <c r="G43" s="1281" t="s">
        <v>154</v>
      </c>
      <c r="H43" s="1282">
        <v>44197</v>
      </c>
      <c r="I43" s="1282"/>
      <c r="J43" s="1283"/>
      <c r="L43" s="96" t="s">
        <v>191</v>
      </c>
      <c r="N43" s="1447"/>
      <c r="O43" s="1448"/>
      <c r="P43" s="1447">
        <v>9281416</v>
      </c>
      <c r="Q43" s="1448">
        <v>371256.64</v>
      </c>
      <c r="R43" s="1447">
        <v>0</v>
      </c>
      <c r="S43" s="1448">
        <v>0</v>
      </c>
      <c r="T43" s="1447">
        <v>0</v>
      </c>
      <c r="U43" s="1448">
        <v>0</v>
      </c>
      <c r="W43" t="s">
        <v>180</v>
      </c>
    </row>
    <row r="44" spans="1:23" ht="13.9" customHeight="1">
      <c r="A44" s="1291" t="s">
        <v>222</v>
      </c>
      <c r="B44" s="1292" t="s">
        <v>203</v>
      </c>
      <c r="C44" s="1292" t="s">
        <v>218</v>
      </c>
      <c r="D44" s="1278" t="s">
        <v>223</v>
      </c>
      <c r="E44" s="1279">
        <v>3.7</v>
      </c>
      <c r="F44" s="1286" t="s">
        <v>205</v>
      </c>
      <c r="G44" s="1281" t="s">
        <v>154</v>
      </c>
      <c r="H44" s="1282">
        <v>44197</v>
      </c>
      <c r="I44" s="1282"/>
      <c r="J44" s="1283"/>
      <c r="L44" s="96" t="s">
        <v>191</v>
      </c>
      <c r="N44" s="1447"/>
      <c r="O44" s="1448"/>
      <c r="P44" s="1447">
        <v>0</v>
      </c>
      <c r="Q44" s="1448">
        <v>0</v>
      </c>
      <c r="R44" s="1447">
        <v>0</v>
      </c>
      <c r="S44" s="1448">
        <v>0</v>
      </c>
      <c r="T44" s="1447">
        <v>0</v>
      </c>
      <c r="U44" s="1448">
        <v>0</v>
      </c>
      <c r="W44" t="s">
        <v>180</v>
      </c>
    </row>
    <row r="45" spans="1:23" ht="13.9" customHeight="1">
      <c r="A45" s="1269" t="s">
        <v>224</v>
      </c>
      <c r="B45" s="1270" t="s">
        <v>176</v>
      </c>
      <c r="C45" s="1270" t="s">
        <v>225</v>
      </c>
      <c r="D45" s="1272" t="s">
        <v>226</v>
      </c>
      <c r="E45" s="1221">
        <v>8.3000000000000007</v>
      </c>
      <c r="F45" s="1280" t="s">
        <v>178</v>
      </c>
      <c r="G45" s="1281" t="s">
        <v>154</v>
      </c>
      <c r="H45" s="1282">
        <v>42370</v>
      </c>
      <c r="I45" s="1282">
        <v>44196</v>
      </c>
      <c r="J45" s="1283"/>
      <c r="L45" s="96" t="s">
        <v>179</v>
      </c>
      <c r="N45" s="1447">
        <v>2837719</v>
      </c>
      <c r="O45" s="1448">
        <v>235530.71</v>
      </c>
      <c r="P45" s="1447">
        <v>1880989</v>
      </c>
      <c r="Q45" s="1448">
        <v>156122.11000000002</v>
      </c>
      <c r="R45" s="1447">
        <v>1622680.3240000003</v>
      </c>
      <c r="S45" s="1448">
        <v>134682.47</v>
      </c>
      <c r="T45" s="1447">
        <v>312217</v>
      </c>
      <c r="U45" s="1448">
        <v>25914.01</v>
      </c>
      <c r="W45" t="s">
        <v>180</v>
      </c>
    </row>
    <row r="46" spans="1:23" ht="13.9" customHeight="1">
      <c r="A46" s="1269" t="s">
        <v>227</v>
      </c>
      <c r="B46" s="1270" t="s">
        <v>176</v>
      </c>
      <c r="C46" s="1270" t="s">
        <v>225</v>
      </c>
      <c r="D46" s="1278" t="s">
        <v>228</v>
      </c>
      <c r="E46" s="1279">
        <v>6.3</v>
      </c>
      <c r="F46" s="1280" t="s">
        <v>183</v>
      </c>
      <c r="G46" s="1281" t="s">
        <v>154</v>
      </c>
      <c r="H46" s="1282">
        <v>42370</v>
      </c>
      <c r="I46" s="1282">
        <v>44196</v>
      </c>
      <c r="J46" s="1283"/>
      <c r="L46" s="96" t="s">
        <v>179</v>
      </c>
      <c r="N46" s="1447">
        <v>2837715</v>
      </c>
      <c r="O46" s="1448">
        <v>178776.08</v>
      </c>
      <c r="P46" s="1447">
        <v>1880988</v>
      </c>
      <c r="Q46" s="1448">
        <v>118502.26000000001</v>
      </c>
      <c r="R46" s="1447">
        <v>1622679.2940000002</v>
      </c>
      <c r="S46" s="1448">
        <v>102228.80000000002</v>
      </c>
      <c r="T46" s="1447">
        <v>312217</v>
      </c>
      <c r="U46" s="1448">
        <v>19669.669999999998</v>
      </c>
      <c r="W46" t="s">
        <v>180</v>
      </c>
    </row>
    <row r="47" spans="1:23" ht="13.9" customHeight="1">
      <c r="A47" s="1269" t="s">
        <v>229</v>
      </c>
      <c r="B47" s="1270" t="s">
        <v>176</v>
      </c>
      <c r="C47" s="1270" t="s">
        <v>225</v>
      </c>
      <c r="D47" s="1278" t="s">
        <v>230</v>
      </c>
      <c r="E47" s="1279">
        <v>5.3</v>
      </c>
      <c r="F47" s="1280" t="s">
        <v>183</v>
      </c>
      <c r="G47" s="1281" t="s">
        <v>154</v>
      </c>
      <c r="H47" s="1282">
        <v>42370</v>
      </c>
      <c r="I47" s="1282">
        <v>44196</v>
      </c>
      <c r="J47" s="1283"/>
      <c r="L47" s="96" t="s">
        <v>179</v>
      </c>
      <c r="N47" s="1447">
        <v>8513125</v>
      </c>
      <c r="O47" s="1448">
        <v>451195.63</v>
      </c>
      <c r="P47" s="1447">
        <v>5642966</v>
      </c>
      <c r="Q47" s="1448">
        <v>299077.19999999995</v>
      </c>
      <c r="R47" s="1447">
        <v>4868037.8939999994</v>
      </c>
      <c r="S47" s="1448">
        <v>258006.01</v>
      </c>
      <c r="T47" s="1447">
        <v>936652</v>
      </c>
      <c r="U47" s="1448">
        <v>49642.559999999998</v>
      </c>
      <c r="W47" t="s">
        <v>180</v>
      </c>
    </row>
    <row r="48" spans="1:23" ht="13.9" customHeight="1">
      <c r="A48" s="1269" t="s">
        <v>231</v>
      </c>
      <c r="B48" s="1270" t="s">
        <v>176</v>
      </c>
      <c r="C48" s="1270" t="s">
        <v>225</v>
      </c>
      <c r="D48" s="1278" t="s">
        <v>232</v>
      </c>
      <c r="E48" s="1279">
        <v>4.7</v>
      </c>
      <c r="F48" s="1280" t="s">
        <v>183</v>
      </c>
      <c r="G48" s="1281" t="s">
        <v>154</v>
      </c>
      <c r="H48" s="1282">
        <v>42370</v>
      </c>
      <c r="I48" s="1282">
        <v>44196</v>
      </c>
      <c r="J48" s="1283"/>
      <c r="L48" s="96" t="s">
        <v>179</v>
      </c>
      <c r="N48" s="1447">
        <v>89606829</v>
      </c>
      <c r="O48" s="1448">
        <v>4211520.97</v>
      </c>
      <c r="P48" s="1447">
        <v>61642453</v>
      </c>
      <c r="Q48" s="1448">
        <v>2897195.3099999996</v>
      </c>
      <c r="R48" s="1447">
        <v>53456121.751999997</v>
      </c>
      <c r="S48" s="1448">
        <v>2512437.7299999995</v>
      </c>
      <c r="T48" s="1447">
        <v>10927600</v>
      </c>
      <c r="U48" s="1448">
        <v>513597.2</v>
      </c>
      <c r="W48" t="s">
        <v>180</v>
      </c>
    </row>
    <row r="49" spans="1:23" ht="13.9" customHeight="1">
      <c r="A49" s="1291" t="s">
        <v>233</v>
      </c>
      <c r="B49" s="1292" t="s">
        <v>176</v>
      </c>
      <c r="C49" s="1292" t="s">
        <v>225</v>
      </c>
      <c r="D49" s="1290" t="s">
        <v>234</v>
      </c>
      <c r="E49" s="1279">
        <v>3.4</v>
      </c>
      <c r="F49" s="1280" t="s">
        <v>183</v>
      </c>
      <c r="G49" s="1281" t="s">
        <v>154</v>
      </c>
      <c r="H49" s="1282">
        <v>42370</v>
      </c>
      <c r="I49" s="1282">
        <v>44196</v>
      </c>
      <c r="J49" s="1283"/>
      <c r="L49" s="96" t="s">
        <v>191</v>
      </c>
      <c r="N49" s="1447">
        <v>3855759686</v>
      </c>
      <c r="O49" s="1448">
        <v>131095829.34</v>
      </c>
      <c r="P49" s="1447">
        <v>5200846289</v>
      </c>
      <c r="Q49" s="1448">
        <v>176828773.81999999</v>
      </c>
      <c r="R49" s="1447">
        <v>2323264065.9580002</v>
      </c>
      <c r="S49" s="1448">
        <v>78990978.239999995</v>
      </c>
      <c r="T49" s="1447">
        <v>293845192</v>
      </c>
      <c r="U49" s="1448">
        <v>9990736.5299999993</v>
      </c>
      <c r="W49" t="s">
        <v>180</v>
      </c>
    </row>
    <row r="50" spans="1:23" ht="13.9" customHeight="1">
      <c r="A50" s="1269" t="s">
        <v>235</v>
      </c>
      <c r="B50" s="1270" t="s">
        <v>176</v>
      </c>
      <c r="C50" s="1271" t="s">
        <v>236</v>
      </c>
      <c r="D50" s="1278" t="s">
        <v>237</v>
      </c>
      <c r="E50" s="1279">
        <v>8.9</v>
      </c>
      <c r="F50" s="1280" t="s">
        <v>178</v>
      </c>
      <c r="G50" s="1281" t="s">
        <v>154</v>
      </c>
      <c r="H50" s="1282">
        <v>42370</v>
      </c>
      <c r="I50" s="1282">
        <v>44056</v>
      </c>
      <c r="J50" s="1283"/>
      <c r="L50" s="96" t="s">
        <v>179</v>
      </c>
      <c r="N50" s="1447">
        <v>32591</v>
      </c>
      <c r="O50" s="1448">
        <v>2900.6</v>
      </c>
      <c r="P50" s="1447">
        <v>0</v>
      </c>
      <c r="Q50" s="1448">
        <v>0</v>
      </c>
      <c r="R50" s="1447">
        <v>173617.56</v>
      </c>
      <c r="S50" s="1448">
        <v>15451.96</v>
      </c>
      <c r="T50" s="1447">
        <v>60762</v>
      </c>
      <c r="U50" s="1448">
        <v>5407.82</v>
      </c>
      <c r="W50" t="s">
        <v>180</v>
      </c>
    </row>
    <row r="51" spans="1:23" ht="13.9" customHeight="1">
      <c r="A51" s="1269" t="s">
        <v>238</v>
      </c>
      <c r="B51" s="1270" t="s">
        <v>176</v>
      </c>
      <c r="C51" s="1271" t="s">
        <v>236</v>
      </c>
      <c r="D51" s="1278" t="s">
        <v>239</v>
      </c>
      <c r="E51" s="1279">
        <v>6.9</v>
      </c>
      <c r="F51" s="1280" t="s">
        <v>183</v>
      </c>
      <c r="G51" s="1281" t="s">
        <v>154</v>
      </c>
      <c r="H51" s="1282">
        <v>42370</v>
      </c>
      <c r="I51" s="1282">
        <v>44056</v>
      </c>
      <c r="J51" s="1283"/>
      <c r="L51" s="96" t="s">
        <v>179</v>
      </c>
      <c r="N51" s="1447">
        <v>32591</v>
      </c>
      <c r="O51" s="1448">
        <v>2248.7800000000002</v>
      </c>
      <c r="P51" s="1447">
        <v>0</v>
      </c>
      <c r="Q51" s="1448">
        <v>0</v>
      </c>
      <c r="R51" s="1447">
        <v>173617.57</v>
      </c>
      <c r="S51" s="1448">
        <v>11979.61</v>
      </c>
      <c r="T51" s="1447">
        <v>60762</v>
      </c>
      <c r="U51" s="1448">
        <v>4192.58</v>
      </c>
      <c r="W51" t="s">
        <v>180</v>
      </c>
    </row>
    <row r="52" spans="1:23" ht="13.9" customHeight="1">
      <c r="A52" s="1269" t="s">
        <v>240</v>
      </c>
      <c r="B52" s="1270" t="s">
        <v>176</v>
      </c>
      <c r="C52" s="1271" t="s">
        <v>236</v>
      </c>
      <c r="D52" s="1278" t="s">
        <v>241</v>
      </c>
      <c r="E52" s="1279">
        <v>5.9</v>
      </c>
      <c r="F52" s="1280" t="s">
        <v>183</v>
      </c>
      <c r="G52" s="1281" t="s">
        <v>154</v>
      </c>
      <c r="H52" s="1282">
        <v>42370</v>
      </c>
      <c r="I52" s="1282">
        <v>44056</v>
      </c>
      <c r="J52" s="1283"/>
      <c r="L52" s="96" t="s">
        <v>179</v>
      </c>
      <c r="N52" s="1447">
        <v>97777</v>
      </c>
      <c r="O52" s="1448">
        <v>5768.84</v>
      </c>
      <c r="P52" s="1447">
        <v>0</v>
      </c>
      <c r="Q52" s="1448">
        <v>0</v>
      </c>
      <c r="R52" s="1447">
        <v>520852.74900000001</v>
      </c>
      <c r="S52" s="1448">
        <v>30730.309999999998</v>
      </c>
      <c r="T52" s="1447">
        <v>182287</v>
      </c>
      <c r="U52" s="1448">
        <v>10754.93</v>
      </c>
      <c r="W52" t="s">
        <v>180</v>
      </c>
    </row>
    <row r="53" spans="1:23" ht="13.9" customHeight="1">
      <c r="A53" s="1289" t="s">
        <v>242</v>
      </c>
      <c r="B53" s="1270" t="s">
        <v>176</v>
      </c>
      <c r="C53" s="1271" t="s">
        <v>236</v>
      </c>
      <c r="D53" s="1278" t="s">
        <v>243</v>
      </c>
      <c r="E53" s="1279">
        <v>5.3000000000000007</v>
      </c>
      <c r="F53" s="1280" t="s">
        <v>183</v>
      </c>
      <c r="G53" s="1281" t="s">
        <v>154</v>
      </c>
      <c r="H53" s="1282">
        <v>42370</v>
      </c>
      <c r="I53" s="1282">
        <v>44056</v>
      </c>
      <c r="J53" s="1283"/>
      <c r="L53" s="96" t="s">
        <v>179</v>
      </c>
      <c r="N53" s="1447">
        <v>1140748</v>
      </c>
      <c r="O53" s="1448">
        <v>60459.64</v>
      </c>
      <c r="P53" s="1447">
        <v>0</v>
      </c>
      <c r="Q53" s="1448">
        <v>0</v>
      </c>
      <c r="R53" s="1447">
        <v>6076615.0260000005</v>
      </c>
      <c r="S53" s="1448">
        <v>322060.59999999998</v>
      </c>
      <c r="T53" s="1447">
        <v>2126681</v>
      </c>
      <c r="U53" s="1448">
        <v>112714.09</v>
      </c>
      <c r="W53" t="s">
        <v>180</v>
      </c>
    </row>
    <row r="54" spans="1:23" ht="13.9" customHeight="1" thickBot="1">
      <c r="A54" s="1269" t="s">
        <v>244</v>
      </c>
      <c r="B54" s="1270" t="s">
        <v>176</v>
      </c>
      <c r="C54" s="1271" t="s">
        <v>236</v>
      </c>
      <c r="D54" s="1284" t="s">
        <v>245</v>
      </c>
      <c r="E54" s="1285">
        <v>4</v>
      </c>
      <c r="F54" s="1293" t="s">
        <v>183</v>
      </c>
      <c r="G54" s="1294" t="s">
        <v>154</v>
      </c>
      <c r="H54" s="1282">
        <v>42370</v>
      </c>
      <c r="I54" s="1295">
        <v>44056</v>
      </c>
      <c r="J54" s="1296"/>
      <c r="L54" s="96" t="s">
        <v>191</v>
      </c>
      <c r="N54" s="1447">
        <v>174181944</v>
      </c>
      <c r="O54" s="1448">
        <v>6967277.7599999998</v>
      </c>
      <c r="P54" s="1447">
        <v>0</v>
      </c>
      <c r="Q54" s="1448">
        <v>0</v>
      </c>
      <c r="R54" s="1447">
        <v>575715274.54100001</v>
      </c>
      <c r="S54" s="1448">
        <v>23028610.979999997</v>
      </c>
      <c r="T54" s="1447">
        <v>57865156</v>
      </c>
      <c r="U54" s="1448">
        <v>2314606.2400000002</v>
      </c>
      <c r="W54" t="s">
        <v>180</v>
      </c>
    </row>
    <row r="55" spans="1:23" ht="13.9" customHeight="1" thickBot="1">
      <c r="A55" s="1752" t="s">
        <v>246</v>
      </c>
      <c r="B55" s="1753"/>
      <c r="C55" s="1753"/>
      <c r="D55" s="1753"/>
      <c r="E55" s="1753"/>
      <c r="F55" s="1753"/>
      <c r="G55" s="1753"/>
      <c r="H55" s="1753"/>
      <c r="I55" s="1753"/>
      <c r="J55" s="1754"/>
      <c r="L55" s="96"/>
      <c r="N55" s="1449"/>
      <c r="O55" s="1450"/>
      <c r="P55" s="1516"/>
      <c r="Q55" s="1517"/>
      <c r="R55" s="1449"/>
      <c r="S55" s="1450"/>
      <c r="T55" s="1469"/>
      <c r="U55" s="1470"/>
    </row>
    <row r="56" spans="1:23" ht="13.9" customHeight="1">
      <c r="A56" s="1269" t="s">
        <v>247</v>
      </c>
      <c r="B56" s="1270" t="s">
        <v>248</v>
      </c>
      <c r="C56" s="1271"/>
      <c r="D56" s="1272" t="s">
        <v>249</v>
      </c>
      <c r="E56" s="1221">
        <v>4</v>
      </c>
      <c r="F56" s="1273" t="s">
        <v>178</v>
      </c>
      <c r="G56" s="1274" t="s">
        <v>154</v>
      </c>
      <c r="H56" s="1275">
        <v>42370</v>
      </c>
      <c r="I56" s="1297"/>
      <c r="J56" s="1298"/>
      <c r="L56" s="96" t="s">
        <v>250</v>
      </c>
      <c r="N56" s="1447">
        <v>40411347</v>
      </c>
      <c r="O56" s="1448">
        <v>1616453.88</v>
      </c>
      <c r="P56" s="1447">
        <v>77073784</v>
      </c>
      <c r="Q56" s="1448">
        <v>3082951.3600000008</v>
      </c>
      <c r="R56" s="1447">
        <v>105625077.12599994</v>
      </c>
      <c r="S56" s="1448">
        <v>4225003.090000011</v>
      </c>
      <c r="T56" s="1447">
        <v>60208358</v>
      </c>
      <c r="U56" s="1448">
        <v>2408334.3199999998</v>
      </c>
      <c r="W56" t="s">
        <v>251</v>
      </c>
    </row>
    <row r="57" spans="1:23" ht="13.9" customHeight="1">
      <c r="A57" s="1299" t="s">
        <v>252</v>
      </c>
      <c r="B57" s="1292" t="s">
        <v>248</v>
      </c>
      <c r="C57" s="1292"/>
      <c r="D57" s="1284" t="s">
        <v>253</v>
      </c>
      <c r="E57" s="1285">
        <v>3</v>
      </c>
      <c r="F57" s="1280" t="s">
        <v>183</v>
      </c>
      <c r="G57" s="1281" t="s">
        <v>154</v>
      </c>
      <c r="H57" s="1282">
        <v>42370</v>
      </c>
      <c r="I57" s="1300"/>
      <c r="J57" s="1301"/>
      <c r="L57" s="96" t="s">
        <v>250</v>
      </c>
      <c r="N57" s="1447">
        <v>3169438</v>
      </c>
      <c r="O57" s="1448">
        <v>95083.14</v>
      </c>
      <c r="P57" s="1447">
        <v>7996448</v>
      </c>
      <c r="Q57" s="1448">
        <v>239893.43999999997</v>
      </c>
      <c r="R57" s="1447">
        <v>6636234.5250000013</v>
      </c>
      <c r="S57" s="1448">
        <v>199087.02</v>
      </c>
      <c r="T57" s="1447">
        <v>4999091</v>
      </c>
      <c r="U57" s="1448">
        <v>149972.73000000001</v>
      </c>
      <c r="W57" t="s">
        <v>251</v>
      </c>
    </row>
    <row r="58" spans="1:23" ht="13.9" customHeight="1">
      <c r="A58" s="1287" t="s">
        <v>254</v>
      </c>
      <c r="B58" s="1270" t="s">
        <v>248</v>
      </c>
      <c r="C58" s="1288" t="s">
        <v>225</v>
      </c>
      <c r="D58" s="1278" t="s">
        <v>255</v>
      </c>
      <c r="E58" s="1279">
        <v>4.3</v>
      </c>
      <c r="F58" s="1280" t="s">
        <v>178</v>
      </c>
      <c r="G58" s="1281" t="s">
        <v>154</v>
      </c>
      <c r="H58" s="1275">
        <v>42370</v>
      </c>
      <c r="I58" s="1300">
        <v>44196</v>
      </c>
      <c r="J58" s="1301"/>
      <c r="L58" s="96" t="s">
        <v>250</v>
      </c>
      <c r="N58" s="1447"/>
      <c r="O58" s="1448"/>
      <c r="P58" s="1447">
        <v>1327</v>
      </c>
      <c r="Q58" s="1448">
        <v>57.06</v>
      </c>
      <c r="R58" s="1447">
        <v>25723</v>
      </c>
      <c r="S58" s="1448">
        <v>1106.0899999999999</v>
      </c>
      <c r="T58" s="1447">
        <v>0</v>
      </c>
      <c r="U58" s="1448">
        <v>0</v>
      </c>
      <c r="W58" t="s">
        <v>251</v>
      </c>
    </row>
    <row r="59" spans="1:23" ht="13.9" customHeight="1">
      <c r="A59" s="1299" t="s">
        <v>256</v>
      </c>
      <c r="B59" s="1292" t="s">
        <v>248</v>
      </c>
      <c r="C59" s="1292" t="s">
        <v>225</v>
      </c>
      <c r="D59" s="1278" t="s">
        <v>257</v>
      </c>
      <c r="E59" s="1279">
        <v>3.3</v>
      </c>
      <c r="F59" s="1280" t="s">
        <v>183</v>
      </c>
      <c r="G59" s="1281" t="s">
        <v>154</v>
      </c>
      <c r="H59" s="1282">
        <v>42370</v>
      </c>
      <c r="I59" s="1300">
        <v>44196</v>
      </c>
      <c r="J59" s="1301"/>
      <c r="L59" s="96" t="s">
        <v>250</v>
      </c>
      <c r="N59" s="1447"/>
      <c r="O59" s="1448"/>
      <c r="P59" s="1447">
        <v>0</v>
      </c>
      <c r="Q59" s="1448">
        <v>0</v>
      </c>
      <c r="R59" s="1447">
        <v>0</v>
      </c>
      <c r="S59" s="1448">
        <v>0</v>
      </c>
      <c r="T59" s="1447">
        <v>0</v>
      </c>
      <c r="U59" s="1448">
        <v>0</v>
      </c>
      <c r="W59" t="s">
        <v>251</v>
      </c>
    </row>
    <row r="60" spans="1:23" ht="13.9" customHeight="1">
      <c r="A60" s="1287" t="s">
        <v>258</v>
      </c>
      <c r="B60" s="1270" t="s">
        <v>259</v>
      </c>
      <c r="C60" s="1302"/>
      <c r="D60" s="1278" t="s">
        <v>260</v>
      </c>
      <c r="E60" s="1279">
        <v>4</v>
      </c>
      <c r="F60" s="1280" t="s">
        <v>178</v>
      </c>
      <c r="G60" s="1281" t="s">
        <v>154</v>
      </c>
      <c r="H60" s="1282">
        <v>42370</v>
      </c>
      <c r="I60" s="1300"/>
      <c r="J60" s="1301"/>
      <c r="L60" s="96" t="s">
        <v>250</v>
      </c>
      <c r="N60" s="1447">
        <v>1493222</v>
      </c>
      <c r="O60" s="1448">
        <v>59728.88</v>
      </c>
      <c r="P60" s="1447">
        <v>5351067</v>
      </c>
      <c r="Q60" s="1448">
        <v>214042.67999999996</v>
      </c>
      <c r="R60" s="1447">
        <v>5941708.3360000001</v>
      </c>
      <c r="S60" s="1448">
        <v>237668.32999999987</v>
      </c>
      <c r="T60" s="1447">
        <v>5580676</v>
      </c>
      <c r="U60" s="1448">
        <v>223227.04</v>
      </c>
      <c r="W60" t="s">
        <v>261</v>
      </c>
    </row>
    <row r="61" spans="1:23" ht="13.9" customHeight="1">
      <c r="A61" s="1269" t="s">
        <v>262</v>
      </c>
      <c r="B61" s="1270" t="s">
        <v>259</v>
      </c>
      <c r="C61" s="1271"/>
      <c r="D61" s="1278" t="s">
        <v>263</v>
      </c>
      <c r="E61" s="1279">
        <v>3</v>
      </c>
      <c r="F61" s="1280" t="s">
        <v>183</v>
      </c>
      <c r="G61" s="1281" t="s">
        <v>154</v>
      </c>
      <c r="H61" s="1282">
        <v>42370</v>
      </c>
      <c r="I61" s="1300"/>
      <c r="J61" s="1301"/>
      <c r="L61" s="96" t="s">
        <v>250</v>
      </c>
      <c r="N61" s="1447">
        <v>788165</v>
      </c>
      <c r="O61" s="1448">
        <v>23644.95</v>
      </c>
      <c r="P61" s="1447">
        <v>1286148</v>
      </c>
      <c r="Q61" s="1448">
        <v>38584.439999999988</v>
      </c>
      <c r="R61" s="1447">
        <v>3346974.3480000002</v>
      </c>
      <c r="S61" s="1448">
        <v>100409.24</v>
      </c>
      <c r="T61" s="1447">
        <v>1887900</v>
      </c>
      <c r="U61" s="1448">
        <v>56637</v>
      </c>
      <c r="W61" t="s">
        <v>261</v>
      </c>
    </row>
    <row r="62" spans="1:23" ht="13.9" customHeight="1">
      <c r="A62" s="1269" t="s">
        <v>264</v>
      </c>
      <c r="B62" s="1270" t="s">
        <v>259</v>
      </c>
      <c r="C62" s="1271"/>
      <c r="D62" s="1278" t="s">
        <v>265</v>
      </c>
      <c r="E62" s="1279">
        <v>2</v>
      </c>
      <c r="F62" s="1280" t="s">
        <v>183</v>
      </c>
      <c r="G62" s="1281" t="s">
        <v>154</v>
      </c>
      <c r="H62" s="1282">
        <v>42370</v>
      </c>
      <c r="I62" s="1300"/>
      <c r="J62" s="1301"/>
      <c r="L62" s="96" t="s">
        <v>250</v>
      </c>
      <c r="N62" s="1447">
        <v>1489564</v>
      </c>
      <c r="O62" s="1448">
        <v>29791.279999999999</v>
      </c>
      <c r="P62" s="1447">
        <v>2478235</v>
      </c>
      <c r="Q62" s="1448">
        <v>49564.7</v>
      </c>
      <c r="R62" s="1447">
        <v>6901321.46</v>
      </c>
      <c r="S62" s="1448">
        <v>138026.42000000001</v>
      </c>
      <c r="T62" s="1447">
        <v>2445269</v>
      </c>
      <c r="U62" s="1448">
        <v>48905.38</v>
      </c>
      <c r="W62" t="s">
        <v>261</v>
      </c>
    </row>
    <row r="63" spans="1:23" ht="13.9" customHeight="1">
      <c r="A63" s="1269" t="s">
        <v>266</v>
      </c>
      <c r="B63" s="1270" t="s">
        <v>259</v>
      </c>
      <c r="C63" s="1271"/>
      <c r="D63" s="1278" t="s">
        <v>267</v>
      </c>
      <c r="E63" s="1279">
        <v>1.5</v>
      </c>
      <c r="F63" s="1280" t="s">
        <v>183</v>
      </c>
      <c r="G63" s="1281" t="s">
        <v>154</v>
      </c>
      <c r="H63" s="1282">
        <v>42370</v>
      </c>
      <c r="I63" s="1300"/>
      <c r="J63" s="1301"/>
      <c r="L63" s="96" t="s">
        <v>250</v>
      </c>
      <c r="N63" s="1447">
        <v>1320240</v>
      </c>
      <c r="O63" s="1448">
        <v>19803.62</v>
      </c>
      <c r="P63" s="1447">
        <v>9871778</v>
      </c>
      <c r="Q63" s="1448">
        <v>148076.68</v>
      </c>
      <c r="R63" s="1447">
        <v>3988418.2790000001</v>
      </c>
      <c r="S63" s="1448">
        <v>59826.3</v>
      </c>
      <c r="T63" s="1447">
        <v>2445926</v>
      </c>
      <c r="U63" s="1448">
        <v>36688.89</v>
      </c>
      <c r="W63" t="s">
        <v>261</v>
      </c>
    </row>
    <row r="64" spans="1:23" ht="13.9" customHeight="1">
      <c r="A64" s="1299" t="s">
        <v>268</v>
      </c>
      <c r="B64" s="1292" t="s">
        <v>259</v>
      </c>
      <c r="C64" s="1303"/>
      <c r="D64" s="1278" t="s">
        <v>269</v>
      </c>
      <c r="E64" s="1279">
        <v>1</v>
      </c>
      <c r="F64" s="1280" t="s">
        <v>183</v>
      </c>
      <c r="G64" s="1281" t="s">
        <v>154</v>
      </c>
      <c r="H64" s="1282">
        <v>42370</v>
      </c>
      <c r="I64" s="1300"/>
      <c r="J64" s="1301"/>
      <c r="L64" s="96" t="s">
        <v>191</v>
      </c>
      <c r="N64" s="1447">
        <v>85025</v>
      </c>
      <c r="O64" s="1448">
        <v>850.25</v>
      </c>
      <c r="P64" s="1447">
        <v>13724259</v>
      </c>
      <c r="Q64" s="1448">
        <v>137242.59000000003</v>
      </c>
      <c r="R64" s="1447">
        <v>0</v>
      </c>
      <c r="S64" s="1448">
        <v>0</v>
      </c>
      <c r="T64" s="1447">
        <v>0</v>
      </c>
      <c r="U64" s="1448">
        <v>0</v>
      </c>
      <c r="W64" t="s">
        <v>261</v>
      </c>
    </row>
    <row r="65" spans="1:23" ht="13.9" customHeight="1">
      <c r="A65" s="1269" t="s">
        <v>270</v>
      </c>
      <c r="B65" s="1270" t="s">
        <v>259</v>
      </c>
      <c r="C65" s="1288" t="s">
        <v>225</v>
      </c>
      <c r="D65" s="1272" t="s">
        <v>271</v>
      </c>
      <c r="E65" s="1221">
        <v>4.3</v>
      </c>
      <c r="F65" s="1280" t="s">
        <v>178</v>
      </c>
      <c r="G65" s="1281" t="s">
        <v>154</v>
      </c>
      <c r="H65" s="1282">
        <v>42370</v>
      </c>
      <c r="I65" s="1300">
        <v>44196</v>
      </c>
      <c r="J65" s="1301"/>
      <c r="L65" s="96" t="s">
        <v>250</v>
      </c>
      <c r="N65" s="1451"/>
      <c r="O65" s="1452"/>
      <c r="P65" s="1447">
        <v>48578</v>
      </c>
      <c r="Q65" s="1448">
        <v>2088.85</v>
      </c>
      <c r="R65" s="1447">
        <v>768.93599999999992</v>
      </c>
      <c r="S65" s="1448">
        <v>33.06</v>
      </c>
      <c r="T65" s="1447">
        <v>0</v>
      </c>
      <c r="U65" s="1448">
        <v>0</v>
      </c>
      <c r="W65" t="s">
        <v>261</v>
      </c>
    </row>
    <row r="66" spans="1:23" ht="13.9" customHeight="1">
      <c r="A66" s="1269" t="s">
        <v>272</v>
      </c>
      <c r="B66" s="1270" t="s">
        <v>259</v>
      </c>
      <c r="C66" s="1270" t="s">
        <v>225</v>
      </c>
      <c r="D66" s="1278" t="s">
        <v>273</v>
      </c>
      <c r="E66" s="1279">
        <v>3.3</v>
      </c>
      <c r="F66" s="1280" t="s">
        <v>183</v>
      </c>
      <c r="G66" s="1281" t="s">
        <v>154</v>
      </c>
      <c r="H66" s="1282">
        <v>42370</v>
      </c>
      <c r="I66" s="1300">
        <v>44196</v>
      </c>
      <c r="J66" s="1301"/>
      <c r="L66" s="96" t="s">
        <v>250</v>
      </c>
      <c r="N66" s="1451"/>
      <c r="O66" s="1452"/>
      <c r="P66" s="1447">
        <v>48578</v>
      </c>
      <c r="Q66" s="1448">
        <v>1603.0700000000002</v>
      </c>
      <c r="R66" s="1447">
        <v>768.93599999999992</v>
      </c>
      <c r="S66" s="1448">
        <v>25.37</v>
      </c>
      <c r="T66" s="1447">
        <v>0</v>
      </c>
      <c r="U66" s="1448">
        <v>0</v>
      </c>
      <c r="W66" t="s">
        <v>261</v>
      </c>
    </row>
    <row r="67" spans="1:23" ht="13.9" customHeight="1">
      <c r="A67" s="1269" t="s">
        <v>274</v>
      </c>
      <c r="B67" s="1270" t="s">
        <v>259</v>
      </c>
      <c r="C67" s="1270" t="s">
        <v>225</v>
      </c>
      <c r="D67" s="1278" t="s">
        <v>275</v>
      </c>
      <c r="E67" s="1279">
        <v>2.2999999999999998</v>
      </c>
      <c r="F67" s="1280" t="s">
        <v>183</v>
      </c>
      <c r="G67" s="1281" t="s">
        <v>154</v>
      </c>
      <c r="H67" s="1282">
        <v>42370</v>
      </c>
      <c r="I67" s="1300">
        <v>44196</v>
      </c>
      <c r="J67" s="1301"/>
      <c r="L67" s="96" t="s">
        <v>250</v>
      </c>
      <c r="N67" s="1451"/>
      <c r="O67" s="1452"/>
      <c r="P67" s="1447">
        <v>145734</v>
      </c>
      <c r="Q67" s="1448">
        <v>3351.88</v>
      </c>
      <c r="R67" s="1447">
        <v>2306.8049999999998</v>
      </c>
      <c r="S67" s="1448">
        <v>53.05</v>
      </c>
      <c r="T67" s="1447">
        <v>0</v>
      </c>
      <c r="U67" s="1448">
        <v>0</v>
      </c>
      <c r="W67" t="s">
        <v>261</v>
      </c>
    </row>
    <row r="68" spans="1:23" ht="13.9" customHeight="1">
      <c r="A68" s="1269" t="s">
        <v>276</v>
      </c>
      <c r="B68" s="1270" t="s">
        <v>259</v>
      </c>
      <c r="C68" s="1270" t="s">
        <v>225</v>
      </c>
      <c r="D68" s="1278" t="s">
        <v>277</v>
      </c>
      <c r="E68" s="1279">
        <v>1.8</v>
      </c>
      <c r="F68" s="1280" t="s">
        <v>183</v>
      </c>
      <c r="G68" s="1281" t="s">
        <v>154</v>
      </c>
      <c r="H68" s="1282">
        <v>42370</v>
      </c>
      <c r="I68" s="1300">
        <v>44196</v>
      </c>
      <c r="J68" s="1301"/>
      <c r="L68" s="96" t="s">
        <v>250</v>
      </c>
      <c r="N68" s="1451"/>
      <c r="O68" s="1452"/>
      <c r="P68" s="1447">
        <v>1700238</v>
      </c>
      <c r="Q68" s="1448">
        <v>30604.28</v>
      </c>
      <c r="R68" s="1447">
        <v>11134.779</v>
      </c>
      <c r="S68" s="1448">
        <v>200.43</v>
      </c>
      <c r="T68" s="1447">
        <v>0</v>
      </c>
      <c r="U68" s="1448">
        <v>0</v>
      </c>
      <c r="W68" t="s">
        <v>261</v>
      </c>
    </row>
    <row r="69" spans="1:23" ht="13.9" customHeight="1">
      <c r="A69" s="1269" t="s">
        <v>278</v>
      </c>
      <c r="B69" s="1292" t="s">
        <v>259</v>
      </c>
      <c r="C69" s="1292" t="s">
        <v>225</v>
      </c>
      <c r="D69" s="1284" t="s">
        <v>279</v>
      </c>
      <c r="E69" s="1285">
        <v>1.3</v>
      </c>
      <c r="F69" s="1280" t="s">
        <v>183</v>
      </c>
      <c r="G69" s="1281" t="s">
        <v>154</v>
      </c>
      <c r="H69" s="1282">
        <v>42370</v>
      </c>
      <c r="I69" s="1300">
        <v>44196</v>
      </c>
      <c r="J69" s="1301"/>
      <c r="L69" s="96" t="s">
        <v>191</v>
      </c>
      <c r="N69" s="1451"/>
      <c r="O69" s="1452"/>
      <c r="P69" s="1447">
        <v>18023056</v>
      </c>
      <c r="Q69" s="1448">
        <v>234299.73</v>
      </c>
      <c r="R69" s="1447">
        <v>0</v>
      </c>
      <c r="S69" s="1448">
        <v>0</v>
      </c>
      <c r="T69" s="1447">
        <v>0</v>
      </c>
      <c r="U69" s="1448">
        <v>0</v>
      </c>
      <c r="W69" t="s">
        <v>261</v>
      </c>
    </row>
    <row r="70" spans="1:23" ht="13.9" customHeight="1">
      <c r="A70" s="1287" t="s">
        <v>280</v>
      </c>
      <c r="B70" s="1270" t="s">
        <v>281</v>
      </c>
      <c r="C70" s="1302"/>
      <c r="D70" s="1278" t="s">
        <v>282</v>
      </c>
      <c r="E70" s="1279">
        <v>5.41</v>
      </c>
      <c r="F70" s="1280" t="s">
        <v>178</v>
      </c>
      <c r="G70" s="1281" t="s">
        <v>154</v>
      </c>
      <c r="H70" s="1282">
        <v>42370</v>
      </c>
      <c r="I70" s="1300"/>
      <c r="J70" s="1301"/>
      <c r="L70" s="96" t="s">
        <v>250</v>
      </c>
      <c r="N70" s="1447">
        <v>246444</v>
      </c>
      <c r="O70" s="1448">
        <v>13332.63</v>
      </c>
      <c r="P70" s="1447">
        <v>257819</v>
      </c>
      <c r="Q70" s="1448">
        <v>13948</v>
      </c>
      <c r="R70" s="1447">
        <v>1767318</v>
      </c>
      <c r="S70" s="1448">
        <v>95611.910000000033</v>
      </c>
      <c r="T70" s="1447">
        <v>249386</v>
      </c>
      <c r="U70" s="1448">
        <v>13491.78</v>
      </c>
      <c r="W70" t="s">
        <v>283</v>
      </c>
    </row>
    <row r="71" spans="1:23" ht="13.9" customHeight="1">
      <c r="A71" s="1269" t="s">
        <v>284</v>
      </c>
      <c r="B71" s="1270" t="s">
        <v>281</v>
      </c>
      <c r="C71" s="1271"/>
      <c r="D71" s="1278" t="s">
        <v>285</v>
      </c>
      <c r="E71" s="1279">
        <v>4</v>
      </c>
      <c r="F71" s="1280" t="s">
        <v>183</v>
      </c>
      <c r="G71" s="1281" t="s">
        <v>154</v>
      </c>
      <c r="H71" s="1282">
        <v>42370</v>
      </c>
      <c r="I71" s="1300"/>
      <c r="J71" s="1301"/>
      <c r="L71" s="96" t="s">
        <v>250</v>
      </c>
      <c r="N71" s="1447">
        <v>160616</v>
      </c>
      <c r="O71" s="1448">
        <v>6424.64</v>
      </c>
      <c r="P71" s="1447">
        <v>0</v>
      </c>
      <c r="Q71" s="1448">
        <v>0</v>
      </c>
      <c r="R71" s="1447">
        <v>1523419</v>
      </c>
      <c r="S71" s="1448">
        <v>60936.76</v>
      </c>
      <c r="T71" s="1447">
        <v>0</v>
      </c>
      <c r="U71" s="1448">
        <v>0</v>
      </c>
      <c r="W71" t="s">
        <v>283</v>
      </c>
    </row>
    <row r="72" spans="1:23" ht="13.9" customHeight="1">
      <c r="A72" s="1269" t="s">
        <v>286</v>
      </c>
      <c r="B72" s="1270" t="s">
        <v>281</v>
      </c>
      <c r="C72" s="1271"/>
      <c r="D72" s="1278" t="s">
        <v>287</v>
      </c>
      <c r="E72" s="1279">
        <v>2.4</v>
      </c>
      <c r="F72" s="1280" t="s">
        <v>183</v>
      </c>
      <c r="G72" s="1281" t="s">
        <v>154</v>
      </c>
      <c r="H72" s="1282">
        <v>42370</v>
      </c>
      <c r="I72" s="1300"/>
      <c r="J72" s="1301"/>
      <c r="L72" s="96" t="s">
        <v>250</v>
      </c>
      <c r="N72" s="1447"/>
      <c r="O72" s="1448"/>
      <c r="P72" s="1447">
        <v>0</v>
      </c>
      <c r="Q72" s="1448">
        <v>0</v>
      </c>
      <c r="R72" s="1447">
        <v>2749769</v>
      </c>
      <c r="S72" s="1448">
        <v>65994.459999999992</v>
      </c>
      <c r="T72" s="1447">
        <v>0</v>
      </c>
      <c r="U72" s="1448">
        <v>0</v>
      </c>
      <c r="W72" t="s">
        <v>283</v>
      </c>
    </row>
    <row r="73" spans="1:23" ht="13.9" customHeight="1">
      <c r="A73" s="1299" t="s">
        <v>288</v>
      </c>
      <c r="B73" s="1292" t="s">
        <v>281</v>
      </c>
      <c r="C73" s="1303"/>
      <c r="D73" s="1278" t="s">
        <v>289</v>
      </c>
      <c r="E73" s="1279">
        <v>1.8</v>
      </c>
      <c r="F73" s="1280" t="s">
        <v>183</v>
      </c>
      <c r="G73" s="1281" t="s">
        <v>154</v>
      </c>
      <c r="H73" s="1282">
        <v>42370</v>
      </c>
      <c r="I73" s="1300"/>
      <c r="J73" s="1301"/>
      <c r="L73" s="96" t="s">
        <v>191</v>
      </c>
      <c r="N73" s="1447"/>
      <c r="O73" s="1448"/>
      <c r="P73" s="1447">
        <v>0</v>
      </c>
      <c r="Q73" s="1448">
        <v>0</v>
      </c>
      <c r="R73" s="1447">
        <v>8</v>
      </c>
      <c r="S73" s="1448">
        <v>0.15</v>
      </c>
      <c r="T73" s="1447">
        <v>0</v>
      </c>
      <c r="U73" s="1448">
        <v>0</v>
      </c>
      <c r="W73" t="s">
        <v>283</v>
      </c>
    </row>
    <row r="74" spans="1:23" ht="13.9" customHeight="1">
      <c r="A74" s="1269" t="s">
        <v>290</v>
      </c>
      <c r="B74" s="1270" t="s">
        <v>281</v>
      </c>
      <c r="C74" s="1271" t="s">
        <v>225</v>
      </c>
      <c r="D74" s="1278" t="s">
        <v>291</v>
      </c>
      <c r="E74" s="1279">
        <v>5.71</v>
      </c>
      <c r="F74" s="1280" t="s">
        <v>178</v>
      </c>
      <c r="G74" s="1281" t="s">
        <v>154</v>
      </c>
      <c r="H74" s="1282">
        <v>42370</v>
      </c>
      <c r="I74" s="1300">
        <v>44196</v>
      </c>
      <c r="J74" s="1301"/>
      <c r="L74" s="96" t="s">
        <v>250</v>
      </c>
      <c r="N74" s="1447">
        <v>33414</v>
      </c>
      <c r="O74" s="1448">
        <v>1907.94</v>
      </c>
      <c r="P74" s="1447">
        <v>0</v>
      </c>
      <c r="Q74" s="1448">
        <v>0</v>
      </c>
      <c r="R74" s="1447">
        <v>88243</v>
      </c>
      <c r="S74" s="1448">
        <v>5038.68</v>
      </c>
      <c r="T74" s="1447">
        <v>89446</v>
      </c>
      <c r="U74" s="1448">
        <v>5107.37</v>
      </c>
      <c r="W74" t="s">
        <v>283</v>
      </c>
    </row>
    <row r="75" spans="1:23" ht="13.9" customHeight="1">
      <c r="A75" s="1269" t="s">
        <v>292</v>
      </c>
      <c r="B75" s="1270" t="s">
        <v>281</v>
      </c>
      <c r="C75" s="1271" t="s">
        <v>225</v>
      </c>
      <c r="D75" s="1278" t="s">
        <v>293</v>
      </c>
      <c r="E75" s="1279">
        <v>4.3</v>
      </c>
      <c r="F75" s="1280" t="s">
        <v>183</v>
      </c>
      <c r="G75" s="1281" t="s">
        <v>154</v>
      </c>
      <c r="H75" s="1282">
        <v>42370</v>
      </c>
      <c r="I75" s="1300">
        <v>44196</v>
      </c>
      <c r="J75" s="1301"/>
      <c r="L75" s="96" t="s">
        <v>250</v>
      </c>
      <c r="N75" s="1447">
        <v>133657</v>
      </c>
      <c r="O75" s="1448">
        <v>5747.25</v>
      </c>
      <c r="P75" s="1447">
        <v>0</v>
      </c>
      <c r="Q75" s="1448">
        <v>0</v>
      </c>
      <c r="R75" s="1447">
        <v>352963</v>
      </c>
      <c r="S75" s="1448">
        <v>15177.41</v>
      </c>
      <c r="T75" s="1447">
        <v>357786</v>
      </c>
      <c r="U75" s="1448">
        <v>15384.8</v>
      </c>
      <c r="W75" t="s">
        <v>283</v>
      </c>
    </row>
    <row r="76" spans="1:23" ht="13.9" customHeight="1">
      <c r="A76" s="1269" t="s">
        <v>294</v>
      </c>
      <c r="B76" s="1270" t="s">
        <v>281</v>
      </c>
      <c r="C76" s="1271" t="s">
        <v>225</v>
      </c>
      <c r="D76" s="1278" t="s">
        <v>295</v>
      </c>
      <c r="E76" s="1279">
        <v>2.6999999999999997</v>
      </c>
      <c r="F76" s="1280" t="s">
        <v>183</v>
      </c>
      <c r="G76" s="1281" t="s">
        <v>154</v>
      </c>
      <c r="H76" s="1282">
        <v>42370</v>
      </c>
      <c r="I76" s="1300">
        <v>44196</v>
      </c>
      <c r="J76" s="1301"/>
      <c r="L76" s="96" t="s">
        <v>250</v>
      </c>
      <c r="N76" s="1447">
        <v>1169502</v>
      </c>
      <c r="O76" s="1448">
        <v>31576.55</v>
      </c>
      <c r="P76" s="1447">
        <v>0</v>
      </c>
      <c r="Q76" s="1448">
        <v>0</v>
      </c>
      <c r="R76" s="1447">
        <v>3088426</v>
      </c>
      <c r="S76" s="1448">
        <v>83387.5</v>
      </c>
      <c r="T76" s="1447">
        <v>3130625</v>
      </c>
      <c r="U76" s="1448">
        <v>84526.88</v>
      </c>
      <c r="W76" t="s">
        <v>283</v>
      </c>
    </row>
    <row r="77" spans="1:23" ht="13.9" customHeight="1" thickBot="1">
      <c r="A77" s="1269" t="s">
        <v>296</v>
      </c>
      <c r="B77" s="1270" t="s">
        <v>281</v>
      </c>
      <c r="C77" s="1271" t="s">
        <v>225</v>
      </c>
      <c r="D77" s="1284" t="s">
        <v>297</v>
      </c>
      <c r="E77" s="1285">
        <v>2.1</v>
      </c>
      <c r="F77" s="1293" t="s">
        <v>183</v>
      </c>
      <c r="G77" s="1294" t="s">
        <v>154</v>
      </c>
      <c r="H77" s="1282">
        <v>42370</v>
      </c>
      <c r="I77" s="1304">
        <v>44196</v>
      </c>
      <c r="J77" s="1305"/>
      <c r="L77" s="96" t="s">
        <v>191</v>
      </c>
      <c r="N77" s="1447">
        <v>38894970</v>
      </c>
      <c r="O77" s="1448">
        <v>816794.37</v>
      </c>
      <c r="P77" s="1447">
        <v>0</v>
      </c>
      <c r="Q77" s="1448">
        <v>0</v>
      </c>
      <c r="R77" s="1447">
        <v>104219386</v>
      </c>
      <c r="S77" s="1448">
        <v>2188607.11</v>
      </c>
      <c r="T77" s="1447">
        <v>52272491</v>
      </c>
      <c r="U77" s="1448">
        <v>1097722.31</v>
      </c>
      <c r="W77" t="s">
        <v>283</v>
      </c>
    </row>
    <row r="78" spans="1:23" ht="13.9" customHeight="1" thickBot="1">
      <c r="A78" s="1752" t="s">
        <v>298</v>
      </c>
      <c r="B78" s="1753"/>
      <c r="C78" s="1753"/>
      <c r="D78" s="1753"/>
      <c r="E78" s="1753"/>
      <c r="F78" s="1753"/>
      <c r="G78" s="1753"/>
      <c r="H78" s="1753"/>
      <c r="I78" s="1753"/>
      <c r="J78" s="1754"/>
      <c r="L78" s="96"/>
      <c r="N78" s="1449"/>
      <c r="O78" s="1450"/>
      <c r="P78" s="1516"/>
      <c r="Q78" s="1517"/>
      <c r="R78" s="1449"/>
      <c r="S78" s="1450"/>
      <c r="T78" s="1469"/>
      <c r="U78" s="1470"/>
    </row>
    <row r="79" spans="1:23" ht="13.9" customHeight="1">
      <c r="A79" s="1306" t="s">
        <v>299</v>
      </c>
      <c r="B79" s="1307" t="s">
        <v>300</v>
      </c>
      <c r="C79" s="1308"/>
      <c r="D79" s="1309" t="s">
        <v>301</v>
      </c>
      <c r="E79" s="1310">
        <v>16</v>
      </c>
      <c r="F79" s="1311">
        <v>30000</v>
      </c>
      <c r="G79" s="1312" t="s">
        <v>154</v>
      </c>
      <c r="H79" s="1313">
        <v>43831</v>
      </c>
      <c r="I79" s="1313"/>
      <c r="J79" s="1314"/>
      <c r="L79" s="96" t="s">
        <v>179</v>
      </c>
      <c r="N79" s="1447">
        <v>60018183</v>
      </c>
      <c r="O79" s="1448">
        <v>9602909.2799999993</v>
      </c>
      <c r="P79" s="1447">
        <v>77591322</v>
      </c>
      <c r="Q79" s="1448">
        <v>12414611.520000005</v>
      </c>
      <c r="R79" s="1447">
        <v>83776283.23300004</v>
      </c>
      <c r="S79" s="1448">
        <v>13404205.300000001</v>
      </c>
      <c r="T79" s="1447">
        <v>72053195</v>
      </c>
      <c r="U79" s="1448">
        <v>11528511.199999999</v>
      </c>
      <c r="W79" t="s">
        <v>302</v>
      </c>
    </row>
    <row r="80" spans="1:23" ht="13.9" customHeight="1" thickBot="1">
      <c r="A80" s="1269" t="s">
        <v>303</v>
      </c>
      <c r="B80" s="1270" t="s">
        <v>304</v>
      </c>
      <c r="C80" s="1315"/>
      <c r="D80" s="1729" t="s">
        <v>305</v>
      </c>
      <c r="E80" s="1316">
        <v>8</v>
      </c>
      <c r="F80" s="1317">
        <v>30000</v>
      </c>
      <c r="G80" s="1294" t="s">
        <v>154</v>
      </c>
      <c r="H80" s="1318">
        <v>43831</v>
      </c>
      <c r="I80" s="1318"/>
      <c r="J80" s="1319"/>
      <c r="L80" s="96" t="s">
        <v>250</v>
      </c>
      <c r="N80" s="1447">
        <v>29747976</v>
      </c>
      <c r="O80" s="1448">
        <v>2379838.08</v>
      </c>
      <c r="P80" s="1447">
        <v>67724989</v>
      </c>
      <c r="Q80" s="1448">
        <v>5417999.1199999945</v>
      </c>
      <c r="R80" s="1447">
        <v>76980688.941</v>
      </c>
      <c r="S80" s="1448">
        <v>6158455.0999999996</v>
      </c>
      <c r="T80" s="1447">
        <v>47300413</v>
      </c>
      <c r="U80" s="1448">
        <v>3784033.04</v>
      </c>
      <c r="W80" t="s">
        <v>302</v>
      </c>
    </row>
    <row r="81" spans="1:23" ht="13.9" customHeight="1">
      <c r="A81" s="1320"/>
      <c r="B81" s="1321"/>
      <c r="C81" s="1321"/>
      <c r="D81" s="1322"/>
      <c r="E81" s="1321"/>
      <c r="F81" s="1311"/>
      <c r="G81" s="1323"/>
      <c r="H81" s="1313"/>
      <c r="I81" s="1313"/>
      <c r="J81" s="1314"/>
      <c r="L81" s="96"/>
      <c r="N81" s="1449"/>
      <c r="O81" s="1450"/>
      <c r="P81" s="1516"/>
      <c r="Q81" s="1517"/>
      <c r="R81" s="1449"/>
      <c r="S81" s="1450"/>
      <c r="T81" s="1469"/>
      <c r="U81" s="1470"/>
    </row>
    <row r="82" spans="1:23" ht="13.9" customHeight="1">
      <c r="A82" s="1324" t="s">
        <v>306</v>
      </c>
      <c r="B82" s="1325" t="s">
        <v>307</v>
      </c>
      <c r="C82" s="1326"/>
      <c r="D82" s="1278" t="s">
        <v>308</v>
      </c>
      <c r="E82" s="1327">
        <v>4</v>
      </c>
      <c r="F82" s="1328">
        <v>60000</v>
      </c>
      <c r="G82" s="1281" t="s">
        <v>154</v>
      </c>
      <c r="H82" s="1329">
        <v>42370</v>
      </c>
      <c r="I82" s="1329"/>
      <c r="J82" s="1330"/>
      <c r="L82" s="96" t="s">
        <v>179</v>
      </c>
      <c r="N82" s="1455"/>
      <c r="O82" s="1448">
        <v>77.88</v>
      </c>
      <c r="P82" s="1455"/>
      <c r="Q82" s="1448">
        <v>326.44</v>
      </c>
      <c r="R82" s="1455"/>
      <c r="S82" s="1448">
        <v>10200</v>
      </c>
      <c r="T82" s="1454"/>
      <c r="U82" s="1448">
        <v>0</v>
      </c>
      <c r="W82" t="s">
        <v>309</v>
      </c>
    </row>
    <row r="83" spans="1:23" ht="13.9" customHeight="1" thickBot="1">
      <c r="A83" s="1269"/>
      <c r="B83" s="1270"/>
      <c r="C83" s="1271"/>
      <c r="D83" s="1331"/>
      <c r="E83" s="1316"/>
      <c r="F83" s="1288"/>
      <c r="G83" s="1288"/>
      <c r="H83" s="1332"/>
      <c r="I83" s="1332"/>
      <c r="J83" s="1319"/>
      <c r="L83" s="96"/>
      <c r="N83" s="1449"/>
      <c r="O83" s="1450"/>
      <c r="P83" s="1516"/>
      <c r="Q83" s="1517"/>
      <c r="R83" s="1449"/>
      <c r="S83" s="1450"/>
      <c r="T83" s="1469"/>
      <c r="U83" s="1470"/>
    </row>
    <row r="84" spans="1:23" ht="13.9" customHeight="1" thickBot="1">
      <c r="A84" s="1766"/>
      <c r="B84" s="1767"/>
      <c r="C84" s="1767"/>
      <c r="D84" s="1767"/>
      <c r="E84" s="1767"/>
      <c r="F84" s="1767"/>
      <c r="G84" s="1767"/>
      <c r="H84" s="1767"/>
      <c r="I84" s="1767"/>
      <c r="J84" s="1768"/>
      <c r="L84" s="96"/>
      <c r="N84" s="1449"/>
      <c r="O84" s="1450"/>
      <c r="P84" s="1516"/>
      <c r="Q84" s="1517"/>
      <c r="R84" s="1449"/>
      <c r="S84" s="1450"/>
      <c r="T84" s="1469"/>
      <c r="U84" s="1470"/>
    </row>
    <row r="85" spans="1:23" ht="13.9" customHeight="1" thickBot="1">
      <c r="A85" s="1752" t="s">
        <v>310</v>
      </c>
      <c r="B85" s="1753"/>
      <c r="C85" s="1753"/>
      <c r="D85" s="1753"/>
      <c r="E85" s="1753"/>
      <c r="F85" s="1753"/>
      <c r="G85" s="1753"/>
      <c r="H85" s="1753"/>
      <c r="I85" s="1753"/>
      <c r="J85" s="1754"/>
      <c r="L85" s="96"/>
      <c r="N85" s="1449"/>
      <c r="O85" s="1450"/>
      <c r="P85" s="1516"/>
      <c r="Q85" s="1517"/>
      <c r="R85" s="1449"/>
      <c r="S85" s="1450"/>
      <c r="T85" s="1469"/>
      <c r="U85" s="1470"/>
    </row>
    <row r="86" spans="1:23" ht="13.9" customHeight="1" thickBot="1">
      <c r="A86" s="1333" t="s">
        <v>311</v>
      </c>
      <c r="B86" s="1334" t="s">
        <v>312</v>
      </c>
      <c r="C86" s="1334"/>
      <c r="D86" s="1335" t="s">
        <v>313</v>
      </c>
      <c r="E86" s="1336" t="s">
        <v>154</v>
      </c>
      <c r="F86" s="1237"/>
      <c r="G86" s="1237"/>
      <c r="H86" s="1337"/>
      <c r="I86" s="1337"/>
      <c r="J86" s="1338"/>
      <c r="L86" s="96" t="s">
        <v>179</v>
      </c>
      <c r="N86" s="1453"/>
      <c r="O86" s="1448">
        <v>-74278.490000000005</v>
      </c>
      <c r="P86" s="1453"/>
      <c r="Q86" s="1448">
        <v>-1129790.7</v>
      </c>
      <c r="R86" s="1453"/>
      <c r="S86" s="1448">
        <v>-257053.7900000001</v>
      </c>
      <c r="T86" s="1471"/>
      <c r="U86" s="1448">
        <v>-29089.8</v>
      </c>
      <c r="W86" t="s">
        <v>314</v>
      </c>
    </row>
    <row r="87" spans="1:23" ht="13.9" customHeight="1" thickBot="1">
      <c r="A87" s="1339" t="s">
        <v>315</v>
      </c>
      <c r="B87" s="1340" t="s">
        <v>316</v>
      </c>
      <c r="C87" s="1340"/>
      <c r="D87" s="1341" t="s">
        <v>317</v>
      </c>
      <c r="E87" s="1342" t="s">
        <v>154</v>
      </c>
      <c r="F87" s="1237"/>
      <c r="G87" s="1237"/>
      <c r="H87" s="1337"/>
      <c r="I87" s="1337"/>
      <c r="J87" s="1338"/>
      <c r="L87" s="96" t="s">
        <v>179</v>
      </c>
      <c r="N87" s="1453"/>
      <c r="O87" s="1448">
        <v>-10037.31</v>
      </c>
      <c r="P87" s="1453"/>
      <c r="Q87" s="1448">
        <v>-13981.38</v>
      </c>
      <c r="R87" s="1453"/>
      <c r="S87" s="1448">
        <v>-17445.14</v>
      </c>
      <c r="T87" s="1471"/>
      <c r="U87" s="1448">
        <v>-2995.5</v>
      </c>
      <c r="W87" t="s">
        <v>318</v>
      </c>
    </row>
    <row r="88" spans="1:23" ht="13.9" customHeight="1" thickBot="1">
      <c r="A88" s="1752" t="s">
        <v>319</v>
      </c>
      <c r="B88" s="1753"/>
      <c r="C88" s="1753"/>
      <c r="D88" s="1753"/>
      <c r="E88" s="1753"/>
      <c r="F88" s="1753"/>
      <c r="G88" s="1753"/>
      <c r="H88" s="1753"/>
      <c r="I88" s="1753"/>
      <c r="J88" s="1754"/>
      <c r="L88" s="96"/>
      <c r="N88" s="1449"/>
      <c r="O88" s="1450"/>
      <c r="P88" s="1516"/>
      <c r="Q88" s="1517"/>
      <c r="R88" s="1449"/>
      <c r="S88" s="1450"/>
      <c r="T88" s="1469"/>
      <c r="U88" s="1470"/>
    </row>
    <row r="89" spans="1:23" ht="13.9" customHeight="1" thickBot="1">
      <c r="A89" s="1343" t="s">
        <v>320</v>
      </c>
      <c r="B89" s="1344" t="s">
        <v>321</v>
      </c>
      <c r="C89" s="1344"/>
      <c r="D89" s="1345" t="s">
        <v>322</v>
      </c>
      <c r="E89" s="1346" t="s">
        <v>154</v>
      </c>
      <c r="F89" s="1344"/>
      <c r="G89" s="1344"/>
      <c r="H89" s="1347"/>
      <c r="I89" s="1347"/>
      <c r="J89" s="1348"/>
      <c r="L89" s="96" t="s">
        <v>179</v>
      </c>
      <c r="N89" s="1453"/>
      <c r="O89" s="1448">
        <v>-39123.46</v>
      </c>
      <c r="P89" s="1453"/>
      <c r="Q89" s="1448">
        <v>-158508.04999999999</v>
      </c>
      <c r="R89" s="1453"/>
      <c r="S89" s="1448">
        <v>-127925.83</v>
      </c>
      <c r="T89" s="1471"/>
      <c r="U89" s="1448">
        <v>-72069.72</v>
      </c>
      <c r="W89" t="s">
        <v>322</v>
      </c>
    </row>
    <row r="90" spans="1:23" ht="13.9" customHeight="1" thickBot="1">
      <c r="A90" s="1752" t="s">
        <v>323</v>
      </c>
      <c r="B90" s="1753"/>
      <c r="C90" s="1753"/>
      <c r="D90" s="1753"/>
      <c r="E90" s="1753"/>
      <c r="F90" s="1753"/>
      <c r="G90" s="1753"/>
      <c r="H90" s="1753"/>
      <c r="I90" s="1753"/>
      <c r="J90" s="1754"/>
      <c r="L90" s="96"/>
      <c r="N90" s="1449"/>
      <c r="O90" s="1450"/>
      <c r="P90" s="1516"/>
      <c r="Q90" s="1517"/>
      <c r="R90" s="1449"/>
      <c r="S90" s="1450"/>
      <c r="T90" s="1469"/>
      <c r="U90" s="1470"/>
    </row>
    <row r="91" spans="1:23" ht="13.9" customHeight="1" thickBot="1">
      <c r="A91" s="1349" t="s">
        <v>324</v>
      </c>
      <c r="B91" s="1237" t="s">
        <v>325</v>
      </c>
      <c r="C91" s="1237" t="s">
        <v>326</v>
      </c>
      <c r="D91" s="1239" t="s">
        <v>327</v>
      </c>
      <c r="E91" s="1350" t="s">
        <v>154</v>
      </c>
      <c r="F91" s="1237"/>
      <c r="G91" s="1237"/>
      <c r="H91" s="1337"/>
      <c r="I91" s="1337"/>
      <c r="J91" s="1338"/>
      <c r="L91" s="96" t="s">
        <v>179</v>
      </c>
      <c r="N91" s="1453"/>
      <c r="O91" s="1448">
        <v>-7500</v>
      </c>
      <c r="P91" s="1453"/>
      <c r="Q91" s="1448">
        <v>-24600</v>
      </c>
      <c r="R91" s="1453"/>
      <c r="S91" s="1448">
        <v>-56744</v>
      </c>
      <c r="T91" s="1471"/>
      <c r="U91" s="1448">
        <v>-12180</v>
      </c>
      <c r="W91" t="s">
        <v>328</v>
      </c>
    </row>
    <row r="92" spans="1:23" ht="25.5" customHeight="1" thickBot="1">
      <c r="A92" s="1351" t="s">
        <v>329</v>
      </c>
      <c r="B92" s="1352" t="s">
        <v>330</v>
      </c>
      <c r="C92" s="1218" t="s">
        <v>326</v>
      </c>
      <c r="D92" s="1230" t="s">
        <v>331</v>
      </c>
      <c r="E92" s="1353" t="s">
        <v>154</v>
      </c>
      <c r="F92" s="1334"/>
      <c r="G92" s="1218"/>
      <c r="H92" s="1354"/>
      <c r="I92" s="1354"/>
      <c r="J92" s="1355"/>
      <c r="L92" s="96" t="s">
        <v>179</v>
      </c>
      <c r="N92" s="1453"/>
      <c r="O92" s="1448">
        <v>10800</v>
      </c>
      <c r="P92" s="1453"/>
      <c r="Q92" s="1448">
        <v>9900</v>
      </c>
      <c r="R92" s="1453"/>
      <c r="S92" s="1448">
        <v>64019.199999999997</v>
      </c>
      <c r="T92" s="1471"/>
      <c r="U92" s="1448">
        <v>9696</v>
      </c>
      <c r="W92" t="s">
        <v>328</v>
      </c>
    </row>
    <row r="93" spans="1:23" ht="13.9" customHeight="1" thickBot="1">
      <c r="A93" s="1356"/>
      <c r="B93" s="1357"/>
      <c r="C93" s="1357"/>
      <c r="D93" s="1358"/>
      <c r="E93" s="1359"/>
      <c r="F93" s="1360"/>
      <c r="G93" s="1360"/>
      <c r="H93" s="1361"/>
      <c r="I93" s="1361"/>
      <c r="J93" s="1362"/>
      <c r="L93" s="96"/>
      <c r="N93" s="1449"/>
      <c r="O93" s="1450"/>
      <c r="P93" s="1516"/>
      <c r="Q93" s="1517"/>
      <c r="R93" s="1449"/>
      <c r="S93" s="1450"/>
      <c r="T93" s="1469"/>
      <c r="U93" s="1470"/>
    </row>
    <row r="94" spans="1:23" ht="13.9" customHeight="1" thickBot="1">
      <c r="A94" s="1755" t="s">
        <v>332</v>
      </c>
      <c r="B94" s="1756"/>
      <c r="C94" s="1756"/>
      <c r="D94" s="1756"/>
      <c r="E94" s="1756"/>
      <c r="F94" s="1756"/>
      <c r="G94" s="1756"/>
      <c r="H94" s="1756"/>
      <c r="I94" s="1756"/>
      <c r="J94" s="1757"/>
      <c r="L94" s="96"/>
      <c r="N94" s="1449"/>
      <c r="O94" s="1450"/>
      <c r="P94" s="1516"/>
      <c r="Q94" s="1517"/>
      <c r="R94" s="1449"/>
      <c r="S94" s="1450"/>
      <c r="T94" s="1469"/>
      <c r="U94" s="1470"/>
    </row>
    <row r="95" spans="1:23" ht="13.9" customHeight="1" thickBot="1">
      <c r="A95" s="1752" t="s">
        <v>333</v>
      </c>
      <c r="B95" s="1753"/>
      <c r="C95" s="1753"/>
      <c r="D95" s="1753"/>
      <c r="E95" s="1753"/>
      <c r="F95" s="1753"/>
      <c r="G95" s="1753"/>
      <c r="H95" s="1753"/>
      <c r="I95" s="1753"/>
      <c r="J95" s="1754"/>
      <c r="L95" s="96"/>
      <c r="N95" s="1449"/>
      <c r="O95" s="1450"/>
      <c r="P95" s="1516"/>
      <c r="Q95" s="1517"/>
      <c r="R95" s="1449"/>
      <c r="S95" s="1450"/>
      <c r="T95" s="1469"/>
      <c r="U95" s="1470"/>
    </row>
    <row r="96" spans="1:23" ht="13.9" customHeight="1" thickBot="1">
      <c r="A96" s="1363" t="s">
        <v>334</v>
      </c>
      <c r="B96" s="1364" t="s">
        <v>335</v>
      </c>
      <c r="C96" s="1365"/>
      <c r="D96" s="1366" t="s">
        <v>336</v>
      </c>
      <c r="E96" s="1367">
        <v>5.41</v>
      </c>
      <c r="F96" s="1268">
        <v>30000</v>
      </c>
      <c r="G96" s="1268">
        <v>10</v>
      </c>
      <c r="H96" s="1368">
        <v>41109</v>
      </c>
      <c r="I96" s="1368">
        <v>43100</v>
      </c>
      <c r="J96" s="1369"/>
      <c r="L96" s="96" t="s">
        <v>337</v>
      </c>
      <c r="N96" s="1447">
        <v>20233896</v>
      </c>
      <c r="O96" s="1448">
        <v>1094653.8</v>
      </c>
      <c r="P96" s="1447">
        <v>31819989</v>
      </c>
      <c r="Q96" s="1448">
        <v>1721461.4299999997</v>
      </c>
      <c r="R96" s="1447">
        <v>48976460.449000016</v>
      </c>
      <c r="S96" s="1448">
        <v>2649626.5399999972</v>
      </c>
      <c r="T96" s="1447">
        <v>25793494</v>
      </c>
      <c r="U96" s="1448">
        <v>1395427.97</v>
      </c>
      <c r="W96" t="s">
        <v>338</v>
      </c>
    </row>
    <row r="97" spans="1:23" ht="13.9" customHeight="1">
      <c r="A97" s="1370" t="s">
        <v>339</v>
      </c>
      <c r="B97" s="1371" t="s">
        <v>340</v>
      </c>
      <c r="C97" s="1372"/>
      <c r="D97" s="1220" t="s">
        <v>341</v>
      </c>
      <c r="E97" s="1221">
        <v>5.41</v>
      </c>
      <c r="F97" s="1373">
        <v>30000</v>
      </c>
      <c r="G97" s="1374" t="s">
        <v>154</v>
      </c>
      <c r="H97" s="1275">
        <v>41109</v>
      </c>
      <c r="I97" s="1275">
        <v>43100</v>
      </c>
      <c r="J97" s="1375"/>
      <c r="L97" s="96" t="s">
        <v>337</v>
      </c>
      <c r="N97" s="1447">
        <v>3294896</v>
      </c>
      <c r="O97" s="1448">
        <v>178253.87</v>
      </c>
      <c r="P97" s="1447">
        <v>6547618</v>
      </c>
      <c r="Q97" s="1448">
        <v>354226.15</v>
      </c>
      <c r="R97" s="1447">
        <v>8234537.7390000001</v>
      </c>
      <c r="S97" s="1448">
        <v>445488.5199999999</v>
      </c>
      <c r="T97" s="1447">
        <v>3767050</v>
      </c>
      <c r="U97" s="1448">
        <v>203797.41</v>
      </c>
      <c r="W97" t="s">
        <v>338</v>
      </c>
    </row>
    <row r="98" spans="1:23" ht="13.9" customHeight="1">
      <c r="A98" s="1370" t="s">
        <v>342</v>
      </c>
      <c r="B98" s="1371" t="s">
        <v>340</v>
      </c>
      <c r="C98" s="1372"/>
      <c r="D98" s="1376" t="s">
        <v>343</v>
      </c>
      <c r="E98" s="1279">
        <v>4</v>
      </c>
      <c r="F98" s="1280">
        <v>30000</v>
      </c>
      <c r="G98" s="1377" t="s">
        <v>154</v>
      </c>
      <c r="H98" s="1282">
        <v>41109</v>
      </c>
      <c r="I98" s="1282">
        <v>43100</v>
      </c>
      <c r="J98" s="1301"/>
      <c r="L98" s="96" t="s">
        <v>337</v>
      </c>
      <c r="N98" s="1447">
        <v>8957336</v>
      </c>
      <c r="O98" s="1448">
        <v>358293.44</v>
      </c>
      <c r="P98" s="1447">
        <v>17319792</v>
      </c>
      <c r="Q98" s="1448">
        <v>692791.68000000017</v>
      </c>
      <c r="R98" s="1447">
        <v>20507542.806999996</v>
      </c>
      <c r="S98" s="1448">
        <v>820301.72999999986</v>
      </c>
      <c r="T98" s="1447">
        <v>9287838</v>
      </c>
      <c r="U98" s="1448">
        <v>371513.52</v>
      </c>
      <c r="W98" t="s">
        <v>338</v>
      </c>
    </row>
    <row r="99" spans="1:23" ht="13.9" customHeight="1" thickBot="1">
      <c r="A99" s="1370" t="s">
        <v>344</v>
      </c>
      <c r="B99" s="1371" t="s">
        <v>340</v>
      </c>
      <c r="C99" s="1372"/>
      <c r="D99" s="1345" t="s">
        <v>345</v>
      </c>
      <c r="E99" s="1285">
        <v>2.4</v>
      </c>
      <c r="F99" s="1378">
        <v>30000</v>
      </c>
      <c r="G99" s="1379" t="s">
        <v>154</v>
      </c>
      <c r="H99" s="1380">
        <v>41109</v>
      </c>
      <c r="I99" s="1380">
        <v>43100</v>
      </c>
      <c r="J99" s="1381"/>
      <c r="L99" s="96" t="s">
        <v>337</v>
      </c>
      <c r="N99" s="1447">
        <v>7166801</v>
      </c>
      <c r="O99" s="1448">
        <v>172003.22</v>
      </c>
      <c r="P99" s="1447">
        <v>20829829</v>
      </c>
      <c r="Q99" s="1448">
        <v>499915.89</v>
      </c>
      <c r="R99" s="1447">
        <v>32075605.958000001</v>
      </c>
      <c r="S99" s="1448">
        <v>769814.54000000015</v>
      </c>
      <c r="T99" s="1447">
        <v>18883822</v>
      </c>
      <c r="U99" s="1448">
        <v>453211.73</v>
      </c>
      <c r="W99" t="s">
        <v>338</v>
      </c>
    </row>
    <row r="100" spans="1:23" ht="13.9" customHeight="1" thickBot="1">
      <c r="A100" s="1363" t="s">
        <v>346</v>
      </c>
      <c r="B100" s="1364" t="s">
        <v>347</v>
      </c>
      <c r="C100" s="1365"/>
      <c r="D100" s="1382" t="s">
        <v>348</v>
      </c>
      <c r="E100" s="1383">
        <v>5.41</v>
      </c>
      <c r="F100" s="1268">
        <v>30000</v>
      </c>
      <c r="G100" s="1268">
        <v>10</v>
      </c>
      <c r="H100" s="1368">
        <v>41109</v>
      </c>
      <c r="I100" s="1368">
        <v>43100</v>
      </c>
      <c r="J100" s="1369"/>
      <c r="L100" s="96" t="s">
        <v>337</v>
      </c>
      <c r="N100" s="1447">
        <v>1874</v>
      </c>
      <c r="O100" s="1448">
        <v>101.38</v>
      </c>
      <c r="P100" s="1447">
        <v>15875</v>
      </c>
      <c r="Q100" s="1448">
        <v>858.83999999999992</v>
      </c>
      <c r="R100" s="1447">
        <v>326084.40000000002</v>
      </c>
      <c r="S100" s="1448">
        <v>17641.16</v>
      </c>
      <c r="T100" s="1447">
        <v>8798235</v>
      </c>
      <c r="U100" s="1448">
        <v>475984.51</v>
      </c>
      <c r="W100" t="s">
        <v>348</v>
      </c>
    </row>
    <row r="101" spans="1:23" ht="13.9" customHeight="1" thickBot="1">
      <c r="A101" s="1752" t="s">
        <v>349</v>
      </c>
      <c r="B101" s="1753"/>
      <c r="C101" s="1753"/>
      <c r="D101" s="1753"/>
      <c r="E101" s="1753"/>
      <c r="F101" s="1753"/>
      <c r="G101" s="1753"/>
      <c r="H101" s="1753"/>
      <c r="I101" s="1753"/>
      <c r="J101" s="1754"/>
      <c r="L101" s="96"/>
      <c r="N101" s="1516"/>
      <c r="O101" s="1517"/>
      <c r="P101" s="1516"/>
      <c r="Q101" s="1517"/>
      <c r="R101" s="1449"/>
      <c r="S101" s="1450"/>
      <c r="T101" s="1469"/>
      <c r="U101" s="1470"/>
    </row>
    <row r="102" spans="1:23" ht="13.9" customHeight="1">
      <c r="A102" s="1211" t="s">
        <v>350</v>
      </c>
      <c r="B102" s="1384" t="s">
        <v>351</v>
      </c>
      <c r="C102" s="1385"/>
      <c r="D102" s="1220" t="s">
        <v>177</v>
      </c>
      <c r="E102" s="1221">
        <v>5.41</v>
      </c>
      <c r="F102" s="1373">
        <v>30000</v>
      </c>
      <c r="G102" s="1274" t="s">
        <v>154</v>
      </c>
      <c r="H102" s="1275">
        <v>41109</v>
      </c>
      <c r="I102" s="1275">
        <v>43100</v>
      </c>
      <c r="J102" s="1375"/>
      <c r="L102" s="96" t="s">
        <v>337</v>
      </c>
      <c r="N102" s="1447">
        <v>555</v>
      </c>
      <c r="O102" s="1448">
        <v>30.03</v>
      </c>
      <c r="P102" s="1447">
        <v>93126</v>
      </c>
      <c r="Q102" s="1448">
        <v>5038.12</v>
      </c>
      <c r="R102" s="1447">
        <v>271902.76</v>
      </c>
      <c r="S102" s="1448">
        <v>14709.94</v>
      </c>
      <c r="T102" s="1447">
        <v>272895</v>
      </c>
      <c r="U102" s="1448">
        <v>14763.62</v>
      </c>
      <c r="W102" t="s">
        <v>352</v>
      </c>
    </row>
    <row r="103" spans="1:23" ht="13.9" customHeight="1">
      <c r="A103" s="1370" t="s">
        <v>353</v>
      </c>
      <c r="B103" s="1371" t="s">
        <v>351</v>
      </c>
      <c r="C103" s="1372"/>
      <c r="D103" s="1376" t="s">
        <v>354</v>
      </c>
      <c r="E103" s="1279">
        <v>4</v>
      </c>
      <c r="F103" s="1280">
        <v>30000</v>
      </c>
      <c r="G103" s="1281" t="s">
        <v>154</v>
      </c>
      <c r="H103" s="1282">
        <v>41109</v>
      </c>
      <c r="I103" s="1282">
        <v>43100</v>
      </c>
      <c r="J103" s="1301"/>
      <c r="L103" s="96" t="s">
        <v>337</v>
      </c>
      <c r="N103" s="1447"/>
      <c r="O103" s="1448"/>
      <c r="P103" s="1447">
        <v>304788</v>
      </c>
      <c r="Q103" s="1448">
        <v>12191.519999999999</v>
      </c>
      <c r="R103" s="1447">
        <v>1087612.0389999999</v>
      </c>
      <c r="S103" s="1448">
        <v>43504.479999999996</v>
      </c>
      <c r="T103" s="1447">
        <v>581988</v>
      </c>
      <c r="U103" s="1448">
        <v>23279.52</v>
      </c>
      <c r="W103" t="s">
        <v>352</v>
      </c>
    </row>
    <row r="104" spans="1:23" ht="13.9" customHeight="1">
      <c r="A104" s="1370" t="s">
        <v>355</v>
      </c>
      <c r="B104" s="1371" t="s">
        <v>351</v>
      </c>
      <c r="C104" s="1372"/>
      <c r="D104" s="1376" t="s">
        <v>187</v>
      </c>
      <c r="E104" s="1279">
        <v>2.4</v>
      </c>
      <c r="F104" s="1280">
        <v>30000</v>
      </c>
      <c r="G104" s="1281" t="s">
        <v>154</v>
      </c>
      <c r="H104" s="1282">
        <v>41109</v>
      </c>
      <c r="I104" s="1282">
        <v>43100</v>
      </c>
      <c r="J104" s="1301"/>
      <c r="L104" s="96" t="s">
        <v>337</v>
      </c>
      <c r="N104" s="1447"/>
      <c r="O104" s="1448"/>
      <c r="P104" s="1447">
        <v>848340</v>
      </c>
      <c r="Q104" s="1448">
        <v>20360.16</v>
      </c>
      <c r="R104" s="1447">
        <v>9516608.5889999997</v>
      </c>
      <c r="S104" s="1448">
        <v>228398.61</v>
      </c>
      <c r="T104" s="1447">
        <v>4797835</v>
      </c>
      <c r="U104" s="1448">
        <v>115148.04</v>
      </c>
      <c r="W104" t="s">
        <v>352</v>
      </c>
    </row>
    <row r="105" spans="1:23" ht="13.9" customHeight="1">
      <c r="A105" s="1370" t="s">
        <v>356</v>
      </c>
      <c r="B105" s="1371" t="s">
        <v>351</v>
      </c>
      <c r="C105" s="1372"/>
      <c r="D105" s="1376" t="s">
        <v>357</v>
      </c>
      <c r="E105" s="1279">
        <v>1.8</v>
      </c>
      <c r="F105" s="1280">
        <v>30000</v>
      </c>
      <c r="G105" s="1281" t="s">
        <v>154</v>
      </c>
      <c r="H105" s="1282">
        <v>41109</v>
      </c>
      <c r="I105" s="1282">
        <v>43100</v>
      </c>
      <c r="J105" s="1301"/>
      <c r="L105" s="96" t="s">
        <v>358</v>
      </c>
      <c r="N105" s="1447"/>
      <c r="O105" s="1448"/>
      <c r="P105" s="1447">
        <v>4978470</v>
      </c>
      <c r="Q105" s="1448">
        <v>89612.46</v>
      </c>
      <c r="R105" s="1447">
        <v>8299346.6119999997</v>
      </c>
      <c r="S105" s="1448">
        <v>149388.24</v>
      </c>
      <c r="T105" s="1447">
        <v>4139848</v>
      </c>
      <c r="U105" s="1448">
        <v>74517.259999999995</v>
      </c>
      <c r="W105" t="s">
        <v>352</v>
      </c>
    </row>
    <row r="106" spans="1:23" ht="13.9" customHeight="1">
      <c r="A106" s="1370" t="s">
        <v>359</v>
      </c>
      <c r="B106" s="1384" t="s">
        <v>351</v>
      </c>
      <c r="C106" s="1372" t="s">
        <v>360</v>
      </c>
      <c r="D106" s="1376" t="s">
        <v>361</v>
      </c>
      <c r="E106" s="1279">
        <v>5.71</v>
      </c>
      <c r="F106" s="1280">
        <v>30000</v>
      </c>
      <c r="G106" s="1281" t="s">
        <v>154</v>
      </c>
      <c r="H106" s="1282">
        <v>41275</v>
      </c>
      <c r="I106" s="1282">
        <v>43100</v>
      </c>
      <c r="J106" s="1301"/>
      <c r="L106" s="96" t="s">
        <v>337</v>
      </c>
      <c r="N106" s="1447"/>
      <c r="O106" s="1448"/>
      <c r="P106" s="1447">
        <v>471521</v>
      </c>
      <c r="Q106" s="1448">
        <v>26923.85</v>
      </c>
      <c r="R106" s="1447">
        <v>237534.25599999999</v>
      </c>
      <c r="S106" s="1448">
        <v>13563.21</v>
      </c>
      <c r="T106" s="1447">
        <v>135128</v>
      </c>
      <c r="U106" s="1448">
        <v>7715.81</v>
      </c>
      <c r="W106" t="s">
        <v>352</v>
      </c>
    </row>
    <row r="107" spans="1:23" ht="13.9" customHeight="1">
      <c r="A107" s="1370" t="s">
        <v>362</v>
      </c>
      <c r="B107" s="1371" t="s">
        <v>351</v>
      </c>
      <c r="C107" s="1372" t="s">
        <v>360</v>
      </c>
      <c r="D107" s="1376" t="s">
        <v>363</v>
      </c>
      <c r="E107" s="1279">
        <v>4.3</v>
      </c>
      <c r="F107" s="1280">
        <v>30000</v>
      </c>
      <c r="G107" s="1281" t="s">
        <v>154</v>
      </c>
      <c r="H107" s="1282">
        <v>41275</v>
      </c>
      <c r="I107" s="1282">
        <v>43100</v>
      </c>
      <c r="J107" s="1301"/>
      <c r="L107" s="96" t="s">
        <v>337</v>
      </c>
      <c r="N107" s="1447"/>
      <c r="O107" s="1448"/>
      <c r="P107" s="1447">
        <v>1886087</v>
      </c>
      <c r="Q107" s="1448">
        <v>81101.75</v>
      </c>
      <c r="R107" s="1447">
        <v>950135.02600000007</v>
      </c>
      <c r="S107" s="1448">
        <v>40855.810000000005</v>
      </c>
      <c r="T107" s="1447">
        <v>540514</v>
      </c>
      <c r="U107" s="1448">
        <v>23242.1</v>
      </c>
      <c r="W107" t="s">
        <v>352</v>
      </c>
    </row>
    <row r="108" spans="1:23" ht="13.9" customHeight="1">
      <c r="A108" s="1370" t="s">
        <v>364</v>
      </c>
      <c r="B108" s="1371" t="s">
        <v>351</v>
      </c>
      <c r="C108" s="1372" t="s">
        <v>360</v>
      </c>
      <c r="D108" s="1376" t="s">
        <v>365</v>
      </c>
      <c r="E108" s="1279">
        <v>2.6999999999999997</v>
      </c>
      <c r="F108" s="1280">
        <v>30000</v>
      </c>
      <c r="G108" s="1281" t="s">
        <v>154</v>
      </c>
      <c r="H108" s="1282">
        <v>41275</v>
      </c>
      <c r="I108" s="1282">
        <v>43100</v>
      </c>
      <c r="J108" s="1301"/>
      <c r="L108" s="96" t="s">
        <v>337</v>
      </c>
      <c r="N108" s="1447"/>
      <c r="O108" s="1448"/>
      <c r="P108" s="1447">
        <v>16503294</v>
      </c>
      <c r="Q108" s="1448">
        <v>445588.95</v>
      </c>
      <c r="R108" s="1447">
        <v>8313681.977</v>
      </c>
      <c r="S108" s="1448">
        <v>224469.42</v>
      </c>
      <c r="T108" s="1447">
        <v>4729501</v>
      </c>
      <c r="U108" s="1448">
        <v>127696.53</v>
      </c>
      <c r="W108" t="s">
        <v>352</v>
      </c>
    </row>
    <row r="109" spans="1:23" ht="13.9" customHeight="1" thickBot="1">
      <c r="A109" s="1370" t="s">
        <v>366</v>
      </c>
      <c r="B109" s="1371" t="s">
        <v>351</v>
      </c>
      <c r="C109" s="1372" t="s">
        <v>360</v>
      </c>
      <c r="D109" s="1345" t="s">
        <v>367</v>
      </c>
      <c r="E109" s="1285">
        <v>2.1</v>
      </c>
      <c r="F109" s="1378">
        <v>30000</v>
      </c>
      <c r="G109" s="1294" t="s">
        <v>154</v>
      </c>
      <c r="H109" s="1380">
        <v>41275</v>
      </c>
      <c r="I109" s="1380">
        <v>43100</v>
      </c>
      <c r="J109" s="1381"/>
      <c r="L109" s="96" t="s">
        <v>358</v>
      </c>
      <c r="N109" s="1447"/>
      <c r="O109" s="1448"/>
      <c r="P109" s="1447">
        <v>360228126</v>
      </c>
      <c r="Q109" s="1448">
        <v>7564790.6500000004</v>
      </c>
      <c r="R109" s="1447">
        <v>35680823</v>
      </c>
      <c r="S109" s="1448">
        <v>749297.28</v>
      </c>
      <c r="T109" s="1447">
        <v>824001889</v>
      </c>
      <c r="U109" s="1448">
        <v>17304039.670000002</v>
      </c>
      <c r="W109" t="s">
        <v>352</v>
      </c>
    </row>
    <row r="110" spans="1:23" ht="13.9" customHeight="1" thickBot="1">
      <c r="A110" s="1752" t="s">
        <v>368</v>
      </c>
      <c r="B110" s="1753"/>
      <c r="C110" s="1753"/>
      <c r="D110" s="1753"/>
      <c r="E110" s="1753"/>
      <c r="F110" s="1753"/>
      <c r="G110" s="1753"/>
      <c r="H110" s="1753"/>
      <c r="I110" s="1753"/>
      <c r="J110" s="1754"/>
      <c r="L110" s="96"/>
      <c r="N110" s="1516"/>
      <c r="O110" s="1517"/>
      <c r="P110" s="1516"/>
      <c r="Q110" s="1517"/>
      <c r="R110" s="1449"/>
      <c r="S110" s="1450"/>
      <c r="T110" s="1469"/>
      <c r="U110" s="1470"/>
    </row>
    <row r="111" spans="1:23" ht="13.9" customHeight="1" thickBot="1">
      <c r="A111" s="1386" t="s">
        <v>369</v>
      </c>
      <c r="B111" s="1387" t="s">
        <v>370</v>
      </c>
      <c r="C111" s="1388"/>
      <c r="D111" s="1389" t="s">
        <v>371</v>
      </c>
      <c r="E111" s="1390">
        <v>5.41</v>
      </c>
      <c r="F111" s="1268" t="s">
        <v>372</v>
      </c>
      <c r="G111" s="1268" t="s">
        <v>373</v>
      </c>
      <c r="H111" s="1368">
        <v>41109</v>
      </c>
      <c r="I111" s="1368">
        <v>43100</v>
      </c>
      <c r="J111" s="1369"/>
      <c r="L111" s="96" t="s">
        <v>337</v>
      </c>
      <c r="N111" s="1447">
        <v>4905688</v>
      </c>
      <c r="O111" s="1448">
        <v>265397.71999999997</v>
      </c>
      <c r="P111" s="1447">
        <v>6782076</v>
      </c>
      <c r="Q111" s="1448">
        <v>366910.32999999996</v>
      </c>
      <c r="R111" s="1447">
        <v>8623565.2870000005</v>
      </c>
      <c r="S111" s="1448">
        <v>466534.81</v>
      </c>
      <c r="T111" s="1447">
        <v>4800829</v>
      </c>
      <c r="U111" s="1448">
        <v>259724.87</v>
      </c>
      <c r="W111" t="s">
        <v>374</v>
      </c>
    </row>
    <row r="112" spans="1:23" ht="13.9" customHeight="1">
      <c r="A112" s="1211" t="s">
        <v>375</v>
      </c>
      <c r="B112" s="1384" t="s">
        <v>376</v>
      </c>
      <c r="C112" s="1385"/>
      <c r="D112" s="1376" t="s">
        <v>377</v>
      </c>
      <c r="E112" s="1279">
        <v>5.41</v>
      </c>
      <c r="F112" s="1373" t="s">
        <v>372</v>
      </c>
      <c r="G112" s="1374" t="s">
        <v>154</v>
      </c>
      <c r="H112" s="1275">
        <v>41109</v>
      </c>
      <c r="I112" s="1275">
        <v>43100</v>
      </c>
      <c r="J112" s="1375"/>
      <c r="L112" s="96" t="s">
        <v>337</v>
      </c>
      <c r="N112" s="1447">
        <v>1318658</v>
      </c>
      <c r="O112" s="1448">
        <v>71339.38</v>
      </c>
      <c r="P112" s="1447">
        <v>1001245</v>
      </c>
      <c r="Q112" s="1448">
        <v>54167.350000000006</v>
      </c>
      <c r="R112" s="1447">
        <v>657940.446</v>
      </c>
      <c r="S112" s="1448">
        <v>35594.589999999997</v>
      </c>
      <c r="T112" s="1447">
        <v>1462486</v>
      </c>
      <c r="U112" s="1448">
        <v>79120.490000000005</v>
      </c>
      <c r="W112" t="s">
        <v>374</v>
      </c>
    </row>
    <row r="113" spans="1:23" ht="13.9" customHeight="1">
      <c r="A113" s="1370" t="s">
        <v>378</v>
      </c>
      <c r="B113" s="1371" t="s">
        <v>376</v>
      </c>
      <c r="C113" s="1372"/>
      <c r="D113" s="1376" t="s">
        <v>379</v>
      </c>
      <c r="E113" s="1279">
        <v>4</v>
      </c>
      <c r="F113" s="1280" t="s">
        <v>372</v>
      </c>
      <c r="G113" s="1377" t="s">
        <v>154</v>
      </c>
      <c r="H113" s="1282">
        <v>41109</v>
      </c>
      <c r="I113" s="1282">
        <v>43100</v>
      </c>
      <c r="J113" s="1301"/>
      <c r="L113" s="96" t="s">
        <v>337</v>
      </c>
      <c r="N113" s="1447">
        <v>4218403</v>
      </c>
      <c r="O113" s="1448">
        <v>168736.12</v>
      </c>
      <c r="P113" s="1447">
        <v>2918683</v>
      </c>
      <c r="Q113" s="1448">
        <v>116747.31999999999</v>
      </c>
      <c r="R113" s="1447">
        <v>1783216.6159999999</v>
      </c>
      <c r="S113" s="1448">
        <v>71328.670000000013</v>
      </c>
      <c r="T113" s="1447">
        <v>1629924</v>
      </c>
      <c r="U113" s="1448">
        <v>65196.959999999999</v>
      </c>
      <c r="W113" t="s">
        <v>374</v>
      </c>
    </row>
    <row r="114" spans="1:23" ht="13.9" customHeight="1">
      <c r="A114" s="1370" t="s">
        <v>380</v>
      </c>
      <c r="B114" s="1371" t="s">
        <v>376</v>
      </c>
      <c r="C114" s="1372"/>
      <c r="D114" s="1376" t="s">
        <v>381</v>
      </c>
      <c r="E114" s="1279">
        <v>2.4</v>
      </c>
      <c r="F114" s="1280" t="s">
        <v>372</v>
      </c>
      <c r="G114" s="1377" t="s">
        <v>154</v>
      </c>
      <c r="H114" s="1282">
        <v>41109</v>
      </c>
      <c r="I114" s="1282">
        <v>43100</v>
      </c>
      <c r="J114" s="1301"/>
      <c r="L114" s="96" t="s">
        <v>337</v>
      </c>
      <c r="N114" s="1447">
        <v>9441725</v>
      </c>
      <c r="O114" s="1448">
        <v>226601.38</v>
      </c>
      <c r="P114" s="1447">
        <v>4214818</v>
      </c>
      <c r="Q114" s="1448">
        <v>101155.63</v>
      </c>
      <c r="R114" s="1447">
        <v>5765494.0630000001</v>
      </c>
      <c r="S114" s="1448">
        <v>138371.84999999998</v>
      </c>
      <c r="T114" s="1447">
        <v>1524356</v>
      </c>
      <c r="U114" s="1448">
        <v>36584.54</v>
      </c>
      <c r="W114" t="s">
        <v>374</v>
      </c>
    </row>
    <row r="115" spans="1:23" ht="13.9" customHeight="1">
      <c r="A115" s="1370" t="s">
        <v>382</v>
      </c>
      <c r="B115" s="1371" t="s">
        <v>376</v>
      </c>
      <c r="C115" s="1372"/>
      <c r="D115" s="1376" t="s">
        <v>383</v>
      </c>
      <c r="E115" s="1279">
        <v>1.8</v>
      </c>
      <c r="F115" s="1280" t="s">
        <v>372</v>
      </c>
      <c r="G115" s="1377" t="s">
        <v>154</v>
      </c>
      <c r="H115" s="1282">
        <v>41109</v>
      </c>
      <c r="I115" s="1282">
        <v>43100</v>
      </c>
      <c r="J115" s="1301"/>
      <c r="L115" s="96" t="s">
        <v>358</v>
      </c>
      <c r="N115" s="1447"/>
      <c r="O115" s="1448"/>
      <c r="P115" s="1447">
        <v>0</v>
      </c>
      <c r="Q115" s="1448">
        <v>0</v>
      </c>
      <c r="R115" s="1447">
        <v>6334435.0700000003</v>
      </c>
      <c r="S115" s="1448">
        <v>114019.83</v>
      </c>
      <c r="T115" s="1447">
        <v>0</v>
      </c>
      <c r="U115" s="1448">
        <v>0</v>
      </c>
      <c r="W115" t="s">
        <v>374</v>
      </c>
    </row>
    <row r="116" spans="1:23" ht="13.9" customHeight="1">
      <c r="A116" s="1370" t="s">
        <v>384</v>
      </c>
      <c r="B116" s="1371" t="s">
        <v>376</v>
      </c>
      <c r="C116" s="1372" t="s">
        <v>360</v>
      </c>
      <c r="D116" s="1376" t="s">
        <v>385</v>
      </c>
      <c r="E116" s="1279">
        <v>5.71</v>
      </c>
      <c r="F116" s="1280" t="s">
        <v>372</v>
      </c>
      <c r="G116" s="1377" t="s">
        <v>154</v>
      </c>
      <c r="H116" s="1282">
        <v>41109</v>
      </c>
      <c r="I116" s="1282">
        <v>43100</v>
      </c>
      <c r="J116" s="1301"/>
      <c r="L116" s="96" t="s">
        <v>337</v>
      </c>
      <c r="N116" s="1447">
        <v>110228</v>
      </c>
      <c r="O116" s="1448">
        <v>6294.02</v>
      </c>
      <c r="P116" s="1447">
        <v>235248</v>
      </c>
      <c r="Q116" s="1448">
        <v>13432.67</v>
      </c>
      <c r="R116" s="1447">
        <v>107635.00700000001</v>
      </c>
      <c r="S116" s="1448">
        <v>6145.96</v>
      </c>
      <c r="T116" s="1447">
        <v>102017</v>
      </c>
      <c r="U116" s="1448">
        <v>5825.17</v>
      </c>
      <c r="W116" t="s">
        <v>374</v>
      </c>
    </row>
    <row r="117" spans="1:23" ht="13.9" customHeight="1">
      <c r="A117" s="1370" t="s">
        <v>386</v>
      </c>
      <c r="B117" s="1371" t="s">
        <v>376</v>
      </c>
      <c r="C117" s="1372" t="s">
        <v>360</v>
      </c>
      <c r="D117" s="1376" t="s">
        <v>387</v>
      </c>
      <c r="E117" s="1279">
        <v>4.3</v>
      </c>
      <c r="F117" s="1280" t="s">
        <v>372</v>
      </c>
      <c r="G117" s="1377" t="s">
        <v>154</v>
      </c>
      <c r="H117" s="1282">
        <v>41109</v>
      </c>
      <c r="I117" s="1282">
        <v>43100</v>
      </c>
      <c r="J117" s="1301"/>
      <c r="L117" s="96" t="s">
        <v>337</v>
      </c>
      <c r="N117" s="1447">
        <v>440910</v>
      </c>
      <c r="O117" s="1448">
        <v>18959.13</v>
      </c>
      <c r="P117" s="1447">
        <v>940991</v>
      </c>
      <c r="Q117" s="1448">
        <v>40462.61</v>
      </c>
      <c r="R117" s="1447">
        <v>430540.03700000001</v>
      </c>
      <c r="S117" s="1448">
        <v>18513.22</v>
      </c>
      <c r="T117" s="1447">
        <v>408069</v>
      </c>
      <c r="U117" s="1448">
        <v>17546.97</v>
      </c>
      <c r="W117" t="s">
        <v>374</v>
      </c>
    </row>
    <row r="118" spans="1:23" ht="13.9" customHeight="1">
      <c r="A118" s="1370" t="s">
        <v>388</v>
      </c>
      <c r="B118" s="1371" t="s">
        <v>376</v>
      </c>
      <c r="C118" s="1372" t="s">
        <v>360</v>
      </c>
      <c r="D118" s="1376" t="s">
        <v>389</v>
      </c>
      <c r="E118" s="1279">
        <v>2.6999999999999997</v>
      </c>
      <c r="F118" s="1280" t="s">
        <v>372</v>
      </c>
      <c r="G118" s="1377" t="s">
        <v>154</v>
      </c>
      <c r="H118" s="1282">
        <v>41109</v>
      </c>
      <c r="I118" s="1282">
        <v>43100</v>
      </c>
      <c r="J118" s="1301"/>
      <c r="L118" s="96" t="s">
        <v>337</v>
      </c>
      <c r="N118" s="1447">
        <v>3857965</v>
      </c>
      <c r="O118" s="1448">
        <v>104165.06</v>
      </c>
      <c r="P118" s="1447">
        <v>8233679</v>
      </c>
      <c r="Q118" s="1448">
        <v>222309.33000000002</v>
      </c>
      <c r="R118" s="1447">
        <v>3767225.1780000003</v>
      </c>
      <c r="S118" s="1448">
        <v>101715.07999999999</v>
      </c>
      <c r="T118" s="1447">
        <v>3570600</v>
      </c>
      <c r="U118" s="1448">
        <v>96406.2</v>
      </c>
      <c r="W118" t="s">
        <v>374</v>
      </c>
    </row>
    <row r="119" spans="1:23" ht="13.9" customHeight="1" thickBot="1">
      <c r="A119" s="1370" t="s">
        <v>390</v>
      </c>
      <c r="B119" s="1371" t="s">
        <v>376</v>
      </c>
      <c r="C119" s="1372" t="s">
        <v>360</v>
      </c>
      <c r="D119" s="1345" t="s">
        <v>391</v>
      </c>
      <c r="E119" s="1285">
        <v>2.1</v>
      </c>
      <c r="F119" s="1378" t="s">
        <v>372</v>
      </c>
      <c r="G119" s="1379" t="s">
        <v>154</v>
      </c>
      <c r="H119" s="1380">
        <v>41109</v>
      </c>
      <c r="I119" s="1380">
        <v>43100</v>
      </c>
      <c r="J119" s="1381"/>
      <c r="L119" s="96" t="s">
        <v>358</v>
      </c>
      <c r="N119" s="1447">
        <v>38415447</v>
      </c>
      <c r="O119" s="1448">
        <v>806724.39</v>
      </c>
      <c r="P119" s="1447">
        <v>126625202</v>
      </c>
      <c r="Q119" s="1448">
        <v>2659129.2400000002</v>
      </c>
      <c r="R119" s="1447">
        <v>113964088.778</v>
      </c>
      <c r="S119" s="1448">
        <v>2393245.8600000003</v>
      </c>
      <c r="T119" s="1447">
        <v>38046264</v>
      </c>
      <c r="U119" s="1448">
        <v>798971.54</v>
      </c>
      <c r="W119" t="s">
        <v>374</v>
      </c>
    </row>
    <row r="120" spans="1:23" ht="13.9" customHeight="1" thickBot="1">
      <c r="A120" s="1752" t="s">
        <v>392</v>
      </c>
      <c r="B120" s="1753"/>
      <c r="C120" s="1753"/>
      <c r="D120" s="1753"/>
      <c r="E120" s="1753"/>
      <c r="F120" s="1753"/>
      <c r="G120" s="1753"/>
      <c r="H120" s="1753"/>
      <c r="I120" s="1753"/>
      <c r="J120" s="1754"/>
      <c r="L120" s="96"/>
      <c r="N120" s="1449"/>
      <c r="O120" s="1450"/>
      <c r="P120" s="1516"/>
      <c r="Q120" s="1517"/>
      <c r="R120" s="1449"/>
      <c r="S120" s="1450"/>
      <c r="T120" s="1469"/>
      <c r="U120" s="1470"/>
    </row>
    <row r="121" spans="1:23" ht="13.9" customHeight="1">
      <c r="A121" s="1391" t="s">
        <v>393</v>
      </c>
      <c r="B121" s="1392" t="s">
        <v>394</v>
      </c>
      <c r="C121" s="1393"/>
      <c r="D121" s="1248" t="s">
        <v>177</v>
      </c>
      <c r="E121" s="1394">
        <v>5.41</v>
      </c>
      <c r="F121" s="1273" t="s">
        <v>205</v>
      </c>
      <c r="G121" s="1395" t="s">
        <v>154</v>
      </c>
      <c r="H121" s="1276">
        <v>41109</v>
      </c>
      <c r="I121" s="1276">
        <v>43100</v>
      </c>
      <c r="J121" s="1298"/>
      <c r="L121" s="96" t="s">
        <v>337</v>
      </c>
      <c r="N121" s="1447"/>
      <c r="O121" s="1448"/>
      <c r="P121" s="1447">
        <v>96644</v>
      </c>
      <c r="Q121" s="1448">
        <v>5228.4399999999996</v>
      </c>
      <c r="R121" s="1447">
        <v>0</v>
      </c>
      <c r="S121" s="1448">
        <v>0</v>
      </c>
      <c r="T121" s="1447">
        <v>0</v>
      </c>
      <c r="U121" s="1448">
        <v>0</v>
      </c>
      <c r="W121" t="s">
        <v>395</v>
      </c>
    </row>
    <row r="122" spans="1:23" ht="13.9" customHeight="1">
      <c r="A122" s="1370" t="s">
        <v>396</v>
      </c>
      <c r="B122" s="1371" t="s">
        <v>394</v>
      </c>
      <c r="C122" s="1372"/>
      <c r="D122" s="1376" t="s">
        <v>354</v>
      </c>
      <c r="E122" s="1279">
        <v>4</v>
      </c>
      <c r="F122" s="1280" t="s">
        <v>205</v>
      </c>
      <c r="G122" s="1377" t="s">
        <v>154</v>
      </c>
      <c r="H122" s="1282">
        <v>41109</v>
      </c>
      <c r="I122" s="1282">
        <v>43100</v>
      </c>
      <c r="J122" s="1301"/>
      <c r="L122" s="96" t="s">
        <v>337</v>
      </c>
      <c r="N122" s="1447"/>
      <c r="O122" s="1448"/>
      <c r="P122" s="1447">
        <v>0</v>
      </c>
      <c r="Q122" s="1448">
        <v>0</v>
      </c>
      <c r="R122" s="1447">
        <v>0</v>
      </c>
      <c r="S122" s="1448">
        <v>0</v>
      </c>
      <c r="T122" s="1447">
        <v>0</v>
      </c>
      <c r="U122" s="1448">
        <v>0</v>
      </c>
      <c r="W122" t="s">
        <v>395</v>
      </c>
    </row>
    <row r="123" spans="1:23" ht="13.9" customHeight="1">
      <c r="A123" s="1370" t="s">
        <v>397</v>
      </c>
      <c r="B123" s="1371" t="s">
        <v>394</v>
      </c>
      <c r="C123" s="1372"/>
      <c r="D123" s="1376" t="s">
        <v>187</v>
      </c>
      <c r="E123" s="1279">
        <v>2.4</v>
      </c>
      <c r="F123" s="1280" t="s">
        <v>205</v>
      </c>
      <c r="G123" s="1377" t="s">
        <v>154</v>
      </c>
      <c r="H123" s="1282">
        <v>41109</v>
      </c>
      <c r="I123" s="1282">
        <v>43100</v>
      </c>
      <c r="J123" s="1301"/>
      <c r="L123" s="96" t="s">
        <v>337</v>
      </c>
      <c r="N123" s="1447"/>
      <c r="O123" s="1448"/>
      <c r="P123" s="1447">
        <v>0</v>
      </c>
      <c r="Q123" s="1448">
        <v>0</v>
      </c>
      <c r="R123" s="1447">
        <v>0</v>
      </c>
      <c r="S123" s="1448">
        <v>0</v>
      </c>
      <c r="T123" s="1447">
        <v>0</v>
      </c>
      <c r="U123" s="1448">
        <v>0</v>
      </c>
      <c r="W123" t="s">
        <v>395</v>
      </c>
    </row>
    <row r="124" spans="1:23" ht="13.9" customHeight="1">
      <c r="A124" s="1370" t="s">
        <v>398</v>
      </c>
      <c r="B124" s="1371" t="s">
        <v>394</v>
      </c>
      <c r="C124" s="1372"/>
      <c r="D124" s="1376" t="s">
        <v>357</v>
      </c>
      <c r="E124" s="1279">
        <v>1.8</v>
      </c>
      <c r="F124" s="1280" t="s">
        <v>205</v>
      </c>
      <c r="G124" s="1377" t="s">
        <v>154</v>
      </c>
      <c r="H124" s="1282">
        <v>41109</v>
      </c>
      <c r="I124" s="1282">
        <v>43100</v>
      </c>
      <c r="J124" s="1301"/>
      <c r="L124" s="96" t="s">
        <v>358</v>
      </c>
      <c r="N124" s="1447"/>
      <c r="O124" s="1448"/>
      <c r="P124" s="1447">
        <v>0</v>
      </c>
      <c r="Q124" s="1448">
        <v>0</v>
      </c>
      <c r="R124" s="1447">
        <v>0</v>
      </c>
      <c r="S124" s="1448">
        <v>0</v>
      </c>
      <c r="T124" s="1447">
        <v>0</v>
      </c>
      <c r="U124" s="1448">
        <v>0</v>
      </c>
      <c r="W124" t="s">
        <v>395</v>
      </c>
    </row>
    <row r="125" spans="1:23" ht="13.9" customHeight="1">
      <c r="A125" s="1370" t="s">
        <v>399</v>
      </c>
      <c r="B125" s="1371" t="s">
        <v>394</v>
      </c>
      <c r="C125" s="1372" t="s">
        <v>360</v>
      </c>
      <c r="D125" s="1376" t="s">
        <v>361</v>
      </c>
      <c r="E125" s="1279">
        <v>5.71</v>
      </c>
      <c r="F125" s="1280" t="s">
        <v>205</v>
      </c>
      <c r="G125" s="1377" t="s">
        <v>154</v>
      </c>
      <c r="H125" s="1282">
        <v>41109</v>
      </c>
      <c r="I125" s="1282">
        <v>43100</v>
      </c>
      <c r="J125" s="1301"/>
      <c r="L125" s="96" t="s">
        <v>337</v>
      </c>
      <c r="N125" s="1447"/>
      <c r="O125" s="1448"/>
      <c r="P125" s="1447">
        <v>71109</v>
      </c>
      <c r="Q125" s="1448">
        <v>4060.32</v>
      </c>
      <c r="R125" s="1447">
        <v>0</v>
      </c>
      <c r="S125" s="1448">
        <v>0</v>
      </c>
      <c r="T125" s="1447">
        <v>0</v>
      </c>
      <c r="U125" s="1448">
        <v>0</v>
      </c>
      <c r="W125" t="s">
        <v>395</v>
      </c>
    </row>
    <row r="126" spans="1:23" ht="13.9" customHeight="1">
      <c r="A126" s="1370" t="s">
        <v>400</v>
      </c>
      <c r="B126" s="1371" t="s">
        <v>394</v>
      </c>
      <c r="C126" s="1372" t="s">
        <v>360</v>
      </c>
      <c r="D126" s="1376" t="s">
        <v>363</v>
      </c>
      <c r="E126" s="1279">
        <v>4.3</v>
      </c>
      <c r="F126" s="1280" t="s">
        <v>205</v>
      </c>
      <c r="G126" s="1377" t="s">
        <v>154</v>
      </c>
      <c r="H126" s="1282">
        <v>41109</v>
      </c>
      <c r="I126" s="1282">
        <v>43100</v>
      </c>
      <c r="J126" s="1301"/>
      <c r="L126" s="96" t="s">
        <v>337</v>
      </c>
      <c r="N126" s="1447"/>
      <c r="O126" s="1448"/>
      <c r="P126" s="1447">
        <v>284438</v>
      </c>
      <c r="Q126" s="1448">
        <v>12230.83</v>
      </c>
      <c r="R126" s="1447">
        <v>0</v>
      </c>
      <c r="S126" s="1448">
        <v>0</v>
      </c>
      <c r="T126" s="1447">
        <v>0</v>
      </c>
      <c r="U126" s="1448">
        <v>0</v>
      </c>
      <c r="W126" t="s">
        <v>395</v>
      </c>
    </row>
    <row r="127" spans="1:23" ht="13.9" customHeight="1">
      <c r="A127" s="1370" t="s">
        <v>401</v>
      </c>
      <c r="B127" s="1371" t="s">
        <v>394</v>
      </c>
      <c r="C127" s="1372" t="s">
        <v>360</v>
      </c>
      <c r="D127" s="1376" t="s">
        <v>365</v>
      </c>
      <c r="E127" s="1279">
        <v>2.6999999999999997</v>
      </c>
      <c r="F127" s="1280" t="s">
        <v>205</v>
      </c>
      <c r="G127" s="1377" t="s">
        <v>154</v>
      </c>
      <c r="H127" s="1282">
        <v>41109</v>
      </c>
      <c r="I127" s="1282">
        <v>43100</v>
      </c>
      <c r="J127" s="1301"/>
      <c r="L127" s="96" t="s">
        <v>337</v>
      </c>
      <c r="N127" s="1447"/>
      <c r="O127" s="1448"/>
      <c r="P127" s="1447">
        <v>2488831</v>
      </c>
      <c r="Q127" s="1448">
        <v>67198.44</v>
      </c>
      <c r="R127" s="1447">
        <v>0</v>
      </c>
      <c r="S127" s="1448">
        <v>0</v>
      </c>
      <c r="T127" s="1447">
        <v>0</v>
      </c>
      <c r="U127" s="1448">
        <v>0</v>
      </c>
      <c r="W127" t="s">
        <v>395</v>
      </c>
    </row>
    <row r="128" spans="1:23" ht="13.9" customHeight="1">
      <c r="A128" s="1370" t="s">
        <v>402</v>
      </c>
      <c r="B128" s="1371" t="s">
        <v>394</v>
      </c>
      <c r="C128" s="1372" t="s">
        <v>360</v>
      </c>
      <c r="D128" s="1376" t="s">
        <v>367</v>
      </c>
      <c r="E128" s="1279">
        <v>2.1</v>
      </c>
      <c r="F128" s="1280" t="s">
        <v>205</v>
      </c>
      <c r="G128" s="1377" t="s">
        <v>154</v>
      </c>
      <c r="H128" s="1282">
        <v>41109</v>
      </c>
      <c r="I128" s="1282">
        <v>43100</v>
      </c>
      <c r="J128" s="1301"/>
      <c r="L128" s="96" t="s">
        <v>358</v>
      </c>
      <c r="N128" s="1447"/>
      <c r="O128" s="1448"/>
      <c r="P128" s="1447">
        <v>15250131</v>
      </c>
      <c r="Q128" s="1448">
        <v>320252.75</v>
      </c>
      <c r="R128" s="1447">
        <v>0</v>
      </c>
      <c r="S128" s="1448">
        <v>0</v>
      </c>
      <c r="T128" s="1447">
        <v>0</v>
      </c>
      <c r="U128" s="1448">
        <v>0</v>
      </c>
      <c r="W128" t="s">
        <v>395</v>
      </c>
    </row>
    <row r="129" spans="1:23" ht="13.9" customHeight="1" thickBot="1">
      <c r="A129" s="1396" t="s">
        <v>403</v>
      </c>
      <c r="B129" s="1397" t="s">
        <v>404</v>
      </c>
      <c r="C129" s="1398"/>
      <c r="D129" s="1341" t="s">
        <v>405</v>
      </c>
      <c r="E129" s="1399">
        <v>5.41</v>
      </c>
      <c r="F129" s="1293">
        <v>30000</v>
      </c>
      <c r="G129" s="1400" t="s">
        <v>154</v>
      </c>
      <c r="H129" s="1295">
        <v>41109</v>
      </c>
      <c r="I129" s="1295">
        <v>43100</v>
      </c>
      <c r="J129" s="1305">
        <v>43100</v>
      </c>
      <c r="L129" s="96" t="s">
        <v>337</v>
      </c>
      <c r="N129" s="1455"/>
      <c r="O129" s="1448"/>
      <c r="P129" s="1455"/>
      <c r="Q129" s="1448">
        <v>0</v>
      </c>
      <c r="R129" s="1455"/>
      <c r="S129" s="1448">
        <v>0</v>
      </c>
      <c r="T129" s="1455"/>
      <c r="U129" s="1448">
        <v>0</v>
      </c>
      <c r="W129" t="s">
        <v>406</v>
      </c>
    </row>
    <row r="130" spans="1:23" ht="13.9" customHeight="1" thickBot="1">
      <c r="A130" s="753"/>
      <c r="J130" s="1401"/>
      <c r="L130" s="96"/>
      <c r="N130" s="1449"/>
      <c r="O130" s="1450"/>
      <c r="P130" s="1516"/>
      <c r="Q130" s="1517"/>
      <c r="R130" s="1449"/>
      <c r="S130" s="1450"/>
      <c r="T130" s="1469"/>
      <c r="U130" s="1470"/>
    </row>
    <row r="131" spans="1:23" ht="13.9" customHeight="1" thickBot="1">
      <c r="A131" s="1755" t="s">
        <v>407</v>
      </c>
      <c r="B131" s="1756"/>
      <c r="C131" s="1756"/>
      <c r="D131" s="1756"/>
      <c r="E131" s="1756"/>
      <c r="F131" s="1756"/>
      <c r="G131" s="1756"/>
      <c r="H131" s="1756"/>
      <c r="I131" s="1756"/>
      <c r="J131" s="1757"/>
      <c r="L131" s="96"/>
      <c r="N131" s="1449"/>
      <c r="O131" s="1450"/>
      <c r="P131" s="1516"/>
      <c r="Q131" s="1517"/>
      <c r="R131" s="1449"/>
      <c r="S131" s="1450"/>
      <c r="T131" s="1469"/>
      <c r="U131" s="1470"/>
    </row>
    <row r="132" spans="1:23" ht="13.9" customHeight="1" thickBot="1">
      <c r="A132" s="1752" t="s">
        <v>408</v>
      </c>
      <c r="B132" s="1753"/>
      <c r="C132" s="1753"/>
      <c r="D132" s="1753"/>
      <c r="E132" s="1753"/>
      <c r="F132" s="1753"/>
      <c r="G132" s="1753"/>
      <c r="H132" s="1753"/>
      <c r="I132" s="1753"/>
      <c r="J132" s="1754"/>
      <c r="L132" s="96"/>
      <c r="N132" s="1449"/>
      <c r="O132" s="1450"/>
      <c r="P132" s="1516"/>
      <c r="Q132" s="1517"/>
      <c r="R132" s="1449"/>
      <c r="S132" s="1450"/>
      <c r="T132" s="1469"/>
      <c r="U132" s="1470"/>
    </row>
    <row r="133" spans="1:23" ht="13.9" customHeight="1">
      <c r="A133" s="1402" t="s">
        <v>409</v>
      </c>
      <c r="B133" s="1403" t="s">
        <v>351</v>
      </c>
      <c r="C133" s="1404"/>
      <c r="D133" s="1405" t="s">
        <v>177</v>
      </c>
      <c r="E133" s="1406">
        <v>5.1100000000000003</v>
      </c>
      <c r="F133" s="1373">
        <v>30000</v>
      </c>
      <c r="G133" s="1274" t="s">
        <v>154</v>
      </c>
      <c r="H133" s="1407">
        <v>39814</v>
      </c>
      <c r="I133" s="1407">
        <v>41108</v>
      </c>
      <c r="J133" s="1408"/>
      <c r="L133" s="96" t="s">
        <v>410</v>
      </c>
      <c r="N133" s="1447"/>
      <c r="O133" s="1448"/>
      <c r="P133" s="1447">
        <v>0</v>
      </c>
      <c r="Q133" s="1448">
        <v>0</v>
      </c>
      <c r="R133" s="1447">
        <v>289906.43599999999</v>
      </c>
      <c r="S133" s="1448">
        <v>14814.210000000001</v>
      </c>
      <c r="T133" s="1447">
        <v>11344</v>
      </c>
      <c r="U133" s="1448">
        <v>579.67999999999995</v>
      </c>
      <c r="W133" t="s">
        <v>411</v>
      </c>
    </row>
    <row r="134" spans="1:23" ht="13.9" customHeight="1">
      <c r="A134" s="1402" t="s">
        <v>412</v>
      </c>
      <c r="B134" s="1403" t="s">
        <v>351</v>
      </c>
      <c r="C134" s="1404"/>
      <c r="D134" s="1409" t="s">
        <v>413</v>
      </c>
      <c r="E134" s="1410">
        <v>2.1</v>
      </c>
      <c r="F134" s="1280">
        <v>30000</v>
      </c>
      <c r="G134" s="1281" t="s">
        <v>154</v>
      </c>
      <c r="H134" s="1411">
        <v>39814</v>
      </c>
      <c r="I134" s="1411">
        <v>41108</v>
      </c>
      <c r="J134" s="1412"/>
      <c r="L134" s="96" t="s">
        <v>410</v>
      </c>
      <c r="N134" s="1447"/>
      <c r="O134" s="1448"/>
      <c r="P134" s="1447">
        <v>0</v>
      </c>
      <c r="Q134" s="1448">
        <v>0</v>
      </c>
      <c r="R134" s="1447">
        <v>3950437.6039999998</v>
      </c>
      <c r="S134" s="1448">
        <v>82959.19</v>
      </c>
      <c r="T134" s="1447">
        <v>0</v>
      </c>
      <c r="U134" s="1448">
        <v>0</v>
      </c>
      <c r="W134" t="s">
        <v>411</v>
      </c>
    </row>
    <row r="135" spans="1:23" ht="13.9" customHeight="1" thickBot="1">
      <c r="A135" s="1402" t="s">
        <v>414</v>
      </c>
      <c r="B135" s="1403" t="s">
        <v>351</v>
      </c>
      <c r="C135" s="1404"/>
      <c r="D135" s="1413" t="s">
        <v>357</v>
      </c>
      <c r="E135" s="1414">
        <v>1.5</v>
      </c>
      <c r="F135" s="1378">
        <v>30000</v>
      </c>
      <c r="G135" s="1294" t="s">
        <v>154</v>
      </c>
      <c r="H135" s="1347">
        <v>39814</v>
      </c>
      <c r="I135" s="1347">
        <v>41108</v>
      </c>
      <c r="J135" s="1348"/>
      <c r="L135" s="96" t="s">
        <v>410</v>
      </c>
      <c r="N135" s="1447"/>
      <c r="O135" s="1448"/>
      <c r="P135" s="1447">
        <v>0</v>
      </c>
      <c r="Q135" s="1448">
        <v>0</v>
      </c>
      <c r="R135" s="1447">
        <v>4944898.057</v>
      </c>
      <c r="S135" s="1448">
        <v>74173.47</v>
      </c>
      <c r="T135" s="1447">
        <v>0</v>
      </c>
      <c r="U135" s="1448">
        <v>0</v>
      </c>
      <c r="W135" t="s">
        <v>411</v>
      </c>
    </row>
    <row r="136" spans="1:23" ht="13.9" customHeight="1" thickBot="1">
      <c r="A136" s="1415" t="s">
        <v>415</v>
      </c>
      <c r="B136" s="1416" t="s">
        <v>394</v>
      </c>
      <c r="C136" s="1417"/>
      <c r="D136" s="1418" t="s">
        <v>416</v>
      </c>
      <c r="E136" s="1419">
        <v>5.1100000000000003</v>
      </c>
      <c r="F136" s="1268" t="s">
        <v>154</v>
      </c>
      <c r="G136" s="1268">
        <v>10</v>
      </c>
      <c r="H136" s="1337">
        <v>37347</v>
      </c>
      <c r="I136" s="1337">
        <v>41108</v>
      </c>
      <c r="J136" s="1338">
        <v>44760</v>
      </c>
      <c r="L136" s="96" t="s">
        <v>410</v>
      </c>
      <c r="N136" s="1447"/>
      <c r="O136" s="1448"/>
      <c r="P136" s="1447">
        <v>0</v>
      </c>
      <c r="Q136" s="1448">
        <v>0</v>
      </c>
      <c r="R136" s="1447">
        <v>94333.58</v>
      </c>
      <c r="S136" s="1448">
        <v>4820.4399999999996</v>
      </c>
      <c r="T136" s="1447">
        <v>0</v>
      </c>
      <c r="U136" s="1448">
        <v>0</v>
      </c>
      <c r="W136" t="s">
        <v>417</v>
      </c>
    </row>
    <row r="137" spans="1:23" ht="13.9" customHeight="1" thickBot="1">
      <c r="A137" s="1752" t="s">
        <v>418</v>
      </c>
      <c r="B137" s="1753"/>
      <c r="C137" s="1753"/>
      <c r="D137" s="1753"/>
      <c r="E137" s="1753"/>
      <c r="F137" s="1753"/>
      <c r="G137" s="1753"/>
      <c r="H137" s="1753"/>
      <c r="I137" s="1753"/>
      <c r="J137" s="1754"/>
      <c r="L137" s="96"/>
      <c r="N137" s="1449"/>
      <c r="O137" s="1450"/>
      <c r="P137" s="1516"/>
      <c r="Q137" s="1517"/>
      <c r="R137" s="1449"/>
      <c r="S137" s="1450"/>
      <c r="T137" s="1469"/>
      <c r="U137" s="1470"/>
    </row>
    <row r="138" spans="1:23" ht="13.9" customHeight="1">
      <c r="A138" s="1420" t="s">
        <v>419</v>
      </c>
      <c r="B138" s="1421" t="s">
        <v>420</v>
      </c>
      <c r="C138" s="1422"/>
      <c r="D138" s="1423" t="s">
        <v>177</v>
      </c>
      <c r="E138" s="1424">
        <v>5.1100000000000003</v>
      </c>
      <c r="F138" s="1273">
        <v>30000</v>
      </c>
      <c r="G138" s="1425" t="s">
        <v>154</v>
      </c>
      <c r="H138" s="1426">
        <v>39814</v>
      </c>
      <c r="I138" s="1426">
        <v>41108</v>
      </c>
      <c r="J138" s="1427"/>
      <c r="L138" s="96" t="s">
        <v>410</v>
      </c>
      <c r="N138" s="1447">
        <v>27125</v>
      </c>
      <c r="O138" s="1448">
        <v>1386.09</v>
      </c>
      <c r="P138" s="1447">
        <v>182870</v>
      </c>
      <c r="Q138" s="1448">
        <v>9344.65</v>
      </c>
      <c r="R138" s="1447">
        <v>471795.4</v>
      </c>
      <c r="S138" s="1448">
        <v>24108.75</v>
      </c>
      <c r="T138" s="1447">
        <v>0</v>
      </c>
      <c r="U138" s="1448">
        <v>0</v>
      </c>
      <c r="W138" t="s">
        <v>421</v>
      </c>
    </row>
    <row r="139" spans="1:23" ht="13.9" customHeight="1" thickBot="1">
      <c r="A139" s="1428" t="s">
        <v>422</v>
      </c>
      <c r="B139" s="1429" t="s">
        <v>420</v>
      </c>
      <c r="C139" s="1430"/>
      <c r="D139" s="1431" t="s">
        <v>413</v>
      </c>
      <c r="E139" s="1432">
        <v>2.1</v>
      </c>
      <c r="F139" s="1293">
        <v>30000</v>
      </c>
      <c r="G139" s="1433" t="s">
        <v>154</v>
      </c>
      <c r="H139" s="1434">
        <v>39814</v>
      </c>
      <c r="I139" s="1434">
        <v>41108</v>
      </c>
      <c r="J139" s="1435"/>
      <c r="L139" s="96" t="s">
        <v>410</v>
      </c>
      <c r="N139" s="1447">
        <v>298374</v>
      </c>
      <c r="O139" s="1448">
        <v>6265.85</v>
      </c>
      <c r="P139" s="1447">
        <v>1221456</v>
      </c>
      <c r="Q139" s="1448">
        <v>25650.58</v>
      </c>
      <c r="R139" s="1447">
        <v>2281313.6</v>
      </c>
      <c r="S139" s="1448">
        <v>47907.590000000004</v>
      </c>
      <c r="T139" s="1447">
        <v>931643</v>
      </c>
      <c r="U139" s="1448">
        <v>19564.5</v>
      </c>
      <c r="W139" t="s">
        <v>421</v>
      </c>
    </row>
    <row r="140" spans="1:23" ht="13.9" customHeight="1" thickBot="1">
      <c r="A140" s="1436" t="s">
        <v>423</v>
      </c>
      <c r="B140" s="1437" t="s">
        <v>424</v>
      </c>
      <c r="C140" s="1438"/>
      <c r="D140" s="1439" t="s">
        <v>425</v>
      </c>
      <c r="E140" s="1440">
        <v>5.1100000000000003</v>
      </c>
      <c r="F140" s="1441" t="s">
        <v>154</v>
      </c>
      <c r="G140" s="1441">
        <v>10</v>
      </c>
      <c r="H140" s="1354">
        <v>37347</v>
      </c>
      <c r="I140" s="1354">
        <v>41108</v>
      </c>
      <c r="J140" s="1355">
        <v>44760</v>
      </c>
      <c r="L140" s="96" t="s">
        <v>410</v>
      </c>
      <c r="N140" s="1447"/>
      <c r="O140" s="1448"/>
      <c r="P140" s="1447">
        <v>0</v>
      </c>
      <c r="Q140" s="1448">
        <v>0</v>
      </c>
      <c r="R140" s="1447">
        <v>0</v>
      </c>
      <c r="S140" s="1448">
        <v>0</v>
      </c>
      <c r="T140" s="1447">
        <v>0</v>
      </c>
      <c r="U140" s="1448">
        <v>0</v>
      </c>
      <c r="W140" t="s">
        <v>426</v>
      </c>
    </row>
    <row r="141" spans="1:23" ht="13.9" customHeight="1" thickBot="1">
      <c r="A141" s="1752" t="s">
        <v>427</v>
      </c>
      <c r="B141" s="1753"/>
      <c r="C141" s="1753"/>
      <c r="D141" s="1753"/>
      <c r="E141" s="1753"/>
      <c r="F141" s="1753"/>
      <c r="G141" s="1753"/>
      <c r="H141" s="1753"/>
      <c r="I141" s="1753"/>
      <c r="J141" s="1754"/>
      <c r="L141" s="96"/>
      <c r="N141" s="1516"/>
      <c r="O141" s="1517"/>
      <c r="P141" s="1516"/>
      <c r="Q141" s="1517"/>
      <c r="R141" s="1516"/>
      <c r="S141" s="1517"/>
      <c r="T141" s="1469"/>
      <c r="U141" s="1470"/>
    </row>
    <row r="142" spans="1:23" ht="13.9" customHeight="1">
      <c r="A142" s="1402" t="s">
        <v>428</v>
      </c>
      <c r="B142" s="1403" t="s">
        <v>429</v>
      </c>
      <c r="C142" s="1404"/>
      <c r="D142" s="1405" t="s">
        <v>177</v>
      </c>
      <c r="E142" s="1406">
        <v>5.1100000000000003</v>
      </c>
      <c r="F142" s="1373">
        <v>30000</v>
      </c>
      <c r="G142" s="1274" t="s">
        <v>154</v>
      </c>
      <c r="H142" s="1407">
        <v>39814</v>
      </c>
      <c r="I142" s="1407">
        <v>41108</v>
      </c>
      <c r="J142" s="1408"/>
      <c r="L142" s="96" t="s">
        <v>410</v>
      </c>
      <c r="N142" s="1447">
        <v>39426</v>
      </c>
      <c r="O142" s="1448">
        <v>2014.67</v>
      </c>
      <c r="P142" s="1447">
        <v>44486</v>
      </c>
      <c r="Q142" s="1448">
        <v>2273.23</v>
      </c>
      <c r="R142" s="1447">
        <v>37390</v>
      </c>
      <c r="S142" s="1448">
        <v>1910.63</v>
      </c>
      <c r="T142" s="1447">
        <v>19627</v>
      </c>
      <c r="U142" s="1448">
        <v>1002.94</v>
      </c>
      <c r="W142" s="8" t="s">
        <v>430</v>
      </c>
    </row>
    <row r="143" spans="1:23" ht="13.9" customHeight="1">
      <c r="A143" s="1402" t="s">
        <v>431</v>
      </c>
      <c r="B143" s="1403" t="s">
        <v>429</v>
      </c>
      <c r="C143" s="1404"/>
      <c r="D143" s="1409" t="s">
        <v>413</v>
      </c>
      <c r="E143" s="1410">
        <v>2.1</v>
      </c>
      <c r="F143" s="1280">
        <v>30000</v>
      </c>
      <c r="G143" s="1281" t="s">
        <v>154</v>
      </c>
      <c r="H143" s="1411">
        <v>39814</v>
      </c>
      <c r="I143" s="1411">
        <v>41108</v>
      </c>
      <c r="J143" s="1412"/>
      <c r="L143" s="96" t="s">
        <v>410</v>
      </c>
      <c r="N143" s="1447">
        <v>1537631</v>
      </c>
      <c r="O143" s="1448">
        <v>32290.25</v>
      </c>
      <c r="P143" s="1447">
        <v>1734948</v>
      </c>
      <c r="Q143" s="1448">
        <v>36433.910000000003</v>
      </c>
      <c r="R143" s="1447">
        <v>1458222</v>
      </c>
      <c r="S143" s="1448">
        <v>30622.66</v>
      </c>
      <c r="T143" s="1447">
        <v>765449</v>
      </c>
      <c r="U143" s="1448">
        <v>16074.43</v>
      </c>
      <c r="W143" s="8" t="s">
        <v>430</v>
      </c>
    </row>
    <row r="144" spans="1:23" ht="13.9" customHeight="1" thickBot="1">
      <c r="A144" s="1428" t="s">
        <v>432</v>
      </c>
      <c r="B144" s="1429" t="s">
        <v>429</v>
      </c>
      <c r="C144" s="1430"/>
      <c r="D144" s="1431" t="s">
        <v>357</v>
      </c>
      <c r="E144" s="1432">
        <v>1.5</v>
      </c>
      <c r="F144" s="1293">
        <v>30000</v>
      </c>
      <c r="G144" s="1433" t="s">
        <v>154</v>
      </c>
      <c r="H144" s="1434">
        <v>39814</v>
      </c>
      <c r="I144" s="1434">
        <v>41108</v>
      </c>
      <c r="J144" s="1435"/>
      <c r="L144" s="96" t="s">
        <v>410</v>
      </c>
      <c r="N144" s="1518">
        <v>108816943</v>
      </c>
      <c r="O144" s="1519">
        <v>1632254.15</v>
      </c>
      <c r="P144" s="1518">
        <v>79417427</v>
      </c>
      <c r="Q144" s="1519">
        <v>1191261.4099999999</v>
      </c>
      <c r="R144" s="1518">
        <v>52400279</v>
      </c>
      <c r="S144" s="1519">
        <v>786004.19</v>
      </c>
      <c r="T144" s="1518">
        <v>3297319</v>
      </c>
      <c r="U144" s="1519">
        <v>49459.79</v>
      </c>
      <c r="W144" s="8" t="s">
        <v>430</v>
      </c>
    </row>
    <row r="145" spans="1:17">
      <c r="A145" s="254"/>
      <c r="B145" s="254"/>
      <c r="C145" s="254"/>
      <c r="D145" s="308"/>
    </row>
    <row r="146" spans="1:17">
      <c r="A146" s="254" t="s">
        <v>433</v>
      </c>
      <c r="B146" s="254"/>
      <c r="C146" s="254"/>
      <c r="D146" s="308"/>
    </row>
    <row r="147" spans="1:17" ht="13.5" thickBot="1">
      <c r="A147" s="254" t="s">
        <v>434</v>
      </c>
      <c r="B147" s="254"/>
      <c r="C147" s="254"/>
      <c r="D147" s="308"/>
    </row>
    <row r="148" spans="1:17" ht="15.75">
      <c r="L148" s="1481" t="s">
        <v>435</v>
      </c>
      <c r="N148" s="1758" t="s">
        <v>436</v>
      </c>
      <c r="O148" s="1759"/>
      <c r="P148" s="1759"/>
      <c r="Q148" s="1760"/>
    </row>
    <row r="149" spans="1:17" ht="13.5" customHeight="1" thickBot="1">
      <c r="N149" s="1761"/>
      <c r="O149" s="1762"/>
      <c r="P149" s="1762"/>
      <c r="Q149" s="1763"/>
    </row>
    <row r="150" spans="1:17">
      <c r="L150" s="1764" t="str">
        <f>+"Abrechnung "&amp;Hinweise!B3</f>
        <v>Abrechnung 2025</v>
      </c>
      <c r="N150" s="1472" t="s">
        <v>101</v>
      </c>
      <c r="O150" s="1473" t="s">
        <v>100</v>
      </c>
      <c r="P150" s="1473" t="s">
        <v>99</v>
      </c>
      <c r="Q150" s="1474" t="s">
        <v>98</v>
      </c>
    </row>
    <row r="151" spans="1:17" ht="12.75" customHeight="1" thickBot="1">
      <c r="L151" s="1765"/>
      <c r="N151" s="1493" t="s">
        <v>437</v>
      </c>
      <c r="O151" s="1494" t="s">
        <v>437</v>
      </c>
      <c r="P151" s="1494" t="s">
        <v>437</v>
      </c>
      <c r="Q151" s="1495" t="s">
        <v>437</v>
      </c>
    </row>
    <row r="152" spans="1:17">
      <c r="L152" s="1475" t="s">
        <v>438</v>
      </c>
      <c r="N152" s="1501">
        <f>SUMIFS(U$7:U$144,$L$7:$L$144,$L152)</f>
        <v>0</v>
      </c>
      <c r="O152" s="1491">
        <f>SUMIFS(S$7:S$144,$L$7:$L$144,$L152)</f>
        <v>34875927.68</v>
      </c>
      <c r="P152" s="1491">
        <f>SUMIFS(Q$7:Q$144,$L$7:$L$144,$L152)</f>
        <v>0</v>
      </c>
      <c r="Q152" s="1492">
        <f>SUMIFS(O$7:O$144,$L$7:$L$144,$L152)</f>
        <v>22501200</v>
      </c>
    </row>
    <row r="153" spans="1:17">
      <c r="L153" s="1475" t="s">
        <v>439</v>
      </c>
      <c r="N153" s="1502">
        <f>SUMIFS(U$7:U$144,$L$7:$L$144,$L153)</f>
        <v>10534118.189999999</v>
      </c>
      <c r="O153" s="1485">
        <f>SUMIFS(S$7:S$144,$L$7:$L$144,$L153)</f>
        <v>27503659.729999993</v>
      </c>
      <c r="P153" s="1491">
        <f t="shared" ref="P153:P160" si="0">SUMIFS(Q$7:Q$144,$L$7:$L$144,$L153)</f>
        <v>33086904.519999996</v>
      </c>
      <c r="Q153" s="1482">
        <f>SUMIFS(O$7:O$144,$L$7:$L$144,$L153)</f>
        <v>31092502.34</v>
      </c>
    </row>
    <row r="154" spans="1:17" ht="33.75">
      <c r="L154" s="1475" t="s">
        <v>440</v>
      </c>
      <c r="N154" s="1502">
        <f t="shared" ref="N154:N156" si="1">SUMIFS(U$7:U$144,$L$7:$L$144,$L154)</f>
        <v>25191354.800000001</v>
      </c>
      <c r="O154" s="1485">
        <f>SUMIFS(S$7:S$144,$L$7:$L$144,$L154)</f>
        <v>35786998.260000005</v>
      </c>
      <c r="P154" s="1491">
        <f t="shared" si="0"/>
        <v>26709363.289999999</v>
      </c>
      <c r="Q154" s="1482">
        <f>SUMIFS(O$7:O$144,$L$7:$L$144,$L154)</f>
        <v>33690578.789999999</v>
      </c>
    </row>
    <row r="155" spans="1:17" ht="22.5">
      <c r="L155" s="1475" t="s">
        <v>441</v>
      </c>
      <c r="N155" s="1502">
        <f t="shared" si="1"/>
        <v>18152127.079999998</v>
      </c>
      <c r="O155" s="1485">
        <f>SUMIFS(S$7:S$144,$L$7:$L$144,$L155)</f>
        <v>199227046.81999999</v>
      </c>
      <c r="P155" s="1491">
        <f t="shared" si="0"/>
        <v>210052653.53999999</v>
      </c>
      <c r="Q155" s="1482">
        <f>SUMIFS(O$7:O$144,$L$7:$L$144,$L155)</f>
        <v>192939282.62</v>
      </c>
    </row>
    <row r="156" spans="1:17" ht="22.5">
      <c r="L156" s="1475" t="s">
        <v>442</v>
      </c>
      <c r="N156" s="1502">
        <f t="shared" si="1"/>
        <v>6826309.2299999995</v>
      </c>
      <c r="O156" s="1485">
        <f>SUMIFS(S$7:S$144,$L$7:$L$144,$L156)</f>
        <v>11446040.22000001</v>
      </c>
      <c r="P156" s="1491">
        <f t="shared" si="0"/>
        <v>9242765.5599999949</v>
      </c>
      <c r="Q156" s="1482">
        <f>SUMIFS(O$7:O$144,$L$7:$L$144,$L156)</f>
        <v>4283332.84</v>
      </c>
    </row>
    <row r="157" spans="1:17">
      <c r="L157" s="1476"/>
      <c r="N157" s="1503"/>
      <c r="O157" s="1486"/>
      <c r="P157" s="1491">
        <f t="shared" si="0"/>
        <v>0</v>
      </c>
      <c r="Q157" s="1487"/>
    </row>
    <row r="158" spans="1:17">
      <c r="L158" s="1475" t="s">
        <v>443</v>
      </c>
      <c r="N158" s="1504">
        <f>SUMIFS(U$7:U$144,$L$7:$L$144,$L158)</f>
        <v>3772185.9600000004</v>
      </c>
      <c r="O158" s="1485">
        <f>SUMIFS(S$7:S$144,$L$7:$L$144,$L158)</f>
        <v>6106578.1399999969</v>
      </c>
      <c r="P158" s="1491">
        <f t="shared" si="0"/>
        <v>4864361.6100000013</v>
      </c>
      <c r="Q158" s="1482">
        <f>SUMIFS(O$7:O$144,$L$7:$L$144,$L158)</f>
        <v>2664828.5499999998</v>
      </c>
    </row>
    <row r="159" spans="1:17">
      <c r="L159" s="1475" t="s">
        <v>444</v>
      </c>
      <c r="N159" s="1504">
        <f>SUMIFS(U$7:U$144,$L$7:$L$144,$L159)</f>
        <v>18177528.470000003</v>
      </c>
      <c r="O159" s="1485">
        <f>SUMIFS(S$7:S$144,$L$7:$L$144,$L159)</f>
        <v>3405951.2100000004</v>
      </c>
      <c r="P159" s="1488">
        <f t="shared" si="0"/>
        <v>10633785.100000001</v>
      </c>
      <c r="Q159" s="1482">
        <f>SUMIFS(O$7:O$144,$L$7:$L$144,$L159)</f>
        <v>806724.39</v>
      </c>
    </row>
    <row r="160" spans="1:17" ht="13.5" thickBot="1">
      <c r="L160" s="1477" t="s">
        <v>445</v>
      </c>
      <c r="N160" s="1484">
        <f>SUMIFS(U$7:U$144,$L$7:$L$144,$L160)</f>
        <v>86681.34</v>
      </c>
      <c r="O160" s="1489">
        <f>SUMIFS(S$7:S$144,$L$7:$L$144,$L160)</f>
        <v>1067321.1299999999</v>
      </c>
      <c r="P160" s="1490">
        <f t="shared" si="0"/>
        <v>1264963.78</v>
      </c>
      <c r="Q160" s="1483">
        <f>SUMIFS(O$7:O$144,$L$7:$L$144,$L160)</f>
        <v>1674211.01</v>
      </c>
    </row>
    <row r="161" spans="12:17" ht="13.5" thickBot="1">
      <c r="L161" s="1477" t="s">
        <v>446</v>
      </c>
      <c r="N161" s="1484">
        <f>'Anlage 1e_WKNS'!D11</f>
        <v>64829554</v>
      </c>
      <c r="O161" s="1489">
        <f>'Anlage 1e_WKNS'!D10</f>
        <v>85691444</v>
      </c>
      <c r="P161" s="1490">
        <f>'Anlage 1e_WKNS'!D9</f>
        <v>85705059</v>
      </c>
      <c r="Q161" s="1483">
        <f>'Anlage 1e_WKNS'!D8</f>
        <v>39240358</v>
      </c>
    </row>
    <row r="162" spans="12:17" ht="13.5" thickBot="1">
      <c r="L162" s="1480" t="s">
        <v>447</v>
      </c>
      <c r="N162" s="1478">
        <f>+SUM(N152:N161)</f>
        <v>147569859.06999999</v>
      </c>
      <c r="O162" s="1478">
        <f>+SUM(O152:O161)</f>
        <v>405110967.19</v>
      </c>
      <c r="P162" s="1478">
        <f>+SUM(P152:P161)</f>
        <v>381559856.39999998</v>
      </c>
      <c r="Q162" s="1479">
        <f>+SUM(Q152:Q161)</f>
        <v>328893018.53999996</v>
      </c>
    </row>
    <row r="163" spans="12:17">
      <c r="L163" t="s">
        <v>448</v>
      </c>
      <c r="N163" s="119" t="b">
        <f>SUM(U$7:U$144)=N162-N161</f>
        <v>1</v>
      </c>
      <c r="O163" t="b">
        <f>SUM(S$7:S$144)=O162-O161</f>
        <v>1</v>
      </c>
      <c r="P163" t="b">
        <f>SUM(Q$7:Q$144)=P162-P161</f>
        <v>1</v>
      </c>
      <c r="Q163" s="119" t="b">
        <f>SUM(O$7:O$144)=Q162-Q161</f>
        <v>1</v>
      </c>
    </row>
    <row r="164" spans="12:17">
      <c r="N164" s="8"/>
    </row>
  </sheetData>
  <mergeCells count="29">
    <mergeCell ref="A1:J1"/>
    <mergeCell ref="A5:J5"/>
    <mergeCell ref="A6:J6"/>
    <mergeCell ref="A17:J17"/>
    <mergeCell ref="A19:J19"/>
    <mergeCell ref="A137:J137"/>
    <mergeCell ref="N148:Q149"/>
    <mergeCell ref="L150:L151"/>
    <mergeCell ref="A141:J141"/>
    <mergeCell ref="N3:O3"/>
    <mergeCell ref="A88:J88"/>
    <mergeCell ref="A90:J90"/>
    <mergeCell ref="A94:J94"/>
    <mergeCell ref="A95:J95"/>
    <mergeCell ref="A101:J101"/>
    <mergeCell ref="A110:J110"/>
    <mergeCell ref="A25:J25"/>
    <mergeCell ref="A27:J27"/>
    <mergeCell ref="A55:J55"/>
    <mergeCell ref="A78:J78"/>
    <mergeCell ref="A84:J84"/>
    <mergeCell ref="P3:Q3"/>
    <mergeCell ref="R3:S3"/>
    <mergeCell ref="T3:U3"/>
    <mergeCell ref="A24:J24"/>
    <mergeCell ref="A132:J132"/>
    <mergeCell ref="A85:J85"/>
    <mergeCell ref="A120:J120"/>
    <mergeCell ref="A131:J131"/>
  </mergeCells>
  <dataValidations count="1">
    <dataValidation allowBlank="1" showInputMessage="1" showErrorMessage="1" prompt="In graue Felder bitte keine Eingaben vornehmen." sqref="E86:E87 E91:E92 E89 E26 G26" xr:uid="{1E5481F5-50D9-498F-8243-57CCFA435BE1}"/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69C7-2639-4189-A062-234EFEAECC67}">
  <sheetPr codeName="Tabelle1">
    <pageSetUpPr fitToPage="1"/>
  </sheetPr>
  <dimension ref="A1:R1726"/>
  <sheetViews>
    <sheetView tabSelected="1" view="pageLayout" zoomScale="90" zoomScaleNormal="86" zoomScalePageLayoutView="90" workbookViewId="0">
      <selection activeCell="A845" sqref="A845"/>
    </sheetView>
  </sheetViews>
  <sheetFormatPr baseColWidth="10" defaultColWidth="9.140625" defaultRowHeight="12.75" outlineLevelRow="1"/>
  <cols>
    <col min="1" max="1" width="116.140625" customWidth="1"/>
    <col min="2" max="5" width="28.7109375" customWidth="1"/>
    <col min="6" max="6" width="85.42578125" customWidth="1"/>
    <col min="7" max="7" width="15.28515625" customWidth="1"/>
    <col min="8" max="8" width="19.28515625" customWidth="1"/>
    <col min="17" max="17" width="12.5703125" customWidth="1"/>
    <col min="18" max="18" width="14.7109375" customWidth="1"/>
  </cols>
  <sheetData>
    <row r="1" spans="1:6" ht="21" customHeight="1">
      <c r="A1" s="13" t="str">
        <f>"Förderwirksame KWK-Strommengen und Zuschlagszahlungen für das Kalenderjahr "&amp;Hinweise!B3&amp;" auf Basis der Prüfungsvermerke der ÜNB:"</f>
        <v>Förderwirksame KWK-Strommengen und Zuschlagszahlungen für das Kalenderjahr 2025 auf Basis der Prüfungsvermerke der ÜNB:</v>
      </c>
      <c r="E1" s="99">
        <f>Hinweise!B2</f>
        <v>46280</v>
      </c>
    </row>
    <row r="2" spans="1:6">
      <c r="A2" s="13"/>
      <c r="D2" s="346"/>
      <c r="E2" s="347"/>
      <c r="F2" s="347"/>
    </row>
    <row r="3" spans="1:6">
      <c r="A3" s="13"/>
      <c r="D3" s="346"/>
      <c r="E3" s="347"/>
      <c r="F3" s="347"/>
    </row>
    <row r="4" spans="1:6" s="8" customFormat="1">
      <c r="A4" s="13" t="s">
        <v>449</v>
      </c>
      <c r="E4" s="28">
        <f>Hinweise!B3</f>
        <v>2025</v>
      </c>
    </row>
    <row r="5" spans="1:6" ht="13.5" thickBot="1">
      <c r="A5" s="13"/>
    </row>
    <row r="6" spans="1:6" ht="45" customHeight="1">
      <c r="A6" s="490"/>
      <c r="B6" s="108" t="s">
        <v>450</v>
      </c>
      <c r="C6" s="109" t="s">
        <v>451</v>
      </c>
      <c r="D6" s="1496" t="s">
        <v>452</v>
      </c>
      <c r="E6" s="110" t="s">
        <v>453</v>
      </c>
    </row>
    <row r="7" spans="1:6" s="8" customFormat="1" ht="13.5" thickBot="1">
      <c r="A7" s="550"/>
      <c r="B7" s="480" t="s">
        <v>454</v>
      </c>
      <c r="C7" s="575" t="s">
        <v>454</v>
      </c>
      <c r="D7" s="576" t="s">
        <v>454</v>
      </c>
      <c r="E7" s="577" t="s">
        <v>454</v>
      </c>
      <c r="F7" s="578"/>
    </row>
    <row r="8" spans="1:6">
      <c r="A8" s="932" t="s">
        <v>455</v>
      </c>
      <c r="B8" s="111">
        <f>SUM(B9:B167)</f>
        <v>110719499</v>
      </c>
      <c r="C8" s="65">
        <f>SUM(C9:C167)</f>
        <v>102364382</v>
      </c>
      <c r="D8" s="122">
        <f>SUM(D9:D167)</f>
        <v>6723087792</v>
      </c>
      <c r="E8" s="112">
        <f>SUM(B8:D8)</f>
        <v>6936171673</v>
      </c>
    </row>
    <row r="9" spans="1:6" hidden="1" outlineLevel="1">
      <c r="A9" s="932" t="s">
        <v>456</v>
      </c>
      <c r="B9" s="113">
        <v>0</v>
      </c>
      <c r="C9" s="83">
        <v>0</v>
      </c>
      <c r="D9" s="1581">
        <v>942163</v>
      </c>
      <c r="E9" s="112">
        <f t="shared" ref="E9:E72" si="0">SUM(B9:D9)</f>
        <v>942163</v>
      </c>
      <c r="F9" t="s">
        <v>457</v>
      </c>
    </row>
    <row r="10" spans="1:6" hidden="1" outlineLevel="1">
      <c r="A10" s="932" t="s">
        <v>458</v>
      </c>
      <c r="B10" s="113">
        <v>0</v>
      </c>
      <c r="C10" s="83">
        <v>63549</v>
      </c>
      <c r="D10" s="1581">
        <v>192500</v>
      </c>
      <c r="E10" s="112">
        <f t="shared" si="0"/>
        <v>256049</v>
      </c>
      <c r="F10" t="s">
        <v>459</v>
      </c>
    </row>
    <row r="11" spans="1:6" hidden="1" outlineLevel="1">
      <c r="A11" s="932" t="s">
        <v>460</v>
      </c>
      <c r="B11" s="113">
        <v>0</v>
      </c>
      <c r="C11" s="83">
        <v>0</v>
      </c>
      <c r="D11" s="1581">
        <v>323587474</v>
      </c>
      <c r="E11" s="112">
        <f t="shared" si="0"/>
        <v>323587474</v>
      </c>
      <c r="F11" t="s">
        <v>461</v>
      </c>
    </row>
    <row r="12" spans="1:6" hidden="1" outlineLevel="1">
      <c r="A12" s="932" t="s">
        <v>462</v>
      </c>
      <c r="B12" s="113">
        <v>0</v>
      </c>
      <c r="C12" s="83">
        <v>20751</v>
      </c>
      <c r="D12" s="1581">
        <v>0</v>
      </c>
      <c r="E12" s="112">
        <f t="shared" si="0"/>
        <v>20751</v>
      </c>
      <c r="F12" t="s">
        <v>463</v>
      </c>
    </row>
    <row r="13" spans="1:6" hidden="1" outlineLevel="1">
      <c r="A13" s="932" t="s">
        <v>464</v>
      </c>
      <c r="B13" s="113">
        <v>0</v>
      </c>
      <c r="C13" s="83">
        <v>0</v>
      </c>
      <c r="D13" s="1581">
        <v>12350855</v>
      </c>
      <c r="E13" s="112">
        <f t="shared" si="0"/>
        <v>12350855</v>
      </c>
      <c r="F13" t="s">
        <v>465</v>
      </c>
    </row>
    <row r="14" spans="1:6" hidden="1" outlineLevel="1">
      <c r="A14" s="932" t="s">
        <v>466</v>
      </c>
      <c r="B14" s="113">
        <v>0</v>
      </c>
      <c r="C14" s="83">
        <v>0</v>
      </c>
      <c r="D14" s="1581">
        <v>182803374</v>
      </c>
      <c r="E14" s="112">
        <f t="shared" si="0"/>
        <v>182803374</v>
      </c>
      <c r="F14" t="s">
        <v>467</v>
      </c>
    </row>
    <row r="15" spans="1:6" hidden="1" outlineLevel="1">
      <c r="A15" s="932" t="s">
        <v>468</v>
      </c>
      <c r="B15" s="113">
        <v>0</v>
      </c>
      <c r="C15" s="83">
        <v>186983</v>
      </c>
      <c r="D15" s="1581">
        <v>361974</v>
      </c>
      <c r="E15" s="112">
        <f t="shared" si="0"/>
        <v>548957</v>
      </c>
      <c r="F15" t="s">
        <v>469</v>
      </c>
    </row>
    <row r="16" spans="1:6" hidden="1" outlineLevel="1">
      <c r="A16" s="932" t="s">
        <v>470</v>
      </c>
      <c r="B16" s="113">
        <v>0</v>
      </c>
      <c r="C16" s="83">
        <v>379455</v>
      </c>
      <c r="D16" s="1581">
        <v>6711602</v>
      </c>
      <c r="E16" s="112">
        <f t="shared" si="0"/>
        <v>7091057</v>
      </c>
      <c r="F16" t="s">
        <v>471</v>
      </c>
    </row>
    <row r="17" spans="1:6" hidden="1" outlineLevel="1">
      <c r="A17" s="932" t="s">
        <v>472</v>
      </c>
      <c r="B17" s="113">
        <v>0</v>
      </c>
      <c r="C17" s="83">
        <v>154843</v>
      </c>
      <c r="D17" s="1581">
        <v>24967530</v>
      </c>
      <c r="E17" s="112">
        <f t="shared" si="0"/>
        <v>25122373</v>
      </c>
      <c r="F17" t="s">
        <v>473</v>
      </c>
    </row>
    <row r="18" spans="1:6" hidden="1" outlineLevel="1">
      <c r="A18" s="932" t="s">
        <v>474</v>
      </c>
      <c r="B18" s="113">
        <v>0</v>
      </c>
      <c r="C18" s="83">
        <v>750</v>
      </c>
      <c r="D18" s="1581">
        <v>35168</v>
      </c>
      <c r="E18" s="112">
        <f t="shared" si="0"/>
        <v>35918</v>
      </c>
      <c r="F18" t="s">
        <v>475</v>
      </c>
    </row>
    <row r="19" spans="1:6" hidden="1" outlineLevel="1">
      <c r="A19" s="932" t="s">
        <v>476</v>
      </c>
      <c r="B19" s="113">
        <v>0</v>
      </c>
      <c r="C19" s="83">
        <v>177110</v>
      </c>
      <c r="D19" s="1581">
        <v>30231421</v>
      </c>
      <c r="E19" s="112">
        <f t="shared" si="0"/>
        <v>30408531</v>
      </c>
      <c r="F19" t="s">
        <v>477</v>
      </c>
    </row>
    <row r="20" spans="1:6" hidden="1" outlineLevel="1">
      <c r="A20" s="932" t="s">
        <v>478</v>
      </c>
      <c r="B20" s="113">
        <v>0</v>
      </c>
      <c r="C20" s="83">
        <v>15278</v>
      </c>
      <c r="D20" s="1581">
        <v>0</v>
      </c>
      <c r="E20" s="112">
        <f t="shared" si="0"/>
        <v>15278</v>
      </c>
      <c r="F20" t="s">
        <v>479</v>
      </c>
    </row>
    <row r="21" spans="1:6" hidden="1" outlineLevel="1">
      <c r="A21" s="932" t="s">
        <v>480</v>
      </c>
      <c r="B21" s="113">
        <v>0</v>
      </c>
      <c r="C21" s="83">
        <v>0</v>
      </c>
      <c r="D21" s="1581">
        <v>0</v>
      </c>
      <c r="E21" s="112">
        <f t="shared" si="0"/>
        <v>0</v>
      </c>
      <c r="F21" t="s">
        <v>481</v>
      </c>
    </row>
    <row r="22" spans="1:6" hidden="1" outlineLevel="1">
      <c r="A22" s="932" t="s">
        <v>482</v>
      </c>
      <c r="B22" s="113">
        <v>0</v>
      </c>
      <c r="C22" s="83">
        <v>163245</v>
      </c>
      <c r="D22" s="1581">
        <v>31625671</v>
      </c>
      <c r="E22" s="112">
        <f t="shared" si="0"/>
        <v>31788916</v>
      </c>
      <c r="F22" t="s">
        <v>483</v>
      </c>
    </row>
    <row r="23" spans="1:6" hidden="1" outlineLevel="1">
      <c r="A23" s="932" t="s">
        <v>484</v>
      </c>
      <c r="B23" s="113">
        <v>0</v>
      </c>
      <c r="C23" s="83">
        <v>8867099</v>
      </c>
      <c r="D23" s="1581">
        <v>1157547564</v>
      </c>
      <c r="E23" s="112">
        <f t="shared" si="0"/>
        <v>1166414663</v>
      </c>
      <c r="F23" t="s">
        <v>485</v>
      </c>
    </row>
    <row r="24" spans="1:6" hidden="1" outlineLevel="1">
      <c r="A24" s="932" t="s">
        <v>486</v>
      </c>
      <c r="B24" s="113">
        <v>0</v>
      </c>
      <c r="C24" s="83">
        <v>87268</v>
      </c>
      <c r="D24" s="1581">
        <v>529108236</v>
      </c>
      <c r="E24" s="112">
        <f t="shared" si="0"/>
        <v>529195504</v>
      </c>
      <c r="F24" t="s">
        <v>487</v>
      </c>
    </row>
    <row r="25" spans="1:6" hidden="1" outlineLevel="1">
      <c r="A25" s="932" t="s">
        <v>488</v>
      </c>
      <c r="B25" s="113">
        <v>0</v>
      </c>
      <c r="C25" s="83">
        <v>43920</v>
      </c>
      <c r="D25" s="1581">
        <v>59572813</v>
      </c>
      <c r="E25" s="112">
        <f t="shared" si="0"/>
        <v>59616733</v>
      </c>
      <c r="F25" t="s">
        <v>489</v>
      </c>
    </row>
    <row r="26" spans="1:6" hidden="1" outlineLevel="1">
      <c r="A26" s="932" t="s">
        <v>490</v>
      </c>
      <c r="B26" s="113">
        <v>0</v>
      </c>
      <c r="C26" s="83">
        <v>0</v>
      </c>
      <c r="D26" s="1581">
        <v>530187</v>
      </c>
      <c r="E26" s="112">
        <f t="shared" si="0"/>
        <v>530187</v>
      </c>
      <c r="F26" t="s">
        <v>491</v>
      </c>
    </row>
    <row r="27" spans="1:6" hidden="1" outlineLevel="1">
      <c r="A27" s="932" t="s">
        <v>492</v>
      </c>
      <c r="B27" s="113">
        <v>0</v>
      </c>
      <c r="C27" s="83">
        <v>0</v>
      </c>
      <c r="D27" s="1581">
        <v>211970</v>
      </c>
      <c r="E27" s="112">
        <f t="shared" si="0"/>
        <v>211970</v>
      </c>
      <c r="F27" t="s">
        <v>493</v>
      </c>
    </row>
    <row r="28" spans="1:6" hidden="1" outlineLevel="1">
      <c r="A28" s="932" t="s">
        <v>494</v>
      </c>
      <c r="B28" s="113">
        <v>0</v>
      </c>
      <c r="C28" s="83">
        <v>0</v>
      </c>
      <c r="D28" s="1581">
        <v>31500</v>
      </c>
      <c r="E28" s="112">
        <f t="shared" si="0"/>
        <v>31500</v>
      </c>
      <c r="F28" t="s">
        <v>495</v>
      </c>
    </row>
    <row r="29" spans="1:6" hidden="1" outlineLevel="1">
      <c r="A29" s="932" t="s">
        <v>496</v>
      </c>
      <c r="B29" s="113">
        <v>0</v>
      </c>
      <c r="C29" s="83">
        <v>0</v>
      </c>
      <c r="D29" s="1581">
        <v>6763764</v>
      </c>
      <c r="E29" s="112">
        <f t="shared" si="0"/>
        <v>6763764</v>
      </c>
      <c r="F29" t="s">
        <v>497</v>
      </c>
    </row>
    <row r="30" spans="1:6" hidden="1" outlineLevel="1">
      <c r="A30" s="932" t="s">
        <v>498</v>
      </c>
      <c r="B30" s="113">
        <v>0</v>
      </c>
      <c r="C30" s="83">
        <v>14744</v>
      </c>
      <c r="D30" s="1581">
        <v>67805</v>
      </c>
      <c r="E30" s="112">
        <f t="shared" si="0"/>
        <v>82549</v>
      </c>
      <c r="F30" t="s">
        <v>499</v>
      </c>
    </row>
    <row r="31" spans="1:6" hidden="1" outlineLevel="1">
      <c r="A31" s="932" t="s">
        <v>500</v>
      </c>
      <c r="B31" s="113">
        <v>0</v>
      </c>
      <c r="C31" s="83">
        <v>27012</v>
      </c>
      <c r="D31" s="1581">
        <v>198895</v>
      </c>
      <c r="E31" s="112">
        <f t="shared" si="0"/>
        <v>225907</v>
      </c>
      <c r="F31" t="s">
        <v>501</v>
      </c>
    </row>
    <row r="32" spans="1:6" hidden="1" outlineLevel="1">
      <c r="A32" s="932" t="s">
        <v>502</v>
      </c>
      <c r="B32" s="113">
        <v>0</v>
      </c>
      <c r="C32" s="83">
        <v>0</v>
      </c>
      <c r="D32" s="1581">
        <v>4153016</v>
      </c>
      <c r="E32" s="112">
        <f t="shared" si="0"/>
        <v>4153016</v>
      </c>
      <c r="F32" t="s">
        <v>503</v>
      </c>
    </row>
    <row r="33" spans="1:6" hidden="1" outlineLevel="1">
      <c r="A33" s="932" t="s">
        <v>504</v>
      </c>
      <c r="B33" s="113">
        <v>0</v>
      </c>
      <c r="C33" s="83">
        <v>1874</v>
      </c>
      <c r="D33" s="1581">
        <v>2234383</v>
      </c>
      <c r="E33" s="112">
        <f t="shared" si="0"/>
        <v>2236257</v>
      </c>
      <c r="F33" t="s">
        <v>505</v>
      </c>
    </row>
    <row r="34" spans="1:6" hidden="1" outlineLevel="1">
      <c r="A34" s="932" t="s">
        <v>506</v>
      </c>
      <c r="B34" s="113">
        <v>0</v>
      </c>
      <c r="C34" s="83">
        <v>454108</v>
      </c>
      <c r="D34" s="1581">
        <v>15070199</v>
      </c>
      <c r="E34" s="112">
        <f t="shared" si="0"/>
        <v>15524307</v>
      </c>
      <c r="F34" t="s">
        <v>507</v>
      </c>
    </row>
    <row r="35" spans="1:6" hidden="1" outlineLevel="1">
      <c r="A35" s="932" t="s">
        <v>508</v>
      </c>
      <c r="B35" s="113">
        <v>0</v>
      </c>
      <c r="C35" s="83">
        <v>0</v>
      </c>
      <c r="D35" s="1581">
        <v>2222500</v>
      </c>
      <c r="E35" s="112">
        <f t="shared" si="0"/>
        <v>2222500</v>
      </c>
      <c r="F35" t="s">
        <v>509</v>
      </c>
    </row>
    <row r="36" spans="1:6" hidden="1" outlineLevel="1">
      <c r="A36" s="932" t="s">
        <v>510</v>
      </c>
      <c r="B36" s="113">
        <v>0</v>
      </c>
      <c r="C36" s="83">
        <v>0</v>
      </c>
      <c r="D36" s="1581">
        <v>172294</v>
      </c>
      <c r="E36" s="112">
        <f t="shared" si="0"/>
        <v>172294</v>
      </c>
      <c r="F36" t="s">
        <v>511</v>
      </c>
    </row>
    <row r="37" spans="1:6" hidden="1" outlineLevel="1">
      <c r="A37" s="932" t="s">
        <v>512</v>
      </c>
      <c r="B37" s="113">
        <v>0</v>
      </c>
      <c r="C37" s="83">
        <v>2303</v>
      </c>
      <c r="D37" s="1581">
        <v>446125</v>
      </c>
      <c r="E37" s="112">
        <f t="shared" si="0"/>
        <v>448428</v>
      </c>
      <c r="F37" t="s">
        <v>513</v>
      </c>
    </row>
    <row r="38" spans="1:6" hidden="1" outlineLevel="1">
      <c r="A38" s="932" t="s">
        <v>514</v>
      </c>
      <c r="B38" s="113">
        <v>0</v>
      </c>
      <c r="C38" s="83">
        <v>0</v>
      </c>
      <c r="D38" s="1581">
        <v>3396052</v>
      </c>
      <c r="E38" s="112">
        <f t="shared" si="0"/>
        <v>3396052</v>
      </c>
      <c r="F38" t="s">
        <v>515</v>
      </c>
    </row>
    <row r="39" spans="1:6" hidden="1" outlineLevel="1">
      <c r="A39" s="932" t="s">
        <v>516</v>
      </c>
      <c r="B39" s="113">
        <v>0</v>
      </c>
      <c r="C39" s="83">
        <v>0</v>
      </c>
      <c r="D39" s="1581">
        <v>3441805</v>
      </c>
      <c r="E39" s="112">
        <f t="shared" si="0"/>
        <v>3441805</v>
      </c>
      <c r="F39" t="s">
        <v>517</v>
      </c>
    </row>
    <row r="40" spans="1:6" hidden="1" outlineLevel="1">
      <c r="A40" s="932" t="s">
        <v>518</v>
      </c>
      <c r="B40" s="113">
        <v>0</v>
      </c>
      <c r="C40" s="83">
        <v>195385</v>
      </c>
      <c r="D40" s="1581">
        <v>2459790</v>
      </c>
      <c r="E40" s="112">
        <f t="shared" si="0"/>
        <v>2655175</v>
      </c>
      <c r="F40" t="s">
        <v>519</v>
      </c>
    </row>
    <row r="41" spans="1:6" hidden="1" outlineLevel="1">
      <c r="A41" s="932" t="s">
        <v>520</v>
      </c>
      <c r="B41" s="113">
        <v>0</v>
      </c>
      <c r="C41" s="83">
        <v>0</v>
      </c>
      <c r="D41" s="1581">
        <v>17843075</v>
      </c>
      <c r="E41" s="112">
        <f t="shared" si="0"/>
        <v>17843075</v>
      </c>
      <c r="F41" t="s">
        <v>521</v>
      </c>
    </row>
    <row r="42" spans="1:6" hidden="1" outlineLevel="1">
      <c r="A42" s="932" t="s">
        <v>522</v>
      </c>
      <c r="B42" s="113">
        <v>0</v>
      </c>
      <c r="C42" s="83">
        <v>19334</v>
      </c>
      <c r="D42" s="1581">
        <v>11300</v>
      </c>
      <c r="E42" s="112">
        <f t="shared" si="0"/>
        <v>30634</v>
      </c>
      <c r="F42" t="s">
        <v>523</v>
      </c>
    </row>
    <row r="43" spans="1:6" hidden="1" outlineLevel="1">
      <c r="A43" s="932" t="s">
        <v>524</v>
      </c>
      <c r="B43" s="113">
        <v>0</v>
      </c>
      <c r="C43" s="83">
        <v>33566</v>
      </c>
      <c r="D43" s="1581">
        <v>44713724</v>
      </c>
      <c r="E43" s="112">
        <f t="shared" si="0"/>
        <v>44747290</v>
      </c>
      <c r="F43" t="s">
        <v>525</v>
      </c>
    </row>
    <row r="44" spans="1:6" hidden="1" outlineLevel="1">
      <c r="A44" s="932" t="s">
        <v>526</v>
      </c>
      <c r="B44" s="113">
        <v>0</v>
      </c>
      <c r="C44" s="83">
        <v>36686</v>
      </c>
      <c r="D44" s="1581">
        <v>3147556</v>
      </c>
      <c r="E44" s="112">
        <f t="shared" si="0"/>
        <v>3184242</v>
      </c>
      <c r="F44" t="s">
        <v>527</v>
      </c>
    </row>
    <row r="45" spans="1:6" hidden="1" outlineLevel="1">
      <c r="A45" s="932" t="s">
        <v>528</v>
      </c>
      <c r="B45" s="113">
        <v>0</v>
      </c>
      <c r="C45" s="83">
        <v>0</v>
      </c>
      <c r="D45" s="1581">
        <v>16669940</v>
      </c>
      <c r="E45" s="112">
        <f t="shared" si="0"/>
        <v>16669940</v>
      </c>
      <c r="F45" t="s">
        <v>529</v>
      </c>
    </row>
    <row r="46" spans="1:6" hidden="1" outlineLevel="1">
      <c r="A46" s="932" t="s">
        <v>530</v>
      </c>
      <c r="B46" s="113">
        <v>0</v>
      </c>
      <c r="C46" s="83">
        <v>46621</v>
      </c>
      <c r="D46" s="1581">
        <v>716501</v>
      </c>
      <c r="E46" s="112">
        <f t="shared" si="0"/>
        <v>763122</v>
      </c>
      <c r="F46" t="s">
        <v>531</v>
      </c>
    </row>
    <row r="47" spans="1:6" hidden="1" outlineLevel="1">
      <c r="A47" s="932" t="s">
        <v>532</v>
      </c>
      <c r="B47" s="113">
        <v>0</v>
      </c>
      <c r="C47" s="83">
        <v>30939</v>
      </c>
      <c r="D47" s="1581">
        <v>10760</v>
      </c>
      <c r="E47" s="112">
        <f t="shared" si="0"/>
        <v>41699</v>
      </c>
      <c r="F47" t="s">
        <v>533</v>
      </c>
    </row>
    <row r="48" spans="1:6" hidden="1" outlineLevel="1">
      <c r="A48" s="932" t="s">
        <v>534</v>
      </c>
      <c r="B48" s="113">
        <v>0</v>
      </c>
      <c r="C48" s="83">
        <v>0</v>
      </c>
      <c r="D48" s="1581">
        <v>964935</v>
      </c>
      <c r="E48" s="112">
        <f t="shared" si="0"/>
        <v>964935</v>
      </c>
      <c r="F48" t="s">
        <v>535</v>
      </c>
    </row>
    <row r="49" spans="1:6" hidden="1" outlineLevel="1">
      <c r="A49" s="932" t="s">
        <v>536</v>
      </c>
      <c r="B49" s="113">
        <v>0</v>
      </c>
      <c r="C49" s="83">
        <v>469508</v>
      </c>
      <c r="D49" s="1581">
        <v>5884604</v>
      </c>
      <c r="E49" s="112">
        <f t="shared" si="0"/>
        <v>6354112</v>
      </c>
      <c r="F49" t="s">
        <v>537</v>
      </c>
    </row>
    <row r="50" spans="1:6" hidden="1" outlineLevel="1">
      <c r="A50" s="932" t="s">
        <v>538</v>
      </c>
      <c r="B50" s="113">
        <v>0</v>
      </c>
      <c r="C50" s="83">
        <v>0</v>
      </c>
      <c r="D50" s="1581">
        <v>1137965</v>
      </c>
      <c r="E50" s="112">
        <f t="shared" si="0"/>
        <v>1137965</v>
      </c>
      <c r="F50" t="s">
        <v>539</v>
      </c>
    </row>
    <row r="51" spans="1:6" hidden="1" outlineLevel="1">
      <c r="A51" s="932" t="s">
        <v>540</v>
      </c>
      <c r="B51" s="113">
        <v>0</v>
      </c>
      <c r="C51" s="83">
        <v>16358</v>
      </c>
      <c r="D51" s="1581">
        <v>1092958</v>
      </c>
      <c r="E51" s="112">
        <f t="shared" si="0"/>
        <v>1109316</v>
      </c>
      <c r="F51" t="s">
        <v>541</v>
      </c>
    </row>
    <row r="52" spans="1:6" hidden="1" outlineLevel="1">
      <c r="A52" s="932" t="s">
        <v>542</v>
      </c>
      <c r="B52" s="113">
        <v>0</v>
      </c>
      <c r="C52" s="83">
        <v>0</v>
      </c>
      <c r="D52" s="1581">
        <v>0</v>
      </c>
      <c r="E52" s="112">
        <f t="shared" si="0"/>
        <v>0</v>
      </c>
      <c r="F52" t="s">
        <v>543</v>
      </c>
    </row>
    <row r="53" spans="1:6" hidden="1" outlineLevel="1">
      <c r="A53" s="932" t="s">
        <v>544</v>
      </c>
      <c r="B53" s="113">
        <v>0</v>
      </c>
      <c r="C53" s="83">
        <v>0</v>
      </c>
      <c r="D53" s="1581">
        <v>0</v>
      </c>
      <c r="E53" s="112">
        <f t="shared" si="0"/>
        <v>0</v>
      </c>
      <c r="F53" t="s">
        <v>545</v>
      </c>
    </row>
    <row r="54" spans="1:6" hidden="1" outlineLevel="1">
      <c r="A54" s="932" t="s">
        <v>546</v>
      </c>
      <c r="B54" s="113">
        <v>0</v>
      </c>
      <c r="C54" s="83">
        <v>100360</v>
      </c>
      <c r="D54" s="1581">
        <v>161396339</v>
      </c>
      <c r="E54" s="112">
        <f t="shared" si="0"/>
        <v>161496699</v>
      </c>
      <c r="F54" t="s">
        <v>547</v>
      </c>
    </row>
    <row r="55" spans="1:6" hidden="1" outlineLevel="1">
      <c r="A55" s="932" t="s">
        <v>548</v>
      </c>
      <c r="B55" s="113">
        <v>0</v>
      </c>
      <c r="C55" s="83">
        <v>24043</v>
      </c>
      <c r="D55" s="1581">
        <v>6556795</v>
      </c>
      <c r="E55" s="112">
        <f t="shared" si="0"/>
        <v>6580838</v>
      </c>
      <c r="F55" t="s">
        <v>549</v>
      </c>
    </row>
    <row r="56" spans="1:6" hidden="1" outlineLevel="1">
      <c r="A56" s="932" t="s">
        <v>550</v>
      </c>
      <c r="B56" s="113">
        <v>0</v>
      </c>
      <c r="C56" s="83">
        <v>0</v>
      </c>
      <c r="D56" s="1581">
        <v>21000000</v>
      </c>
      <c r="E56" s="112">
        <f t="shared" si="0"/>
        <v>21000000</v>
      </c>
      <c r="F56" t="s">
        <v>551</v>
      </c>
    </row>
    <row r="57" spans="1:6" hidden="1" outlineLevel="1">
      <c r="A57" s="932" t="s">
        <v>552</v>
      </c>
      <c r="B57" s="113">
        <v>0</v>
      </c>
      <c r="C57" s="83">
        <v>47721</v>
      </c>
      <c r="D57" s="1581">
        <v>11908750</v>
      </c>
      <c r="E57" s="112">
        <f t="shared" si="0"/>
        <v>11956471</v>
      </c>
      <c r="F57" t="s">
        <v>553</v>
      </c>
    </row>
    <row r="58" spans="1:6" hidden="1" outlineLevel="1">
      <c r="A58" s="932" t="s">
        <v>554</v>
      </c>
      <c r="B58" s="113">
        <v>0</v>
      </c>
      <c r="C58" s="83">
        <v>0</v>
      </c>
      <c r="D58" s="1581">
        <v>221938</v>
      </c>
      <c r="E58" s="112">
        <f t="shared" si="0"/>
        <v>221938</v>
      </c>
      <c r="F58" t="s">
        <v>555</v>
      </c>
    </row>
    <row r="59" spans="1:6" hidden="1" outlineLevel="1">
      <c r="A59" s="932" t="s">
        <v>556</v>
      </c>
      <c r="B59" s="113">
        <v>0</v>
      </c>
      <c r="C59" s="83">
        <v>63620</v>
      </c>
      <c r="D59" s="1581">
        <v>2983555</v>
      </c>
      <c r="E59" s="112">
        <f t="shared" si="0"/>
        <v>3047175</v>
      </c>
      <c r="F59" t="s">
        <v>557</v>
      </c>
    </row>
    <row r="60" spans="1:6" hidden="1" outlineLevel="1">
      <c r="A60" s="932" t="s">
        <v>558</v>
      </c>
      <c r="B60" s="113">
        <v>0</v>
      </c>
      <c r="C60" s="83">
        <v>69950</v>
      </c>
      <c r="D60" s="1581">
        <v>506476</v>
      </c>
      <c r="E60" s="112">
        <f t="shared" si="0"/>
        <v>576426</v>
      </c>
      <c r="F60" t="s">
        <v>559</v>
      </c>
    </row>
    <row r="61" spans="1:6" hidden="1" outlineLevel="1">
      <c r="A61" s="932" t="s">
        <v>560</v>
      </c>
      <c r="B61" s="113">
        <v>0</v>
      </c>
      <c r="C61" s="83">
        <v>553812</v>
      </c>
      <c r="D61" s="1581">
        <v>1530281</v>
      </c>
      <c r="E61" s="112">
        <f t="shared" si="0"/>
        <v>2084093</v>
      </c>
      <c r="F61" t="s">
        <v>561</v>
      </c>
    </row>
    <row r="62" spans="1:6" hidden="1" outlineLevel="1">
      <c r="A62" s="932" t="s">
        <v>562</v>
      </c>
      <c r="B62" s="113">
        <v>0</v>
      </c>
      <c r="C62" s="83">
        <v>0</v>
      </c>
      <c r="D62" s="1581">
        <v>0</v>
      </c>
      <c r="E62" s="112">
        <f t="shared" si="0"/>
        <v>0</v>
      </c>
      <c r="F62" t="s">
        <v>563</v>
      </c>
    </row>
    <row r="63" spans="1:6" hidden="1" outlineLevel="1">
      <c r="A63" s="932" t="s">
        <v>564</v>
      </c>
      <c r="B63" s="113">
        <v>0</v>
      </c>
      <c r="C63" s="83">
        <v>0</v>
      </c>
      <c r="D63" s="1581">
        <v>0</v>
      </c>
      <c r="E63" s="112">
        <f t="shared" si="0"/>
        <v>0</v>
      </c>
      <c r="F63" t="s">
        <v>565</v>
      </c>
    </row>
    <row r="64" spans="1:6" hidden="1" outlineLevel="1">
      <c r="A64" s="932" t="s">
        <v>566</v>
      </c>
      <c r="B64" s="113">
        <v>0</v>
      </c>
      <c r="C64" s="83">
        <v>0</v>
      </c>
      <c r="D64" s="1581">
        <v>0</v>
      </c>
      <c r="E64" s="112">
        <f t="shared" si="0"/>
        <v>0</v>
      </c>
      <c r="F64" t="s">
        <v>567</v>
      </c>
    </row>
    <row r="65" spans="1:6" hidden="1" outlineLevel="1">
      <c r="A65" s="932" t="s">
        <v>568</v>
      </c>
      <c r="B65" s="113">
        <v>0</v>
      </c>
      <c r="C65" s="83">
        <v>0</v>
      </c>
      <c r="D65" s="1581">
        <v>939058</v>
      </c>
      <c r="E65" s="112">
        <f t="shared" si="0"/>
        <v>939058</v>
      </c>
      <c r="F65" t="s">
        <v>569</v>
      </c>
    </row>
    <row r="66" spans="1:6" hidden="1" outlineLevel="1">
      <c r="A66" s="932" t="s">
        <v>570</v>
      </c>
      <c r="B66" s="113">
        <v>0</v>
      </c>
      <c r="C66" s="83">
        <v>0</v>
      </c>
      <c r="D66" s="1581">
        <v>8760170</v>
      </c>
      <c r="E66" s="112">
        <f t="shared" si="0"/>
        <v>8760170</v>
      </c>
      <c r="F66" t="s">
        <v>571</v>
      </c>
    </row>
    <row r="67" spans="1:6" hidden="1" outlineLevel="1">
      <c r="A67" s="932" t="s">
        <v>572</v>
      </c>
      <c r="B67" s="113">
        <v>0</v>
      </c>
      <c r="C67" s="83">
        <v>166528</v>
      </c>
      <c r="D67" s="1581">
        <v>746935</v>
      </c>
      <c r="E67" s="112">
        <f t="shared" si="0"/>
        <v>913463</v>
      </c>
      <c r="F67" t="s">
        <v>573</v>
      </c>
    </row>
    <row r="68" spans="1:6" hidden="1" outlineLevel="1">
      <c r="A68" s="932" t="s">
        <v>574</v>
      </c>
      <c r="B68" s="113">
        <v>0</v>
      </c>
      <c r="C68" s="83">
        <v>87094</v>
      </c>
      <c r="D68" s="1581">
        <v>786808</v>
      </c>
      <c r="E68" s="112">
        <f t="shared" si="0"/>
        <v>873902</v>
      </c>
      <c r="F68" t="s">
        <v>575</v>
      </c>
    </row>
    <row r="69" spans="1:6" hidden="1" outlineLevel="1">
      <c r="A69" s="932" t="s">
        <v>576</v>
      </c>
      <c r="B69" s="113">
        <v>0</v>
      </c>
      <c r="C69" s="83">
        <v>0</v>
      </c>
      <c r="D69" s="1581">
        <v>0</v>
      </c>
      <c r="E69" s="112">
        <f t="shared" si="0"/>
        <v>0</v>
      </c>
      <c r="F69" t="s">
        <v>577</v>
      </c>
    </row>
    <row r="70" spans="1:6" hidden="1" outlineLevel="1">
      <c r="A70" s="932" t="s">
        <v>578</v>
      </c>
      <c r="B70" s="113">
        <v>0</v>
      </c>
      <c r="C70" s="83">
        <v>119443</v>
      </c>
      <c r="D70" s="1581">
        <v>2274261</v>
      </c>
      <c r="E70" s="112">
        <f t="shared" si="0"/>
        <v>2393704</v>
      </c>
      <c r="F70" t="s">
        <v>579</v>
      </c>
    </row>
    <row r="71" spans="1:6" hidden="1" outlineLevel="1">
      <c r="A71" s="932" t="s">
        <v>580</v>
      </c>
      <c r="B71" s="113">
        <v>0</v>
      </c>
      <c r="C71" s="83">
        <v>0</v>
      </c>
      <c r="D71" s="1581">
        <v>190284</v>
      </c>
      <c r="E71" s="112">
        <f t="shared" si="0"/>
        <v>190284</v>
      </c>
      <c r="F71" t="s">
        <v>581</v>
      </c>
    </row>
    <row r="72" spans="1:6" hidden="1" outlineLevel="1">
      <c r="A72" s="932" t="s">
        <v>582</v>
      </c>
      <c r="B72" s="113">
        <v>0</v>
      </c>
      <c r="C72" s="83">
        <v>6466</v>
      </c>
      <c r="D72" s="1581">
        <v>3887356</v>
      </c>
      <c r="E72" s="112">
        <f t="shared" si="0"/>
        <v>3893822</v>
      </c>
      <c r="F72" t="s">
        <v>583</v>
      </c>
    </row>
    <row r="73" spans="1:6" hidden="1" outlineLevel="1">
      <c r="A73" s="932" t="s">
        <v>584</v>
      </c>
      <c r="B73" s="113">
        <v>0</v>
      </c>
      <c r="C73" s="83">
        <v>0</v>
      </c>
      <c r="D73" s="1581">
        <v>779556</v>
      </c>
      <c r="E73" s="112">
        <f t="shared" ref="E73:E136" si="1">SUM(B73:D73)</f>
        <v>779556</v>
      </c>
      <c r="F73" t="s">
        <v>585</v>
      </c>
    </row>
    <row r="74" spans="1:6" hidden="1" outlineLevel="1">
      <c r="A74" s="932" t="s">
        <v>586</v>
      </c>
      <c r="B74" s="113">
        <v>0</v>
      </c>
      <c r="C74" s="83">
        <v>0</v>
      </c>
      <c r="D74" s="1581">
        <v>7984788</v>
      </c>
      <c r="E74" s="112">
        <f t="shared" si="1"/>
        <v>7984788</v>
      </c>
      <c r="F74" t="s">
        <v>587</v>
      </c>
    </row>
    <row r="75" spans="1:6" hidden="1" outlineLevel="1">
      <c r="A75" s="932" t="s">
        <v>588</v>
      </c>
      <c r="B75" s="113">
        <v>0</v>
      </c>
      <c r="C75" s="83">
        <v>14046</v>
      </c>
      <c r="D75" s="1581">
        <v>294500</v>
      </c>
      <c r="E75" s="112">
        <f t="shared" si="1"/>
        <v>308546</v>
      </c>
      <c r="F75" t="s">
        <v>589</v>
      </c>
    </row>
    <row r="76" spans="1:6" hidden="1" outlineLevel="1">
      <c r="A76" s="932" t="s">
        <v>590</v>
      </c>
      <c r="B76" s="113">
        <v>0</v>
      </c>
      <c r="C76" s="83">
        <v>6003</v>
      </c>
      <c r="D76" s="1581">
        <v>752069</v>
      </c>
      <c r="E76" s="112">
        <f t="shared" si="1"/>
        <v>758072</v>
      </c>
      <c r="F76" t="s">
        <v>591</v>
      </c>
    </row>
    <row r="77" spans="1:6" hidden="1" outlineLevel="1">
      <c r="A77" s="932" t="s">
        <v>592</v>
      </c>
      <c r="B77" s="113">
        <v>0</v>
      </c>
      <c r="C77" s="83">
        <v>0</v>
      </c>
      <c r="D77" s="1581">
        <v>7569695</v>
      </c>
      <c r="E77" s="112">
        <f t="shared" si="1"/>
        <v>7569695</v>
      </c>
      <c r="F77" t="s">
        <v>593</v>
      </c>
    </row>
    <row r="78" spans="1:6" hidden="1" outlineLevel="1">
      <c r="A78" s="932" t="s">
        <v>594</v>
      </c>
      <c r="B78" s="113">
        <v>0</v>
      </c>
      <c r="C78" s="83">
        <v>57638</v>
      </c>
      <c r="D78" s="1581">
        <v>2182349</v>
      </c>
      <c r="E78" s="112">
        <f t="shared" si="1"/>
        <v>2239987</v>
      </c>
      <c r="F78" t="s">
        <v>595</v>
      </c>
    </row>
    <row r="79" spans="1:6" hidden="1" outlineLevel="1">
      <c r="A79" s="932" t="s">
        <v>596</v>
      </c>
      <c r="B79" s="113">
        <v>0</v>
      </c>
      <c r="C79" s="83">
        <v>318483</v>
      </c>
      <c r="D79" s="1581">
        <v>116683</v>
      </c>
      <c r="E79" s="112">
        <f t="shared" si="1"/>
        <v>435166</v>
      </c>
      <c r="F79" t="s">
        <v>597</v>
      </c>
    </row>
    <row r="80" spans="1:6" hidden="1" outlineLevel="1">
      <c r="A80" s="932" t="s">
        <v>598</v>
      </c>
      <c r="B80" s="113">
        <v>0</v>
      </c>
      <c r="C80" s="83">
        <v>23737581</v>
      </c>
      <c r="D80" s="1581">
        <v>182071495</v>
      </c>
      <c r="E80" s="112">
        <f t="shared" si="1"/>
        <v>205809076</v>
      </c>
      <c r="F80" t="s">
        <v>599</v>
      </c>
    </row>
    <row r="81" spans="1:6" hidden="1" outlineLevel="1">
      <c r="A81" s="932" t="s">
        <v>600</v>
      </c>
      <c r="B81" s="113">
        <v>0</v>
      </c>
      <c r="C81" s="83">
        <v>291233</v>
      </c>
      <c r="D81" s="1581">
        <v>2008302</v>
      </c>
      <c r="E81" s="112">
        <f t="shared" si="1"/>
        <v>2299535</v>
      </c>
      <c r="F81" t="s">
        <v>601</v>
      </c>
    </row>
    <row r="82" spans="1:6" hidden="1" outlineLevel="1">
      <c r="A82" s="932" t="s">
        <v>602</v>
      </c>
      <c r="B82" s="113">
        <v>0</v>
      </c>
      <c r="C82" s="83">
        <v>0</v>
      </c>
      <c r="D82" s="1581">
        <v>78501</v>
      </c>
      <c r="E82" s="112">
        <f t="shared" si="1"/>
        <v>78501</v>
      </c>
      <c r="F82" t="s">
        <v>603</v>
      </c>
    </row>
    <row r="83" spans="1:6" hidden="1" outlineLevel="1">
      <c r="A83" s="932" t="s">
        <v>604</v>
      </c>
      <c r="B83" s="113">
        <v>0</v>
      </c>
      <c r="C83" s="83">
        <v>13629</v>
      </c>
      <c r="D83" s="1581">
        <v>1159277</v>
      </c>
      <c r="E83" s="112">
        <f t="shared" si="1"/>
        <v>1172906</v>
      </c>
      <c r="F83" t="s">
        <v>605</v>
      </c>
    </row>
    <row r="84" spans="1:6" hidden="1" outlineLevel="1">
      <c r="A84" s="932" t="s">
        <v>606</v>
      </c>
      <c r="B84" s="113">
        <v>0</v>
      </c>
      <c r="C84" s="83">
        <v>0</v>
      </c>
      <c r="D84" s="1581">
        <v>335804</v>
      </c>
      <c r="E84" s="112">
        <f t="shared" si="1"/>
        <v>335804</v>
      </c>
      <c r="F84" t="s">
        <v>607</v>
      </c>
    </row>
    <row r="85" spans="1:6" hidden="1" outlineLevel="1">
      <c r="A85" s="932" t="s">
        <v>608</v>
      </c>
      <c r="B85" s="113">
        <v>0</v>
      </c>
      <c r="C85" s="83">
        <v>212316</v>
      </c>
      <c r="D85" s="1581">
        <v>7769392</v>
      </c>
      <c r="E85" s="112">
        <f t="shared" si="1"/>
        <v>7981708</v>
      </c>
      <c r="F85" t="s">
        <v>609</v>
      </c>
    </row>
    <row r="86" spans="1:6" hidden="1" outlineLevel="1">
      <c r="A86" s="932" t="s">
        <v>610</v>
      </c>
      <c r="B86" s="113">
        <v>0</v>
      </c>
      <c r="C86" s="83">
        <v>146361</v>
      </c>
      <c r="D86" s="1581">
        <v>2136187</v>
      </c>
      <c r="E86" s="112">
        <f t="shared" si="1"/>
        <v>2282548</v>
      </c>
      <c r="F86" t="s">
        <v>611</v>
      </c>
    </row>
    <row r="87" spans="1:6" hidden="1" outlineLevel="1">
      <c r="A87" s="932" t="s">
        <v>612</v>
      </c>
      <c r="B87" s="113">
        <v>0</v>
      </c>
      <c r="C87" s="83">
        <v>0</v>
      </c>
      <c r="D87" s="1581">
        <v>218864</v>
      </c>
      <c r="E87" s="112">
        <f t="shared" si="1"/>
        <v>218864</v>
      </c>
      <c r="F87" t="s">
        <v>613</v>
      </c>
    </row>
    <row r="88" spans="1:6" hidden="1" outlineLevel="1">
      <c r="A88" s="932" t="s">
        <v>614</v>
      </c>
      <c r="B88" s="113">
        <v>0</v>
      </c>
      <c r="C88" s="83">
        <v>555</v>
      </c>
      <c r="D88" s="1581">
        <v>1786697</v>
      </c>
      <c r="E88" s="112">
        <f t="shared" si="1"/>
        <v>1787252</v>
      </c>
      <c r="F88" t="s">
        <v>615</v>
      </c>
    </row>
    <row r="89" spans="1:6" hidden="1" outlineLevel="1">
      <c r="A89" s="932" t="s">
        <v>616</v>
      </c>
      <c r="B89" s="113">
        <v>0</v>
      </c>
      <c r="C89" s="83">
        <v>0</v>
      </c>
      <c r="D89" s="1581">
        <v>70000</v>
      </c>
      <c r="E89" s="112">
        <f t="shared" si="1"/>
        <v>70000</v>
      </c>
      <c r="F89" t="s">
        <v>617</v>
      </c>
    </row>
    <row r="90" spans="1:6" hidden="1" outlineLevel="1">
      <c r="A90" s="932" t="s">
        <v>618</v>
      </c>
      <c r="B90" s="113">
        <v>0</v>
      </c>
      <c r="C90" s="83">
        <v>1646</v>
      </c>
      <c r="D90" s="1581">
        <v>113319744</v>
      </c>
      <c r="E90" s="112">
        <f t="shared" si="1"/>
        <v>113321390</v>
      </c>
      <c r="F90" t="s">
        <v>619</v>
      </c>
    </row>
    <row r="91" spans="1:6" hidden="1" outlineLevel="1">
      <c r="A91" s="932" t="s">
        <v>620</v>
      </c>
      <c r="B91" s="113">
        <v>0</v>
      </c>
      <c r="C91" s="83">
        <v>6812659</v>
      </c>
      <c r="D91" s="1581">
        <v>64373369</v>
      </c>
      <c r="E91" s="112">
        <f t="shared" si="1"/>
        <v>71186028</v>
      </c>
      <c r="F91" t="s">
        <v>621</v>
      </c>
    </row>
    <row r="92" spans="1:6" hidden="1" outlineLevel="1">
      <c r="A92" s="932" t="s">
        <v>622</v>
      </c>
      <c r="B92" s="113">
        <v>0</v>
      </c>
      <c r="C92" s="83">
        <v>529852</v>
      </c>
      <c r="D92" s="1581">
        <v>417659995</v>
      </c>
      <c r="E92" s="112">
        <f t="shared" si="1"/>
        <v>418189847</v>
      </c>
      <c r="F92" t="s">
        <v>623</v>
      </c>
    </row>
    <row r="93" spans="1:6" hidden="1" outlineLevel="1">
      <c r="A93" s="932" t="s">
        <v>624</v>
      </c>
      <c r="B93" s="113">
        <v>0</v>
      </c>
      <c r="C93" s="83">
        <v>0</v>
      </c>
      <c r="D93" s="1581">
        <v>14511372</v>
      </c>
      <c r="E93" s="112">
        <f t="shared" si="1"/>
        <v>14511372</v>
      </c>
      <c r="F93" t="s">
        <v>625</v>
      </c>
    </row>
    <row r="94" spans="1:6" hidden="1" outlineLevel="1">
      <c r="A94" s="932" t="s">
        <v>626</v>
      </c>
      <c r="B94" s="113">
        <v>0</v>
      </c>
      <c r="C94" s="83">
        <v>38100</v>
      </c>
      <c r="D94" s="1581">
        <v>17925750</v>
      </c>
      <c r="E94" s="112">
        <f t="shared" si="1"/>
        <v>17963850</v>
      </c>
      <c r="F94" t="s">
        <v>627</v>
      </c>
    </row>
    <row r="95" spans="1:6" hidden="1" outlineLevel="1">
      <c r="A95" s="932" t="s">
        <v>628</v>
      </c>
      <c r="B95" s="113">
        <v>0</v>
      </c>
      <c r="C95" s="83">
        <v>0</v>
      </c>
      <c r="D95" s="1581">
        <v>519295</v>
      </c>
      <c r="E95" s="112">
        <f t="shared" si="1"/>
        <v>519295</v>
      </c>
      <c r="F95" t="s">
        <v>629</v>
      </c>
    </row>
    <row r="96" spans="1:6" hidden="1" outlineLevel="1">
      <c r="A96" s="932" t="s">
        <v>630</v>
      </c>
      <c r="B96" s="113">
        <v>0</v>
      </c>
      <c r="C96" s="83">
        <v>68493</v>
      </c>
      <c r="D96" s="1581">
        <v>109588</v>
      </c>
      <c r="E96" s="112">
        <f t="shared" si="1"/>
        <v>178081</v>
      </c>
      <c r="F96" t="s">
        <v>631</v>
      </c>
    </row>
    <row r="97" spans="1:6" hidden="1" outlineLevel="1">
      <c r="A97" s="932" t="s">
        <v>632</v>
      </c>
      <c r="B97" s="113">
        <v>0</v>
      </c>
      <c r="C97" s="83">
        <v>96395</v>
      </c>
      <c r="D97" s="1581">
        <v>14218111</v>
      </c>
      <c r="E97" s="112">
        <f t="shared" si="1"/>
        <v>14314506</v>
      </c>
      <c r="F97" t="s">
        <v>633</v>
      </c>
    </row>
    <row r="98" spans="1:6" hidden="1" outlineLevel="1">
      <c r="A98" s="932" t="s">
        <v>634</v>
      </c>
      <c r="B98" s="113">
        <v>0</v>
      </c>
      <c r="C98" s="83">
        <v>47995</v>
      </c>
      <c r="D98" s="1581">
        <v>466602</v>
      </c>
      <c r="E98" s="112">
        <f t="shared" si="1"/>
        <v>514597</v>
      </c>
      <c r="F98" t="s">
        <v>635</v>
      </c>
    </row>
    <row r="99" spans="1:6" hidden="1" outlineLevel="1">
      <c r="A99" s="932" t="s">
        <v>636</v>
      </c>
      <c r="B99" s="113">
        <v>0</v>
      </c>
      <c r="C99" s="83">
        <v>183262</v>
      </c>
      <c r="D99" s="1581">
        <v>180572031</v>
      </c>
      <c r="E99" s="112">
        <f t="shared" si="1"/>
        <v>180755293</v>
      </c>
      <c r="F99" t="s">
        <v>637</v>
      </c>
    </row>
    <row r="100" spans="1:6" hidden="1" outlineLevel="1">
      <c r="A100" s="932" t="s">
        <v>638</v>
      </c>
      <c r="B100" s="113">
        <v>0</v>
      </c>
      <c r="C100" s="83">
        <v>16468</v>
      </c>
      <c r="D100" s="1581">
        <v>54628253</v>
      </c>
      <c r="E100" s="112">
        <f t="shared" si="1"/>
        <v>54644721</v>
      </c>
      <c r="F100" t="s">
        <v>639</v>
      </c>
    </row>
    <row r="101" spans="1:6" hidden="1" outlineLevel="1">
      <c r="A101" s="932" t="s">
        <v>640</v>
      </c>
      <c r="B101" s="113">
        <v>0</v>
      </c>
      <c r="C101" s="83">
        <v>0</v>
      </c>
      <c r="D101" s="1581">
        <v>414856</v>
      </c>
      <c r="E101" s="112">
        <f t="shared" si="1"/>
        <v>414856</v>
      </c>
      <c r="F101" t="s">
        <v>641</v>
      </c>
    </row>
    <row r="102" spans="1:6" hidden="1" outlineLevel="1">
      <c r="A102" s="932" t="s">
        <v>642</v>
      </c>
      <c r="B102" s="113">
        <v>0</v>
      </c>
      <c r="C102" s="83">
        <v>0</v>
      </c>
      <c r="D102" s="1581">
        <v>526007</v>
      </c>
      <c r="E102" s="112">
        <f t="shared" si="1"/>
        <v>526007</v>
      </c>
      <c r="F102" t="s">
        <v>643</v>
      </c>
    </row>
    <row r="103" spans="1:6" hidden="1" outlineLevel="1">
      <c r="A103" s="932" t="s">
        <v>644</v>
      </c>
      <c r="B103" s="113">
        <v>0</v>
      </c>
      <c r="C103" s="83">
        <v>99014</v>
      </c>
      <c r="D103" s="1581">
        <v>986817</v>
      </c>
      <c r="E103" s="112">
        <f t="shared" si="1"/>
        <v>1085831</v>
      </c>
      <c r="F103" t="s">
        <v>645</v>
      </c>
    </row>
    <row r="104" spans="1:6" hidden="1" outlineLevel="1">
      <c r="A104" s="932" t="s">
        <v>646</v>
      </c>
      <c r="B104" s="113">
        <v>0</v>
      </c>
      <c r="C104" s="83">
        <v>228445</v>
      </c>
      <c r="D104" s="1581">
        <v>4005432</v>
      </c>
      <c r="E104" s="112">
        <f t="shared" si="1"/>
        <v>4233877</v>
      </c>
      <c r="F104" t="s">
        <v>647</v>
      </c>
    </row>
    <row r="105" spans="1:6" hidden="1" outlineLevel="1">
      <c r="A105" s="932" t="s">
        <v>648</v>
      </c>
      <c r="B105" s="113">
        <v>0</v>
      </c>
      <c r="C105" s="83">
        <v>1482026</v>
      </c>
      <c r="D105" s="1581">
        <v>1509037</v>
      </c>
      <c r="E105" s="112">
        <f t="shared" si="1"/>
        <v>2991063</v>
      </c>
      <c r="F105" t="s">
        <v>649</v>
      </c>
    </row>
    <row r="106" spans="1:6" hidden="1" outlineLevel="1">
      <c r="A106" s="932" t="s">
        <v>650</v>
      </c>
      <c r="B106" s="113">
        <v>0</v>
      </c>
      <c r="C106" s="83">
        <v>421866</v>
      </c>
      <c r="D106" s="1581">
        <v>1119675</v>
      </c>
      <c r="E106" s="112">
        <f t="shared" si="1"/>
        <v>1541541</v>
      </c>
      <c r="F106" t="s">
        <v>651</v>
      </c>
    </row>
    <row r="107" spans="1:6" hidden="1" outlineLevel="1">
      <c r="A107" s="932" t="s">
        <v>652</v>
      </c>
      <c r="B107" s="113">
        <v>0</v>
      </c>
      <c r="C107" s="83">
        <v>0</v>
      </c>
      <c r="D107" s="1581">
        <v>1052342</v>
      </c>
      <c r="E107" s="112">
        <f t="shared" si="1"/>
        <v>1052342</v>
      </c>
      <c r="F107" t="s">
        <v>653</v>
      </c>
    </row>
    <row r="108" spans="1:6" hidden="1" outlineLevel="1">
      <c r="A108" s="932" t="s">
        <v>654</v>
      </c>
      <c r="B108" s="113">
        <v>0</v>
      </c>
      <c r="C108" s="83">
        <v>804743</v>
      </c>
      <c r="D108" s="1581">
        <v>7081466</v>
      </c>
      <c r="E108" s="112">
        <f t="shared" si="1"/>
        <v>7886209</v>
      </c>
      <c r="F108" t="s">
        <v>655</v>
      </c>
    </row>
    <row r="109" spans="1:6" hidden="1" outlineLevel="1">
      <c r="A109" s="932" t="s">
        <v>656</v>
      </c>
      <c r="B109" s="113">
        <v>0</v>
      </c>
      <c r="C109" s="83">
        <v>0</v>
      </c>
      <c r="D109" s="1581">
        <v>0</v>
      </c>
      <c r="E109" s="112">
        <f t="shared" si="1"/>
        <v>0</v>
      </c>
      <c r="F109" t="s">
        <v>657</v>
      </c>
    </row>
    <row r="110" spans="1:6" hidden="1" outlineLevel="1">
      <c r="A110" s="932" t="s">
        <v>658</v>
      </c>
      <c r="B110" s="113">
        <v>0</v>
      </c>
      <c r="C110" s="83">
        <v>1080439</v>
      </c>
      <c r="D110" s="1581">
        <v>10598044</v>
      </c>
      <c r="E110" s="112">
        <f t="shared" si="1"/>
        <v>11678483</v>
      </c>
      <c r="F110" t="s">
        <v>659</v>
      </c>
    </row>
    <row r="111" spans="1:6" hidden="1" outlineLevel="1">
      <c r="A111" s="932" t="s">
        <v>660</v>
      </c>
      <c r="B111" s="113">
        <v>0</v>
      </c>
      <c r="C111" s="83">
        <v>0</v>
      </c>
      <c r="D111" s="1581">
        <v>174188</v>
      </c>
      <c r="E111" s="112">
        <f t="shared" si="1"/>
        <v>174188</v>
      </c>
      <c r="F111" t="s">
        <v>661</v>
      </c>
    </row>
    <row r="112" spans="1:6" hidden="1" outlineLevel="1">
      <c r="A112" s="932" t="s">
        <v>662</v>
      </c>
      <c r="B112" s="113">
        <v>0</v>
      </c>
      <c r="C112" s="83">
        <v>0</v>
      </c>
      <c r="D112" s="1581">
        <v>147000</v>
      </c>
      <c r="E112" s="112">
        <f t="shared" si="1"/>
        <v>147000</v>
      </c>
      <c r="F112" t="s">
        <v>663</v>
      </c>
    </row>
    <row r="113" spans="1:6" hidden="1" outlineLevel="1">
      <c r="A113" s="932" t="s">
        <v>664</v>
      </c>
      <c r="B113" s="113">
        <v>0</v>
      </c>
      <c r="C113" s="83">
        <v>23353</v>
      </c>
      <c r="D113" s="1581">
        <v>118062</v>
      </c>
      <c r="E113" s="112">
        <f t="shared" si="1"/>
        <v>141415</v>
      </c>
      <c r="F113" t="s">
        <v>665</v>
      </c>
    </row>
    <row r="114" spans="1:6" hidden="1" outlineLevel="1">
      <c r="A114" s="932" t="s">
        <v>666</v>
      </c>
      <c r="B114" s="113">
        <v>0</v>
      </c>
      <c r="C114" s="83">
        <v>0</v>
      </c>
      <c r="D114" s="1581">
        <v>365822</v>
      </c>
      <c r="E114" s="112">
        <f t="shared" si="1"/>
        <v>365822</v>
      </c>
      <c r="F114" t="s">
        <v>667</v>
      </c>
    </row>
    <row r="115" spans="1:6" hidden="1" outlineLevel="1">
      <c r="A115" s="932" t="s">
        <v>668</v>
      </c>
      <c r="B115" s="113">
        <v>0</v>
      </c>
      <c r="C115" s="83">
        <v>78904</v>
      </c>
      <c r="D115" s="1581">
        <v>337062</v>
      </c>
      <c r="E115" s="112">
        <f t="shared" si="1"/>
        <v>415966</v>
      </c>
      <c r="F115" t="s">
        <v>669</v>
      </c>
    </row>
    <row r="116" spans="1:6" hidden="1" outlineLevel="1">
      <c r="A116" s="932" t="s">
        <v>670</v>
      </c>
      <c r="B116" s="113">
        <v>0</v>
      </c>
      <c r="C116" s="83">
        <v>167566</v>
      </c>
      <c r="D116" s="1581">
        <v>2920837</v>
      </c>
      <c r="E116" s="112">
        <f t="shared" si="1"/>
        <v>3088403</v>
      </c>
      <c r="F116" t="s">
        <v>671</v>
      </c>
    </row>
    <row r="117" spans="1:6" hidden="1" outlineLevel="1">
      <c r="A117" s="932" t="s">
        <v>672</v>
      </c>
      <c r="B117" s="113">
        <v>0</v>
      </c>
      <c r="C117" s="83">
        <v>0</v>
      </c>
      <c r="D117" s="1581">
        <v>5990912</v>
      </c>
      <c r="E117" s="112">
        <f t="shared" si="1"/>
        <v>5990912</v>
      </c>
      <c r="F117" t="s">
        <v>673</v>
      </c>
    </row>
    <row r="118" spans="1:6" hidden="1" outlineLevel="1">
      <c r="A118" s="932" t="s">
        <v>674</v>
      </c>
      <c r="B118" s="113">
        <v>0</v>
      </c>
      <c r="C118" s="83">
        <v>83098</v>
      </c>
      <c r="D118" s="1581">
        <v>8021057</v>
      </c>
      <c r="E118" s="112">
        <f t="shared" si="1"/>
        <v>8104155</v>
      </c>
      <c r="F118" t="s">
        <v>675</v>
      </c>
    </row>
    <row r="119" spans="1:6" hidden="1" outlineLevel="1">
      <c r="A119" s="932" t="s">
        <v>676</v>
      </c>
      <c r="B119" s="113">
        <v>0</v>
      </c>
      <c r="C119" s="83">
        <v>0</v>
      </c>
      <c r="D119" s="1581">
        <v>0</v>
      </c>
      <c r="E119" s="112">
        <f t="shared" si="1"/>
        <v>0</v>
      </c>
      <c r="F119" t="s">
        <v>677</v>
      </c>
    </row>
    <row r="120" spans="1:6" hidden="1" outlineLevel="1">
      <c r="A120" s="932" t="s">
        <v>678</v>
      </c>
      <c r="B120" s="113">
        <v>0</v>
      </c>
      <c r="C120" s="83">
        <v>0</v>
      </c>
      <c r="D120" s="1581">
        <v>62860</v>
      </c>
      <c r="E120" s="112">
        <f t="shared" si="1"/>
        <v>62860</v>
      </c>
      <c r="F120" t="s">
        <v>679</v>
      </c>
    </row>
    <row r="121" spans="1:6" hidden="1" outlineLevel="1">
      <c r="A121" s="932" t="s">
        <v>680</v>
      </c>
      <c r="B121" s="113">
        <v>110394000</v>
      </c>
      <c r="C121" s="83">
        <v>5378423</v>
      </c>
      <c r="D121" s="1581">
        <v>38458803</v>
      </c>
      <c r="E121" s="112">
        <f t="shared" si="1"/>
        <v>154231226</v>
      </c>
      <c r="F121" t="s">
        <v>681</v>
      </c>
    </row>
    <row r="122" spans="1:6" hidden="1" outlineLevel="1">
      <c r="A122" s="932" t="s">
        <v>682</v>
      </c>
      <c r="B122" s="113">
        <v>0</v>
      </c>
      <c r="C122" s="83">
        <v>1008739</v>
      </c>
      <c r="D122" s="1581">
        <v>40019478</v>
      </c>
      <c r="E122" s="112">
        <f t="shared" si="1"/>
        <v>41028217</v>
      </c>
      <c r="F122" t="s">
        <v>683</v>
      </c>
    </row>
    <row r="123" spans="1:6" hidden="1" outlineLevel="1">
      <c r="A123" s="932" t="s">
        <v>684</v>
      </c>
      <c r="B123" s="113">
        <v>0</v>
      </c>
      <c r="C123" s="83">
        <v>133627</v>
      </c>
      <c r="D123" s="1581">
        <v>774738</v>
      </c>
      <c r="E123" s="112">
        <f t="shared" si="1"/>
        <v>908365</v>
      </c>
      <c r="F123" t="s">
        <v>685</v>
      </c>
    </row>
    <row r="124" spans="1:6" hidden="1" outlineLevel="1">
      <c r="A124" s="932" t="s">
        <v>686</v>
      </c>
      <c r="B124" s="113">
        <v>0</v>
      </c>
      <c r="C124" s="83">
        <v>1823140</v>
      </c>
      <c r="D124" s="1581">
        <v>29294311</v>
      </c>
      <c r="E124" s="112">
        <f t="shared" si="1"/>
        <v>31117451</v>
      </c>
      <c r="F124" t="s">
        <v>687</v>
      </c>
    </row>
    <row r="125" spans="1:6" hidden="1" outlineLevel="1">
      <c r="A125" s="932" t="s">
        <v>688</v>
      </c>
      <c r="B125" s="113">
        <v>0</v>
      </c>
      <c r="C125" s="83">
        <v>131851</v>
      </c>
      <c r="D125" s="1581">
        <v>1295202</v>
      </c>
      <c r="E125" s="112">
        <f t="shared" si="1"/>
        <v>1427053</v>
      </c>
      <c r="F125" t="s">
        <v>689</v>
      </c>
    </row>
    <row r="126" spans="1:6" hidden="1" outlineLevel="1">
      <c r="A126" s="932" t="s">
        <v>690</v>
      </c>
      <c r="B126" s="113">
        <v>0</v>
      </c>
      <c r="C126" s="83">
        <v>43765</v>
      </c>
      <c r="D126" s="1581">
        <v>7957383</v>
      </c>
      <c r="E126" s="112">
        <f t="shared" si="1"/>
        <v>8001148</v>
      </c>
      <c r="F126" t="s">
        <v>691</v>
      </c>
    </row>
    <row r="127" spans="1:6" hidden="1" outlineLevel="1">
      <c r="A127" s="932" t="s">
        <v>692</v>
      </c>
      <c r="B127" s="113">
        <v>0</v>
      </c>
      <c r="C127" s="83">
        <v>0</v>
      </c>
      <c r="D127" s="1581">
        <v>269566</v>
      </c>
      <c r="E127" s="112">
        <f t="shared" si="1"/>
        <v>269566</v>
      </c>
      <c r="F127" t="s">
        <v>693</v>
      </c>
    </row>
    <row r="128" spans="1:6" hidden="1" outlineLevel="1">
      <c r="A128" s="932" t="s">
        <v>694</v>
      </c>
      <c r="B128" s="113">
        <v>0</v>
      </c>
      <c r="C128" s="83">
        <v>0</v>
      </c>
      <c r="D128" s="1581">
        <v>0</v>
      </c>
      <c r="E128" s="112">
        <f t="shared" si="1"/>
        <v>0</v>
      </c>
      <c r="F128" t="s">
        <v>695</v>
      </c>
    </row>
    <row r="129" spans="1:6" hidden="1" outlineLevel="1">
      <c r="A129" s="932" t="s">
        <v>696</v>
      </c>
      <c r="B129" s="113">
        <v>0</v>
      </c>
      <c r="C129" s="83">
        <v>462161</v>
      </c>
      <c r="D129" s="1581">
        <v>279751</v>
      </c>
      <c r="E129" s="112">
        <f t="shared" si="1"/>
        <v>741912</v>
      </c>
      <c r="F129" t="s">
        <v>697</v>
      </c>
    </row>
    <row r="130" spans="1:6" hidden="1" outlineLevel="1">
      <c r="A130" s="932" t="s">
        <v>698</v>
      </c>
      <c r="B130" s="113">
        <v>0</v>
      </c>
      <c r="C130" s="83">
        <v>29110</v>
      </c>
      <c r="D130" s="1581">
        <v>1608378</v>
      </c>
      <c r="E130" s="112">
        <f t="shared" si="1"/>
        <v>1637488</v>
      </c>
      <c r="F130" t="s">
        <v>699</v>
      </c>
    </row>
    <row r="131" spans="1:6" hidden="1" outlineLevel="1">
      <c r="A131" s="932" t="s">
        <v>700</v>
      </c>
      <c r="B131" s="113">
        <v>0</v>
      </c>
      <c r="C131" s="83">
        <v>27302</v>
      </c>
      <c r="D131" s="1581">
        <v>471144</v>
      </c>
      <c r="E131" s="112">
        <f t="shared" si="1"/>
        <v>498446</v>
      </c>
      <c r="F131" t="s">
        <v>701</v>
      </c>
    </row>
    <row r="132" spans="1:6" hidden="1" outlineLevel="1">
      <c r="A132" s="932" t="s">
        <v>702</v>
      </c>
      <c r="B132" s="113">
        <v>0</v>
      </c>
      <c r="C132" s="83">
        <v>0</v>
      </c>
      <c r="D132" s="1581">
        <v>485283</v>
      </c>
      <c r="E132" s="112">
        <f t="shared" si="1"/>
        <v>485283</v>
      </c>
      <c r="F132" t="s">
        <v>703</v>
      </c>
    </row>
    <row r="133" spans="1:6" hidden="1" outlineLevel="1">
      <c r="A133" s="932" t="s">
        <v>704</v>
      </c>
      <c r="B133" s="113">
        <v>0</v>
      </c>
      <c r="C133" s="83">
        <v>0</v>
      </c>
      <c r="D133" s="1581">
        <v>0</v>
      </c>
      <c r="E133" s="112">
        <f t="shared" si="1"/>
        <v>0</v>
      </c>
      <c r="F133" t="s">
        <v>705</v>
      </c>
    </row>
    <row r="134" spans="1:6" hidden="1" outlineLevel="1">
      <c r="A134" s="932" t="s">
        <v>706</v>
      </c>
      <c r="B134" s="113">
        <v>0</v>
      </c>
      <c r="C134" s="83">
        <v>0</v>
      </c>
      <c r="D134" s="1581">
        <v>27532733</v>
      </c>
      <c r="E134" s="112">
        <f t="shared" si="1"/>
        <v>27532733</v>
      </c>
      <c r="F134" t="s">
        <v>707</v>
      </c>
    </row>
    <row r="135" spans="1:6" hidden="1" outlineLevel="1">
      <c r="A135" s="932" t="s">
        <v>708</v>
      </c>
      <c r="B135" s="113">
        <v>0</v>
      </c>
      <c r="C135" s="83">
        <v>0</v>
      </c>
      <c r="D135" s="1581">
        <v>70000</v>
      </c>
      <c r="E135" s="112">
        <f t="shared" si="1"/>
        <v>70000</v>
      </c>
      <c r="F135" t="s">
        <v>709</v>
      </c>
    </row>
    <row r="136" spans="1:6" hidden="1" outlineLevel="1">
      <c r="A136" s="932" t="s">
        <v>710</v>
      </c>
      <c r="B136" s="113">
        <v>0</v>
      </c>
      <c r="C136" s="83">
        <v>93780</v>
      </c>
      <c r="D136" s="1581">
        <v>834743</v>
      </c>
      <c r="E136" s="112">
        <f t="shared" si="1"/>
        <v>928523</v>
      </c>
      <c r="F136" t="s">
        <v>711</v>
      </c>
    </row>
    <row r="137" spans="1:6" hidden="1" outlineLevel="1">
      <c r="A137" s="932" t="s">
        <v>712</v>
      </c>
      <c r="B137" s="113">
        <v>0</v>
      </c>
      <c r="C137" s="83">
        <v>0</v>
      </c>
      <c r="D137" s="1581">
        <v>350000</v>
      </c>
      <c r="E137" s="112">
        <f t="shared" ref="E137:E719" si="2">SUM(B137:D137)</f>
        <v>350000</v>
      </c>
      <c r="F137" t="s">
        <v>713</v>
      </c>
    </row>
    <row r="138" spans="1:6" hidden="1" outlineLevel="1">
      <c r="A138" s="932" t="s">
        <v>714</v>
      </c>
      <c r="B138" s="113">
        <v>0</v>
      </c>
      <c r="C138" s="83">
        <v>0</v>
      </c>
      <c r="D138" s="1581">
        <v>8096800</v>
      </c>
      <c r="E138" s="112">
        <f t="shared" si="2"/>
        <v>8096800</v>
      </c>
      <c r="F138" t="s">
        <v>715</v>
      </c>
    </row>
    <row r="139" spans="1:6" hidden="1" outlineLevel="1">
      <c r="A139" s="932" t="s">
        <v>716</v>
      </c>
      <c r="B139" s="113">
        <v>0</v>
      </c>
      <c r="C139" s="83">
        <v>1857386</v>
      </c>
      <c r="D139" s="1581">
        <v>86256</v>
      </c>
      <c r="E139" s="112">
        <f t="shared" si="2"/>
        <v>1943642</v>
      </c>
      <c r="F139" t="s">
        <v>717</v>
      </c>
    </row>
    <row r="140" spans="1:6" hidden="1" outlineLevel="1">
      <c r="A140" s="932" t="s">
        <v>718</v>
      </c>
      <c r="B140" s="113">
        <v>0</v>
      </c>
      <c r="C140" s="83">
        <v>0</v>
      </c>
      <c r="D140" s="1581">
        <v>6799796</v>
      </c>
      <c r="E140" s="112">
        <f t="shared" si="2"/>
        <v>6799796</v>
      </c>
      <c r="F140" t="s">
        <v>719</v>
      </c>
    </row>
    <row r="141" spans="1:6" hidden="1" outlineLevel="1">
      <c r="A141" s="932" t="s">
        <v>720</v>
      </c>
      <c r="B141" s="113">
        <v>0</v>
      </c>
      <c r="C141" s="83">
        <v>24434</v>
      </c>
      <c r="D141" s="1581">
        <v>233392</v>
      </c>
      <c r="E141" s="112">
        <f t="shared" si="2"/>
        <v>257826</v>
      </c>
      <c r="F141" t="s">
        <v>721</v>
      </c>
    </row>
    <row r="142" spans="1:6" hidden="1" outlineLevel="1">
      <c r="A142" s="932" t="s">
        <v>722</v>
      </c>
      <c r="B142" s="113">
        <v>325499</v>
      </c>
      <c r="C142" s="83">
        <v>34211748</v>
      </c>
      <c r="D142" s="1581">
        <v>1675688125</v>
      </c>
      <c r="E142" s="112">
        <f t="shared" si="2"/>
        <v>1710225372</v>
      </c>
      <c r="F142" t="s">
        <v>723</v>
      </c>
    </row>
    <row r="143" spans="1:6" hidden="1" outlineLevel="1">
      <c r="A143" s="932" t="s">
        <v>724</v>
      </c>
      <c r="B143" s="113">
        <v>0</v>
      </c>
      <c r="C143" s="83">
        <v>0</v>
      </c>
      <c r="D143" s="1581">
        <v>2246057</v>
      </c>
      <c r="E143" s="112">
        <f t="shared" si="2"/>
        <v>2246057</v>
      </c>
      <c r="F143" t="s">
        <v>725</v>
      </c>
    </row>
    <row r="144" spans="1:6" hidden="1" outlineLevel="1">
      <c r="A144" s="932" t="s">
        <v>726</v>
      </c>
      <c r="B144" s="113">
        <v>0</v>
      </c>
      <c r="C144" s="83">
        <v>0</v>
      </c>
      <c r="D144" s="1581">
        <v>0</v>
      </c>
      <c r="E144" s="112">
        <f t="shared" si="2"/>
        <v>0</v>
      </c>
      <c r="F144" t="s">
        <v>727</v>
      </c>
    </row>
    <row r="145" spans="1:6" hidden="1" outlineLevel="1">
      <c r="A145" s="932" t="s">
        <v>728</v>
      </c>
      <c r="B145" s="113">
        <v>0</v>
      </c>
      <c r="C145" s="83">
        <v>3337258</v>
      </c>
      <c r="D145" s="1581">
        <v>366632427</v>
      </c>
      <c r="E145" s="112">
        <f t="shared" si="2"/>
        <v>369969685</v>
      </c>
      <c r="F145" t="s">
        <v>729</v>
      </c>
    </row>
    <row r="146" spans="1:6" hidden="1" outlineLevel="1">
      <c r="A146" s="932" t="s">
        <v>730</v>
      </c>
      <c r="B146" s="113">
        <v>0</v>
      </c>
      <c r="C146" s="83">
        <v>0</v>
      </c>
      <c r="D146" s="1581">
        <v>0</v>
      </c>
      <c r="E146" s="112">
        <f t="shared" si="2"/>
        <v>0</v>
      </c>
      <c r="F146" t="s">
        <v>731</v>
      </c>
    </row>
    <row r="147" spans="1:6" hidden="1" outlineLevel="1">
      <c r="A147" s="932" t="s">
        <v>732</v>
      </c>
      <c r="B147" s="113">
        <v>0</v>
      </c>
      <c r="C147" s="83">
        <v>65223</v>
      </c>
      <c r="D147" s="1581">
        <v>34333</v>
      </c>
      <c r="E147" s="112">
        <f t="shared" si="2"/>
        <v>99556</v>
      </c>
      <c r="F147" t="s">
        <v>733</v>
      </c>
    </row>
    <row r="148" spans="1:6" hidden="1" outlineLevel="1">
      <c r="A148" s="932" t="s">
        <v>734</v>
      </c>
      <c r="B148" s="113">
        <v>0</v>
      </c>
      <c r="C148" s="83">
        <v>0</v>
      </c>
      <c r="D148" s="1581">
        <v>0</v>
      </c>
      <c r="E148" s="112">
        <f t="shared" si="2"/>
        <v>0</v>
      </c>
      <c r="F148" t="s">
        <v>735</v>
      </c>
    </row>
    <row r="149" spans="1:6" hidden="1" outlineLevel="1">
      <c r="A149" s="932" t="s">
        <v>736</v>
      </c>
      <c r="B149" s="113">
        <v>0</v>
      </c>
      <c r="C149" s="83">
        <v>396803</v>
      </c>
      <c r="D149" s="1581">
        <v>7078615</v>
      </c>
      <c r="E149" s="112">
        <f t="shared" si="2"/>
        <v>7475418</v>
      </c>
      <c r="F149" t="s">
        <v>737</v>
      </c>
    </row>
    <row r="150" spans="1:6" hidden="1" outlineLevel="1">
      <c r="A150" s="932" t="s">
        <v>738</v>
      </c>
      <c r="B150" s="113">
        <v>0</v>
      </c>
      <c r="C150" s="83">
        <v>0</v>
      </c>
      <c r="D150" s="1581">
        <v>234390500</v>
      </c>
      <c r="E150" s="112">
        <f t="shared" si="2"/>
        <v>234390500</v>
      </c>
      <c r="F150" t="s">
        <v>739</v>
      </c>
    </row>
    <row r="151" spans="1:6" hidden="1" outlineLevel="1">
      <c r="A151" s="932" t="s">
        <v>740</v>
      </c>
      <c r="B151" s="113">
        <v>0</v>
      </c>
      <c r="C151" s="83">
        <v>852848</v>
      </c>
      <c r="D151" s="1581">
        <v>375026830</v>
      </c>
      <c r="E151" s="112">
        <f t="shared" si="2"/>
        <v>375879678</v>
      </c>
      <c r="F151" t="s">
        <v>741</v>
      </c>
    </row>
    <row r="152" spans="1:6" hidden="1" outlineLevel="1">
      <c r="A152" s="932" t="s">
        <v>742</v>
      </c>
      <c r="B152" s="113">
        <v>0</v>
      </c>
      <c r="C152" s="83">
        <v>0</v>
      </c>
      <c r="D152" s="1581">
        <v>76440</v>
      </c>
      <c r="E152" s="112">
        <f t="shared" si="2"/>
        <v>76440</v>
      </c>
      <c r="F152" t="s">
        <v>743</v>
      </c>
    </row>
    <row r="153" spans="1:6" hidden="1" outlineLevel="1">
      <c r="A153" s="932" t="s">
        <v>744</v>
      </c>
      <c r="B153" s="113">
        <v>0</v>
      </c>
      <c r="C153" s="83">
        <v>0</v>
      </c>
      <c r="D153" s="1581">
        <v>1741863</v>
      </c>
      <c r="E153" s="112">
        <f t="shared" si="2"/>
        <v>1741863</v>
      </c>
      <c r="F153" t="s">
        <v>745</v>
      </c>
    </row>
    <row r="154" spans="1:6" hidden="1" outlineLevel="1">
      <c r="A154" s="932" t="s">
        <v>746</v>
      </c>
      <c r="B154" s="113">
        <v>0</v>
      </c>
      <c r="C154" s="83">
        <v>9081</v>
      </c>
      <c r="D154" s="1581">
        <v>222542</v>
      </c>
      <c r="E154" s="112">
        <f t="shared" si="2"/>
        <v>231623</v>
      </c>
      <c r="F154" t="s">
        <v>747</v>
      </c>
    </row>
    <row r="155" spans="1:6" hidden="1" outlineLevel="1">
      <c r="A155" s="932" t="s">
        <v>748</v>
      </c>
      <c r="B155" s="113">
        <v>0</v>
      </c>
      <c r="C155" s="83">
        <v>0</v>
      </c>
      <c r="D155" s="1581">
        <v>6473813</v>
      </c>
      <c r="E155" s="112">
        <f t="shared" si="2"/>
        <v>6473813</v>
      </c>
      <c r="F155" t="s">
        <v>749</v>
      </c>
    </row>
    <row r="156" spans="1:6" hidden="1" outlineLevel="1">
      <c r="A156" s="932" t="s">
        <v>750</v>
      </c>
      <c r="B156" s="113">
        <v>0</v>
      </c>
      <c r="C156" s="83">
        <v>0</v>
      </c>
      <c r="D156" s="1581">
        <v>83626</v>
      </c>
      <c r="E156" s="112">
        <f t="shared" si="2"/>
        <v>83626</v>
      </c>
      <c r="F156" t="s">
        <v>751</v>
      </c>
    </row>
    <row r="157" spans="1:6" hidden="1" outlineLevel="1">
      <c r="A157" s="932" t="s">
        <v>752</v>
      </c>
      <c r="B157" s="113">
        <v>0</v>
      </c>
      <c r="C157" s="83">
        <v>8760</v>
      </c>
      <c r="D157" s="1581">
        <v>5254957</v>
      </c>
      <c r="E157" s="112">
        <f t="shared" si="2"/>
        <v>5263717</v>
      </c>
      <c r="F157" t="s">
        <v>753</v>
      </c>
    </row>
    <row r="158" spans="1:6" hidden="1" outlineLevel="1">
      <c r="A158" s="932" t="s">
        <v>754</v>
      </c>
      <c r="B158" s="113">
        <v>0</v>
      </c>
      <c r="C158" s="83">
        <v>3307</v>
      </c>
      <c r="D158" s="1581">
        <v>136321</v>
      </c>
      <c r="E158" s="112">
        <f t="shared" si="2"/>
        <v>139628</v>
      </c>
      <c r="F158" t="s">
        <v>755</v>
      </c>
    </row>
    <row r="159" spans="1:6" hidden="1" outlineLevel="1">
      <c r="A159" s="932" t="s">
        <v>756</v>
      </c>
      <c r="B159" s="113">
        <v>0</v>
      </c>
      <c r="C159" s="83">
        <v>899081</v>
      </c>
      <c r="D159" s="1581">
        <v>284069</v>
      </c>
      <c r="E159" s="112">
        <f t="shared" ref="E159:E162" si="3">SUM(B159:D159)</f>
        <v>1183150</v>
      </c>
      <c r="F159" t="s">
        <v>757</v>
      </c>
    </row>
    <row r="160" spans="1:6" hidden="1" outlineLevel="1">
      <c r="A160" s="932" t="s">
        <v>758</v>
      </c>
      <c r="B160" s="113">
        <v>0</v>
      </c>
      <c r="C160" s="83">
        <v>1444038</v>
      </c>
      <c r="D160" s="1581">
        <v>21784041</v>
      </c>
      <c r="E160" s="112">
        <f t="shared" si="3"/>
        <v>23228079</v>
      </c>
      <c r="F160" t="s">
        <v>759</v>
      </c>
    </row>
    <row r="161" spans="1:6" hidden="1" outlineLevel="1">
      <c r="A161" s="932" t="s">
        <v>760</v>
      </c>
      <c r="B161" s="113">
        <v>0</v>
      </c>
      <c r="C161" s="83">
        <v>0</v>
      </c>
      <c r="D161" s="1581">
        <v>465622</v>
      </c>
      <c r="E161" s="112">
        <f t="shared" si="3"/>
        <v>465622</v>
      </c>
      <c r="F161" t="s">
        <v>761</v>
      </c>
    </row>
    <row r="162" spans="1:6" hidden="1" outlineLevel="1">
      <c r="A162" s="932" t="s">
        <v>762</v>
      </c>
      <c r="B162" s="113">
        <v>0</v>
      </c>
      <c r="C162" s="83">
        <v>0</v>
      </c>
      <c r="D162" s="1581">
        <v>290738</v>
      </c>
      <c r="E162" s="112">
        <f t="shared" si="3"/>
        <v>290738</v>
      </c>
      <c r="F162" t="s">
        <v>763</v>
      </c>
    </row>
    <row r="163" spans="1:6" hidden="1" outlineLevel="1">
      <c r="A163" s="932" t="s">
        <v>764</v>
      </c>
      <c r="B163" s="113">
        <v>0</v>
      </c>
      <c r="C163" s="83">
        <v>265753</v>
      </c>
      <c r="D163" s="1581">
        <v>387523</v>
      </c>
      <c r="E163" s="112">
        <f t="shared" si="2"/>
        <v>653276</v>
      </c>
      <c r="F163" t="s">
        <v>765</v>
      </c>
    </row>
    <row r="164" spans="1:6" hidden="1" outlineLevel="1">
      <c r="A164" s="932" t="s">
        <v>766</v>
      </c>
      <c r="B164" s="113">
        <v>0</v>
      </c>
      <c r="C164" s="83">
        <v>0</v>
      </c>
      <c r="D164" s="1581">
        <v>334271</v>
      </c>
      <c r="E164" s="112">
        <f t="shared" si="2"/>
        <v>334271</v>
      </c>
      <c r="F164" t="s">
        <v>767</v>
      </c>
    </row>
    <row r="165" spans="1:6" hidden="1" outlineLevel="1">
      <c r="A165" s="932" t="s">
        <v>768</v>
      </c>
      <c r="B165" s="113">
        <v>0</v>
      </c>
      <c r="C165" s="83">
        <v>0</v>
      </c>
      <c r="D165" s="1581">
        <v>547927</v>
      </c>
      <c r="E165" s="112">
        <f t="shared" si="2"/>
        <v>547927</v>
      </c>
      <c r="F165" t="s">
        <v>769</v>
      </c>
    </row>
    <row r="166" spans="1:6" hidden="1" outlineLevel="1">
      <c r="A166" s="932" t="s">
        <v>770</v>
      </c>
      <c r="B166" s="113">
        <v>0</v>
      </c>
      <c r="C166" s="83">
        <v>46869</v>
      </c>
      <c r="D166" s="1581">
        <v>618696</v>
      </c>
      <c r="E166" s="112">
        <f t="shared" si="2"/>
        <v>665565</v>
      </c>
      <c r="F166" t="s">
        <v>771</v>
      </c>
    </row>
    <row r="167" spans="1:6" hidden="1" outlineLevel="1">
      <c r="A167" s="932" t="s">
        <v>772</v>
      </c>
      <c r="B167" s="113">
        <v>0</v>
      </c>
      <c r="C167" s="83">
        <v>0</v>
      </c>
      <c r="D167" s="1581">
        <v>0</v>
      </c>
      <c r="E167" s="112">
        <f t="shared" si="2"/>
        <v>0</v>
      </c>
      <c r="F167" t="s">
        <v>773</v>
      </c>
    </row>
    <row r="168" spans="1:6" collapsed="1">
      <c r="A168" s="933" t="s">
        <v>774</v>
      </c>
      <c r="B168" s="111">
        <f>SUM(B169:B402)</f>
        <v>82601187</v>
      </c>
      <c r="C168" s="65">
        <f>SUM(C169:C402)</f>
        <v>630989950</v>
      </c>
      <c r="D168" s="122">
        <f>SUM(D169:D402)</f>
        <v>7320239610</v>
      </c>
      <c r="E168" s="112">
        <f t="shared" ref="E168" si="4">SUM(B168:D168)</f>
        <v>8033830747</v>
      </c>
    </row>
    <row r="169" spans="1:6" hidden="1" outlineLevel="1">
      <c r="A169" s="933" t="s">
        <v>775</v>
      </c>
      <c r="B169" s="114">
        <v>0</v>
      </c>
      <c r="C169" s="68">
        <v>0</v>
      </c>
      <c r="D169" s="123">
        <v>463060</v>
      </c>
      <c r="E169" s="112">
        <f t="shared" ref="E169:E232" si="5">SUM(B169:D169)</f>
        <v>463060</v>
      </c>
      <c r="F169" s="103" t="s">
        <v>776</v>
      </c>
    </row>
    <row r="170" spans="1:6" hidden="1" outlineLevel="1">
      <c r="A170" s="933" t="s">
        <v>456</v>
      </c>
      <c r="B170" s="114">
        <v>0</v>
      </c>
      <c r="C170" s="68">
        <v>0</v>
      </c>
      <c r="D170" s="123">
        <v>1556724</v>
      </c>
      <c r="E170" s="112">
        <f t="shared" si="5"/>
        <v>1556724</v>
      </c>
      <c r="F170" s="103" t="s">
        <v>457</v>
      </c>
    </row>
    <row r="171" spans="1:6" hidden="1" outlineLevel="1">
      <c r="A171" s="933" t="s">
        <v>777</v>
      </c>
      <c r="B171" s="114">
        <v>0</v>
      </c>
      <c r="C171" s="68">
        <v>1270567</v>
      </c>
      <c r="D171" s="123">
        <v>1674321</v>
      </c>
      <c r="E171" s="112">
        <f t="shared" si="5"/>
        <v>2944888</v>
      </c>
      <c r="F171" s="103" t="s">
        <v>778</v>
      </c>
    </row>
    <row r="172" spans="1:6" hidden="1" outlineLevel="1">
      <c r="A172" s="933" t="s">
        <v>779</v>
      </c>
      <c r="B172" s="114">
        <v>0</v>
      </c>
      <c r="C172" s="68">
        <v>559299</v>
      </c>
      <c r="D172" s="123">
        <v>2329349</v>
      </c>
      <c r="E172" s="112">
        <f t="shared" si="5"/>
        <v>2888648</v>
      </c>
      <c r="F172" s="103" t="s">
        <v>780</v>
      </c>
    </row>
    <row r="173" spans="1:6" hidden="1" outlineLevel="1">
      <c r="A173" s="933" t="s">
        <v>781</v>
      </c>
      <c r="B173" s="114">
        <v>0</v>
      </c>
      <c r="C173" s="68">
        <v>18253083</v>
      </c>
      <c r="D173" s="123">
        <v>6385704</v>
      </c>
      <c r="E173" s="112">
        <f t="shared" si="5"/>
        <v>24638787</v>
      </c>
      <c r="F173" s="103" t="s">
        <v>782</v>
      </c>
    </row>
    <row r="174" spans="1:6" hidden="1" outlineLevel="1">
      <c r="A174" s="933" t="s">
        <v>783</v>
      </c>
      <c r="B174" s="114">
        <v>0</v>
      </c>
      <c r="C174" s="68">
        <v>1410023</v>
      </c>
      <c r="D174" s="123">
        <v>7709498</v>
      </c>
      <c r="E174" s="112">
        <f t="shared" si="5"/>
        <v>9119521</v>
      </c>
      <c r="F174" s="103" t="s">
        <v>784</v>
      </c>
    </row>
    <row r="175" spans="1:6" hidden="1" outlineLevel="1">
      <c r="A175" s="933" t="s">
        <v>785</v>
      </c>
      <c r="B175" s="114">
        <v>0</v>
      </c>
      <c r="C175" s="68">
        <v>0</v>
      </c>
      <c r="D175" s="123">
        <v>2077850</v>
      </c>
      <c r="E175" s="112">
        <f t="shared" si="5"/>
        <v>2077850</v>
      </c>
      <c r="F175" s="103" t="s">
        <v>786</v>
      </c>
    </row>
    <row r="176" spans="1:6" hidden="1" outlineLevel="1">
      <c r="A176" s="933" t="s">
        <v>787</v>
      </c>
      <c r="B176" s="114">
        <v>0</v>
      </c>
      <c r="C176" s="68">
        <v>1149285</v>
      </c>
      <c r="D176" s="123">
        <v>102841028</v>
      </c>
      <c r="E176" s="112">
        <f t="shared" si="5"/>
        <v>103990313</v>
      </c>
      <c r="F176" s="103" t="s">
        <v>788</v>
      </c>
    </row>
    <row r="177" spans="1:6" hidden="1" outlineLevel="1">
      <c r="A177" s="933" t="s">
        <v>789</v>
      </c>
      <c r="B177" s="114">
        <v>0</v>
      </c>
      <c r="C177" s="68">
        <v>4965767</v>
      </c>
      <c r="D177" s="123">
        <v>74634650</v>
      </c>
      <c r="E177" s="112">
        <f t="shared" si="5"/>
        <v>79600417</v>
      </c>
      <c r="F177" s="103" t="s">
        <v>790</v>
      </c>
    </row>
    <row r="178" spans="1:6" hidden="1" outlineLevel="1">
      <c r="A178" s="933" t="s">
        <v>791</v>
      </c>
      <c r="B178" s="114">
        <v>0</v>
      </c>
      <c r="C178" s="68">
        <v>100254</v>
      </c>
      <c r="D178" s="123">
        <v>413029</v>
      </c>
      <c r="E178" s="112">
        <f t="shared" si="5"/>
        <v>513283</v>
      </c>
      <c r="F178" s="103" t="s">
        <v>792</v>
      </c>
    </row>
    <row r="179" spans="1:6" hidden="1" outlineLevel="1">
      <c r="A179" s="933" t="s">
        <v>793</v>
      </c>
      <c r="B179" s="114">
        <v>0</v>
      </c>
      <c r="C179" s="68">
        <v>62371</v>
      </c>
      <c r="D179" s="123">
        <v>3398910</v>
      </c>
      <c r="E179" s="112">
        <f t="shared" si="5"/>
        <v>3461281</v>
      </c>
      <c r="F179" s="103" t="s">
        <v>794</v>
      </c>
    </row>
    <row r="180" spans="1:6" hidden="1" outlineLevel="1">
      <c r="A180" s="933" t="s">
        <v>795</v>
      </c>
      <c r="B180" s="114">
        <v>0</v>
      </c>
      <c r="C180" s="68">
        <v>5957294</v>
      </c>
      <c r="D180" s="123">
        <v>2958562</v>
      </c>
      <c r="E180" s="112">
        <f t="shared" si="5"/>
        <v>8915856</v>
      </c>
      <c r="F180" s="103" t="s">
        <v>796</v>
      </c>
    </row>
    <row r="181" spans="1:6" hidden="1" outlineLevel="1">
      <c r="A181" s="933" t="s">
        <v>797</v>
      </c>
      <c r="B181" s="114">
        <v>0</v>
      </c>
      <c r="C181" s="68">
        <v>22195</v>
      </c>
      <c r="D181" s="123">
        <v>1153718</v>
      </c>
      <c r="E181" s="112">
        <f t="shared" si="5"/>
        <v>1175913</v>
      </c>
      <c r="F181" s="103" t="s">
        <v>798</v>
      </c>
    </row>
    <row r="182" spans="1:6" hidden="1" outlineLevel="1">
      <c r="A182" s="933" t="s">
        <v>799</v>
      </c>
      <c r="B182" s="114">
        <v>0</v>
      </c>
      <c r="C182" s="68">
        <v>0</v>
      </c>
      <c r="D182" s="123">
        <v>489093</v>
      </c>
      <c r="E182" s="112">
        <f t="shared" si="5"/>
        <v>489093</v>
      </c>
      <c r="F182" s="103" t="s">
        <v>800</v>
      </c>
    </row>
    <row r="183" spans="1:6" hidden="1" outlineLevel="1">
      <c r="A183" s="933" t="s">
        <v>801</v>
      </c>
      <c r="B183" s="114">
        <v>0</v>
      </c>
      <c r="C183" s="68">
        <v>1594</v>
      </c>
      <c r="D183" s="123">
        <v>26043</v>
      </c>
      <c r="E183" s="112">
        <f t="shared" si="5"/>
        <v>27637</v>
      </c>
      <c r="F183" s="103" t="s">
        <v>802</v>
      </c>
    </row>
    <row r="184" spans="1:6" hidden="1" outlineLevel="1">
      <c r="A184" s="933" t="s">
        <v>803</v>
      </c>
      <c r="B184" s="114">
        <v>0</v>
      </c>
      <c r="C184" s="68">
        <v>113200</v>
      </c>
      <c r="D184" s="123">
        <v>20586163</v>
      </c>
      <c r="E184" s="112">
        <f t="shared" si="5"/>
        <v>20699363</v>
      </c>
      <c r="F184" s="103" t="s">
        <v>804</v>
      </c>
    </row>
    <row r="185" spans="1:6" hidden="1" outlineLevel="1">
      <c r="A185" s="933" t="s">
        <v>805</v>
      </c>
      <c r="B185" s="114">
        <v>0</v>
      </c>
      <c r="C185" s="68">
        <v>24333</v>
      </c>
      <c r="D185" s="123">
        <v>1063571</v>
      </c>
      <c r="E185" s="112">
        <f t="shared" si="5"/>
        <v>1087904</v>
      </c>
      <c r="F185" s="103" t="s">
        <v>806</v>
      </c>
    </row>
    <row r="186" spans="1:6" hidden="1" outlineLevel="1">
      <c r="A186" s="933" t="s">
        <v>807</v>
      </c>
      <c r="B186" s="114">
        <v>0</v>
      </c>
      <c r="C186" s="68">
        <v>330651</v>
      </c>
      <c r="D186" s="123">
        <v>2253866</v>
      </c>
      <c r="E186" s="112">
        <f t="shared" si="5"/>
        <v>2584517</v>
      </c>
      <c r="F186" s="103" t="s">
        <v>808</v>
      </c>
    </row>
    <row r="187" spans="1:6" hidden="1" outlineLevel="1">
      <c r="A187" s="933" t="s">
        <v>809</v>
      </c>
      <c r="B187" s="114">
        <v>0</v>
      </c>
      <c r="C187" s="68">
        <v>0</v>
      </c>
      <c r="D187" s="123">
        <v>0</v>
      </c>
      <c r="E187" s="112">
        <f t="shared" si="5"/>
        <v>0</v>
      </c>
      <c r="F187" s="103" t="s">
        <v>810</v>
      </c>
    </row>
    <row r="188" spans="1:6" hidden="1" outlineLevel="1">
      <c r="A188" s="933" t="s">
        <v>811</v>
      </c>
      <c r="B188" s="114">
        <v>139581</v>
      </c>
      <c r="C188" s="68">
        <v>3293128</v>
      </c>
      <c r="D188" s="123">
        <v>121081796</v>
      </c>
      <c r="E188" s="112">
        <f t="shared" si="5"/>
        <v>124514505</v>
      </c>
      <c r="F188" s="103" t="s">
        <v>812</v>
      </c>
    </row>
    <row r="189" spans="1:6" hidden="1" outlineLevel="1">
      <c r="A189" s="933" t="s">
        <v>813</v>
      </c>
      <c r="B189" s="114">
        <v>0</v>
      </c>
      <c r="C189" s="68">
        <v>38122</v>
      </c>
      <c r="D189" s="123">
        <v>52115</v>
      </c>
      <c r="E189" s="112">
        <f t="shared" si="5"/>
        <v>90237</v>
      </c>
      <c r="F189" s="103" t="s">
        <v>814</v>
      </c>
    </row>
    <row r="190" spans="1:6" hidden="1" outlineLevel="1">
      <c r="A190" s="933" t="s">
        <v>815</v>
      </c>
      <c r="B190" s="114">
        <v>0</v>
      </c>
      <c r="C190" s="68">
        <v>338314</v>
      </c>
      <c r="D190" s="123">
        <v>540158</v>
      </c>
      <c r="E190" s="112">
        <f t="shared" si="5"/>
        <v>878472</v>
      </c>
      <c r="F190" s="103" t="s">
        <v>816</v>
      </c>
    </row>
    <row r="191" spans="1:6" hidden="1" outlineLevel="1">
      <c r="A191" s="933" t="s">
        <v>817</v>
      </c>
      <c r="B191" s="114">
        <v>0</v>
      </c>
      <c r="C191" s="68">
        <v>0</v>
      </c>
      <c r="D191" s="123">
        <v>443084</v>
      </c>
      <c r="E191" s="112">
        <f t="shared" si="5"/>
        <v>443084</v>
      </c>
      <c r="F191" s="103" t="s">
        <v>818</v>
      </c>
    </row>
    <row r="192" spans="1:6" hidden="1" outlineLevel="1">
      <c r="A192" s="933" t="s">
        <v>819</v>
      </c>
      <c r="B192" s="114">
        <v>0</v>
      </c>
      <c r="C192" s="68">
        <v>6989719</v>
      </c>
      <c r="D192" s="123">
        <v>890977433</v>
      </c>
      <c r="E192" s="112">
        <f t="shared" si="5"/>
        <v>897967152</v>
      </c>
      <c r="F192" s="103" t="s">
        <v>820</v>
      </c>
    </row>
    <row r="193" spans="1:6" hidden="1" outlineLevel="1">
      <c r="A193" s="933" t="s">
        <v>821</v>
      </c>
      <c r="B193" s="114">
        <v>0</v>
      </c>
      <c r="C193" s="68">
        <v>19225</v>
      </c>
      <c r="D193" s="123">
        <v>652864</v>
      </c>
      <c r="E193" s="112">
        <f t="shared" si="5"/>
        <v>672089</v>
      </c>
      <c r="F193" s="103" t="s">
        <v>822</v>
      </c>
    </row>
    <row r="194" spans="1:6" hidden="1" outlineLevel="1">
      <c r="A194" s="933" t="s">
        <v>823</v>
      </c>
      <c r="B194" s="114">
        <v>0</v>
      </c>
      <c r="C194" s="68">
        <v>1284442</v>
      </c>
      <c r="D194" s="123">
        <v>1688836</v>
      </c>
      <c r="E194" s="112">
        <f t="shared" si="5"/>
        <v>2973278</v>
      </c>
      <c r="F194" s="103" t="s">
        <v>824</v>
      </c>
    </row>
    <row r="195" spans="1:6" hidden="1" outlineLevel="1">
      <c r="A195" s="933" t="s">
        <v>825</v>
      </c>
      <c r="B195" s="114">
        <v>0</v>
      </c>
      <c r="C195" s="68">
        <v>0</v>
      </c>
      <c r="D195" s="123">
        <v>2571563</v>
      </c>
      <c r="E195" s="112">
        <f t="shared" si="5"/>
        <v>2571563</v>
      </c>
      <c r="F195" s="103" t="s">
        <v>826</v>
      </c>
    </row>
    <row r="196" spans="1:6" hidden="1" outlineLevel="1">
      <c r="A196" s="933" t="s">
        <v>827</v>
      </c>
      <c r="B196" s="114">
        <v>0</v>
      </c>
      <c r="C196" s="68">
        <v>0</v>
      </c>
      <c r="D196" s="123">
        <v>0</v>
      </c>
      <c r="E196" s="112">
        <f t="shared" si="5"/>
        <v>0</v>
      </c>
      <c r="F196" s="103" t="s">
        <v>828</v>
      </c>
    </row>
    <row r="197" spans="1:6" hidden="1" outlineLevel="1">
      <c r="A197" s="933" t="s">
        <v>829</v>
      </c>
      <c r="B197" s="114">
        <v>0</v>
      </c>
      <c r="C197" s="68">
        <v>0</v>
      </c>
      <c r="D197" s="123">
        <v>1996381</v>
      </c>
      <c r="E197" s="112">
        <f t="shared" si="5"/>
        <v>1996381</v>
      </c>
      <c r="F197" s="103" t="s">
        <v>830</v>
      </c>
    </row>
    <row r="198" spans="1:6" hidden="1" outlineLevel="1">
      <c r="A198" s="933" t="s">
        <v>831</v>
      </c>
      <c r="B198" s="114">
        <v>0</v>
      </c>
      <c r="C198" s="68">
        <v>367602</v>
      </c>
      <c r="D198" s="123">
        <v>134067</v>
      </c>
      <c r="E198" s="112">
        <f t="shared" si="5"/>
        <v>501669</v>
      </c>
      <c r="F198" s="103" t="s">
        <v>832</v>
      </c>
    </row>
    <row r="199" spans="1:6" hidden="1" outlineLevel="1">
      <c r="A199" s="933" t="s">
        <v>833</v>
      </c>
      <c r="B199" s="114">
        <v>0</v>
      </c>
      <c r="C199" s="68">
        <v>373346</v>
      </c>
      <c r="D199" s="123">
        <v>5411739</v>
      </c>
      <c r="E199" s="112">
        <f t="shared" si="5"/>
        <v>5785085</v>
      </c>
      <c r="F199" s="103" t="s">
        <v>834</v>
      </c>
    </row>
    <row r="200" spans="1:6" hidden="1" outlineLevel="1">
      <c r="A200" s="933" t="s">
        <v>835</v>
      </c>
      <c r="B200" s="114">
        <v>0</v>
      </c>
      <c r="C200" s="68">
        <v>0</v>
      </c>
      <c r="D200" s="123">
        <v>316</v>
      </c>
      <c r="E200" s="112">
        <f t="shared" si="5"/>
        <v>316</v>
      </c>
      <c r="F200" s="103" t="s">
        <v>836</v>
      </c>
    </row>
    <row r="201" spans="1:6" hidden="1" outlineLevel="1">
      <c r="A201" s="933" t="s">
        <v>837</v>
      </c>
      <c r="B201" s="114">
        <v>0</v>
      </c>
      <c r="C201" s="68">
        <v>271658</v>
      </c>
      <c r="D201" s="123">
        <v>163099</v>
      </c>
      <c r="E201" s="112">
        <f t="shared" si="5"/>
        <v>434757</v>
      </c>
      <c r="F201" s="103" t="s">
        <v>838</v>
      </c>
    </row>
    <row r="202" spans="1:6" hidden="1" outlineLevel="1">
      <c r="A202" s="933" t="s">
        <v>839</v>
      </c>
      <c r="B202" s="114">
        <v>1264745</v>
      </c>
      <c r="C202" s="68">
        <v>33094979</v>
      </c>
      <c r="D202" s="123">
        <v>161143243</v>
      </c>
      <c r="E202" s="112">
        <f t="shared" si="5"/>
        <v>195502967</v>
      </c>
      <c r="F202" s="103" t="s">
        <v>840</v>
      </c>
    </row>
    <row r="203" spans="1:6" hidden="1" outlineLevel="1">
      <c r="A203" s="933" t="s">
        <v>841</v>
      </c>
      <c r="B203" s="114">
        <v>0</v>
      </c>
      <c r="C203" s="68">
        <v>0</v>
      </c>
      <c r="D203" s="123">
        <v>1665001</v>
      </c>
      <c r="E203" s="112">
        <f t="shared" si="5"/>
        <v>1665001</v>
      </c>
      <c r="F203" s="103" t="s">
        <v>842</v>
      </c>
    </row>
    <row r="204" spans="1:6" hidden="1" outlineLevel="1">
      <c r="A204" s="933" t="s">
        <v>843</v>
      </c>
      <c r="B204" s="114">
        <v>0</v>
      </c>
      <c r="C204" s="68">
        <v>0</v>
      </c>
      <c r="D204" s="123">
        <v>955031</v>
      </c>
      <c r="E204" s="112">
        <f t="shared" si="5"/>
        <v>955031</v>
      </c>
      <c r="F204" s="103" t="s">
        <v>844</v>
      </c>
    </row>
    <row r="205" spans="1:6" hidden="1" outlineLevel="1">
      <c r="A205" s="933" t="s">
        <v>845</v>
      </c>
      <c r="B205" s="114">
        <v>0</v>
      </c>
      <c r="C205" s="68">
        <v>71613</v>
      </c>
      <c r="D205" s="123">
        <v>103911</v>
      </c>
      <c r="E205" s="112">
        <f t="shared" si="5"/>
        <v>175524</v>
      </c>
      <c r="F205" s="103" t="s">
        <v>846</v>
      </c>
    </row>
    <row r="206" spans="1:6" hidden="1" outlineLevel="1">
      <c r="A206" s="933" t="s">
        <v>847</v>
      </c>
      <c r="B206" s="114">
        <v>0</v>
      </c>
      <c r="C206" s="68">
        <v>120582832</v>
      </c>
      <c r="D206" s="123">
        <v>46173265</v>
      </c>
      <c r="E206" s="112">
        <f t="shared" si="5"/>
        <v>166756097</v>
      </c>
      <c r="F206" s="103" t="s">
        <v>848</v>
      </c>
    </row>
    <row r="207" spans="1:6" hidden="1" outlineLevel="1">
      <c r="A207" s="933" t="s">
        <v>849</v>
      </c>
      <c r="B207" s="114">
        <v>0</v>
      </c>
      <c r="C207" s="68">
        <v>47805</v>
      </c>
      <c r="D207" s="123">
        <v>836458</v>
      </c>
      <c r="E207" s="112">
        <f t="shared" si="5"/>
        <v>884263</v>
      </c>
      <c r="F207" s="103" t="s">
        <v>850</v>
      </c>
    </row>
    <row r="208" spans="1:6" hidden="1" outlineLevel="1">
      <c r="A208" s="933" t="s">
        <v>851</v>
      </c>
      <c r="B208" s="114">
        <v>0</v>
      </c>
      <c r="C208" s="68">
        <v>455831</v>
      </c>
      <c r="D208" s="123">
        <v>5142500</v>
      </c>
      <c r="E208" s="112">
        <f t="shared" si="5"/>
        <v>5598331</v>
      </c>
      <c r="F208" s="103" t="s">
        <v>852</v>
      </c>
    </row>
    <row r="209" spans="1:6" hidden="1" outlineLevel="1">
      <c r="A209" s="933" t="s">
        <v>853</v>
      </c>
      <c r="B209" s="114">
        <v>0</v>
      </c>
      <c r="C209" s="68">
        <v>3936602</v>
      </c>
      <c r="D209" s="123">
        <v>1086337745</v>
      </c>
      <c r="E209" s="112">
        <f t="shared" si="5"/>
        <v>1090274347</v>
      </c>
      <c r="F209" s="103" t="s">
        <v>854</v>
      </c>
    </row>
    <row r="210" spans="1:6" hidden="1" outlineLevel="1">
      <c r="A210" s="933" t="s">
        <v>855</v>
      </c>
      <c r="B210" s="114">
        <v>0</v>
      </c>
      <c r="C210" s="68">
        <v>474406</v>
      </c>
      <c r="D210" s="123">
        <v>905713</v>
      </c>
      <c r="E210" s="112">
        <f t="shared" si="5"/>
        <v>1380119</v>
      </c>
      <c r="F210" s="103" t="s">
        <v>856</v>
      </c>
    </row>
    <row r="211" spans="1:6" hidden="1" outlineLevel="1">
      <c r="A211" s="933" t="s">
        <v>857</v>
      </c>
      <c r="B211" s="114">
        <v>0</v>
      </c>
      <c r="C211" s="68">
        <v>0</v>
      </c>
      <c r="D211" s="123">
        <v>218905</v>
      </c>
      <c r="E211" s="112">
        <f t="shared" si="5"/>
        <v>218905</v>
      </c>
      <c r="F211" s="103" t="s">
        <v>858</v>
      </c>
    </row>
    <row r="212" spans="1:6" hidden="1" outlineLevel="1">
      <c r="A212" s="933" t="s">
        <v>859</v>
      </c>
      <c r="B212" s="114">
        <v>0</v>
      </c>
      <c r="C212" s="68">
        <v>4632029</v>
      </c>
      <c r="D212" s="123">
        <v>3596311</v>
      </c>
      <c r="E212" s="112">
        <f t="shared" si="5"/>
        <v>8228340</v>
      </c>
      <c r="F212" s="103" t="s">
        <v>860</v>
      </c>
    </row>
    <row r="213" spans="1:6" hidden="1" outlineLevel="1">
      <c r="A213" s="933" t="s">
        <v>861</v>
      </c>
      <c r="B213" s="114">
        <v>0</v>
      </c>
      <c r="C213" s="68">
        <v>26620</v>
      </c>
      <c r="D213" s="123">
        <v>741229</v>
      </c>
      <c r="E213" s="112">
        <f t="shared" si="5"/>
        <v>767849</v>
      </c>
      <c r="F213" s="103" t="s">
        <v>862</v>
      </c>
    </row>
    <row r="214" spans="1:6" hidden="1" outlineLevel="1">
      <c r="A214" s="933" t="s">
        <v>863</v>
      </c>
      <c r="B214" s="114">
        <v>0</v>
      </c>
      <c r="C214" s="68">
        <v>19102</v>
      </c>
      <c r="D214" s="123">
        <v>7082582</v>
      </c>
      <c r="E214" s="112">
        <f t="shared" si="5"/>
        <v>7101684</v>
      </c>
      <c r="F214" s="103" t="s">
        <v>864</v>
      </c>
    </row>
    <row r="215" spans="1:6" hidden="1" outlineLevel="1">
      <c r="A215" s="933" t="s">
        <v>865</v>
      </c>
      <c r="B215" s="114">
        <v>0</v>
      </c>
      <c r="C215" s="68">
        <v>2252898</v>
      </c>
      <c r="D215" s="123">
        <v>4044527</v>
      </c>
      <c r="E215" s="112">
        <f t="shared" si="5"/>
        <v>6297425</v>
      </c>
      <c r="F215" s="103" t="s">
        <v>866</v>
      </c>
    </row>
    <row r="216" spans="1:6" hidden="1" outlineLevel="1">
      <c r="A216" s="933" t="s">
        <v>867</v>
      </c>
      <c r="B216" s="114">
        <v>0</v>
      </c>
      <c r="C216" s="68">
        <v>318276</v>
      </c>
      <c r="D216" s="123">
        <v>41196</v>
      </c>
      <c r="E216" s="112">
        <f t="shared" si="5"/>
        <v>359472</v>
      </c>
      <c r="F216" s="103" t="s">
        <v>868</v>
      </c>
    </row>
    <row r="217" spans="1:6" hidden="1" outlineLevel="1">
      <c r="A217" s="933" t="s">
        <v>869</v>
      </c>
      <c r="B217" s="114">
        <v>0</v>
      </c>
      <c r="C217" s="68">
        <v>0</v>
      </c>
      <c r="D217" s="123">
        <v>0</v>
      </c>
      <c r="E217" s="112">
        <f t="shared" si="5"/>
        <v>0</v>
      </c>
      <c r="F217" s="103" t="s">
        <v>870</v>
      </c>
    </row>
    <row r="218" spans="1:6" hidden="1" outlineLevel="1">
      <c r="A218" s="933" t="s">
        <v>871</v>
      </c>
      <c r="B218" s="114">
        <v>0</v>
      </c>
      <c r="C218" s="68">
        <v>51326</v>
      </c>
      <c r="D218" s="123">
        <v>713521</v>
      </c>
      <c r="E218" s="112">
        <f t="shared" si="5"/>
        <v>764847</v>
      </c>
      <c r="F218" s="103" t="s">
        <v>872</v>
      </c>
    </row>
    <row r="219" spans="1:6" hidden="1" outlineLevel="1">
      <c r="A219" s="933" t="s">
        <v>873</v>
      </c>
      <c r="B219" s="114">
        <v>0</v>
      </c>
      <c r="C219" s="68">
        <v>313461</v>
      </c>
      <c r="D219" s="123">
        <v>1980721</v>
      </c>
      <c r="E219" s="112">
        <f t="shared" si="5"/>
        <v>2294182</v>
      </c>
      <c r="F219" s="103" t="s">
        <v>874</v>
      </c>
    </row>
    <row r="220" spans="1:6" hidden="1" outlineLevel="1">
      <c r="A220" s="933" t="s">
        <v>875</v>
      </c>
      <c r="B220" s="114">
        <v>0</v>
      </c>
      <c r="C220" s="68">
        <v>39505</v>
      </c>
      <c r="D220" s="123">
        <v>1678002</v>
      </c>
      <c r="E220" s="112">
        <f t="shared" si="5"/>
        <v>1717507</v>
      </c>
      <c r="F220" s="103" t="s">
        <v>876</v>
      </c>
    </row>
    <row r="221" spans="1:6" hidden="1" outlineLevel="1">
      <c r="A221" s="933" t="s">
        <v>877</v>
      </c>
      <c r="B221" s="114">
        <v>0</v>
      </c>
      <c r="C221" s="68">
        <v>121498</v>
      </c>
      <c r="D221" s="123">
        <v>923274</v>
      </c>
      <c r="E221" s="112">
        <f t="shared" si="5"/>
        <v>1044772</v>
      </c>
      <c r="F221" s="103" t="s">
        <v>878</v>
      </c>
    </row>
    <row r="222" spans="1:6" hidden="1" outlineLevel="1">
      <c r="A222" s="933" t="s">
        <v>879</v>
      </c>
      <c r="B222" s="114">
        <v>0</v>
      </c>
      <c r="C222" s="68">
        <v>232250</v>
      </c>
      <c r="D222" s="123">
        <v>24588</v>
      </c>
      <c r="E222" s="112">
        <f t="shared" si="5"/>
        <v>256838</v>
      </c>
      <c r="F222" s="103" t="s">
        <v>880</v>
      </c>
    </row>
    <row r="223" spans="1:6" hidden="1" outlineLevel="1">
      <c r="A223" s="933" t="s">
        <v>881</v>
      </c>
      <c r="B223" s="114">
        <v>0</v>
      </c>
      <c r="C223" s="68">
        <v>0</v>
      </c>
      <c r="D223" s="123">
        <v>0</v>
      </c>
      <c r="E223" s="112">
        <f t="shared" si="5"/>
        <v>0</v>
      </c>
      <c r="F223" s="103" t="s">
        <v>882</v>
      </c>
    </row>
    <row r="224" spans="1:6" hidden="1" outlineLevel="1">
      <c r="A224" s="933" t="s">
        <v>542</v>
      </c>
      <c r="B224" s="114">
        <v>0</v>
      </c>
      <c r="C224" s="68">
        <v>0</v>
      </c>
      <c r="D224" s="123">
        <v>0</v>
      </c>
      <c r="E224" s="112">
        <f t="shared" si="5"/>
        <v>0</v>
      </c>
      <c r="F224" s="103" t="s">
        <v>543</v>
      </c>
    </row>
    <row r="225" spans="1:6" hidden="1" outlineLevel="1">
      <c r="A225" s="933" t="s">
        <v>883</v>
      </c>
      <c r="B225" s="114">
        <v>0</v>
      </c>
      <c r="C225" s="68">
        <v>414256</v>
      </c>
      <c r="D225" s="123">
        <v>750345</v>
      </c>
      <c r="E225" s="112">
        <f t="shared" si="5"/>
        <v>1164601</v>
      </c>
      <c r="F225" s="103" t="s">
        <v>884</v>
      </c>
    </row>
    <row r="226" spans="1:6" hidden="1" outlineLevel="1">
      <c r="A226" s="933" t="s">
        <v>885</v>
      </c>
      <c r="B226" s="114">
        <v>0</v>
      </c>
      <c r="C226" s="68">
        <v>0</v>
      </c>
      <c r="D226" s="123">
        <v>16829</v>
      </c>
      <c r="E226" s="112">
        <f t="shared" si="5"/>
        <v>16829</v>
      </c>
      <c r="F226" s="103" t="s">
        <v>886</v>
      </c>
    </row>
    <row r="227" spans="1:6" hidden="1" outlineLevel="1">
      <c r="A227" s="933" t="s">
        <v>887</v>
      </c>
      <c r="B227" s="114">
        <v>0</v>
      </c>
      <c r="C227" s="68">
        <v>120593</v>
      </c>
      <c r="D227" s="123">
        <v>385373</v>
      </c>
      <c r="E227" s="112">
        <f t="shared" si="5"/>
        <v>505966</v>
      </c>
      <c r="F227" s="103" t="s">
        <v>888</v>
      </c>
    </row>
    <row r="228" spans="1:6" hidden="1" outlineLevel="1">
      <c r="A228" s="933" t="s">
        <v>889</v>
      </c>
      <c r="B228" s="114">
        <v>0</v>
      </c>
      <c r="C228" s="68">
        <v>42059</v>
      </c>
      <c r="D228" s="123">
        <v>347380</v>
      </c>
      <c r="E228" s="112">
        <f t="shared" si="5"/>
        <v>389439</v>
      </c>
      <c r="F228" s="103" t="s">
        <v>890</v>
      </c>
    </row>
    <row r="229" spans="1:6" hidden="1" outlineLevel="1">
      <c r="A229" s="933" t="s">
        <v>891</v>
      </c>
      <c r="B229" s="114">
        <v>0</v>
      </c>
      <c r="C229" s="68">
        <v>123682</v>
      </c>
      <c r="D229" s="123">
        <v>1040339</v>
      </c>
      <c r="E229" s="112">
        <f t="shared" si="5"/>
        <v>1164021</v>
      </c>
      <c r="F229" s="103" t="s">
        <v>892</v>
      </c>
    </row>
    <row r="230" spans="1:6" hidden="1" outlineLevel="1">
      <c r="A230" s="933" t="s">
        <v>893</v>
      </c>
      <c r="B230" s="114">
        <v>0</v>
      </c>
      <c r="C230" s="68">
        <v>0</v>
      </c>
      <c r="D230" s="123">
        <v>0</v>
      </c>
      <c r="E230" s="112">
        <f t="shared" si="5"/>
        <v>0</v>
      </c>
      <c r="F230" s="103" t="s">
        <v>894</v>
      </c>
    </row>
    <row r="231" spans="1:6" hidden="1" outlineLevel="1">
      <c r="A231" s="933" t="s">
        <v>895</v>
      </c>
      <c r="B231" s="114">
        <v>0</v>
      </c>
      <c r="C231" s="68">
        <v>37724</v>
      </c>
      <c r="D231" s="123">
        <v>1502629</v>
      </c>
      <c r="E231" s="112">
        <f t="shared" si="5"/>
        <v>1540353</v>
      </c>
      <c r="F231" s="103" t="s">
        <v>896</v>
      </c>
    </row>
    <row r="232" spans="1:6" hidden="1" outlineLevel="1">
      <c r="A232" s="933" t="s">
        <v>897</v>
      </c>
      <c r="B232" s="114">
        <v>0</v>
      </c>
      <c r="C232" s="68">
        <v>0</v>
      </c>
      <c r="D232" s="123">
        <v>0</v>
      </c>
      <c r="E232" s="112">
        <f t="shared" si="5"/>
        <v>0</v>
      </c>
      <c r="F232" s="103" t="s">
        <v>898</v>
      </c>
    </row>
    <row r="233" spans="1:6" hidden="1" outlineLevel="1">
      <c r="A233" s="933" t="s">
        <v>899</v>
      </c>
      <c r="B233" s="114">
        <v>0</v>
      </c>
      <c r="C233" s="68">
        <v>222112</v>
      </c>
      <c r="D233" s="123">
        <v>1292309</v>
      </c>
      <c r="E233" s="112">
        <f t="shared" ref="E233:E296" si="6">SUM(B233:D233)</f>
        <v>1514421</v>
      </c>
      <c r="F233" s="103" t="s">
        <v>900</v>
      </c>
    </row>
    <row r="234" spans="1:6" hidden="1" outlineLevel="1">
      <c r="A234" s="933" t="s">
        <v>901</v>
      </c>
      <c r="B234" s="114">
        <v>0</v>
      </c>
      <c r="C234" s="68">
        <v>0</v>
      </c>
      <c r="D234" s="123">
        <v>2425868</v>
      </c>
      <c r="E234" s="112">
        <f t="shared" si="6"/>
        <v>2425868</v>
      </c>
      <c r="F234" s="103" t="s">
        <v>902</v>
      </c>
    </row>
    <row r="235" spans="1:6" hidden="1" outlineLevel="1">
      <c r="A235" s="933" t="s">
        <v>903</v>
      </c>
      <c r="B235" s="114">
        <v>0</v>
      </c>
      <c r="C235" s="68">
        <v>10512</v>
      </c>
      <c r="D235" s="123">
        <v>897814</v>
      </c>
      <c r="E235" s="112">
        <f t="shared" si="6"/>
        <v>908326</v>
      </c>
      <c r="F235" s="103" t="s">
        <v>904</v>
      </c>
    </row>
    <row r="236" spans="1:6" hidden="1" outlineLevel="1">
      <c r="A236" s="933" t="s">
        <v>905</v>
      </c>
      <c r="B236" s="114">
        <v>0</v>
      </c>
      <c r="C236" s="68">
        <v>0</v>
      </c>
      <c r="D236" s="123">
        <v>0</v>
      </c>
      <c r="E236" s="112">
        <f t="shared" si="6"/>
        <v>0</v>
      </c>
      <c r="F236" s="103" t="s">
        <v>906</v>
      </c>
    </row>
    <row r="237" spans="1:6" hidden="1" outlineLevel="1">
      <c r="A237" s="933" t="s">
        <v>907</v>
      </c>
      <c r="B237" s="114">
        <v>0</v>
      </c>
      <c r="C237" s="68">
        <v>150573</v>
      </c>
      <c r="D237" s="123">
        <v>1567109</v>
      </c>
      <c r="E237" s="112">
        <f t="shared" si="6"/>
        <v>1717682</v>
      </c>
      <c r="F237" s="103" t="s">
        <v>908</v>
      </c>
    </row>
    <row r="238" spans="1:6" hidden="1" outlineLevel="1">
      <c r="A238" s="933" t="s">
        <v>909</v>
      </c>
      <c r="B238" s="114">
        <v>0</v>
      </c>
      <c r="C238" s="68">
        <v>2934512</v>
      </c>
      <c r="D238" s="123">
        <v>988941584</v>
      </c>
      <c r="E238" s="112">
        <f t="shared" si="6"/>
        <v>991876096</v>
      </c>
      <c r="F238" s="103" t="s">
        <v>910</v>
      </c>
    </row>
    <row r="239" spans="1:6" hidden="1" outlineLevel="1">
      <c r="A239" s="933" t="s">
        <v>911</v>
      </c>
      <c r="B239" s="114">
        <v>0</v>
      </c>
      <c r="C239" s="68">
        <v>65843</v>
      </c>
      <c r="D239" s="123">
        <v>42646033</v>
      </c>
      <c r="E239" s="112">
        <f t="shared" si="6"/>
        <v>42711876</v>
      </c>
      <c r="F239" s="103" t="s">
        <v>912</v>
      </c>
    </row>
    <row r="240" spans="1:6" hidden="1" outlineLevel="1">
      <c r="A240" s="933" t="s">
        <v>913</v>
      </c>
      <c r="B240" s="114">
        <v>0</v>
      </c>
      <c r="C240" s="68">
        <v>31652</v>
      </c>
      <c r="D240" s="123">
        <v>47702</v>
      </c>
      <c r="E240" s="112">
        <f t="shared" si="6"/>
        <v>79354</v>
      </c>
      <c r="F240" s="103" t="s">
        <v>914</v>
      </c>
    </row>
    <row r="241" spans="1:6" hidden="1" outlineLevel="1">
      <c r="A241" s="933" t="s">
        <v>915</v>
      </c>
      <c r="B241" s="114">
        <v>0</v>
      </c>
      <c r="C241" s="68">
        <v>51839</v>
      </c>
      <c r="D241" s="123">
        <v>3190751</v>
      </c>
      <c r="E241" s="112">
        <f t="shared" si="6"/>
        <v>3242590</v>
      </c>
      <c r="F241" s="103" t="s">
        <v>916</v>
      </c>
    </row>
    <row r="242" spans="1:6" hidden="1" outlineLevel="1">
      <c r="A242" s="933" t="s">
        <v>917</v>
      </c>
      <c r="B242" s="114">
        <v>0</v>
      </c>
      <c r="C242" s="68">
        <v>293608</v>
      </c>
      <c r="D242" s="123">
        <v>888685</v>
      </c>
      <c r="E242" s="112">
        <f t="shared" si="6"/>
        <v>1182293</v>
      </c>
      <c r="F242" s="103" t="s">
        <v>918</v>
      </c>
    </row>
    <row r="243" spans="1:6" hidden="1" outlineLevel="1">
      <c r="A243" s="933" t="s">
        <v>919</v>
      </c>
      <c r="B243" s="114">
        <v>0</v>
      </c>
      <c r="C243" s="68">
        <v>785295</v>
      </c>
      <c r="D243" s="123">
        <v>1338944</v>
      </c>
      <c r="E243" s="112">
        <f t="shared" si="6"/>
        <v>2124239</v>
      </c>
      <c r="F243" s="103" t="s">
        <v>920</v>
      </c>
    </row>
    <row r="244" spans="1:6" hidden="1" outlineLevel="1">
      <c r="A244" s="933" t="s">
        <v>921</v>
      </c>
      <c r="B244" s="114">
        <v>0</v>
      </c>
      <c r="C244" s="68">
        <v>404969</v>
      </c>
      <c r="D244" s="123">
        <v>770089</v>
      </c>
      <c r="E244" s="112">
        <f t="shared" si="6"/>
        <v>1175058</v>
      </c>
      <c r="F244" s="103" t="s">
        <v>922</v>
      </c>
    </row>
    <row r="245" spans="1:6" hidden="1" outlineLevel="1">
      <c r="A245" s="933" t="s">
        <v>923</v>
      </c>
      <c r="B245" s="114">
        <v>0</v>
      </c>
      <c r="C245" s="68">
        <v>197927</v>
      </c>
      <c r="D245" s="123">
        <v>208312</v>
      </c>
      <c r="E245" s="112">
        <f t="shared" si="6"/>
        <v>406239</v>
      </c>
      <c r="F245" s="103" t="s">
        <v>924</v>
      </c>
    </row>
    <row r="246" spans="1:6" hidden="1" outlineLevel="1">
      <c r="A246" s="933" t="s">
        <v>925</v>
      </c>
      <c r="B246" s="114">
        <v>0</v>
      </c>
      <c r="C246" s="68">
        <v>0</v>
      </c>
      <c r="D246" s="123">
        <v>0</v>
      </c>
      <c r="E246" s="112">
        <f t="shared" si="6"/>
        <v>0</v>
      </c>
      <c r="F246" s="103" t="s">
        <v>926</v>
      </c>
    </row>
    <row r="247" spans="1:6" hidden="1" outlineLevel="1">
      <c r="A247" s="933" t="s">
        <v>927</v>
      </c>
      <c r="B247" s="114">
        <v>0</v>
      </c>
      <c r="C247" s="68">
        <v>0</v>
      </c>
      <c r="D247" s="123">
        <v>0</v>
      </c>
      <c r="E247" s="112">
        <f t="shared" si="6"/>
        <v>0</v>
      </c>
      <c r="F247" s="103" t="s">
        <v>928</v>
      </c>
    </row>
    <row r="248" spans="1:6" hidden="1" outlineLevel="1">
      <c r="A248" s="933" t="s">
        <v>929</v>
      </c>
      <c r="B248" s="114">
        <v>0</v>
      </c>
      <c r="C248" s="68">
        <v>2461</v>
      </c>
      <c r="D248" s="123">
        <v>293937</v>
      </c>
      <c r="E248" s="112">
        <f t="shared" si="6"/>
        <v>296398</v>
      </c>
      <c r="F248" s="103" t="s">
        <v>930</v>
      </c>
    </row>
    <row r="249" spans="1:6" hidden="1" outlineLevel="1">
      <c r="A249" s="933" t="s">
        <v>931</v>
      </c>
      <c r="B249" s="114">
        <v>0</v>
      </c>
      <c r="C249" s="68">
        <v>0</v>
      </c>
      <c r="D249" s="123">
        <v>90314972</v>
      </c>
      <c r="E249" s="112">
        <f t="shared" si="6"/>
        <v>90314972</v>
      </c>
      <c r="F249" s="103" t="s">
        <v>932</v>
      </c>
    </row>
    <row r="250" spans="1:6" hidden="1" outlineLevel="1">
      <c r="A250" s="933" t="s">
        <v>933</v>
      </c>
      <c r="B250" s="114">
        <v>0</v>
      </c>
      <c r="C250" s="68">
        <v>1511053</v>
      </c>
      <c r="D250" s="123">
        <v>5432058</v>
      </c>
      <c r="E250" s="112">
        <f t="shared" si="6"/>
        <v>6943111</v>
      </c>
      <c r="F250" s="103" t="s">
        <v>934</v>
      </c>
    </row>
    <row r="251" spans="1:6" hidden="1" outlineLevel="1">
      <c r="A251" s="933" t="s">
        <v>935</v>
      </c>
      <c r="B251" s="114">
        <v>0</v>
      </c>
      <c r="C251" s="68">
        <v>347130</v>
      </c>
      <c r="D251" s="123">
        <v>468927</v>
      </c>
      <c r="E251" s="112">
        <f t="shared" si="6"/>
        <v>816057</v>
      </c>
      <c r="F251" s="103" t="s">
        <v>936</v>
      </c>
    </row>
    <row r="252" spans="1:6" hidden="1" outlineLevel="1">
      <c r="A252" s="933" t="s">
        <v>937</v>
      </c>
      <c r="B252" s="114">
        <v>0</v>
      </c>
      <c r="C252" s="68">
        <v>0</v>
      </c>
      <c r="D252" s="123">
        <v>0</v>
      </c>
      <c r="E252" s="112">
        <f t="shared" si="6"/>
        <v>0</v>
      </c>
      <c r="F252" s="103" t="s">
        <v>938</v>
      </c>
    </row>
    <row r="253" spans="1:6" hidden="1" outlineLevel="1">
      <c r="A253" s="933" t="s">
        <v>939</v>
      </c>
      <c r="B253" s="114">
        <v>0</v>
      </c>
      <c r="C253" s="68">
        <v>213010</v>
      </c>
      <c r="D253" s="123">
        <v>855043</v>
      </c>
      <c r="E253" s="112">
        <f t="shared" si="6"/>
        <v>1068053</v>
      </c>
      <c r="F253" s="103" t="s">
        <v>940</v>
      </c>
    </row>
    <row r="254" spans="1:6" hidden="1" outlineLevel="1">
      <c r="A254" s="933" t="s">
        <v>941</v>
      </c>
      <c r="B254" s="114">
        <v>0</v>
      </c>
      <c r="C254" s="68">
        <v>21294</v>
      </c>
      <c r="D254" s="123">
        <v>1394381</v>
      </c>
      <c r="E254" s="112">
        <f t="shared" si="6"/>
        <v>1415675</v>
      </c>
      <c r="F254" s="103" t="s">
        <v>942</v>
      </c>
    </row>
    <row r="255" spans="1:6" hidden="1" outlineLevel="1">
      <c r="A255" s="933" t="s">
        <v>943</v>
      </c>
      <c r="B255" s="114">
        <v>0</v>
      </c>
      <c r="C255" s="68">
        <v>0</v>
      </c>
      <c r="D255" s="123">
        <v>0</v>
      </c>
      <c r="E255" s="112">
        <f t="shared" si="6"/>
        <v>0</v>
      </c>
      <c r="F255" s="103" t="s">
        <v>944</v>
      </c>
    </row>
    <row r="256" spans="1:6" hidden="1" outlineLevel="1">
      <c r="A256" s="933" t="s">
        <v>945</v>
      </c>
      <c r="B256" s="114">
        <v>0</v>
      </c>
      <c r="C256" s="68">
        <v>11121</v>
      </c>
      <c r="D256" s="123">
        <v>11767972</v>
      </c>
      <c r="E256" s="112">
        <f t="shared" si="6"/>
        <v>11779093</v>
      </c>
      <c r="F256" s="103" t="s">
        <v>946</v>
      </c>
    </row>
    <row r="257" spans="1:6" hidden="1" outlineLevel="1">
      <c r="A257" s="933" t="s">
        <v>947</v>
      </c>
      <c r="B257" s="114">
        <v>0</v>
      </c>
      <c r="C257" s="68">
        <v>0</v>
      </c>
      <c r="D257" s="123">
        <v>188843</v>
      </c>
      <c r="E257" s="112">
        <f t="shared" si="6"/>
        <v>188843</v>
      </c>
      <c r="F257" s="103" t="s">
        <v>948</v>
      </c>
    </row>
    <row r="258" spans="1:6" hidden="1" outlineLevel="1">
      <c r="A258" s="933" t="s">
        <v>949</v>
      </c>
      <c r="B258" s="114">
        <v>0</v>
      </c>
      <c r="C258" s="68">
        <v>70423</v>
      </c>
      <c r="D258" s="123">
        <v>36383863</v>
      </c>
      <c r="E258" s="112">
        <f t="shared" si="6"/>
        <v>36454286</v>
      </c>
      <c r="F258" s="103" t="s">
        <v>950</v>
      </c>
    </row>
    <row r="259" spans="1:6" hidden="1" outlineLevel="1">
      <c r="A259" s="933" t="s">
        <v>951</v>
      </c>
      <c r="B259" s="114">
        <v>0</v>
      </c>
      <c r="C259" s="68">
        <v>0</v>
      </c>
      <c r="D259" s="123">
        <v>0</v>
      </c>
      <c r="E259" s="112">
        <f t="shared" si="6"/>
        <v>0</v>
      </c>
      <c r="F259" s="103" t="s">
        <v>952</v>
      </c>
    </row>
    <row r="260" spans="1:6" hidden="1" outlineLevel="1">
      <c r="A260" s="933" t="s">
        <v>951</v>
      </c>
      <c r="B260" s="114">
        <v>0</v>
      </c>
      <c r="C260" s="68">
        <v>0</v>
      </c>
      <c r="D260" s="123">
        <v>0</v>
      </c>
      <c r="E260" s="112">
        <f t="shared" si="6"/>
        <v>0</v>
      </c>
      <c r="F260" s="103" t="s">
        <v>952</v>
      </c>
    </row>
    <row r="261" spans="1:6" hidden="1" outlineLevel="1">
      <c r="A261" s="933" t="s">
        <v>953</v>
      </c>
      <c r="B261" s="114">
        <v>0</v>
      </c>
      <c r="C261" s="68">
        <v>0</v>
      </c>
      <c r="D261" s="123">
        <v>2692613</v>
      </c>
      <c r="E261" s="112">
        <f t="shared" si="6"/>
        <v>2692613</v>
      </c>
      <c r="F261" s="103" t="s">
        <v>954</v>
      </c>
    </row>
    <row r="262" spans="1:6" hidden="1" outlineLevel="1">
      <c r="A262" s="933" t="s">
        <v>955</v>
      </c>
      <c r="B262" s="114">
        <v>0</v>
      </c>
      <c r="C262" s="68">
        <v>44395</v>
      </c>
      <c r="D262" s="123">
        <v>866234</v>
      </c>
      <c r="E262" s="112">
        <f t="shared" si="6"/>
        <v>910629</v>
      </c>
      <c r="F262" s="103" t="s">
        <v>956</v>
      </c>
    </row>
    <row r="263" spans="1:6" hidden="1" outlineLevel="1">
      <c r="A263" s="933" t="s">
        <v>957</v>
      </c>
      <c r="B263" s="114">
        <v>0</v>
      </c>
      <c r="C263" s="68">
        <v>7119745</v>
      </c>
      <c r="D263" s="123">
        <v>6665508</v>
      </c>
      <c r="E263" s="112">
        <f t="shared" si="6"/>
        <v>13785253</v>
      </c>
      <c r="F263" s="103" t="s">
        <v>958</v>
      </c>
    </row>
    <row r="264" spans="1:6" hidden="1" outlineLevel="1">
      <c r="A264" s="933" t="s">
        <v>959</v>
      </c>
      <c r="B264" s="114">
        <v>0</v>
      </c>
      <c r="C264" s="68">
        <v>182186</v>
      </c>
      <c r="D264" s="123">
        <v>240677</v>
      </c>
      <c r="E264" s="112">
        <f t="shared" si="6"/>
        <v>422863</v>
      </c>
      <c r="F264" s="103" t="s">
        <v>960</v>
      </c>
    </row>
    <row r="265" spans="1:6" hidden="1" outlineLevel="1">
      <c r="A265" s="933" t="s">
        <v>961</v>
      </c>
      <c r="B265" s="114">
        <v>0</v>
      </c>
      <c r="C265" s="68">
        <v>13859</v>
      </c>
      <c r="D265" s="123">
        <v>120156</v>
      </c>
      <c r="E265" s="112">
        <f t="shared" si="6"/>
        <v>134015</v>
      </c>
      <c r="F265" s="103" t="s">
        <v>962</v>
      </c>
    </row>
    <row r="266" spans="1:6" hidden="1" outlineLevel="1">
      <c r="A266" s="933" t="s">
        <v>963</v>
      </c>
      <c r="B266" s="114">
        <v>0</v>
      </c>
      <c r="C266" s="68">
        <v>0</v>
      </c>
      <c r="D266" s="123">
        <v>374183</v>
      </c>
      <c r="E266" s="112">
        <f t="shared" si="6"/>
        <v>374183</v>
      </c>
      <c r="F266" s="103" t="s">
        <v>964</v>
      </c>
    </row>
    <row r="267" spans="1:6" hidden="1" outlineLevel="1">
      <c r="A267" s="933" t="s">
        <v>965</v>
      </c>
      <c r="B267" s="114">
        <v>0</v>
      </c>
      <c r="C267" s="68">
        <v>545308</v>
      </c>
      <c r="D267" s="123">
        <v>380675</v>
      </c>
      <c r="E267" s="112">
        <f t="shared" si="6"/>
        <v>925983</v>
      </c>
      <c r="F267" s="103" t="s">
        <v>966</v>
      </c>
    </row>
    <row r="268" spans="1:6" hidden="1" outlineLevel="1">
      <c r="A268" s="933" t="s">
        <v>967</v>
      </c>
      <c r="B268" s="114">
        <v>0</v>
      </c>
      <c r="C268" s="68">
        <v>430593</v>
      </c>
      <c r="D268" s="123">
        <v>784776</v>
      </c>
      <c r="E268" s="112">
        <f t="shared" si="6"/>
        <v>1215369</v>
      </c>
      <c r="F268" s="103" t="s">
        <v>968</v>
      </c>
    </row>
    <row r="269" spans="1:6" hidden="1" outlineLevel="1">
      <c r="A269" s="933" t="s">
        <v>969</v>
      </c>
      <c r="B269" s="114">
        <v>0</v>
      </c>
      <c r="C269" s="68">
        <v>0</v>
      </c>
      <c r="D269" s="123">
        <v>591030</v>
      </c>
      <c r="E269" s="112">
        <f t="shared" si="6"/>
        <v>591030</v>
      </c>
      <c r="F269" s="103" t="s">
        <v>970</v>
      </c>
    </row>
    <row r="270" spans="1:6" hidden="1" outlineLevel="1">
      <c r="A270" s="933" t="s">
        <v>971</v>
      </c>
      <c r="B270" s="114">
        <v>0</v>
      </c>
      <c r="C270" s="68">
        <v>136438</v>
      </c>
      <c r="D270" s="123">
        <v>2713435</v>
      </c>
      <c r="E270" s="112">
        <f t="shared" si="6"/>
        <v>2849873</v>
      </c>
      <c r="F270" s="103" t="s">
        <v>972</v>
      </c>
    </row>
    <row r="271" spans="1:6" hidden="1" outlineLevel="1">
      <c r="A271" s="933" t="s">
        <v>973</v>
      </c>
      <c r="B271" s="114">
        <v>0</v>
      </c>
      <c r="C271" s="68">
        <v>0</v>
      </c>
      <c r="D271" s="123">
        <v>0</v>
      </c>
      <c r="E271" s="112">
        <f t="shared" si="6"/>
        <v>0</v>
      </c>
      <c r="F271" s="103" t="s">
        <v>974</v>
      </c>
    </row>
    <row r="272" spans="1:6" hidden="1" outlineLevel="1">
      <c r="A272" s="933" t="s">
        <v>975</v>
      </c>
      <c r="B272" s="114">
        <v>0</v>
      </c>
      <c r="C272" s="68">
        <v>481</v>
      </c>
      <c r="D272" s="123">
        <v>1242950</v>
      </c>
      <c r="E272" s="112">
        <f t="shared" si="6"/>
        <v>1243431</v>
      </c>
      <c r="F272" s="103" t="s">
        <v>976</v>
      </c>
    </row>
    <row r="273" spans="1:6" hidden="1" outlineLevel="1">
      <c r="A273" s="933" t="s">
        <v>977</v>
      </c>
      <c r="B273" s="114">
        <v>0</v>
      </c>
      <c r="C273" s="68">
        <v>0</v>
      </c>
      <c r="D273" s="123">
        <v>0</v>
      </c>
      <c r="E273" s="112">
        <f t="shared" si="6"/>
        <v>0</v>
      </c>
      <c r="F273" s="103" t="s">
        <v>978</v>
      </c>
    </row>
    <row r="274" spans="1:6" hidden="1" outlineLevel="1">
      <c r="A274" s="933" t="s">
        <v>979</v>
      </c>
      <c r="B274" s="114">
        <v>0</v>
      </c>
      <c r="C274" s="68">
        <v>0</v>
      </c>
      <c r="D274" s="123">
        <v>0</v>
      </c>
      <c r="E274" s="112">
        <f t="shared" si="6"/>
        <v>0</v>
      </c>
      <c r="F274" s="103" t="s">
        <v>980</v>
      </c>
    </row>
    <row r="275" spans="1:6" hidden="1" outlineLevel="1">
      <c r="A275" s="933" t="s">
        <v>981</v>
      </c>
      <c r="B275" s="114">
        <v>0</v>
      </c>
      <c r="C275" s="68">
        <v>0</v>
      </c>
      <c r="D275" s="123">
        <v>729485</v>
      </c>
      <c r="E275" s="112">
        <f t="shared" si="6"/>
        <v>729485</v>
      </c>
      <c r="F275" s="103" t="s">
        <v>982</v>
      </c>
    </row>
    <row r="276" spans="1:6" hidden="1" outlineLevel="1">
      <c r="A276" s="933" t="s">
        <v>983</v>
      </c>
      <c r="B276" s="114">
        <v>0</v>
      </c>
      <c r="C276" s="68">
        <v>279792</v>
      </c>
      <c r="D276" s="123">
        <v>2055107</v>
      </c>
      <c r="E276" s="112">
        <f t="shared" si="6"/>
        <v>2334899</v>
      </c>
      <c r="F276" s="103" t="s">
        <v>984</v>
      </c>
    </row>
    <row r="277" spans="1:6" hidden="1" outlineLevel="1">
      <c r="A277" s="933" t="s">
        <v>985</v>
      </c>
      <c r="B277" s="114">
        <v>0</v>
      </c>
      <c r="C277" s="68">
        <v>983540</v>
      </c>
      <c r="D277" s="123">
        <v>3859133</v>
      </c>
      <c r="E277" s="112">
        <f t="shared" si="6"/>
        <v>4842673</v>
      </c>
      <c r="F277" s="103" t="s">
        <v>986</v>
      </c>
    </row>
    <row r="278" spans="1:6" hidden="1" outlineLevel="1">
      <c r="A278" s="933" t="s">
        <v>987</v>
      </c>
      <c r="B278" s="114">
        <v>0</v>
      </c>
      <c r="C278" s="68">
        <v>32660</v>
      </c>
      <c r="D278" s="123">
        <v>42261</v>
      </c>
      <c r="E278" s="112">
        <f t="shared" si="6"/>
        <v>74921</v>
      </c>
      <c r="F278" s="103" t="s">
        <v>988</v>
      </c>
    </row>
    <row r="279" spans="1:6" hidden="1" outlineLevel="1">
      <c r="A279" s="933" t="s">
        <v>989</v>
      </c>
      <c r="B279" s="114">
        <v>0</v>
      </c>
      <c r="C279" s="68">
        <v>0</v>
      </c>
      <c r="D279" s="123">
        <v>0</v>
      </c>
      <c r="E279" s="112">
        <f t="shared" si="6"/>
        <v>0</v>
      </c>
      <c r="F279" s="103" t="s">
        <v>990</v>
      </c>
    </row>
    <row r="280" spans="1:6" hidden="1" outlineLevel="1">
      <c r="A280" s="933" t="s">
        <v>991</v>
      </c>
      <c r="B280" s="114">
        <v>0</v>
      </c>
      <c r="C280" s="68">
        <v>0</v>
      </c>
      <c r="D280" s="123">
        <v>315144</v>
      </c>
      <c r="E280" s="112">
        <f t="shared" si="6"/>
        <v>315144</v>
      </c>
      <c r="F280" s="103" t="s">
        <v>992</v>
      </c>
    </row>
    <row r="281" spans="1:6" hidden="1" outlineLevel="1">
      <c r="A281" s="933" t="s">
        <v>993</v>
      </c>
      <c r="B281" s="114">
        <v>0</v>
      </c>
      <c r="C281" s="68">
        <v>0</v>
      </c>
      <c r="D281" s="123">
        <v>13100489</v>
      </c>
      <c r="E281" s="112">
        <f t="shared" si="6"/>
        <v>13100489</v>
      </c>
      <c r="F281" s="103" t="s">
        <v>994</v>
      </c>
    </row>
    <row r="282" spans="1:6" hidden="1" outlineLevel="1">
      <c r="A282" s="933" t="s">
        <v>995</v>
      </c>
      <c r="B282" s="114">
        <v>0</v>
      </c>
      <c r="C282" s="68">
        <v>0</v>
      </c>
      <c r="D282" s="123">
        <v>453289</v>
      </c>
      <c r="E282" s="112">
        <f t="shared" si="6"/>
        <v>453289</v>
      </c>
      <c r="F282" s="103" t="s">
        <v>996</v>
      </c>
    </row>
    <row r="283" spans="1:6" hidden="1" outlineLevel="1">
      <c r="A283" s="933" t="s">
        <v>997</v>
      </c>
      <c r="B283" s="114">
        <v>0</v>
      </c>
      <c r="C283" s="68">
        <v>0</v>
      </c>
      <c r="D283" s="123">
        <v>2488377</v>
      </c>
      <c r="E283" s="112">
        <f t="shared" si="6"/>
        <v>2488377</v>
      </c>
      <c r="F283" s="103" t="s">
        <v>998</v>
      </c>
    </row>
    <row r="284" spans="1:6" hidden="1" outlineLevel="1">
      <c r="A284" s="933" t="s">
        <v>999</v>
      </c>
      <c r="B284" s="114">
        <v>0</v>
      </c>
      <c r="C284" s="68">
        <v>20902</v>
      </c>
      <c r="D284" s="123">
        <v>464301</v>
      </c>
      <c r="E284" s="112">
        <f t="shared" si="6"/>
        <v>485203</v>
      </c>
      <c r="F284" s="103" t="s">
        <v>1000</v>
      </c>
    </row>
    <row r="285" spans="1:6" hidden="1" outlineLevel="1">
      <c r="A285" s="933" t="s">
        <v>1001</v>
      </c>
      <c r="B285" s="114">
        <v>0</v>
      </c>
      <c r="C285" s="68">
        <v>171332</v>
      </c>
      <c r="D285" s="123">
        <v>196484</v>
      </c>
      <c r="E285" s="112">
        <f t="shared" si="6"/>
        <v>367816</v>
      </c>
      <c r="F285" s="103" t="s">
        <v>1002</v>
      </c>
    </row>
    <row r="286" spans="1:6" hidden="1" outlineLevel="1">
      <c r="A286" s="933" t="s">
        <v>1003</v>
      </c>
      <c r="B286" s="114">
        <v>0</v>
      </c>
      <c r="C286" s="68">
        <v>0</v>
      </c>
      <c r="D286" s="123">
        <v>1040210007</v>
      </c>
      <c r="E286" s="112">
        <f t="shared" si="6"/>
        <v>1040210007</v>
      </c>
      <c r="F286" s="103" t="s">
        <v>1004</v>
      </c>
    </row>
    <row r="287" spans="1:6" hidden="1" outlineLevel="1">
      <c r="A287" s="933" t="s">
        <v>1005</v>
      </c>
      <c r="B287" s="114">
        <v>0</v>
      </c>
      <c r="C287" s="68">
        <v>703042</v>
      </c>
      <c r="D287" s="123">
        <v>14232933</v>
      </c>
      <c r="E287" s="112">
        <f t="shared" si="6"/>
        <v>14935975</v>
      </c>
      <c r="F287" s="103" t="s">
        <v>1006</v>
      </c>
    </row>
    <row r="288" spans="1:6" hidden="1" outlineLevel="1">
      <c r="A288" s="933" t="s">
        <v>1007</v>
      </c>
      <c r="B288" s="114">
        <v>0</v>
      </c>
      <c r="C288" s="68">
        <v>0</v>
      </c>
      <c r="D288" s="123">
        <v>146375</v>
      </c>
      <c r="E288" s="112">
        <f t="shared" si="6"/>
        <v>146375</v>
      </c>
      <c r="F288" s="103" t="s">
        <v>1008</v>
      </c>
    </row>
    <row r="289" spans="1:6" hidden="1" outlineLevel="1">
      <c r="A289" s="933" t="s">
        <v>1009</v>
      </c>
      <c r="B289" s="114">
        <v>0</v>
      </c>
      <c r="C289" s="68">
        <v>39284</v>
      </c>
      <c r="D289" s="123">
        <v>181124</v>
      </c>
      <c r="E289" s="112">
        <f t="shared" si="6"/>
        <v>220408</v>
      </c>
      <c r="F289" s="103" t="s">
        <v>1010</v>
      </c>
    </row>
    <row r="290" spans="1:6" hidden="1" outlineLevel="1">
      <c r="A290" s="933" t="s">
        <v>1011</v>
      </c>
      <c r="B290" s="114">
        <v>0</v>
      </c>
      <c r="C290" s="68">
        <v>555722</v>
      </c>
      <c r="D290" s="123">
        <v>2279089</v>
      </c>
      <c r="E290" s="112">
        <f t="shared" si="6"/>
        <v>2834811</v>
      </c>
      <c r="F290" s="103" t="s">
        <v>1012</v>
      </c>
    </row>
    <row r="291" spans="1:6" hidden="1" outlineLevel="1">
      <c r="A291" s="933" t="s">
        <v>1013</v>
      </c>
      <c r="B291" s="114">
        <v>0</v>
      </c>
      <c r="C291" s="68">
        <v>0</v>
      </c>
      <c r="D291" s="123">
        <v>0</v>
      </c>
      <c r="E291" s="112">
        <f t="shared" si="6"/>
        <v>0</v>
      </c>
      <c r="F291" s="103" t="s">
        <v>1014</v>
      </c>
    </row>
    <row r="292" spans="1:6" hidden="1" outlineLevel="1">
      <c r="A292" s="933" t="s">
        <v>1015</v>
      </c>
      <c r="B292" s="114">
        <v>0</v>
      </c>
      <c r="C292" s="68">
        <v>46</v>
      </c>
      <c r="D292" s="123">
        <v>611089</v>
      </c>
      <c r="E292" s="112">
        <f t="shared" si="6"/>
        <v>611135</v>
      </c>
      <c r="F292" s="103" t="s">
        <v>1016</v>
      </c>
    </row>
    <row r="293" spans="1:6" hidden="1" outlineLevel="1">
      <c r="A293" s="933" t="s">
        <v>1017</v>
      </c>
      <c r="B293" s="114">
        <v>0</v>
      </c>
      <c r="C293" s="68">
        <v>258007</v>
      </c>
      <c r="D293" s="123">
        <v>117709774</v>
      </c>
      <c r="E293" s="112">
        <f t="shared" si="6"/>
        <v>117967781</v>
      </c>
      <c r="F293" s="103" t="s">
        <v>1018</v>
      </c>
    </row>
    <row r="294" spans="1:6" hidden="1" outlineLevel="1">
      <c r="A294" s="933" t="s">
        <v>1019</v>
      </c>
      <c r="B294" s="114">
        <v>0</v>
      </c>
      <c r="C294" s="68">
        <v>0</v>
      </c>
      <c r="D294" s="123">
        <v>13733</v>
      </c>
      <c r="E294" s="112">
        <f t="shared" si="6"/>
        <v>13733</v>
      </c>
      <c r="F294" s="103" t="s">
        <v>1020</v>
      </c>
    </row>
    <row r="295" spans="1:6" hidden="1" outlineLevel="1">
      <c r="A295" s="933" t="s">
        <v>1021</v>
      </c>
      <c r="B295" s="114">
        <v>0</v>
      </c>
      <c r="C295" s="68">
        <v>0</v>
      </c>
      <c r="D295" s="123">
        <v>0</v>
      </c>
      <c r="E295" s="112">
        <f t="shared" si="6"/>
        <v>0</v>
      </c>
      <c r="F295" s="103" t="s">
        <v>944</v>
      </c>
    </row>
    <row r="296" spans="1:6" hidden="1" outlineLevel="1">
      <c r="A296" s="933" t="s">
        <v>1022</v>
      </c>
      <c r="B296" s="114">
        <v>0</v>
      </c>
      <c r="C296" s="68">
        <v>0</v>
      </c>
      <c r="D296" s="123">
        <v>1638299</v>
      </c>
      <c r="E296" s="112">
        <f t="shared" si="6"/>
        <v>1638299</v>
      </c>
      <c r="F296" s="103" t="s">
        <v>1023</v>
      </c>
    </row>
    <row r="297" spans="1:6" hidden="1" outlineLevel="1">
      <c r="A297" s="933" t="s">
        <v>1024</v>
      </c>
      <c r="B297" s="114">
        <v>0</v>
      </c>
      <c r="C297" s="68">
        <v>0</v>
      </c>
      <c r="D297" s="123">
        <v>220681015</v>
      </c>
      <c r="E297" s="112">
        <f t="shared" ref="E297:E360" si="7">SUM(B297:D297)</f>
        <v>220681015</v>
      </c>
      <c r="F297" s="103" t="s">
        <v>1025</v>
      </c>
    </row>
    <row r="298" spans="1:6" hidden="1" outlineLevel="1">
      <c r="A298" s="933" t="s">
        <v>1026</v>
      </c>
      <c r="B298" s="114">
        <v>0</v>
      </c>
      <c r="C298" s="68">
        <v>0</v>
      </c>
      <c r="D298" s="123">
        <v>692802</v>
      </c>
      <c r="E298" s="112">
        <f t="shared" si="7"/>
        <v>692802</v>
      </c>
      <c r="F298" s="103" t="s">
        <v>1027</v>
      </c>
    </row>
    <row r="299" spans="1:6" hidden="1" outlineLevel="1">
      <c r="A299" s="933" t="s">
        <v>1028</v>
      </c>
      <c r="B299" s="114">
        <v>0</v>
      </c>
      <c r="C299" s="68">
        <v>50029</v>
      </c>
      <c r="D299" s="123">
        <v>301783649</v>
      </c>
      <c r="E299" s="112">
        <f t="shared" si="7"/>
        <v>301833678</v>
      </c>
      <c r="F299" s="103" t="s">
        <v>1029</v>
      </c>
    </row>
    <row r="300" spans="1:6" hidden="1" outlineLevel="1">
      <c r="A300" s="933" t="s">
        <v>1030</v>
      </c>
      <c r="B300" s="114">
        <v>0</v>
      </c>
      <c r="C300" s="68">
        <v>6296</v>
      </c>
      <c r="D300" s="123">
        <v>853215</v>
      </c>
      <c r="E300" s="112">
        <f t="shared" si="7"/>
        <v>859511</v>
      </c>
      <c r="F300" s="103" t="s">
        <v>1031</v>
      </c>
    </row>
    <row r="301" spans="1:6" hidden="1" outlineLevel="1">
      <c r="A301" s="933" t="s">
        <v>1032</v>
      </c>
      <c r="B301" s="114">
        <v>0</v>
      </c>
      <c r="C301" s="68">
        <v>193600</v>
      </c>
      <c r="D301" s="123">
        <v>823044</v>
      </c>
      <c r="E301" s="112">
        <f t="shared" si="7"/>
        <v>1016644</v>
      </c>
      <c r="F301" s="103" t="s">
        <v>1033</v>
      </c>
    </row>
    <row r="302" spans="1:6" hidden="1" outlineLevel="1">
      <c r="A302" s="933" t="s">
        <v>1034</v>
      </c>
      <c r="B302" s="114">
        <v>0</v>
      </c>
      <c r="C302" s="68">
        <v>0</v>
      </c>
      <c r="D302" s="123">
        <v>175000</v>
      </c>
      <c r="E302" s="112">
        <f t="shared" si="7"/>
        <v>175000</v>
      </c>
      <c r="F302" s="103" t="s">
        <v>1035</v>
      </c>
    </row>
    <row r="303" spans="1:6" hidden="1" outlineLevel="1">
      <c r="A303" s="933" t="s">
        <v>1036</v>
      </c>
      <c r="B303" s="114">
        <v>0</v>
      </c>
      <c r="C303" s="68">
        <v>719204</v>
      </c>
      <c r="D303" s="123">
        <v>582923</v>
      </c>
      <c r="E303" s="112">
        <f t="shared" si="7"/>
        <v>1302127</v>
      </c>
      <c r="F303" s="103" t="s">
        <v>1037</v>
      </c>
    </row>
    <row r="304" spans="1:6" hidden="1" outlineLevel="1">
      <c r="A304" s="933" t="s">
        <v>1038</v>
      </c>
      <c r="B304" s="114">
        <v>0</v>
      </c>
      <c r="C304" s="68">
        <v>0</v>
      </c>
      <c r="D304" s="123">
        <v>199116</v>
      </c>
      <c r="E304" s="112">
        <f t="shared" si="7"/>
        <v>199116</v>
      </c>
      <c r="F304" s="103" t="s">
        <v>1039</v>
      </c>
    </row>
    <row r="305" spans="1:6" hidden="1" outlineLevel="1">
      <c r="A305" s="933" t="s">
        <v>1040</v>
      </c>
      <c r="B305" s="114">
        <v>0</v>
      </c>
      <c r="C305" s="68">
        <v>1438839</v>
      </c>
      <c r="D305" s="123">
        <v>415353</v>
      </c>
      <c r="E305" s="112">
        <f t="shared" si="7"/>
        <v>1854192</v>
      </c>
      <c r="F305" s="103" t="s">
        <v>1041</v>
      </c>
    </row>
    <row r="306" spans="1:6" hidden="1" outlineLevel="1">
      <c r="A306" s="933" t="s">
        <v>1042</v>
      </c>
      <c r="B306" s="114">
        <v>0</v>
      </c>
      <c r="C306" s="68">
        <v>21549</v>
      </c>
      <c r="D306" s="123">
        <v>2960271</v>
      </c>
      <c r="E306" s="112">
        <f t="shared" si="7"/>
        <v>2981820</v>
      </c>
      <c r="F306" s="103" t="s">
        <v>1043</v>
      </c>
    </row>
    <row r="307" spans="1:6" hidden="1" outlineLevel="1">
      <c r="A307" s="933" t="s">
        <v>1044</v>
      </c>
      <c r="B307" s="114">
        <v>0</v>
      </c>
      <c r="C307" s="68">
        <v>30587</v>
      </c>
      <c r="D307" s="123">
        <v>1538247</v>
      </c>
      <c r="E307" s="112">
        <f t="shared" si="7"/>
        <v>1568834</v>
      </c>
      <c r="F307" s="103" t="s">
        <v>1045</v>
      </c>
    </row>
    <row r="308" spans="1:6" hidden="1" outlineLevel="1">
      <c r="A308" s="933" t="s">
        <v>1046</v>
      </c>
      <c r="B308" s="114">
        <v>0</v>
      </c>
      <c r="C308" s="68">
        <v>0</v>
      </c>
      <c r="D308" s="123">
        <v>0</v>
      </c>
      <c r="E308" s="112">
        <f t="shared" si="7"/>
        <v>0</v>
      </c>
      <c r="F308" s="103" t="s">
        <v>1047</v>
      </c>
    </row>
    <row r="309" spans="1:6" hidden="1" outlineLevel="1">
      <c r="A309" s="933" t="s">
        <v>1048</v>
      </c>
      <c r="B309" s="114">
        <v>0</v>
      </c>
      <c r="C309" s="68">
        <v>24055</v>
      </c>
      <c r="D309" s="123">
        <v>1399856</v>
      </c>
      <c r="E309" s="112">
        <f t="shared" si="7"/>
        <v>1423911</v>
      </c>
      <c r="F309" s="103" t="s">
        <v>1049</v>
      </c>
    </row>
    <row r="310" spans="1:6" hidden="1" outlineLevel="1">
      <c r="A310" s="933" t="s">
        <v>1050</v>
      </c>
      <c r="B310" s="114">
        <v>0</v>
      </c>
      <c r="C310" s="68">
        <v>3441724</v>
      </c>
      <c r="D310" s="123">
        <v>4436681</v>
      </c>
      <c r="E310" s="112">
        <f t="shared" si="7"/>
        <v>7878405</v>
      </c>
      <c r="F310" s="103" t="s">
        <v>1051</v>
      </c>
    </row>
    <row r="311" spans="1:6" hidden="1" outlineLevel="1">
      <c r="A311" s="933" t="s">
        <v>1052</v>
      </c>
      <c r="B311" s="114">
        <v>0</v>
      </c>
      <c r="C311" s="68">
        <v>0</v>
      </c>
      <c r="D311" s="123">
        <v>0</v>
      </c>
      <c r="E311" s="112">
        <f t="shared" si="7"/>
        <v>0</v>
      </c>
      <c r="F311" s="103" t="s">
        <v>1053</v>
      </c>
    </row>
    <row r="312" spans="1:6" hidden="1" outlineLevel="1">
      <c r="A312" s="933" t="s">
        <v>1054</v>
      </c>
      <c r="B312" s="114">
        <v>0</v>
      </c>
      <c r="C312" s="68">
        <v>77673</v>
      </c>
      <c r="D312" s="123">
        <v>5394194</v>
      </c>
      <c r="E312" s="112">
        <f t="shared" si="7"/>
        <v>5471867</v>
      </c>
      <c r="F312" s="103" t="s">
        <v>1055</v>
      </c>
    </row>
    <row r="313" spans="1:6" hidden="1" outlineLevel="1">
      <c r="A313" s="933" t="s">
        <v>1056</v>
      </c>
      <c r="B313" s="114">
        <v>0</v>
      </c>
      <c r="C313" s="68">
        <v>220545</v>
      </c>
      <c r="D313" s="123">
        <v>1191847</v>
      </c>
      <c r="E313" s="112">
        <f t="shared" si="7"/>
        <v>1412392</v>
      </c>
      <c r="F313" s="103" t="s">
        <v>1057</v>
      </c>
    </row>
    <row r="314" spans="1:6" hidden="1" outlineLevel="1">
      <c r="A314" s="933" t="s">
        <v>1058</v>
      </c>
      <c r="B314" s="114">
        <v>0</v>
      </c>
      <c r="C314" s="68">
        <v>1412673</v>
      </c>
      <c r="D314" s="123">
        <v>2249923</v>
      </c>
      <c r="E314" s="112">
        <f t="shared" si="7"/>
        <v>3662596</v>
      </c>
      <c r="F314" s="103" t="s">
        <v>1059</v>
      </c>
    </row>
    <row r="315" spans="1:6" hidden="1" outlineLevel="1">
      <c r="A315" s="933" t="s">
        <v>1060</v>
      </c>
      <c r="B315" s="114">
        <v>0</v>
      </c>
      <c r="C315" s="68">
        <v>0</v>
      </c>
      <c r="D315" s="123">
        <v>0</v>
      </c>
      <c r="E315" s="112">
        <f t="shared" si="7"/>
        <v>0</v>
      </c>
      <c r="F315" s="103" t="s">
        <v>1061</v>
      </c>
    </row>
    <row r="316" spans="1:6" hidden="1" outlineLevel="1">
      <c r="A316" s="933" t="s">
        <v>1062</v>
      </c>
      <c r="B316" s="114">
        <v>0</v>
      </c>
      <c r="C316" s="68">
        <v>184736</v>
      </c>
      <c r="D316" s="123">
        <v>3247400</v>
      </c>
      <c r="E316" s="112">
        <f t="shared" si="7"/>
        <v>3432136</v>
      </c>
      <c r="F316" s="103" t="s">
        <v>1063</v>
      </c>
    </row>
    <row r="317" spans="1:6" hidden="1" outlineLevel="1">
      <c r="A317" s="933" t="s">
        <v>1064</v>
      </c>
      <c r="B317" s="114">
        <v>0</v>
      </c>
      <c r="C317" s="68">
        <v>230412</v>
      </c>
      <c r="D317" s="123">
        <v>3998595</v>
      </c>
      <c r="E317" s="112">
        <f t="shared" si="7"/>
        <v>4229007</v>
      </c>
      <c r="F317" s="103" t="s">
        <v>1065</v>
      </c>
    </row>
    <row r="318" spans="1:6" hidden="1" outlineLevel="1">
      <c r="A318" s="933" t="s">
        <v>1066</v>
      </c>
      <c r="B318" s="114">
        <v>0</v>
      </c>
      <c r="C318" s="68">
        <v>0</v>
      </c>
      <c r="D318" s="123">
        <v>76488</v>
      </c>
      <c r="E318" s="112">
        <f t="shared" si="7"/>
        <v>76488</v>
      </c>
      <c r="F318" s="103" t="s">
        <v>1067</v>
      </c>
    </row>
    <row r="319" spans="1:6" hidden="1" outlineLevel="1">
      <c r="A319" s="933" t="s">
        <v>1068</v>
      </c>
      <c r="B319" s="114">
        <v>0</v>
      </c>
      <c r="C319" s="68">
        <v>197131</v>
      </c>
      <c r="D319" s="123">
        <v>1696968</v>
      </c>
      <c r="E319" s="112">
        <f t="shared" si="7"/>
        <v>1894099</v>
      </c>
      <c r="F319" s="103" t="s">
        <v>1069</v>
      </c>
    </row>
    <row r="320" spans="1:6" hidden="1" outlineLevel="1">
      <c r="A320" s="933" t="s">
        <v>1070</v>
      </c>
      <c r="B320" s="114">
        <v>0</v>
      </c>
      <c r="C320" s="68">
        <v>68249</v>
      </c>
      <c r="D320" s="123">
        <v>472692</v>
      </c>
      <c r="E320" s="112">
        <f t="shared" si="7"/>
        <v>540941</v>
      </c>
      <c r="F320" s="103" t="s">
        <v>1071</v>
      </c>
    </row>
    <row r="321" spans="1:6" hidden="1" outlineLevel="1">
      <c r="A321" s="933" t="s">
        <v>1072</v>
      </c>
      <c r="B321" s="114">
        <v>0</v>
      </c>
      <c r="C321" s="68">
        <v>519317</v>
      </c>
      <c r="D321" s="123">
        <v>5160286</v>
      </c>
      <c r="E321" s="112">
        <f t="shared" si="7"/>
        <v>5679603</v>
      </c>
      <c r="F321" s="103" t="s">
        <v>1073</v>
      </c>
    </row>
    <row r="322" spans="1:6" hidden="1" outlineLevel="1">
      <c r="A322" s="933" t="s">
        <v>1074</v>
      </c>
      <c r="B322" s="114">
        <v>0</v>
      </c>
      <c r="C322" s="68">
        <v>39002</v>
      </c>
      <c r="D322" s="123">
        <v>7206692</v>
      </c>
      <c r="E322" s="112">
        <f t="shared" si="7"/>
        <v>7245694</v>
      </c>
      <c r="F322" s="103" t="s">
        <v>1075</v>
      </c>
    </row>
    <row r="323" spans="1:6" hidden="1" outlineLevel="1">
      <c r="A323" s="933" t="s">
        <v>1076</v>
      </c>
      <c r="B323" s="114">
        <v>0</v>
      </c>
      <c r="C323" s="68">
        <v>292619</v>
      </c>
      <c r="D323" s="123">
        <v>945480</v>
      </c>
      <c r="E323" s="112">
        <f t="shared" si="7"/>
        <v>1238099</v>
      </c>
      <c r="F323" s="103" t="s">
        <v>1077</v>
      </c>
    </row>
    <row r="324" spans="1:6" hidden="1" outlineLevel="1">
      <c r="A324" s="933" t="s">
        <v>1078</v>
      </c>
      <c r="B324" s="114">
        <v>0</v>
      </c>
      <c r="C324" s="68">
        <v>92736</v>
      </c>
      <c r="D324" s="123">
        <v>1745963</v>
      </c>
      <c r="E324" s="112">
        <f t="shared" si="7"/>
        <v>1838699</v>
      </c>
      <c r="F324" s="103" t="s">
        <v>1079</v>
      </c>
    </row>
    <row r="325" spans="1:6" hidden="1" outlineLevel="1">
      <c r="A325" s="933" t="s">
        <v>1080</v>
      </c>
      <c r="B325" s="114">
        <v>0</v>
      </c>
      <c r="C325" s="68">
        <v>0</v>
      </c>
      <c r="D325" s="123">
        <v>242357</v>
      </c>
      <c r="E325" s="112">
        <f t="shared" si="7"/>
        <v>242357</v>
      </c>
      <c r="F325" s="103" t="s">
        <v>1081</v>
      </c>
    </row>
    <row r="326" spans="1:6" hidden="1" outlineLevel="1">
      <c r="A326" s="933" t="s">
        <v>1082</v>
      </c>
      <c r="B326" s="114">
        <v>0</v>
      </c>
      <c r="C326" s="68">
        <v>115337</v>
      </c>
      <c r="D326" s="123">
        <v>1103502</v>
      </c>
      <c r="E326" s="112">
        <f t="shared" si="7"/>
        <v>1218839</v>
      </c>
      <c r="F326" s="103" t="s">
        <v>1083</v>
      </c>
    </row>
    <row r="327" spans="1:6" hidden="1" outlineLevel="1">
      <c r="A327" s="933" t="s">
        <v>1084</v>
      </c>
      <c r="B327" s="114">
        <v>0</v>
      </c>
      <c r="C327" s="68">
        <v>0</v>
      </c>
      <c r="D327" s="123">
        <v>721111</v>
      </c>
      <c r="E327" s="112">
        <f t="shared" si="7"/>
        <v>721111</v>
      </c>
      <c r="F327" s="103" t="s">
        <v>1085</v>
      </c>
    </row>
    <row r="328" spans="1:6" hidden="1" outlineLevel="1">
      <c r="A328" s="933" t="s">
        <v>1086</v>
      </c>
      <c r="B328" s="114">
        <v>0</v>
      </c>
      <c r="C328" s="68">
        <v>0</v>
      </c>
      <c r="D328" s="123">
        <v>18422476</v>
      </c>
      <c r="E328" s="112">
        <f t="shared" si="7"/>
        <v>18422476</v>
      </c>
      <c r="F328" s="103" t="s">
        <v>1087</v>
      </c>
    </row>
    <row r="329" spans="1:6" hidden="1" outlineLevel="1">
      <c r="A329" s="933" t="s">
        <v>1088</v>
      </c>
      <c r="B329" s="114">
        <v>0</v>
      </c>
      <c r="C329" s="68">
        <v>63142</v>
      </c>
      <c r="D329" s="123">
        <v>829589</v>
      </c>
      <c r="E329" s="112">
        <f t="shared" si="7"/>
        <v>892731</v>
      </c>
      <c r="F329" s="103" t="s">
        <v>1089</v>
      </c>
    </row>
    <row r="330" spans="1:6" hidden="1" outlineLevel="1">
      <c r="A330" s="933" t="s">
        <v>1090</v>
      </c>
      <c r="B330" s="114">
        <v>0</v>
      </c>
      <c r="C330" s="68">
        <v>0</v>
      </c>
      <c r="D330" s="123">
        <v>1186490</v>
      </c>
      <c r="E330" s="112">
        <f t="shared" si="7"/>
        <v>1186490</v>
      </c>
      <c r="F330" s="103" t="s">
        <v>1091</v>
      </c>
    </row>
    <row r="331" spans="1:6" hidden="1" outlineLevel="1">
      <c r="A331" s="933" t="s">
        <v>1092</v>
      </c>
      <c r="B331" s="114">
        <v>0</v>
      </c>
      <c r="C331" s="68">
        <v>3045689</v>
      </c>
      <c r="D331" s="123">
        <v>974006</v>
      </c>
      <c r="E331" s="112">
        <f t="shared" si="7"/>
        <v>4019695</v>
      </c>
      <c r="F331" s="103" t="s">
        <v>1093</v>
      </c>
    </row>
    <row r="332" spans="1:6" hidden="1" outlineLevel="1">
      <c r="A332" s="933" t="s">
        <v>1094</v>
      </c>
      <c r="B332" s="114">
        <v>0</v>
      </c>
      <c r="C332" s="68">
        <v>227731</v>
      </c>
      <c r="D332" s="123">
        <v>351470</v>
      </c>
      <c r="E332" s="112">
        <f t="shared" si="7"/>
        <v>579201</v>
      </c>
      <c r="F332" s="103" t="s">
        <v>1095</v>
      </c>
    </row>
    <row r="333" spans="1:6" hidden="1" outlineLevel="1">
      <c r="A333" s="933" t="s">
        <v>1096</v>
      </c>
      <c r="B333" s="114">
        <v>0</v>
      </c>
      <c r="C333" s="68">
        <v>0</v>
      </c>
      <c r="D333" s="123">
        <v>572932</v>
      </c>
      <c r="E333" s="112">
        <f t="shared" si="7"/>
        <v>572932</v>
      </c>
      <c r="F333" s="103" t="s">
        <v>1097</v>
      </c>
    </row>
    <row r="334" spans="1:6" hidden="1" outlineLevel="1">
      <c r="A334" s="933" t="s">
        <v>1098</v>
      </c>
      <c r="B334" s="114">
        <v>0</v>
      </c>
      <c r="C334" s="68">
        <v>0</v>
      </c>
      <c r="D334" s="123">
        <v>0</v>
      </c>
      <c r="E334" s="112">
        <f t="shared" si="7"/>
        <v>0</v>
      </c>
      <c r="F334" s="103" t="s">
        <v>1099</v>
      </c>
    </row>
    <row r="335" spans="1:6" hidden="1" outlineLevel="1">
      <c r="A335" s="933" t="s">
        <v>1100</v>
      </c>
      <c r="B335" s="114">
        <v>0</v>
      </c>
      <c r="C335" s="68">
        <v>888267</v>
      </c>
      <c r="D335" s="123">
        <v>6873647</v>
      </c>
      <c r="E335" s="112">
        <f t="shared" si="7"/>
        <v>7761914</v>
      </c>
      <c r="F335" s="103" t="s">
        <v>1101</v>
      </c>
    </row>
    <row r="336" spans="1:6" hidden="1" outlineLevel="1">
      <c r="A336" s="933" t="s">
        <v>1102</v>
      </c>
      <c r="B336" s="114">
        <v>0</v>
      </c>
      <c r="C336" s="68">
        <v>125960</v>
      </c>
      <c r="D336" s="123">
        <v>1475890</v>
      </c>
      <c r="E336" s="112">
        <f t="shared" si="7"/>
        <v>1601850</v>
      </c>
      <c r="F336" s="103" t="s">
        <v>1103</v>
      </c>
    </row>
    <row r="337" spans="1:6" hidden="1" outlineLevel="1">
      <c r="A337" s="933" t="s">
        <v>1104</v>
      </c>
      <c r="B337" s="114">
        <v>0</v>
      </c>
      <c r="C337" s="68">
        <v>0</v>
      </c>
      <c r="D337" s="123">
        <v>616166</v>
      </c>
      <c r="E337" s="112">
        <f t="shared" si="7"/>
        <v>616166</v>
      </c>
      <c r="F337" s="103" t="s">
        <v>1105</v>
      </c>
    </row>
    <row r="338" spans="1:6" hidden="1" outlineLevel="1">
      <c r="A338" s="933" t="s">
        <v>1106</v>
      </c>
      <c r="B338" s="114">
        <v>0</v>
      </c>
      <c r="C338" s="68">
        <v>0</v>
      </c>
      <c r="D338" s="123">
        <v>0</v>
      </c>
      <c r="E338" s="112">
        <f t="shared" si="7"/>
        <v>0</v>
      </c>
      <c r="F338" s="103" t="s">
        <v>1107</v>
      </c>
    </row>
    <row r="339" spans="1:6" hidden="1" outlineLevel="1">
      <c r="A339" s="933" t="s">
        <v>1108</v>
      </c>
      <c r="B339" s="114">
        <v>0</v>
      </c>
      <c r="C339" s="68">
        <v>49526</v>
      </c>
      <c r="D339" s="123">
        <v>568436</v>
      </c>
      <c r="E339" s="112">
        <f t="shared" si="7"/>
        <v>617962</v>
      </c>
      <c r="F339" s="103" t="s">
        <v>1109</v>
      </c>
    </row>
    <row r="340" spans="1:6" hidden="1" outlineLevel="1">
      <c r="A340" s="933" t="s">
        <v>1110</v>
      </c>
      <c r="B340" s="114">
        <v>0</v>
      </c>
      <c r="C340" s="68">
        <v>92242</v>
      </c>
      <c r="D340" s="123">
        <v>599471</v>
      </c>
      <c r="E340" s="112">
        <f t="shared" si="7"/>
        <v>691713</v>
      </c>
      <c r="F340" s="103" t="s">
        <v>1111</v>
      </c>
    </row>
    <row r="341" spans="1:6" hidden="1" outlineLevel="1">
      <c r="A341" s="933" t="s">
        <v>1112</v>
      </c>
      <c r="B341" s="114">
        <v>0</v>
      </c>
      <c r="C341" s="68">
        <v>0</v>
      </c>
      <c r="D341" s="123">
        <v>838699</v>
      </c>
      <c r="E341" s="112">
        <f t="shared" si="7"/>
        <v>838699</v>
      </c>
      <c r="F341" s="103" t="s">
        <v>1113</v>
      </c>
    </row>
    <row r="342" spans="1:6" hidden="1" outlineLevel="1">
      <c r="A342" s="933" t="s">
        <v>1114</v>
      </c>
      <c r="B342" s="114">
        <v>0</v>
      </c>
      <c r="C342" s="68">
        <v>12215</v>
      </c>
      <c r="D342" s="123">
        <v>543912</v>
      </c>
      <c r="E342" s="112">
        <f t="shared" si="7"/>
        <v>556127</v>
      </c>
      <c r="F342" s="103" t="s">
        <v>1115</v>
      </c>
    </row>
    <row r="343" spans="1:6" hidden="1" outlineLevel="1">
      <c r="A343" s="933" t="s">
        <v>1116</v>
      </c>
      <c r="B343" s="114">
        <v>0</v>
      </c>
      <c r="C343" s="68">
        <v>0</v>
      </c>
      <c r="D343" s="123">
        <v>319839</v>
      </c>
      <c r="E343" s="112">
        <f t="shared" si="7"/>
        <v>319839</v>
      </c>
      <c r="F343" s="103" t="s">
        <v>1117</v>
      </c>
    </row>
    <row r="344" spans="1:6" hidden="1" outlineLevel="1">
      <c r="A344" s="933" t="s">
        <v>1118</v>
      </c>
      <c r="B344" s="114">
        <v>0</v>
      </c>
      <c r="C344" s="68">
        <v>880066</v>
      </c>
      <c r="D344" s="123">
        <v>3682280</v>
      </c>
      <c r="E344" s="112">
        <f t="shared" si="7"/>
        <v>4562346</v>
      </c>
      <c r="F344" s="103" t="s">
        <v>1119</v>
      </c>
    </row>
    <row r="345" spans="1:6" hidden="1" outlineLevel="1">
      <c r="A345" s="933" t="s">
        <v>1120</v>
      </c>
      <c r="B345" s="114">
        <v>81196861</v>
      </c>
      <c r="C345" s="68">
        <v>353875278</v>
      </c>
      <c r="D345" s="123">
        <v>1135462299</v>
      </c>
      <c r="E345" s="112">
        <f t="shared" si="7"/>
        <v>1570534438</v>
      </c>
      <c r="F345" s="103" t="s">
        <v>1121</v>
      </c>
    </row>
    <row r="346" spans="1:6" hidden="1" outlineLevel="1">
      <c r="A346" s="933" t="s">
        <v>1122</v>
      </c>
      <c r="B346" s="114">
        <v>0</v>
      </c>
      <c r="C346" s="68">
        <v>373902</v>
      </c>
      <c r="D346" s="123">
        <v>1537383</v>
      </c>
      <c r="E346" s="112">
        <f t="shared" si="7"/>
        <v>1911285</v>
      </c>
      <c r="F346" s="103" t="s">
        <v>1123</v>
      </c>
    </row>
    <row r="347" spans="1:6" hidden="1" outlineLevel="1">
      <c r="A347" s="933" t="s">
        <v>1122</v>
      </c>
      <c r="B347" s="114">
        <v>0</v>
      </c>
      <c r="C347" s="68">
        <v>55173</v>
      </c>
      <c r="D347" s="123">
        <v>4458526</v>
      </c>
      <c r="E347" s="112">
        <f t="shared" si="7"/>
        <v>4513699</v>
      </c>
      <c r="F347" s="103" t="s">
        <v>1123</v>
      </c>
    </row>
    <row r="348" spans="1:6" hidden="1" outlineLevel="1">
      <c r="A348" s="933" t="s">
        <v>1124</v>
      </c>
      <c r="B348" s="114">
        <v>0</v>
      </c>
      <c r="C348" s="68">
        <v>0</v>
      </c>
      <c r="D348" s="123">
        <v>0</v>
      </c>
      <c r="E348" s="112">
        <f t="shared" si="7"/>
        <v>0</v>
      </c>
      <c r="F348" s="103" t="s">
        <v>1125</v>
      </c>
    </row>
    <row r="349" spans="1:6" hidden="1" outlineLevel="1">
      <c r="A349" s="933" t="s">
        <v>1126</v>
      </c>
      <c r="B349" s="114">
        <v>0</v>
      </c>
      <c r="C349" s="68">
        <v>228724</v>
      </c>
      <c r="D349" s="123">
        <v>859536</v>
      </c>
      <c r="E349" s="112">
        <f t="shared" si="7"/>
        <v>1088260</v>
      </c>
      <c r="F349" s="103" t="s">
        <v>1127</v>
      </c>
    </row>
    <row r="350" spans="1:6" hidden="1" outlineLevel="1">
      <c r="A350" s="933" t="s">
        <v>1128</v>
      </c>
      <c r="B350" s="114">
        <v>0</v>
      </c>
      <c r="C350" s="68">
        <v>0</v>
      </c>
      <c r="D350" s="123">
        <v>14473656</v>
      </c>
      <c r="E350" s="112">
        <f t="shared" si="7"/>
        <v>14473656</v>
      </c>
      <c r="F350" s="103" t="s">
        <v>1129</v>
      </c>
    </row>
    <row r="351" spans="1:6" hidden="1" outlineLevel="1">
      <c r="A351" s="933" t="s">
        <v>1130</v>
      </c>
      <c r="B351" s="114">
        <v>0</v>
      </c>
      <c r="C351" s="68">
        <v>0</v>
      </c>
      <c r="D351" s="123">
        <v>86896</v>
      </c>
      <c r="E351" s="112">
        <f t="shared" si="7"/>
        <v>86896</v>
      </c>
      <c r="F351" s="103" t="s">
        <v>1131</v>
      </c>
    </row>
    <row r="352" spans="1:6" hidden="1" outlineLevel="1">
      <c r="A352" s="933" t="s">
        <v>1132</v>
      </c>
      <c r="B352" s="114">
        <v>0</v>
      </c>
      <c r="C352" s="68">
        <v>0</v>
      </c>
      <c r="D352" s="123">
        <v>646884</v>
      </c>
      <c r="E352" s="112">
        <f t="shared" si="7"/>
        <v>646884</v>
      </c>
      <c r="F352" s="103" t="s">
        <v>1133</v>
      </c>
    </row>
    <row r="353" spans="1:6" hidden="1" outlineLevel="1">
      <c r="A353" s="933" t="s">
        <v>1134</v>
      </c>
      <c r="B353" s="114">
        <v>0</v>
      </c>
      <c r="C353" s="68">
        <v>0</v>
      </c>
      <c r="D353" s="123">
        <v>55501</v>
      </c>
      <c r="E353" s="112">
        <f t="shared" si="7"/>
        <v>55501</v>
      </c>
      <c r="F353" s="103" t="s">
        <v>1135</v>
      </c>
    </row>
    <row r="354" spans="1:6" hidden="1" outlineLevel="1">
      <c r="A354" s="933" t="s">
        <v>1136</v>
      </c>
      <c r="B354" s="114">
        <v>0</v>
      </c>
      <c r="C354" s="68">
        <v>0</v>
      </c>
      <c r="D354" s="123">
        <v>430423</v>
      </c>
      <c r="E354" s="112">
        <f t="shared" si="7"/>
        <v>430423</v>
      </c>
      <c r="F354" s="103" t="s">
        <v>1137</v>
      </c>
    </row>
    <row r="355" spans="1:6" hidden="1" outlineLevel="1">
      <c r="A355" s="933" t="s">
        <v>1138</v>
      </c>
      <c r="B355" s="114">
        <v>0</v>
      </c>
      <c r="C355" s="68">
        <v>6113566</v>
      </c>
      <c r="D355" s="123">
        <v>4846898</v>
      </c>
      <c r="E355" s="112">
        <f t="shared" si="7"/>
        <v>10960464</v>
      </c>
      <c r="F355" s="103" t="s">
        <v>1139</v>
      </c>
    </row>
    <row r="356" spans="1:6" hidden="1" outlineLevel="1">
      <c r="A356" s="933" t="s">
        <v>726</v>
      </c>
      <c r="B356" s="114">
        <v>0</v>
      </c>
      <c r="C356" s="68">
        <v>0</v>
      </c>
      <c r="D356" s="123">
        <v>0</v>
      </c>
      <c r="E356" s="112">
        <f t="shared" si="7"/>
        <v>0</v>
      </c>
      <c r="F356" s="103" t="s">
        <v>727</v>
      </c>
    </row>
    <row r="357" spans="1:6" hidden="1" outlineLevel="1">
      <c r="A357" s="933" t="s">
        <v>1140</v>
      </c>
      <c r="B357" s="114">
        <v>0</v>
      </c>
      <c r="C357" s="68">
        <v>15377953</v>
      </c>
      <c r="D357" s="123">
        <v>5048773</v>
      </c>
      <c r="E357" s="112">
        <f t="shared" si="7"/>
        <v>20426726</v>
      </c>
      <c r="F357" s="103" t="s">
        <v>1141</v>
      </c>
    </row>
    <row r="358" spans="1:6" hidden="1" outlineLevel="1">
      <c r="A358" s="933" t="s">
        <v>1142</v>
      </c>
      <c r="B358" s="114">
        <v>0</v>
      </c>
      <c r="C358" s="68">
        <v>339958</v>
      </c>
      <c r="D358" s="123">
        <v>3089228</v>
      </c>
      <c r="E358" s="112">
        <f t="shared" si="7"/>
        <v>3429186</v>
      </c>
      <c r="F358" s="103" t="s">
        <v>1143</v>
      </c>
    </row>
    <row r="359" spans="1:6" hidden="1" outlineLevel="1">
      <c r="A359" s="933" t="s">
        <v>730</v>
      </c>
      <c r="B359" s="114">
        <v>0</v>
      </c>
      <c r="C359" s="68">
        <v>0</v>
      </c>
      <c r="D359" s="123">
        <v>0</v>
      </c>
      <c r="E359" s="112">
        <f t="shared" si="7"/>
        <v>0</v>
      </c>
      <c r="F359" s="103" t="s">
        <v>731</v>
      </c>
    </row>
    <row r="360" spans="1:6" hidden="1" outlineLevel="1">
      <c r="A360" s="933" t="s">
        <v>1144</v>
      </c>
      <c r="B360" s="114">
        <v>0</v>
      </c>
      <c r="C360" s="68">
        <v>0</v>
      </c>
      <c r="D360" s="123">
        <v>654575</v>
      </c>
      <c r="E360" s="112">
        <f t="shared" si="7"/>
        <v>654575</v>
      </c>
      <c r="F360" s="103" t="s">
        <v>1145</v>
      </c>
    </row>
    <row r="361" spans="1:6" hidden="1" outlineLevel="1">
      <c r="A361" s="933" t="s">
        <v>1146</v>
      </c>
      <c r="B361" s="114">
        <v>0</v>
      </c>
      <c r="C361" s="68">
        <v>393418</v>
      </c>
      <c r="D361" s="123">
        <v>2140262</v>
      </c>
      <c r="E361" s="112">
        <f t="shared" ref="E361:E402" si="8">SUM(B361:D361)</f>
        <v>2533680</v>
      </c>
      <c r="F361" s="103" t="s">
        <v>1147</v>
      </c>
    </row>
    <row r="362" spans="1:6" hidden="1" outlineLevel="1">
      <c r="A362" s="933" t="s">
        <v>1148</v>
      </c>
      <c r="B362" s="114">
        <v>0</v>
      </c>
      <c r="C362" s="68">
        <v>9929</v>
      </c>
      <c r="D362" s="123">
        <v>276500</v>
      </c>
      <c r="E362" s="112">
        <f t="shared" si="8"/>
        <v>286429</v>
      </c>
      <c r="F362" s="103" t="s">
        <v>1149</v>
      </c>
    </row>
    <row r="363" spans="1:6" hidden="1" outlineLevel="1">
      <c r="A363" s="933" t="s">
        <v>1150</v>
      </c>
      <c r="B363" s="114">
        <v>0</v>
      </c>
      <c r="C363" s="68">
        <v>0</v>
      </c>
      <c r="D363" s="123">
        <v>131429359</v>
      </c>
      <c r="E363" s="112">
        <f t="shared" si="8"/>
        <v>131429359</v>
      </c>
      <c r="F363" s="103" t="s">
        <v>1151</v>
      </c>
    </row>
    <row r="364" spans="1:6" hidden="1" outlineLevel="1">
      <c r="A364" s="933" t="s">
        <v>1152</v>
      </c>
      <c r="B364" s="114">
        <v>0</v>
      </c>
      <c r="C364" s="68">
        <v>25897</v>
      </c>
      <c r="D364" s="123">
        <v>1856896</v>
      </c>
      <c r="E364" s="112">
        <f t="shared" si="8"/>
        <v>1882793</v>
      </c>
      <c r="F364" s="103" t="s">
        <v>1153</v>
      </c>
    </row>
    <row r="365" spans="1:6" hidden="1" outlineLevel="1">
      <c r="A365" s="933" t="s">
        <v>1154</v>
      </c>
      <c r="B365" s="114">
        <v>0</v>
      </c>
      <c r="C365" s="68">
        <v>0</v>
      </c>
      <c r="D365" s="123">
        <v>0</v>
      </c>
      <c r="E365" s="112">
        <f t="shared" si="8"/>
        <v>0</v>
      </c>
      <c r="F365" s="103" t="s">
        <v>1155</v>
      </c>
    </row>
    <row r="366" spans="1:6" hidden="1" outlineLevel="1">
      <c r="A366" s="933" t="s">
        <v>1156</v>
      </c>
      <c r="B366" s="114">
        <v>0</v>
      </c>
      <c r="C366" s="68">
        <v>20334</v>
      </c>
      <c r="D366" s="123">
        <v>23229807</v>
      </c>
      <c r="E366" s="112">
        <f t="shared" si="8"/>
        <v>23250141</v>
      </c>
      <c r="F366" s="103" t="s">
        <v>1157</v>
      </c>
    </row>
    <row r="367" spans="1:6" hidden="1" outlineLevel="1">
      <c r="A367" s="933" t="s">
        <v>1158</v>
      </c>
      <c r="B367" s="114">
        <v>0</v>
      </c>
      <c r="C367" s="68">
        <v>0</v>
      </c>
      <c r="D367" s="123">
        <v>4111183</v>
      </c>
      <c r="E367" s="112">
        <f t="shared" si="8"/>
        <v>4111183</v>
      </c>
      <c r="F367" s="103" t="s">
        <v>1159</v>
      </c>
    </row>
    <row r="368" spans="1:6" hidden="1" outlineLevel="1">
      <c r="A368" s="933" t="s">
        <v>1160</v>
      </c>
      <c r="B368" s="114">
        <v>0</v>
      </c>
      <c r="C368" s="68">
        <v>858697</v>
      </c>
      <c r="D368" s="123">
        <v>1136253</v>
      </c>
      <c r="E368" s="112">
        <f t="shared" si="8"/>
        <v>1994950</v>
      </c>
      <c r="F368" s="103" t="s">
        <v>1161</v>
      </c>
    </row>
    <row r="369" spans="1:6" hidden="1" outlineLevel="1">
      <c r="A369" s="933" t="s">
        <v>1162</v>
      </c>
      <c r="B369" s="114">
        <v>0</v>
      </c>
      <c r="C369" s="68">
        <v>0</v>
      </c>
      <c r="D369" s="123">
        <v>154695</v>
      </c>
      <c r="E369" s="112">
        <f t="shared" si="8"/>
        <v>154695</v>
      </c>
      <c r="F369" s="103" t="s">
        <v>1163</v>
      </c>
    </row>
    <row r="370" spans="1:6" hidden="1" outlineLevel="1">
      <c r="A370" s="933" t="s">
        <v>1164</v>
      </c>
      <c r="B370" s="114">
        <v>0</v>
      </c>
      <c r="C370" s="68">
        <v>0</v>
      </c>
      <c r="D370" s="123">
        <v>39155</v>
      </c>
      <c r="E370" s="112">
        <f t="shared" si="8"/>
        <v>39155</v>
      </c>
      <c r="F370" s="103" t="s">
        <v>1165</v>
      </c>
    </row>
    <row r="371" spans="1:6" hidden="1" outlineLevel="1">
      <c r="A371" s="933" t="s">
        <v>1166</v>
      </c>
      <c r="B371" s="114">
        <v>0</v>
      </c>
      <c r="C371" s="68">
        <v>0</v>
      </c>
      <c r="D371" s="123">
        <v>0</v>
      </c>
      <c r="E371" s="112">
        <f t="shared" si="8"/>
        <v>0</v>
      </c>
      <c r="F371" s="103" t="s">
        <v>1167</v>
      </c>
    </row>
    <row r="372" spans="1:6" hidden="1" outlineLevel="1">
      <c r="A372" s="933" t="s">
        <v>1168</v>
      </c>
      <c r="B372" s="114">
        <v>0</v>
      </c>
      <c r="C372" s="68">
        <v>0</v>
      </c>
      <c r="D372" s="123">
        <v>0</v>
      </c>
      <c r="E372" s="112">
        <f t="shared" si="8"/>
        <v>0</v>
      </c>
      <c r="F372" s="103" t="s">
        <v>1169</v>
      </c>
    </row>
    <row r="373" spans="1:6" hidden="1" outlineLevel="1">
      <c r="A373" s="933" t="s">
        <v>1170</v>
      </c>
      <c r="B373" s="114">
        <v>0</v>
      </c>
      <c r="C373" s="68">
        <v>90593</v>
      </c>
      <c r="D373" s="123">
        <v>1598339</v>
      </c>
      <c r="E373" s="112">
        <f t="shared" si="8"/>
        <v>1688932</v>
      </c>
      <c r="F373" s="103" t="s">
        <v>1171</v>
      </c>
    </row>
    <row r="374" spans="1:6" hidden="1" outlineLevel="1">
      <c r="A374" s="933" t="s">
        <v>1172</v>
      </c>
      <c r="B374" s="114">
        <v>0</v>
      </c>
      <c r="C374" s="68">
        <v>655669</v>
      </c>
      <c r="D374" s="123">
        <v>757539</v>
      </c>
      <c r="E374" s="112">
        <f t="shared" si="8"/>
        <v>1413208</v>
      </c>
      <c r="F374" s="103" t="s">
        <v>1173</v>
      </c>
    </row>
    <row r="375" spans="1:6" hidden="1" outlineLevel="1">
      <c r="A375" s="933" t="s">
        <v>1174</v>
      </c>
      <c r="B375" s="114">
        <v>0</v>
      </c>
      <c r="C375" s="68">
        <v>174196</v>
      </c>
      <c r="D375" s="123">
        <v>172229580</v>
      </c>
      <c r="E375" s="112">
        <f t="shared" si="8"/>
        <v>172403776</v>
      </c>
      <c r="F375" s="103" t="s">
        <v>1175</v>
      </c>
    </row>
    <row r="376" spans="1:6" hidden="1" outlineLevel="1">
      <c r="A376" s="933" t="s">
        <v>1176</v>
      </c>
      <c r="B376" s="114">
        <v>0</v>
      </c>
      <c r="C376" s="68">
        <v>348927</v>
      </c>
      <c r="D376" s="123">
        <v>3907851</v>
      </c>
      <c r="E376" s="112">
        <f t="shared" si="8"/>
        <v>4256778</v>
      </c>
      <c r="F376" s="103" t="s">
        <v>1177</v>
      </c>
    </row>
    <row r="377" spans="1:6" hidden="1" outlineLevel="1">
      <c r="A377" s="933" t="s">
        <v>1178</v>
      </c>
      <c r="B377" s="114">
        <v>0</v>
      </c>
      <c r="C377" s="68">
        <v>27252</v>
      </c>
      <c r="D377" s="123">
        <v>554586</v>
      </c>
      <c r="E377" s="112">
        <f t="shared" si="8"/>
        <v>581838</v>
      </c>
      <c r="F377" s="103" t="s">
        <v>1179</v>
      </c>
    </row>
    <row r="378" spans="1:6" hidden="1" outlineLevel="1">
      <c r="A378" s="933" t="s">
        <v>1180</v>
      </c>
      <c r="B378" s="114">
        <v>0</v>
      </c>
      <c r="C378" s="68">
        <v>146966</v>
      </c>
      <c r="D378" s="123">
        <v>1032595</v>
      </c>
      <c r="E378" s="112">
        <f t="shared" si="8"/>
        <v>1179561</v>
      </c>
      <c r="F378" s="103" t="s">
        <v>1181</v>
      </c>
    </row>
    <row r="379" spans="1:6" hidden="1" outlineLevel="1">
      <c r="A379" s="933" t="s">
        <v>1182</v>
      </c>
      <c r="B379" s="114">
        <v>0</v>
      </c>
      <c r="C379" s="68">
        <v>319658</v>
      </c>
      <c r="D379" s="123">
        <v>1885648</v>
      </c>
      <c r="E379" s="112">
        <f t="shared" si="8"/>
        <v>2205306</v>
      </c>
      <c r="F379" s="103" t="s">
        <v>1183</v>
      </c>
    </row>
    <row r="380" spans="1:6" hidden="1" outlineLevel="1">
      <c r="A380" s="933" t="s">
        <v>1184</v>
      </c>
      <c r="B380" s="114">
        <v>0</v>
      </c>
      <c r="C380" s="68">
        <v>0</v>
      </c>
      <c r="D380" s="123">
        <v>255462</v>
      </c>
      <c r="E380" s="112">
        <f t="shared" si="8"/>
        <v>255462</v>
      </c>
      <c r="F380" s="103" t="s">
        <v>1185</v>
      </c>
    </row>
    <row r="381" spans="1:6" hidden="1" outlineLevel="1">
      <c r="A381" s="933" t="s">
        <v>1186</v>
      </c>
      <c r="B381" s="114">
        <v>0</v>
      </c>
      <c r="C381" s="68">
        <v>0</v>
      </c>
      <c r="D381" s="123">
        <v>0</v>
      </c>
      <c r="E381" s="112">
        <f t="shared" si="8"/>
        <v>0</v>
      </c>
      <c r="F381" s="103" t="s">
        <v>1187</v>
      </c>
    </row>
    <row r="382" spans="1:6" hidden="1" outlineLevel="1">
      <c r="A382" s="933" t="s">
        <v>1186</v>
      </c>
      <c r="B382" s="114">
        <v>0</v>
      </c>
      <c r="C382" s="68">
        <v>0</v>
      </c>
      <c r="D382" s="123">
        <v>0</v>
      </c>
      <c r="E382" s="112">
        <f t="shared" si="8"/>
        <v>0</v>
      </c>
      <c r="F382" s="103" t="s">
        <v>1187</v>
      </c>
    </row>
    <row r="383" spans="1:6" hidden="1" outlineLevel="1">
      <c r="A383" s="933" t="s">
        <v>1186</v>
      </c>
      <c r="B383" s="114">
        <v>0</v>
      </c>
      <c r="C383" s="68">
        <v>0</v>
      </c>
      <c r="D383" s="123">
        <v>0</v>
      </c>
      <c r="E383" s="112">
        <f t="shared" si="8"/>
        <v>0</v>
      </c>
      <c r="F383" s="103" t="s">
        <v>1187</v>
      </c>
    </row>
    <row r="384" spans="1:6" hidden="1" outlineLevel="1">
      <c r="A384" s="933" t="s">
        <v>1188</v>
      </c>
      <c r="B384" s="114">
        <v>0</v>
      </c>
      <c r="C384" s="68">
        <v>66435</v>
      </c>
      <c r="D384" s="123">
        <v>235475</v>
      </c>
      <c r="E384" s="112">
        <f t="shared" si="8"/>
        <v>301910</v>
      </c>
      <c r="F384" s="103" t="s">
        <v>1189</v>
      </c>
    </row>
    <row r="385" spans="1:6" hidden="1" outlineLevel="1">
      <c r="A385" s="933" t="s">
        <v>1190</v>
      </c>
      <c r="B385" s="114">
        <v>0</v>
      </c>
      <c r="C385" s="68">
        <v>13411</v>
      </c>
      <c r="D385" s="123">
        <v>626105</v>
      </c>
      <c r="E385" s="112">
        <f t="shared" si="8"/>
        <v>639516</v>
      </c>
      <c r="F385" s="103" t="s">
        <v>1191</v>
      </c>
    </row>
    <row r="386" spans="1:6" hidden="1" outlineLevel="1">
      <c r="A386" s="933" t="s">
        <v>1192</v>
      </c>
      <c r="B386" s="114">
        <v>0</v>
      </c>
      <c r="C386" s="68">
        <v>0</v>
      </c>
      <c r="D386" s="123">
        <v>38500</v>
      </c>
      <c r="E386" s="112">
        <f t="shared" si="8"/>
        <v>38500</v>
      </c>
      <c r="F386" s="103" t="s">
        <v>1193</v>
      </c>
    </row>
    <row r="387" spans="1:6" hidden="1" outlineLevel="1">
      <c r="A387" s="933" t="s">
        <v>1194</v>
      </c>
      <c r="B387" s="114">
        <v>0</v>
      </c>
      <c r="C387" s="68">
        <v>202162</v>
      </c>
      <c r="D387" s="123">
        <v>63691</v>
      </c>
      <c r="E387" s="112">
        <f t="shared" si="8"/>
        <v>265853</v>
      </c>
      <c r="F387" s="103" t="s">
        <v>1195</v>
      </c>
    </row>
    <row r="388" spans="1:6" hidden="1" outlineLevel="1">
      <c r="A388" s="933" t="s">
        <v>1196</v>
      </c>
      <c r="B388" s="114">
        <v>0</v>
      </c>
      <c r="C388" s="68">
        <v>0</v>
      </c>
      <c r="D388" s="123">
        <v>0</v>
      </c>
      <c r="E388" s="112">
        <f t="shared" si="8"/>
        <v>0</v>
      </c>
      <c r="F388" s="103" t="s">
        <v>1197</v>
      </c>
    </row>
    <row r="389" spans="1:6" hidden="1" outlineLevel="1">
      <c r="A389" s="933" t="s">
        <v>1198</v>
      </c>
      <c r="B389" s="114">
        <v>0</v>
      </c>
      <c r="C389" s="68">
        <v>461310</v>
      </c>
      <c r="D389" s="123">
        <v>203945</v>
      </c>
      <c r="E389" s="112">
        <f t="shared" si="8"/>
        <v>665255</v>
      </c>
      <c r="F389" s="103" t="s">
        <v>1199</v>
      </c>
    </row>
    <row r="390" spans="1:6" hidden="1" outlineLevel="1">
      <c r="A390" s="933" t="s">
        <v>1200</v>
      </c>
      <c r="B390" s="114">
        <v>0</v>
      </c>
      <c r="C390" s="68">
        <v>1685368</v>
      </c>
      <c r="D390" s="123">
        <v>1257641</v>
      </c>
      <c r="E390" s="112">
        <f t="shared" si="8"/>
        <v>2943009</v>
      </c>
      <c r="F390" s="103" t="s">
        <v>1201</v>
      </c>
    </row>
    <row r="391" spans="1:6" hidden="1" outlineLevel="1">
      <c r="A391" s="933" t="s">
        <v>1202</v>
      </c>
      <c r="B391" s="114">
        <v>0</v>
      </c>
      <c r="C391" s="68">
        <v>316038</v>
      </c>
      <c r="D391" s="123">
        <v>42845</v>
      </c>
      <c r="E391" s="112">
        <f t="shared" si="8"/>
        <v>358883</v>
      </c>
      <c r="F391" s="103" t="s">
        <v>1203</v>
      </c>
    </row>
    <row r="392" spans="1:6" hidden="1" outlineLevel="1">
      <c r="A392" s="933" t="s">
        <v>1202</v>
      </c>
      <c r="B392" s="114">
        <v>0</v>
      </c>
      <c r="C392" s="68">
        <v>0</v>
      </c>
      <c r="D392" s="123">
        <v>0</v>
      </c>
      <c r="E392" s="112">
        <f t="shared" si="8"/>
        <v>0</v>
      </c>
      <c r="F392" s="103" t="s">
        <v>1203</v>
      </c>
    </row>
    <row r="393" spans="1:6" hidden="1" outlineLevel="1">
      <c r="A393" s="933" t="s">
        <v>1202</v>
      </c>
      <c r="B393" s="114">
        <v>0</v>
      </c>
      <c r="C393" s="68">
        <v>0</v>
      </c>
      <c r="D393" s="123">
        <v>0</v>
      </c>
      <c r="E393" s="112">
        <f t="shared" si="8"/>
        <v>0</v>
      </c>
      <c r="F393" s="103" t="s">
        <v>1203</v>
      </c>
    </row>
    <row r="394" spans="1:6" hidden="1" outlineLevel="1">
      <c r="A394" s="933" t="s">
        <v>1204</v>
      </c>
      <c r="B394" s="114">
        <v>0</v>
      </c>
      <c r="C394" s="68">
        <v>0</v>
      </c>
      <c r="D394" s="123">
        <v>168000</v>
      </c>
      <c r="E394" s="112">
        <f t="shared" si="8"/>
        <v>168000</v>
      </c>
      <c r="F394" s="103" t="s">
        <v>1205</v>
      </c>
    </row>
    <row r="395" spans="1:6" hidden="1" outlineLevel="1">
      <c r="A395" s="933" t="s">
        <v>1206</v>
      </c>
      <c r="B395" s="114">
        <v>0</v>
      </c>
      <c r="C395" s="68">
        <v>8324</v>
      </c>
      <c r="D395" s="123">
        <v>377786</v>
      </c>
      <c r="E395" s="112">
        <f t="shared" si="8"/>
        <v>386110</v>
      </c>
      <c r="F395" s="103" t="s">
        <v>1207</v>
      </c>
    </row>
    <row r="396" spans="1:6" hidden="1" outlineLevel="1">
      <c r="A396" s="933" t="s">
        <v>1208</v>
      </c>
      <c r="B396" s="114">
        <v>0</v>
      </c>
      <c r="C396" s="68">
        <v>13932</v>
      </c>
      <c r="D396" s="123">
        <v>142729</v>
      </c>
      <c r="E396" s="112">
        <f t="shared" si="8"/>
        <v>156661</v>
      </c>
      <c r="F396" s="103" t="s">
        <v>1209</v>
      </c>
    </row>
    <row r="397" spans="1:6" hidden="1" outlineLevel="1">
      <c r="A397" s="933" t="s">
        <v>1210</v>
      </c>
      <c r="B397" s="114">
        <v>0</v>
      </c>
      <c r="C397" s="68">
        <v>396090</v>
      </c>
      <c r="D397" s="123">
        <v>60642360</v>
      </c>
      <c r="E397" s="112">
        <f t="shared" si="8"/>
        <v>61038450</v>
      </c>
      <c r="F397" s="103" t="s">
        <v>1211</v>
      </c>
    </row>
    <row r="398" spans="1:6" hidden="1" outlineLevel="1">
      <c r="A398" s="933" t="s">
        <v>1212</v>
      </c>
      <c r="B398" s="114">
        <v>0</v>
      </c>
      <c r="C398" s="68">
        <v>182154</v>
      </c>
      <c r="D398" s="123">
        <v>1074539</v>
      </c>
      <c r="E398" s="112">
        <f t="shared" si="8"/>
        <v>1256693</v>
      </c>
      <c r="F398" s="103" t="s">
        <v>1213</v>
      </c>
    </row>
    <row r="399" spans="1:6" hidden="1" outlineLevel="1">
      <c r="A399" s="933" t="s">
        <v>1214</v>
      </c>
      <c r="B399" s="114">
        <v>0</v>
      </c>
      <c r="C399" s="68">
        <v>0</v>
      </c>
      <c r="D399" s="123">
        <v>130956690</v>
      </c>
      <c r="E399" s="112">
        <f t="shared" si="8"/>
        <v>130956690</v>
      </c>
      <c r="F399" s="103" t="s">
        <v>1215</v>
      </c>
    </row>
    <row r="400" spans="1:6" hidden="1" outlineLevel="1">
      <c r="A400" s="933" t="s">
        <v>768</v>
      </c>
      <c r="B400" s="114">
        <v>0</v>
      </c>
      <c r="C400" s="68">
        <v>0</v>
      </c>
      <c r="D400" s="123">
        <v>469000</v>
      </c>
      <c r="E400" s="112">
        <f t="shared" si="8"/>
        <v>469000</v>
      </c>
      <c r="F400" s="103" t="s">
        <v>769</v>
      </c>
    </row>
    <row r="401" spans="1:6" hidden="1" outlineLevel="1">
      <c r="A401" s="933" t="s">
        <v>1216</v>
      </c>
      <c r="B401" s="114">
        <v>0</v>
      </c>
      <c r="C401" s="68">
        <v>0</v>
      </c>
      <c r="D401" s="123">
        <v>182909</v>
      </c>
      <c r="E401" s="112">
        <f t="shared" si="8"/>
        <v>182909</v>
      </c>
      <c r="F401" s="103" t="s">
        <v>1217</v>
      </c>
    </row>
    <row r="402" spans="1:6" hidden="1" outlineLevel="1">
      <c r="A402" s="933" t="s">
        <v>1218</v>
      </c>
      <c r="B402" s="114">
        <v>0</v>
      </c>
      <c r="C402" s="68">
        <v>0</v>
      </c>
      <c r="D402" s="123">
        <v>868000</v>
      </c>
      <c r="E402" s="112">
        <f t="shared" si="8"/>
        <v>868000</v>
      </c>
      <c r="F402" s="103" t="s">
        <v>1219</v>
      </c>
    </row>
    <row r="403" spans="1:6" collapsed="1">
      <c r="A403" s="932" t="s">
        <v>1220</v>
      </c>
      <c r="B403" s="115">
        <f>SUM(B404:B718)</f>
        <v>65928575.677000001</v>
      </c>
      <c r="C403" s="66">
        <f>SUM(C404:C718)</f>
        <v>315912016.09400004</v>
      </c>
      <c r="D403" s="124">
        <f>SUM(D404:D718)</f>
        <v>6876911303.6220016</v>
      </c>
      <c r="E403" s="112">
        <f t="shared" si="2"/>
        <v>7258751895.3930016</v>
      </c>
      <c r="F403" s="26"/>
    </row>
    <row r="404" spans="1:6" hidden="1" outlineLevel="1">
      <c r="A404" s="753" t="s">
        <v>456</v>
      </c>
      <c r="B404" s="116">
        <v>0</v>
      </c>
      <c r="C404" s="95">
        <v>0</v>
      </c>
      <c r="D404" s="125">
        <v>52849.992999999995</v>
      </c>
      <c r="E404" s="112">
        <f t="shared" ref="E404:E467" si="9">SUM(B404:D404)</f>
        <v>52849.992999999995</v>
      </c>
      <c r="F404" t="s">
        <v>457</v>
      </c>
    </row>
    <row r="405" spans="1:6" hidden="1" outlineLevel="1">
      <c r="A405" s="753" t="s">
        <v>1221</v>
      </c>
      <c r="B405" s="116">
        <v>0</v>
      </c>
      <c r="C405" s="95">
        <v>1384580.5430000001</v>
      </c>
      <c r="D405" s="125">
        <v>21950101</v>
      </c>
      <c r="E405" s="112">
        <f t="shared" si="9"/>
        <v>23334681.543000001</v>
      </c>
      <c r="F405" t="s">
        <v>1222</v>
      </c>
    </row>
    <row r="406" spans="1:6" hidden="1" outlineLevel="1">
      <c r="A406" s="753" t="s">
        <v>1223</v>
      </c>
      <c r="B406" s="116">
        <v>0</v>
      </c>
      <c r="C406" s="95">
        <v>0</v>
      </c>
      <c r="D406" s="125">
        <v>472750.89</v>
      </c>
      <c r="E406" s="112">
        <f t="shared" si="9"/>
        <v>472750.89</v>
      </c>
      <c r="F406" t="s">
        <v>1224</v>
      </c>
    </row>
    <row r="407" spans="1:6" hidden="1" outlineLevel="1">
      <c r="A407" s="753" t="s">
        <v>1225</v>
      </c>
      <c r="B407" s="116">
        <v>0</v>
      </c>
      <c r="C407" s="95">
        <v>51347.9</v>
      </c>
      <c r="D407" s="125">
        <v>14802</v>
      </c>
      <c r="E407" s="112">
        <f t="shared" si="9"/>
        <v>66149.899999999994</v>
      </c>
      <c r="F407" t="s">
        <v>1226</v>
      </c>
    </row>
    <row r="408" spans="1:6" hidden="1" outlineLevel="1">
      <c r="A408" s="753" t="s">
        <v>1227</v>
      </c>
      <c r="B408" s="116">
        <v>0</v>
      </c>
      <c r="C408" s="95">
        <v>301233</v>
      </c>
      <c r="D408" s="125">
        <v>1446316.3139999998</v>
      </c>
      <c r="E408" s="112">
        <f t="shared" si="9"/>
        <v>1747549.3139999998</v>
      </c>
      <c r="F408" t="s">
        <v>1228</v>
      </c>
    </row>
    <row r="409" spans="1:6" hidden="1" outlineLevel="1">
      <c r="A409" s="753" t="s">
        <v>1229</v>
      </c>
      <c r="B409" s="116">
        <v>0</v>
      </c>
      <c r="C409" s="95">
        <v>293476</v>
      </c>
      <c r="D409" s="125">
        <v>3476022</v>
      </c>
      <c r="E409" s="112">
        <f t="shared" si="9"/>
        <v>3769498</v>
      </c>
      <c r="F409" t="s">
        <v>1230</v>
      </c>
    </row>
    <row r="410" spans="1:6" hidden="1" outlineLevel="1">
      <c r="A410" s="753" t="s">
        <v>779</v>
      </c>
      <c r="B410" s="116">
        <v>0</v>
      </c>
      <c r="C410" s="95">
        <v>5454</v>
      </c>
      <c r="D410" s="125">
        <v>282856.97600000002</v>
      </c>
      <c r="E410" s="112">
        <f t="shared" si="9"/>
        <v>288310.97600000002</v>
      </c>
      <c r="F410" t="s">
        <v>1231</v>
      </c>
    </row>
    <row r="411" spans="1:6" hidden="1" outlineLevel="1">
      <c r="A411" s="753" t="s">
        <v>1232</v>
      </c>
      <c r="B411" s="116">
        <v>0</v>
      </c>
      <c r="C411" s="95">
        <v>176875</v>
      </c>
      <c r="D411" s="125">
        <v>2116609</v>
      </c>
      <c r="E411" s="112">
        <f t="shared" si="9"/>
        <v>2293484</v>
      </c>
      <c r="F411" t="s">
        <v>1233</v>
      </c>
    </row>
    <row r="412" spans="1:6" hidden="1" outlineLevel="1">
      <c r="A412" s="753" t="s">
        <v>1234</v>
      </c>
      <c r="B412" s="116">
        <v>0</v>
      </c>
      <c r="C412" s="95">
        <v>235133</v>
      </c>
      <c r="D412" s="125">
        <v>473148</v>
      </c>
      <c r="E412" s="112">
        <f t="shared" si="9"/>
        <v>708281</v>
      </c>
      <c r="F412" t="s">
        <v>1235</v>
      </c>
    </row>
    <row r="413" spans="1:6" hidden="1" outlineLevel="1">
      <c r="A413" s="753" t="s">
        <v>1236</v>
      </c>
      <c r="B413" s="116">
        <v>0</v>
      </c>
      <c r="C413" s="95">
        <v>221025</v>
      </c>
      <c r="D413" s="125">
        <v>561704.25699999998</v>
      </c>
      <c r="E413" s="112">
        <f t="shared" si="9"/>
        <v>782729.25699999998</v>
      </c>
      <c r="F413" t="s">
        <v>1237</v>
      </c>
    </row>
    <row r="414" spans="1:6" hidden="1" outlineLevel="1">
      <c r="A414" s="753" t="s">
        <v>1238</v>
      </c>
      <c r="B414" s="116">
        <v>0</v>
      </c>
      <c r="C414" s="95">
        <v>15183</v>
      </c>
      <c r="D414" s="125">
        <v>559776</v>
      </c>
      <c r="E414" s="112">
        <f t="shared" si="9"/>
        <v>574959</v>
      </c>
      <c r="F414" t="s">
        <v>1239</v>
      </c>
    </row>
    <row r="415" spans="1:6" hidden="1" outlineLevel="1">
      <c r="A415" s="753" t="s">
        <v>1240</v>
      </c>
      <c r="B415" s="116">
        <v>0</v>
      </c>
      <c r="C415" s="95">
        <v>416852</v>
      </c>
      <c r="D415" s="125">
        <v>4647624</v>
      </c>
      <c r="E415" s="112">
        <f t="shared" si="9"/>
        <v>5064476</v>
      </c>
      <c r="F415" t="s">
        <v>1241</v>
      </c>
    </row>
    <row r="416" spans="1:6" hidden="1" outlineLevel="1">
      <c r="A416" s="753" t="s">
        <v>1242</v>
      </c>
      <c r="B416" s="116">
        <v>0</v>
      </c>
      <c r="C416" s="95">
        <v>332798</v>
      </c>
      <c r="D416" s="125">
        <v>0</v>
      </c>
      <c r="E416" s="112">
        <f t="shared" si="9"/>
        <v>332798</v>
      </c>
      <c r="F416" t="s">
        <v>1243</v>
      </c>
    </row>
    <row r="417" spans="1:6" hidden="1" outlineLevel="1">
      <c r="A417" s="753" t="s">
        <v>1244</v>
      </c>
      <c r="B417" s="116">
        <v>0</v>
      </c>
      <c r="C417" s="95">
        <v>20226</v>
      </c>
      <c r="D417" s="125">
        <v>227993</v>
      </c>
      <c r="E417" s="112">
        <f t="shared" si="9"/>
        <v>248219</v>
      </c>
      <c r="F417" t="s">
        <v>1245</v>
      </c>
    </row>
    <row r="418" spans="1:6" hidden="1" outlineLevel="1">
      <c r="A418" s="753" t="s">
        <v>1246</v>
      </c>
      <c r="B418" s="116">
        <v>0</v>
      </c>
      <c r="C418" s="95">
        <v>0</v>
      </c>
      <c r="D418" s="125">
        <v>19250</v>
      </c>
      <c r="E418" s="112">
        <f t="shared" si="9"/>
        <v>19250</v>
      </c>
      <c r="F418" t="s">
        <v>1247</v>
      </c>
    </row>
    <row r="419" spans="1:6" hidden="1" outlineLevel="1">
      <c r="A419" s="753" t="s">
        <v>1248</v>
      </c>
      <c r="B419" s="116">
        <v>0</v>
      </c>
      <c r="C419" s="95">
        <v>517681</v>
      </c>
      <c r="D419" s="125">
        <v>77300</v>
      </c>
      <c r="E419" s="112">
        <f t="shared" si="9"/>
        <v>594981</v>
      </c>
      <c r="F419" t="s">
        <v>1249</v>
      </c>
    </row>
    <row r="420" spans="1:6" hidden="1" outlineLevel="1">
      <c r="A420" s="753" t="s">
        <v>799</v>
      </c>
      <c r="B420" s="116">
        <v>0</v>
      </c>
      <c r="C420" s="95">
        <v>0</v>
      </c>
      <c r="D420" s="125">
        <v>63024</v>
      </c>
      <c r="E420" s="112">
        <f t="shared" si="9"/>
        <v>63024</v>
      </c>
      <c r="F420" t="s">
        <v>1250</v>
      </c>
    </row>
    <row r="421" spans="1:6" hidden="1" outlineLevel="1">
      <c r="A421" s="753" t="s">
        <v>1251</v>
      </c>
      <c r="B421" s="116">
        <v>0</v>
      </c>
      <c r="C421" s="95">
        <v>102402</v>
      </c>
      <c r="D421" s="125">
        <v>170853</v>
      </c>
      <c r="E421" s="112">
        <f t="shared" si="9"/>
        <v>273255</v>
      </c>
      <c r="F421" t="s">
        <v>1252</v>
      </c>
    </row>
    <row r="422" spans="1:6" hidden="1" outlineLevel="1">
      <c r="A422" s="753" t="s">
        <v>1253</v>
      </c>
      <c r="B422" s="116">
        <v>0</v>
      </c>
      <c r="C422" s="95">
        <v>11636</v>
      </c>
      <c r="D422" s="125">
        <v>175000</v>
      </c>
      <c r="E422" s="112">
        <f t="shared" si="9"/>
        <v>186636</v>
      </c>
      <c r="F422" t="s">
        <v>1254</v>
      </c>
    </row>
    <row r="423" spans="1:6" hidden="1" outlineLevel="1">
      <c r="A423" s="753" t="s">
        <v>1255</v>
      </c>
      <c r="B423" s="116">
        <v>0</v>
      </c>
      <c r="C423" s="95">
        <v>18060</v>
      </c>
      <c r="D423" s="125">
        <v>103414</v>
      </c>
      <c r="E423" s="112">
        <f t="shared" si="9"/>
        <v>121474</v>
      </c>
      <c r="F423" t="s">
        <v>1256</v>
      </c>
    </row>
    <row r="424" spans="1:6" hidden="1" outlineLevel="1">
      <c r="A424" s="753" t="s">
        <v>1257</v>
      </c>
      <c r="B424" s="116">
        <v>0</v>
      </c>
      <c r="C424" s="95">
        <v>0</v>
      </c>
      <c r="D424" s="125">
        <v>112380</v>
      </c>
      <c r="E424" s="112">
        <f t="shared" si="9"/>
        <v>112380</v>
      </c>
      <c r="F424" t="s">
        <v>1258</v>
      </c>
    </row>
    <row r="425" spans="1:6" hidden="1" outlineLevel="1">
      <c r="A425" s="753" t="s">
        <v>1259</v>
      </c>
      <c r="B425" s="116">
        <v>0</v>
      </c>
      <c r="C425" s="95">
        <v>366827</v>
      </c>
      <c r="D425" s="125">
        <v>141951</v>
      </c>
      <c r="E425" s="112">
        <f t="shared" si="9"/>
        <v>508778</v>
      </c>
      <c r="F425" t="s">
        <v>1260</v>
      </c>
    </row>
    <row r="426" spans="1:6" hidden="1" outlineLevel="1">
      <c r="A426" s="753" t="s">
        <v>1261</v>
      </c>
      <c r="B426" s="116">
        <v>0</v>
      </c>
      <c r="C426" s="95">
        <v>0</v>
      </c>
      <c r="D426" s="125">
        <v>70000</v>
      </c>
      <c r="E426" s="112">
        <f t="shared" si="9"/>
        <v>70000</v>
      </c>
      <c r="F426" t="s">
        <v>1262</v>
      </c>
    </row>
    <row r="427" spans="1:6" hidden="1" outlineLevel="1">
      <c r="A427" s="753" t="s">
        <v>1263</v>
      </c>
      <c r="B427" s="116">
        <v>0</v>
      </c>
      <c r="C427" s="95">
        <v>315028</v>
      </c>
      <c r="D427" s="125">
        <v>214527</v>
      </c>
      <c r="E427" s="112">
        <f t="shared" si="9"/>
        <v>529555</v>
      </c>
      <c r="F427" t="s">
        <v>1264</v>
      </c>
    </row>
    <row r="428" spans="1:6" hidden="1" outlineLevel="1">
      <c r="A428" s="753" t="s">
        <v>1265</v>
      </c>
      <c r="B428" s="116">
        <v>0</v>
      </c>
      <c r="C428" s="95">
        <v>5638607.5</v>
      </c>
      <c r="D428" s="125">
        <v>160808650.29999998</v>
      </c>
      <c r="E428" s="112">
        <f t="shared" si="9"/>
        <v>166447257.79999998</v>
      </c>
      <c r="F428" t="s">
        <v>1266</v>
      </c>
    </row>
    <row r="429" spans="1:6" hidden="1" outlineLevel="1">
      <c r="A429" s="753" t="s">
        <v>1267</v>
      </c>
      <c r="B429" s="116">
        <v>0</v>
      </c>
      <c r="C429" s="95">
        <v>258</v>
      </c>
      <c r="D429" s="125">
        <v>34813</v>
      </c>
      <c r="E429" s="112">
        <f t="shared" si="9"/>
        <v>35071</v>
      </c>
      <c r="F429" t="s">
        <v>1268</v>
      </c>
    </row>
    <row r="430" spans="1:6" hidden="1" outlineLevel="1">
      <c r="A430" s="753" t="s">
        <v>1269</v>
      </c>
      <c r="B430" s="116">
        <v>0</v>
      </c>
      <c r="C430" s="95">
        <v>11260</v>
      </c>
      <c r="D430" s="125">
        <v>383414.00099999999</v>
      </c>
      <c r="E430" s="112">
        <f t="shared" si="9"/>
        <v>394674.00099999999</v>
      </c>
      <c r="F430" t="s">
        <v>1270</v>
      </c>
    </row>
    <row r="431" spans="1:6" hidden="1" outlineLevel="1">
      <c r="A431" s="753" t="s">
        <v>1271</v>
      </c>
      <c r="B431" s="116">
        <v>0</v>
      </c>
      <c r="C431" s="95">
        <v>168063</v>
      </c>
      <c r="D431" s="125">
        <v>1718845</v>
      </c>
      <c r="E431" s="112">
        <f t="shared" si="9"/>
        <v>1886908</v>
      </c>
      <c r="F431" t="s">
        <v>1272</v>
      </c>
    </row>
    <row r="432" spans="1:6" hidden="1" outlineLevel="1">
      <c r="A432" s="753" t="s">
        <v>1273</v>
      </c>
      <c r="B432" s="116">
        <v>0</v>
      </c>
      <c r="C432" s="95">
        <v>288045</v>
      </c>
      <c r="D432" s="125">
        <v>1284155</v>
      </c>
      <c r="E432" s="112">
        <f t="shared" si="9"/>
        <v>1572200</v>
      </c>
      <c r="F432" t="s">
        <v>1274</v>
      </c>
    </row>
    <row r="433" spans="1:6" hidden="1" outlineLevel="1">
      <c r="A433" s="753" t="s">
        <v>1275</v>
      </c>
      <c r="B433" s="116">
        <v>0</v>
      </c>
      <c r="C433" s="95">
        <v>0</v>
      </c>
      <c r="D433" s="125">
        <v>18616</v>
      </c>
      <c r="E433" s="112">
        <f t="shared" si="9"/>
        <v>18616</v>
      </c>
      <c r="F433" t="s">
        <v>1276</v>
      </c>
    </row>
    <row r="434" spans="1:6" hidden="1" outlineLevel="1">
      <c r="A434" s="753" t="s">
        <v>1277</v>
      </c>
      <c r="B434" s="116">
        <v>0</v>
      </c>
      <c r="C434" s="95">
        <v>0</v>
      </c>
      <c r="D434" s="125">
        <v>1230169</v>
      </c>
      <c r="E434" s="112">
        <f t="shared" si="9"/>
        <v>1230169</v>
      </c>
      <c r="F434" t="s">
        <v>1278</v>
      </c>
    </row>
    <row r="435" spans="1:6" hidden="1" outlineLevel="1">
      <c r="A435" s="753" t="s">
        <v>1279</v>
      </c>
      <c r="B435" s="116">
        <v>0</v>
      </c>
      <c r="C435" s="95">
        <v>0</v>
      </c>
      <c r="D435" s="125">
        <v>124168.56</v>
      </c>
      <c r="E435" s="112">
        <f t="shared" si="9"/>
        <v>124168.56</v>
      </c>
      <c r="F435" t="s">
        <v>1280</v>
      </c>
    </row>
    <row r="436" spans="1:6" hidden="1" outlineLevel="1">
      <c r="A436" s="753" t="s">
        <v>1281</v>
      </c>
      <c r="B436" s="116">
        <v>0</v>
      </c>
      <c r="C436" s="95">
        <v>558215</v>
      </c>
      <c r="D436" s="125">
        <v>940178</v>
      </c>
      <c r="E436" s="112">
        <f t="shared" si="9"/>
        <v>1498393</v>
      </c>
      <c r="F436" t="s">
        <v>1282</v>
      </c>
    </row>
    <row r="437" spans="1:6" hidden="1" outlineLevel="1">
      <c r="A437" s="753" t="s">
        <v>1283</v>
      </c>
      <c r="B437" s="116">
        <v>0</v>
      </c>
      <c r="C437" s="95">
        <v>383331</v>
      </c>
      <c r="D437" s="125">
        <v>4054988.233</v>
      </c>
      <c r="E437" s="112">
        <f t="shared" si="9"/>
        <v>4438319.233</v>
      </c>
      <c r="F437" t="s">
        <v>1284</v>
      </c>
    </row>
    <row r="438" spans="1:6" hidden="1" outlineLevel="1">
      <c r="A438" s="753" t="s">
        <v>1285</v>
      </c>
      <c r="B438" s="116">
        <v>0</v>
      </c>
      <c r="C438" s="95">
        <v>19319</v>
      </c>
      <c r="D438" s="125">
        <v>8785</v>
      </c>
      <c r="E438" s="112">
        <f t="shared" si="9"/>
        <v>28104</v>
      </c>
      <c r="F438" t="s">
        <v>1286</v>
      </c>
    </row>
    <row r="439" spans="1:6" hidden="1" outlineLevel="1">
      <c r="A439" s="753" t="s">
        <v>1287</v>
      </c>
      <c r="B439" s="116">
        <v>0</v>
      </c>
      <c r="C439" s="95">
        <v>34497</v>
      </c>
      <c r="D439" s="125">
        <v>499014.00100000005</v>
      </c>
      <c r="E439" s="112">
        <f t="shared" si="9"/>
        <v>533511.00100000005</v>
      </c>
      <c r="F439" t="s">
        <v>1288</v>
      </c>
    </row>
    <row r="440" spans="1:6" hidden="1" outlineLevel="1">
      <c r="A440" s="753" t="s">
        <v>1289</v>
      </c>
      <c r="B440" s="116">
        <v>0</v>
      </c>
      <c r="C440" s="95">
        <v>457973.48</v>
      </c>
      <c r="D440" s="125">
        <v>493906</v>
      </c>
      <c r="E440" s="112">
        <f t="shared" si="9"/>
        <v>951879.48</v>
      </c>
      <c r="F440" t="s">
        <v>1290</v>
      </c>
    </row>
    <row r="441" spans="1:6" hidden="1" outlineLevel="1">
      <c r="A441" s="753" t="s">
        <v>1291</v>
      </c>
      <c r="B441" s="116">
        <v>0</v>
      </c>
      <c r="C441" s="95">
        <v>87352</v>
      </c>
      <c r="D441" s="125">
        <v>528842.42800000007</v>
      </c>
      <c r="E441" s="112">
        <f t="shared" si="9"/>
        <v>616194.42800000007</v>
      </c>
      <c r="F441" t="s">
        <v>1292</v>
      </c>
    </row>
    <row r="442" spans="1:6" hidden="1" outlineLevel="1">
      <c r="A442" s="753" t="s">
        <v>1293</v>
      </c>
      <c r="B442" s="116">
        <v>0</v>
      </c>
      <c r="C442" s="95">
        <v>9290</v>
      </c>
      <c r="D442" s="125">
        <v>1635229</v>
      </c>
      <c r="E442" s="112">
        <f t="shared" si="9"/>
        <v>1644519</v>
      </c>
      <c r="F442" t="s">
        <v>1294</v>
      </c>
    </row>
    <row r="443" spans="1:6" hidden="1" outlineLevel="1">
      <c r="A443" s="753" t="s">
        <v>1295</v>
      </c>
      <c r="B443" s="116">
        <v>0</v>
      </c>
      <c r="C443" s="95">
        <v>689116.94299999997</v>
      </c>
      <c r="D443" s="125">
        <v>5141911.5239999983</v>
      </c>
      <c r="E443" s="112">
        <f t="shared" si="9"/>
        <v>5831028.4669999983</v>
      </c>
      <c r="F443" t="s">
        <v>1296</v>
      </c>
    </row>
    <row r="444" spans="1:6" hidden="1" outlineLevel="1">
      <c r="A444" s="753" t="s">
        <v>1297</v>
      </c>
      <c r="B444" s="116">
        <v>0</v>
      </c>
      <c r="C444" s="95">
        <v>0</v>
      </c>
      <c r="D444" s="125">
        <v>329113.36</v>
      </c>
      <c r="E444" s="112">
        <f t="shared" si="9"/>
        <v>329113.36</v>
      </c>
      <c r="F444" t="s">
        <v>1298</v>
      </c>
    </row>
    <row r="445" spans="1:6" hidden="1" outlineLevel="1">
      <c r="A445" s="753" t="s">
        <v>1299</v>
      </c>
      <c r="B445" s="116">
        <v>0</v>
      </c>
      <c r="C445" s="95">
        <v>0</v>
      </c>
      <c r="D445" s="125">
        <v>407606</v>
      </c>
      <c r="E445" s="112">
        <f t="shared" si="9"/>
        <v>407606</v>
      </c>
      <c r="F445" t="s">
        <v>1300</v>
      </c>
    </row>
    <row r="446" spans="1:6" hidden="1" outlineLevel="1">
      <c r="A446" s="753" t="s">
        <v>1301</v>
      </c>
      <c r="B446" s="116">
        <v>0</v>
      </c>
      <c r="C446" s="95">
        <v>0</v>
      </c>
      <c r="D446" s="125">
        <v>368135</v>
      </c>
      <c r="E446" s="112">
        <f t="shared" si="9"/>
        <v>368135</v>
      </c>
      <c r="F446" t="s">
        <v>1302</v>
      </c>
    </row>
    <row r="447" spans="1:6" hidden="1" outlineLevel="1">
      <c r="A447" s="753" t="s">
        <v>1303</v>
      </c>
      <c r="B447" s="116">
        <v>0</v>
      </c>
      <c r="C447" s="95">
        <v>7178599</v>
      </c>
      <c r="D447" s="125">
        <v>646693</v>
      </c>
      <c r="E447" s="112">
        <f t="shared" si="9"/>
        <v>7825292</v>
      </c>
      <c r="F447" t="s">
        <v>1304</v>
      </c>
    </row>
    <row r="448" spans="1:6" hidden="1" outlineLevel="1">
      <c r="A448" s="753" t="s">
        <v>1305</v>
      </c>
      <c r="B448" s="116">
        <v>0</v>
      </c>
      <c r="C448" s="95">
        <v>512817</v>
      </c>
      <c r="D448" s="125">
        <v>687926</v>
      </c>
      <c r="E448" s="112">
        <f t="shared" si="9"/>
        <v>1200743</v>
      </c>
      <c r="F448" t="s">
        <v>1306</v>
      </c>
    </row>
    <row r="449" spans="1:6" hidden="1" outlineLevel="1">
      <c r="A449" s="753" t="s">
        <v>1307</v>
      </c>
      <c r="B449" s="116">
        <v>0</v>
      </c>
      <c r="C449" s="95">
        <v>18708</v>
      </c>
      <c r="D449" s="125">
        <v>183351</v>
      </c>
      <c r="E449" s="112">
        <f t="shared" si="9"/>
        <v>202059</v>
      </c>
      <c r="F449" t="s">
        <v>1308</v>
      </c>
    </row>
    <row r="450" spans="1:6" hidden="1" outlineLevel="1">
      <c r="A450" s="753" t="s">
        <v>1309</v>
      </c>
      <c r="B450" s="116">
        <v>0</v>
      </c>
      <c r="C450" s="95">
        <v>123714</v>
      </c>
      <c r="D450" s="125">
        <v>2539194.35</v>
      </c>
      <c r="E450" s="112">
        <f t="shared" si="9"/>
        <v>2662908.35</v>
      </c>
      <c r="F450" t="s">
        <v>1310</v>
      </c>
    </row>
    <row r="451" spans="1:6" hidden="1" outlineLevel="1">
      <c r="A451" s="753" t="s">
        <v>839</v>
      </c>
      <c r="B451" s="116">
        <v>0</v>
      </c>
      <c r="C451" s="95">
        <v>467237</v>
      </c>
      <c r="D451" s="125">
        <v>10132288</v>
      </c>
      <c r="E451" s="112">
        <f t="shared" si="9"/>
        <v>10599525</v>
      </c>
      <c r="F451" t="s">
        <v>1311</v>
      </c>
    </row>
    <row r="452" spans="1:6" hidden="1" outlineLevel="1">
      <c r="A452" s="753" t="s">
        <v>1312</v>
      </c>
      <c r="B452" s="116">
        <v>0</v>
      </c>
      <c r="C452" s="95">
        <v>749227</v>
      </c>
      <c r="D452" s="125">
        <v>176611645.48299998</v>
      </c>
      <c r="E452" s="112">
        <f t="shared" si="9"/>
        <v>177360872.48299998</v>
      </c>
      <c r="F452" t="s">
        <v>1313</v>
      </c>
    </row>
    <row r="453" spans="1:6" hidden="1" outlineLevel="1">
      <c r="A453" s="753" t="s">
        <v>1314</v>
      </c>
      <c r="B453" s="116">
        <v>0</v>
      </c>
      <c r="C453" s="95">
        <v>0</v>
      </c>
      <c r="D453" s="125">
        <v>4633</v>
      </c>
      <c r="E453" s="112">
        <f t="shared" si="9"/>
        <v>4633</v>
      </c>
      <c r="F453" t="s">
        <v>1315</v>
      </c>
    </row>
    <row r="454" spans="1:6" hidden="1" outlineLevel="1">
      <c r="A454" s="753" t="s">
        <v>1316</v>
      </c>
      <c r="B454" s="116">
        <v>0</v>
      </c>
      <c r="C454" s="95">
        <v>47064.525000000001</v>
      </c>
      <c r="D454" s="125">
        <v>595283853.76000011</v>
      </c>
      <c r="E454" s="112">
        <f t="shared" si="9"/>
        <v>595330918.28500009</v>
      </c>
      <c r="F454" t="s">
        <v>1317</v>
      </c>
    </row>
    <row r="455" spans="1:6" hidden="1" outlineLevel="1">
      <c r="A455" s="753" t="s">
        <v>1318</v>
      </c>
      <c r="B455" s="116">
        <v>0</v>
      </c>
      <c r="C455" s="95">
        <v>0</v>
      </c>
      <c r="D455" s="125">
        <v>493160.38</v>
      </c>
      <c r="E455" s="112">
        <f t="shared" si="9"/>
        <v>493160.38</v>
      </c>
      <c r="F455" t="s">
        <v>1319</v>
      </c>
    </row>
    <row r="456" spans="1:6" hidden="1" outlineLevel="1">
      <c r="A456" s="753" t="s">
        <v>1320</v>
      </c>
      <c r="B456" s="116">
        <v>0</v>
      </c>
      <c r="C456" s="95">
        <v>283749</v>
      </c>
      <c r="D456" s="125">
        <v>1894201</v>
      </c>
      <c r="E456" s="112">
        <f t="shared" si="9"/>
        <v>2177950</v>
      </c>
      <c r="F456" t="s">
        <v>1321</v>
      </c>
    </row>
    <row r="457" spans="1:6" hidden="1" outlineLevel="1">
      <c r="A457" s="753" t="s">
        <v>1322</v>
      </c>
      <c r="B457" s="116">
        <v>0</v>
      </c>
      <c r="C457" s="95">
        <v>32446</v>
      </c>
      <c r="D457" s="125">
        <v>0</v>
      </c>
      <c r="E457" s="112">
        <f t="shared" si="9"/>
        <v>32446</v>
      </c>
      <c r="F457" t="s">
        <v>1323</v>
      </c>
    </row>
    <row r="458" spans="1:6" hidden="1" outlineLevel="1">
      <c r="A458" s="753" t="s">
        <v>1324</v>
      </c>
      <c r="B458" s="116">
        <v>0</v>
      </c>
      <c r="C458" s="95">
        <v>0</v>
      </c>
      <c r="D458" s="125">
        <v>718839.57700000005</v>
      </c>
      <c r="E458" s="112">
        <f t="shared" si="9"/>
        <v>718839.57700000005</v>
      </c>
      <c r="F458" t="s">
        <v>1325</v>
      </c>
    </row>
    <row r="459" spans="1:6" hidden="1" outlineLevel="1">
      <c r="A459" s="753" t="s">
        <v>1326</v>
      </c>
      <c r="B459" s="116">
        <v>0</v>
      </c>
      <c r="C459" s="95">
        <v>17259</v>
      </c>
      <c r="D459" s="125">
        <v>418816</v>
      </c>
      <c r="E459" s="112">
        <f t="shared" si="9"/>
        <v>436075</v>
      </c>
      <c r="F459" t="s">
        <v>1327</v>
      </c>
    </row>
    <row r="460" spans="1:6" hidden="1" outlineLevel="1">
      <c r="A460" s="753" t="s">
        <v>1328</v>
      </c>
      <c r="B460" s="116">
        <v>0</v>
      </c>
      <c r="C460" s="95">
        <v>0</v>
      </c>
      <c r="D460" s="125">
        <v>26250</v>
      </c>
      <c r="E460" s="112">
        <f t="shared" si="9"/>
        <v>26250</v>
      </c>
      <c r="F460" t="s">
        <v>1329</v>
      </c>
    </row>
    <row r="461" spans="1:6" hidden="1" outlineLevel="1">
      <c r="A461" s="753" t="s">
        <v>1330</v>
      </c>
      <c r="B461" s="116">
        <v>0</v>
      </c>
      <c r="C461" s="95">
        <v>257363</v>
      </c>
      <c r="D461" s="125">
        <v>782040</v>
      </c>
      <c r="E461" s="112">
        <f t="shared" si="9"/>
        <v>1039403</v>
      </c>
      <c r="F461" t="s">
        <v>1331</v>
      </c>
    </row>
    <row r="462" spans="1:6" hidden="1" outlineLevel="1">
      <c r="A462" s="753" t="s">
        <v>1332</v>
      </c>
      <c r="B462" s="116">
        <v>0</v>
      </c>
      <c r="C462" s="95">
        <v>244899</v>
      </c>
      <c r="D462" s="125">
        <v>1061317.4310000001</v>
      </c>
      <c r="E462" s="112">
        <f t="shared" si="9"/>
        <v>1306216.4310000001</v>
      </c>
      <c r="F462" t="s">
        <v>1333</v>
      </c>
    </row>
    <row r="463" spans="1:6" hidden="1" outlineLevel="1">
      <c r="A463" s="753" t="s">
        <v>1334</v>
      </c>
      <c r="B463" s="116">
        <v>0</v>
      </c>
      <c r="C463" s="95">
        <v>0</v>
      </c>
      <c r="D463" s="125">
        <v>87470</v>
      </c>
      <c r="E463" s="112">
        <f t="shared" si="9"/>
        <v>87470</v>
      </c>
      <c r="F463" t="s">
        <v>1335</v>
      </c>
    </row>
    <row r="464" spans="1:6" hidden="1" outlineLevel="1">
      <c r="A464" s="753" t="s">
        <v>1336</v>
      </c>
      <c r="B464" s="116">
        <v>0</v>
      </c>
      <c r="C464" s="95">
        <v>584716.04</v>
      </c>
      <c r="D464" s="125">
        <v>1008846.6</v>
      </c>
      <c r="E464" s="112">
        <f t="shared" si="9"/>
        <v>1593562.6400000001</v>
      </c>
      <c r="F464" t="s">
        <v>1337</v>
      </c>
    </row>
    <row r="465" spans="1:6" hidden="1" outlineLevel="1">
      <c r="A465" s="753" t="s">
        <v>1338</v>
      </c>
      <c r="B465" s="116">
        <v>0</v>
      </c>
      <c r="C465" s="95">
        <v>0</v>
      </c>
      <c r="D465" s="125">
        <v>307299</v>
      </c>
      <c r="E465" s="112">
        <f t="shared" si="9"/>
        <v>307299</v>
      </c>
      <c r="F465" t="s">
        <v>1339</v>
      </c>
    </row>
    <row r="466" spans="1:6" hidden="1" outlineLevel="1">
      <c r="A466" s="753" t="s">
        <v>1340</v>
      </c>
      <c r="B466" s="116">
        <v>0</v>
      </c>
      <c r="C466" s="95">
        <v>433558</v>
      </c>
      <c r="D466" s="125">
        <v>343330</v>
      </c>
      <c r="E466" s="112">
        <f t="shared" si="9"/>
        <v>776888</v>
      </c>
      <c r="F466" t="s">
        <v>1341</v>
      </c>
    </row>
    <row r="467" spans="1:6" hidden="1" outlineLevel="1">
      <c r="A467" s="753" t="s">
        <v>1342</v>
      </c>
      <c r="B467" s="116">
        <v>0</v>
      </c>
      <c r="C467" s="95">
        <v>0</v>
      </c>
      <c r="D467" s="125">
        <v>1143532.325</v>
      </c>
      <c r="E467" s="112">
        <f t="shared" si="9"/>
        <v>1143532.325</v>
      </c>
      <c r="F467" t="s">
        <v>1343</v>
      </c>
    </row>
    <row r="468" spans="1:6" hidden="1" outlineLevel="1">
      <c r="A468" s="753" t="s">
        <v>869</v>
      </c>
      <c r="B468" s="116">
        <v>0</v>
      </c>
      <c r="C468" s="95">
        <v>51953</v>
      </c>
      <c r="D468" s="125">
        <v>341161</v>
      </c>
      <c r="E468" s="112">
        <f t="shared" ref="E468:E531" si="10">SUM(B468:D468)</f>
        <v>393114</v>
      </c>
      <c r="F468" t="s">
        <v>870</v>
      </c>
    </row>
    <row r="469" spans="1:6" hidden="1" outlineLevel="1">
      <c r="A469" s="753" t="s">
        <v>1344</v>
      </c>
      <c r="B469" s="116">
        <v>0</v>
      </c>
      <c r="C469" s="95">
        <v>9859713.5589999985</v>
      </c>
      <c r="D469" s="125">
        <v>545485587.7349999</v>
      </c>
      <c r="E469" s="112">
        <f t="shared" si="10"/>
        <v>555345301.29399991</v>
      </c>
      <c r="F469" t="s">
        <v>1345</v>
      </c>
    </row>
    <row r="470" spans="1:6" hidden="1" outlineLevel="1">
      <c r="A470" s="753" t="s">
        <v>1346</v>
      </c>
      <c r="B470" s="116">
        <v>0</v>
      </c>
      <c r="C470" s="95">
        <v>1054558</v>
      </c>
      <c r="D470" s="125">
        <v>3208103.0150000001</v>
      </c>
      <c r="E470" s="112">
        <f t="shared" si="10"/>
        <v>4262661.0150000006</v>
      </c>
      <c r="F470" t="s">
        <v>1347</v>
      </c>
    </row>
    <row r="471" spans="1:6" hidden="1" outlineLevel="1">
      <c r="A471" s="753" t="s">
        <v>1348</v>
      </c>
      <c r="B471" s="116">
        <v>0</v>
      </c>
      <c r="C471" s="95">
        <v>67532</v>
      </c>
      <c r="D471" s="125">
        <v>328179</v>
      </c>
      <c r="E471" s="112">
        <f t="shared" si="10"/>
        <v>395711</v>
      </c>
      <c r="F471" t="s">
        <v>1349</v>
      </c>
    </row>
    <row r="472" spans="1:6" hidden="1" outlineLevel="1">
      <c r="A472" s="753" t="s">
        <v>1350</v>
      </c>
      <c r="B472" s="116">
        <v>0</v>
      </c>
      <c r="C472" s="95">
        <v>0</v>
      </c>
      <c r="D472" s="125">
        <v>24268</v>
      </c>
      <c r="E472" s="112">
        <f t="shared" si="10"/>
        <v>24268</v>
      </c>
      <c r="F472" t="s">
        <v>1351</v>
      </c>
    </row>
    <row r="473" spans="1:6" hidden="1" outlineLevel="1">
      <c r="A473" s="753" t="s">
        <v>1352</v>
      </c>
      <c r="B473" s="116">
        <v>0</v>
      </c>
      <c r="C473" s="95">
        <v>0</v>
      </c>
      <c r="D473" s="125">
        <v>1529402</v>
      </c>
      <c r="E473" s="112">
        <f t="shared" si="10"/>
        <v>1529402</v>
      </c>
      <c r="F473" t="s">
        <v>1353</v>
      </c>
    </row>
    <row r="474" spans="1:6" hidden="1" outlineLevel="1">
      <c r="A474" s="753" t="s">
        <v>1354</v>
      </c>
      <c r="B474" s="116">
        <v>335030</v>
      </c>
      <c r="C474" s="95">
        <v>121095</v>
      </c>
      <c r="D474" s="125">
        <v>2172097.0030000005</v>
      </c>
      <c r="E474" s="112">
        <f t="shared" si="10"/>
        <v>2628222.0030000005</v>
      </c>
      <c r="F474" t="s">
        <v>1355</v>
      </c>
    </row>
    <row r="475" spans="1:6" hidden="1" outlineLevel="1">
      <c r="A475" s="753" t="s">
        <v>1356</v>
      </c>
      <c r="B475" s="116">
        <v>0</v>
      </c>
      <c r="C475" s="95">
        <v>11765</v>
      </c>
      <c r="D475" s="125">
        <v>23309</v>
      </c>
      <c r="E475" s="112">
        <f t="shared" si="10"/>
        <v>35074</v>
      </c>
      <c r="F475" t="s">
        <v>1357</v>
      </c>
    </row>
    <row r="476" spans="1:6" hidden="1" outlineLevel="1">
      <c r="A476" s="753" t="s">
        <v>1358</v>
      </c>
      <c r="B476" s="116">
        <v>0</v>
      </c>
      <c r="C476" s="95">
        <v>2503468</v>
      </c>
      <c r="D476" s="125">
        <v>11347554.25</v>
      </c>
      <c r="E476" s="112">
        <f t="shared" si="10"/>
        <v>13851022.25</v>
      </c>
      <c r="F476" t="s">
        <v>1359</v>
      </c>
    </row>
    <row r="477" spans="1:6" hidden="1" outlineLevel="1">
      <c r="A477" s="753" t="s">
        <v>1360</v>
      </c>
      <c r="B477" s="116">
        <v>561147</v>
      </c>
      <c r="C477" s="95">
        <v>154052</v>
      </c>
      <c r="D477" s="125">
        <v>278419</v>
      </c>
      <c r="E477" s="112">
        <f t="shared" si="10"/>
        <v>993618</v>
      </c>
      <c r="F477" t="s">
        <v>1361</v>
      </c>
    </row>
    <row r="478" spans="1:6" hidden="1" outlineLevel="1">
      <c r="A478" s="753" t="s">
        <v>1362</v>
      </c>
      <c r="B478" s="116">
        <v>0</v>
      </c>
      <c r="C478" s="95">
        <v>319768.7</v>
      </c>
      <c r="D478" s="125">
        <v>1580716.8199999998</v>
      </c>
      <c r="E478" s="112">
        <f t="shared" si="10"/>
        <v>1900485.5199999998</v>
      </c>
      <c r="F478" t="s">
        <v>1363</v>
      </c>
    </row>
    <row r="479" spans="1:6" hidden="1" outlineLevel="1">
      <c r="A479" s="753" t="s">
        <v>1364</v>
      </c>
      <c r="B479" s="116">
        <v>0</v>
      </c>
      <c r="C479" s="95">
        <v>7090.8</v>
      </c>
      <c r="D479" s="125">
        <v>833919.82699999993</v>
      </c>
      <c r="E479" s="112">
        <f t="shared" si="10"/>
        <v>841010.62699999998</v>
      </c>
      <c r="F479" t="s">
        <v>1365</v>
      </c>
    </row>
    <row r="480" spans="1:6" hidden="1" outlineLevel="1">
      <c r="A480" s="753" t="s">
        <v>1366</v>
      </c>
      <c r="B480" s="116">
        <v>0</v>
      </c>
      <c r="C480" s="95">
        <v>98</v>
      </c>
      <c r="D480" s="125">
        <v>113503</v>
      </c>
      <c r="E480" s="112">
        <f t="shared" si="10"/>
        <v>113601</v>
      </c>
      <c r="F480" t="s">
        <v>1367</v>
      </c>
    </row>
    <row r="481" spans="1:6" hidden="1" outlineLevel="1">
      <c r="A481" s="753" t="s">
        <v>1368</v>
      </c>
      <c r="B481" s="116">
        <v>0</v>
      </c>
      <c r="C481" s="95">
        <v>0</v>
      </c>
      <c r="D481" s="125">
        <v>49947.720999999998</v>
      </c>
      <c r="E481" s="112">
        <f t="shared" si="10"/>
        <v>49947.720999999998</v>
      </c>
      <c r="F481" t="s">
        <v>1369</v>
      </c>
    </row>
    <row r="482" spans="1:6" hidden="1" outlineLevel="1">
      <c r="A482" s="753" t="s">
        <v>879</v>
      </c>
      <c r="B482" s="116">
        <v>0</v>
      </c>
      <c r="C482" s="95">
        <v>13879814.999000002</v>
      </c>
      <c r="D482" s="125">
        <v>17842852</v>
      </c>
      <c r="E482" s="112">
        <f t="shared" si="10"/>
        <v>31722666.999000002</v>
      </c>
      <c r="F482" t="s">
        <v>880</v>
      </c>
    </row>
    <row r="483" spans="1:6" hidden="1" outlineLevel="1">
      <c r="A483" s="753" t="s">
        <v>1370</v>
      </c>
      <c r="B483" s="116">
        <v>0</v>
      </c>
      <c r="C483" s="95">
        <v>0</v>
      </c>
      <c r="D483" s="125">
        <v>2677870.9189999998</v>
      </c>
      <c r="E483" s="112">
        <f t="shared" si="10"/>
        <v>2677870.9189999998</v>
      </c>
      <c r="F483" t="s">
        <v>1371</v>
      </c>
    </row>
    <row r="484" spans="1:6" hidden="1" outlineLevel="1">
      <c r="A484" s="753" t="s">
        <v>1372</v>
      </c>
      <c r="B484" s="116">
        <v>0</v>
      </c>
      <c r="C484" s="95">
        <v>3349</v>
      </c>
      <c r="D484" s="125">
        <v>214587</v>
      </c>
      <c r="E484" s="112">
        <f t="shared" si="10"/>
        <v>217936</v>
      </c>
      <c r="F484" t="s">
        <v>1373</v>
      </c>
    </row>
    <row r="485" spans="1:6" hidden="1" outlineLevel="1">
      <c r="A485" s="753" t="s">
        <v>1374</v>
      </c>
      <c r="B485" s="116">
        <v>0</v>
      </c>
      <c r="C485" s="95">
        <v>326997</v>
      </c>
      <c r="D485" s="125">
        <v>2365944</v>
      </c>
      <c r="E485" s="112">
        <f t="shared" si="10"/>
        <v>2692941</v>
      </c>
      <c r="F485" t="s">
        <v>1375</v>
      </c>
    </row>
    <row r="486" spans="1:6" hidden="1" outlineLevel="1">
      <c r="A486" s="753" t="s">
        <v>1376</v>
      </c>
      <c r="B486" s="116">
        <v>0</v>
      </c>
      <c r="C486" s="95">
        <v>0</v>
      </c>
      <c r="D486" s="125">
        <v>755256.33699999994</v>
      </c>
      <c r="E486" s="112">
        <f t="shared" si="10"/>
        <v>755256.33699999994</v>
      </c>
      <c r="F486" t="s">
        <v>1377</v>
      </c>
    </row>
    <row r="487" spans="1:6" hidden="1" outlineLevel="1">
      <c r="A487" s="753" t="s">
        <v>1378</v>
      </c>
      <c r="B487" s="116">
        <v>0</v>
      </c>
      <c r="C487" s="95">
        <v>0</v>
      </c>
      <c r="D487" s="125">
        <v>75014</v>
      </c>
      <c r="E487" s="112">
        <f t="shared" si="10"/>
        <v>75014</v>
      </c>
      <c r="F487" t="s">
        <v>1379</v>
      </c>
    </row>
    <row r="488" spans="1:6" hidden="1" outlineLevel="1">
      <c r="A488" s="753" t="s">
        <v>1380</v>
      </c>
      <c r="B488" s="116">
        <v>0</v>
      </c>
      <c r="C488" s="95">
        <v>169707</v>
      </c>
      <c r="D488" s="125">
        <v>6621441</v>
      </c>
      <c r="E488" s="112">
        <f t="shared" si="10"/>
        <v>6791148</v>
      </c>
      <c r="F488" t="s">
        <v>1381</v>
      </c>
    </row>
    <row r="489" spans="1:6" hidden="1" outlineLevel="1">
      <c r="A489" s="753" t="s">
        <v>1382</v>
      </c>
      <c r="B489" s="116">
        <v>0</v>
      </c>
      <c r="C489" s="95">
        <v>285880</v>
      </c>
      <c r="D489" s="125">
        <v>95099</v>
      </c>
      <c r="E489" s="112">
        <f t="shared" si="10"/>
        <v>380979</v>
      </c>
      <c r="F489" t="s">
        <v>1383</v>
      </c>
    </row>
    <row r="490" spans="1:6" hidden="1" outlineLevel="1">
      <c r="A490" s="753" t="s">
        <v>891</v>
      </c>
      <c r="B490" s="116">
        <v>0</v>
      </c>
      <c r="C490" s="95">
        <v>0</v>
      </c>
      <c r="D490" s="125">
        <v>173123.092</v>
      </c>
      <c r="E490" s="112">
        <f t="shared" si="10"/>
        <v>173123.092</v>
      </c>
      <c r="F490" t="s">
        <v>892</v>
      </c>
    </row>
    <row r="491" spans="1:6" hidden="1" outlineLevel="1">
      <c r="A491" s="753" t="s">
        <v>1384</v>
      </c>
      <c r="B491" s="116">
        <v>0</v>
      </c>
      <c r="C491" s="95">
        <v>224328</v>
      </c>
      <c r="D491" s="125">
        <v>280335</v>
      </c>
      <c r="E491" s="112">
        <f t="shared" si="10"/>
        <v>504663</v>
      </c>
      <c r="F491" t="s">
        <v>1385</v>
      </c>
    </row>
    <row r="492" spans="1:6" hidden="1" outlineLevel="1">
      <c r="A492" s="753" t="s">
        <v>1386</v>
      </c>
      <c r="B492" s="116">
        <v>0</v>
      </c>
      <c r="C492" s="95">
        <v>66807</v>
      </c>
      <c r="D492" s="125">
        <v>102239</v>
      </c>
      <c r="E492" s="112">
        <f t="shared" si="10"/>
        <v>169046</v>
      </c>
      <c r="F492" t="s">
        <v>1387</v>
      </c>
    </row>
    <row r="493" spans="1:6" hidden="1" outlineLevel="1">
      <c r="A493" s="753" t="s">
        <v>1388</v>
      </c>
      <c r="B493" s="116">
        <v>0</v>
      </c>
      <c r="C493" s="95">
        <v>85755</v>
      </c>
      <c r="D493" s="125">
        <v>1690079.0020000001</v>
      </c>
      <c r="E493" s="112">
        <f t="shared" si="10"/>
        <v>1775834.0020000001</v>
      </c>
      <c r="F493" t="s">
        <v>1389</v>
      </c>
    </row>
    <row r="494" spans="1:6" hidden="1" outlineLevel="1">
      <c r="A494" s="753" t="s">
        <v>1390</v>
      </c>
      <c r="B494" s="116">
        <v>0</v>
      </c>
      <c r="C494" s="95">
        <v>58219</v>
      </c>
      <c r="D494" s="125">
        <v>334555.24300000002</v>
      </c>
      <c r="E494" s="112">
        <f t="shared" si="10"/>
        <v>392774.24300000002</v>
      </c>
      <c r="F494" t="s">
        <v>1391</v>
      </c>
    </row>
    <row r="495" spans="1:6" hidden="1" outlineLevel="1">
      <c r="A495" s="753" t="s">
        <v>1392</v>
      </c>
      <c r="B495" s="116">
        <v>0</v>
      </c>
      <c r="C495" s="95">
        <v>0</v>
      </c>
      <c r="D495" s="125">
        <v>735973</v>
      </c>
      <c r="E495" s="112">
        <f t="shared" si="10"/>
        <v>735973</v>
      </c>
      <c r="F495" t="s">
        <v>1393</v>
      </c>
    </row>
    <row r="496" spans="1:6" hidden="1" outlineLevel="1">
      <c r="A496" s="753" t="s">
        <v>1394</v>
      </c>
      <c r="B496" s="116">
        <v>28521</v>
      </c>
      <c r="C496" s="95">
        <v>285466</v>
      </c>
      <c r="D496" s="125">
        <v>1837863.4509999999</v>
      </c>
      <c r="E496" s="112">
        <f t="shared" si="10"/>
        <v>2151850.4509999999</v>
      </c>
      <c r="F496" t="s">
        <v>1395</v>
      </c>
    </row>
    <row r="497" spans="1:6" hidden="1" outlineLevel="1">
      <c r="A497" s="753" t="s">
        <v>1396</v>
      </c>
      <c r="B497" s="116">
        <v>86468.58</v>
      </c>
      <c r="C497" s="95">
        <v>356430.39</v>
      </c>
      <c r="D497" s="125">
        <v>389663</v>
      </c>
      <c r="E497" s="112">
        <f t="shared" si="10"/>
        <v>832561.97</v>
      </c>
      <c r="F497" t="s">
        <v>1397</v>
      </c>
    </row>
    <row r="498" spans="1:6" hidden="1" outlineLevel="1">
      <c r="A498" s="753" t="s">
        <v>564</v>
      </c>
      <c r="B498" s="116">
        <v>16271</v>
      </c>
      <c r="C498" s="95">
        <v>3149557</v>
      </c>
      <c r="D498" s="125">
        <v>5516303</v>
      </c>
      <c r="E498" s="112">
        <f t="shared" si="10"/>
        <v>8682131</v>
      </c>
      <c r="F498" t="s">
        <v>565</v>
      </c>
    </row>
    <row r="499" spans="1:6" hidden="1" outlineLevel="1">
      <c r="A499" s="753" t="s">
        <v>1398</v>
      </c>
      <c r="B499" s="116">
        <v>0</v>
      </c>
      <c r="C499" s="95">
        <v>79014</v>
      </c>
      <c r="D499" s="125">
        <v>684882.32599999988</v>
      </c>
      <c r="E499" s="112">
        <f t="shared" si="10"/>
        <v>763896.32599999988</v>
      </c>
      <c r="F499" t="s">
        <v>1399</v>
      </c>
    </row>
    <row r="500" spans="1:6" hidden="1" outlineLevel="1">
      <c r="A500" s="753" t="s">
        <v>1400</v>
      </c>
      <c r="B500" s="116">
        <v>7865</v>
      </c>
      <c r="C500" s="95">
        <v>167843</v>
      </c>
      <c r="D500" s="125">
        <v>26379</v>
      </c>
      <c r="E500" s="112">
        <f t="shared" si="10"/>
        <v>202087</v>
      </c>
      <c r="F500" t="s">
        <v>1401</v>
      </c>
    </row>
    <row r="501" spans="1:6" hidden="1" outlineLevel="1">
      <c r="A501" s="753" t="s">
        <v>1402</v>
      </c>
      <c r="B501" s="116">
        <v>0</v>
      </c>
      <c r="C501" s="95">
        <v>342443</v>
      </c>
      <c r="D501" s="125">
        <v>97146084.998999998</v>
      </c>
      <c r="E501" s="112">
        <f t="shared" si="10"/>
        <v>97488527.998999998</v>
      </c>
      <c r="F501" t="s">
        <v>1403</v>
      </c>
    </row>
    <row r="502" spans="1:6" hidden="1" outlineLevel="1">
      <c r="A502" s="753" t="s">
        <v>1404</v>
      </c>
      <c r="B502" s="116">
        <v>0</v>
      </c>
      <c r="C502" s="95">
        <v>0</v>
      </c>
      <c r="D502" s="125">
        <v>101278.52499999999</v>
      </c>
      <c r="E502" s="112">
        <f t="shared" si="10"/>
        <v>101278.52499999999</v>
      </c>
      <c r="F502" t="s">
        <v>1405</v>
      </c>
    </row>
    <row r="503" spans="1:6" hidden="1" outlineLevel="1">
      <c r="A503" s="753" t="s">
        <v>1406</v>
      </c>
      <c r="B503" s="116">
        <v>0</v>
      </c>
      <c r="C503" s="95">
        <v>41178</v>
      </c>
      <c r="D503" s="125">
        <v>266351.08</v>
      </c>
      <c r="E503" s="112">
        <f t="shared" si="10"/>
        <v>307529.08</v>
      </c>
      <c r="F503" t="s">
        <v>1407</v>
      </c>
    </row>
    <row r="504" spans="1:6" hidden="1" outlineLevel="1">
      <c r="A504" s="753" t="s">
        <v>1408</v>
      </c>
      <c r="B504" s="116">
        <v>0</v>
      </c>
      <c r="C504" s="95">
        <v>896044.24300000002</v>
      </c>
      <c r="D504" s="125">
        <v>57807466.449999988</v>
      </c>
      <c r="E504" s="112">
        <f t="shared" si="10"/>
        <v>58703510.692999989</v>
      </c>
      <c r="F504" t="s">
        <v>1409</v>
      </c>
    </row>
    <row r="505" spans="1:6" hidden="1" outlineLevel="1">
      <c r="A505" s="753" t="s">
        <v>580</v>
      </c>
      <c r="B505" s="116">
        <v>0</v>
      </c>
      <c r="C505" s="95">
        <v>812687.92599999998</v>
      </c>
      <c r="D505" s="125">
        <v>1744477</v>
      </c>
      <c r="E505" s="112">
        <f t="shared" si="10"/>
        <v>2557164.926</v>
      </c>
      <c r="F505" t="s">
        <v>581</v>
      </c>
    </row>
    <row r="506" spans="1:6" hidden="1" outlineLevel="1">
      <c r="A506" s="753" t="s">
        <v>1410</v>
      </c>
      <c r="B506" s="116">
        <v>0</v>
      </c>
      <c r="C506" s="95">
        <v>22577</v>
      </c>
      <c r="D506" s="125">
        <v>7181569.557</v>
      </c>
      <c r="E506" s="112">
        <f t="shared" si="10"/>
        <v>7204146.557</v>
      </c>
      <c r="F506" t="s">
        <v>1411</v>
      </c>
    </row>
    <row r="507" spans="1:6" hidden="1" outlineLevel="1">
      <c r="A507" s="753" t="s">
        <v>1412</v>
      </c>
      <c r="B507" s="116">
        <v>0</v>
      </c>
      <c r="C507" s="95">
        <v>38076.724000000002</v>
      </c>
      <c r="D507" s="125">
        <v>1397708.8290000001</v>
      </c>
      <c r="E507" s="112">
        <f t="shared" si="10"/>
        <v>1435785.5530000001</v>
      </c>
      <c r="F507" t="s">
        <v>1413</v>
      </c>
    </row>
    <row r="508" spans="1:6" hidden="1" outlineLevel="1">
      <c r="A508" s="753" t="s">
        <v>1414</v>
      </c>
      <c r="B508" s="116">
        <v>0</v>
      </c>
      <c r="C508" s="95">
        <v>22846</v>
      </c>
      <c r="D508" s="125">
        <v>251348</v>
      </c>
      <c r="E508" s="112">
        <f t="shared" si="10"/>
        <v>274194</v>
      </c>
      <c r="F508" t="s">
        <v>1415</v>
      </c>
    </row>
    <row r="509" spans="1:6" hidden="1" outlineLevel="1">
      <c r="A509" s="753" t="s">
        <v>1416</v>
      </c>
      <c r="B509" s="116">
        <v>0</v>
      </c>
      <c r="C509" s="95">
        <v>0</v>
      </c>
      <c r="D509" s="125">
        <v>281248</v>
      </c>
      <c r="E509" s="112">
        <f t="shared" si="10"/>
        <v>281248</v>
      </c>
      <c r="F509" t="s">
        <v>1417</v>
      </c>
    </row>
    <row r="510" spans="1:6" hidden="1" outlineLevel="1">
      <c r="A510" s="753" t="s">
        <v>1418</v>
      </c>
      <c r="B510" s="116">
        <v>0</v>
      </c>
      <c r="C510" s="95">
        <v>68688</v>
      </c>
      <c r="D510" s="125">
        <v>190974</v>
      </c>
      <c r="E510" s="112">
        <f t="shared" si="10"/>
        <v>259662</v>
      </c>
      <c r="F510" t="s">
        <v>1419</v>
      </c>
    </row>
    <row r="511" spans="1:6" hidden="1" outlineLevel="1">
      <c r="A511" s="753" t="s">
        <v>1420</v>
      </c>
      <c r="B511" s="116">
        <v>0</v>
      </c>
      <c r="C511" s="95">
        <v>0</v>
      </c>
      <c r="D511" s="125">
        <v>86325</v>
      </c>
      <c r="E511" s="112">
        <f t="shared" si="10"/>
        <v>86325</v>
      </c>
      <c r="F511" t="s">
        <v>1421</v>
      </c>
    </row>
    <row r="512" spans="1:6" hidden="1" outlineLevel="1">
      <c r="A512" s="753" t="s">
        <v>1422</v>
      </c>
      <c r="B512" s="116">
        <v>0</v>
      </c>
      <c r="C512" s="95">
        <v>38706</v>
      </c>
      <c r="D512" s="125">
        <v>497453</v>
      </c>
      <c r="E512" s="112">
        <f t="shared" si="10"/>
        <v>536159</v>
      </c>
      <c r="F512" t="s">
        <v>1423</v>
      </c>
    </row>
    <row r="513" spans="1:6" hidden="1" outlineLevel="1">
      <c r="A513" s="753" t="s">
        <v>1424</v>
      </c>
      <c r="B513" s="116">
        <v>0</v>
      </c>
      <c r="C513" s="95">
        <v>140176</v>
      </c>
      <c r="D513" s="125">
        <v>1186694.5379999999</v>
      </c>
      <c r="E513" s="112">
        <f t="shared" si="10"/>
        <v>1326870.5379999999</v>
      </c>
      <c r="F513" t="s">
        <v>1425</v>
      </c>
    </row>
    <row r="514" spans="1:6" hidden="1" outlineLevel="1">
      <c r="A514" s="753" t="s">
        <v>1426</v>
      </c>
      <c r="B514" s="116">
        <v>0</v>
      </c>
      <c r="C514" s="95">
        <v>0</v>
      </c>
      <c r="D514" s="125">
        <v>1318632</v>
      </c>
      <c r="E514" s="112">
        <f t="shared" si="10"/>
        <v>1318632</v>
      </c>
      <c r="F514" t="s">
        <v>1427</v>
      </c>
    </row>
    <row r="515" spans="1:6" hidden="1" outlineLevel="1">
      <c r="A515" s="753" t="s">
        <v>1428</v>
      </c>
      <c r="B515" s="116">
        <v>0</v>
      </c>
      <c r="C515" s="95">
        <v>0</v>
      </c>
      <c r="D515" s="125">
        <v>195088</v>
      </c>
      <c r="E515" s="112">
        <f t="shared" si="10"/>
        <v>195088</v>
      </c>
      <c r="F515" t="s">
        <v>1429</v>
      </c>
    </row>
    <row r="516" spans="1:6" hidden="1" outlineLevel="1">
      <c r="A516" s="753" t="s">
        <v>1430</v>
      </c>
      <c r="B516" s="116">
        <v>194563</v>
      </c>
      <c r="C516" s="95">
        <v>18922437</v>
      </c>
      <c r="D516" s="125">
        <v>428175285.01999998</v>
      </c>
      <c r="E516" s="112">
        <f t="shared" si="10"/>
        <v>447292285.01999998</v>
      </c>
      <c r="F516" t="s">
        <v>1431</v>
      </c>
    </row>
    <row r="517" spans="1:6" hidden="1" outlineLevel="1">
      <c r="A517" s="753" t="s">
        <v>1432</v>
      </c>
      <c r="B517" s="116">
        <v>0</v>
      </c>
      <c r="C517" s="95">
        <v>17661</v>
      </c>
      <c r="D517" s="125">
        <v>489931.74800000002</v>
      </c>
      <c r="E517" s="112">
        <f t="shared" si="10"/>
        <v>507592.74800000002</v>
      </c>
      <c r="F517" t="s">
        <v>1433</v>
      </c>
    </row>
    <row r="518" spans="1:6" hidden="1" outlineLevel="1">
      <c r="A518" s="753" t="s">
        <v>1434</v>
      </c>
      <c r="B518" s="116">
        <v>0</v>
      </c>
      <c r="C518" s="95">
        <v>5327</v>
      </c>
      <c r="D518" s="125">
        <v>702515</v>
      </c>
      <c r="E518" s="112">
        <f t="shared" si="10"/>
        <v>707842</v>
      </c>
      <c r="F518" t="s">
        <v>1435</v>
      </c>
    </row>
    <row r="519" spans="1:6" hidden="1" outlineLevel="1">
      <c r="A519" s="753" t="s">
        <v>1436</v>
      </c>
      <c r="B519" s="116">
        <v>0</v>
      </c>
      <c r="C519" s="95">
        <v>23547</v>
      </c>
      <c r="D519" s="125">
        <v>1165132.4470000002</v>
      </c>
      <c r="E519" s="112">
        <f t="shared" si="10"/>
        <v>1188679.4470000002</v>
      </c>
      <c r="F519" t="s">
        <v>1437</v>
      </c>
    </row>
    <row r="520" spans="1:6" hidden="1" outlineLevel="1">
      <c r="A520" s="753" t="s">
        <v>1438</v>
      </c>
      <c r="B520" s="116">
        <v>0</v>
      </c>
      <c r="C520" s="95">
        <v>44993</v>
      </c>
      <c r="D520" s="125">
        <v>837041</v>
      </c>
      <c r="E520" s="112">
        <f t="shared" si="10"/>
        <v>882034</v>
      </c>
      <c r="F520" t="s">
        <v>1439</v>
      </c>
    </row>
    <row r="521" spans="1:6" hidden="1" outlineLevel="1">
      <c r="A521" s="753" t="s">
        <v>1440</v>
      </c>
      <c r="B521" s="116">
        <v>0</v>
      </c>
      <c r="C521" s="95">
        <v>122081</v>
      </c>
      <c r="D521" s="125">
        <v>1453760.5959999997</v>
      </c>
      <c r="E521" s="112">
        <f t="shared" si="10"/>
        <v>1575841.5959999997</v>
      </c>
      <c r="F521" t="s">
        <v>1441</v>
      </c>
    </row>
    <row r="522" spans="1:6" hidden="1" outlineLevel="1">
      <c r="A522" s="753" t="s">
        <v>1442</v>
      </c>
      <c r="B522" s="116">
        <v>0</v>
      </c>
      <c r="C522" s="95">
        <v>68160</v>
      </c>
      <c r="D522" s="125">
        <v>77000</v>
      </c>
      <c r="E522" s="112">
        <f t="shared" si="10"/>
        <v>145160</v>
      </c>
      <c r="F522" t="s">
        <v>1443</v>
      </c>
    </row>
    <row r="523" spans="1:6" hidden="1" outlineLevel="1">
      <c r="A523" s="753" t="s">
        <v>1444</v>
      </c>
      <c r="B523" s="116">
        <v>0</v>
      </c>
      <c r="C523" s="95">
        <v>2074637.4110000001</v>
      </c>
      <c r="D523" s="125">
        <v>7981844.148000001</v>
      </c>
      <c r="E523" s="112">
        <f t="shared" si="10"/>
        <v>10056481.559</v>
      </c>
      <c r="F523" t="s">
        <v>1445</v>
      </c>
    </row>
    <row r="524" spans="1:6" hidden="1" outlineLevel="1">
      <c r="A524" s="753" t="s">
        <v>1446</v>
      </c>
      <c r="B524" s="116">
        <v>0</v>
      </c>
      <c r="C524" s="95">
        <v>6435119</v>
      </c>
      <c r="D524" s="125">
        <v>256546176.00100002</v>
      </c>
      <c r="E524" s="112">
        <f t="shared" si="10"/>
        <v>262981295.00100002</v>
      </c>
      <c r="F524" t="s">
        <v>1447</v>
      </c>
    </row>
    <row r="525" spans="1:6" hidden="1" outlineLevel="1">
      <c r="A525" s="753" t="s">
        <v>1448</v>
      </c>
      <c r="B525" s="116">
        <v>0</v>
      </c>
      <c r="C525" s="95">
        <v>0</v>
      </c>
      <c r="D525" s="125">
        <v>674148.39999999991</v>
      </c>
      <c r="E525" s="112">
        <f t="shared" si="10"/>
        <v>674148.39999999991</v>
      </c>
      <c r="F525" t="s">
        <v>1449</v>
      </c>
    </row>
    <row r="526" spans="1:6" hidden="1" outlineLevel="1">
      <c r="A526" s="753" t="s">
        <v>1450</v>
      </c>
      <c r="B526" s="116">
        <v>0</v>
      </c>
      <c r="C526" s="95">
        <v>0</v>
      </c>
      <c r="D526" s="125">
        <v>188222837.48499998</v>
      </c>
      <c r="E526" s="112">
        <f t="shared" si="10"/>
        <v>188222837.48499998</v>
      </c>
      <c r="F526" t="s">
        <v>1451</v>
      </c>
    </row>
    <row r="527" spans="1:6" hidden="1" outlineLevel="1">
      <c r="A527" s="753" t="s">
        <v>1452</v>
      </c>
      <c r="B527" s="116">
        <v>0</v>
      </c>
      <c r="C527" s="95">
        <v>0</v>
      </c>
      <c r="D527" s="125">
        <v>553257.00299999979</v>
      </c>
      <c r="E527" s="112">
        <f t="shared" si="10"/>
        <v>553257.00299999979</v>
      </c>
      <c r="F527" t="s">
        <v>1453</v>
      </c>
    </row>
    <row r="528" spans="1:6" hidden="1" outlineLevel="1">
      <c r="A528" s="753" t="s">
        <v>1454</v>
      </c>
      <c r="B528" s="116">
        <v>0</v>
      </c>
      <c r="C528" s="95">
        <v>18801</v>
      </c>
      <c r="D528" s="125">
        <v>300721</v>
      </c>
      <c r="E528" s="112">
        <f t="shared" si="10"/>
        <v>319522</v>
      </c>
      <c r="F528" t="s">
        <v>1455</v>
      </c>
    </row>
    <row r="529" spans="1:6" hidden="1" outlineLevel="1">
      <c r="A529" s="753" t="s">
        <v>1456</v>
      </c>
      <c r="B529" s="116">
        <v>0</v>
      </c>
      <c r="C529" s="95">
        <v>0</v>
      </c>
      <c r="D529" s="125">
        <v>515791.40100000001</v>
      </c>
      <c r="E529" s="112">
        <f t="shared" si="10"/>
        <v>515791.40100000001</v>
      </c>
      <c r="F529" t="s">
        <v>1457</v>
      </c>
    </row>
    <row r="530" spans="1:6" hidden="1" outlineLevel="1">
      <c r="A530" s="753" t="s">
        <v>1458</v>
      </c>
      <c r="B530" s="116">
        <v>0</v>
      </c>
      <c r="C530" s="95">
        <v>0</v>
      </c>
      <c r="D530" s="125">
        <v>6545364</v>
      </c>
      <c r="E530" s="112">
        <f t="shared" si="10"/>
        <v>6545364</v>
      </c>
      <c r="F530" t="s">
        <v>1459</v>
      </c>
    </row>
    <row r="531" spans="1:6" hidden="1" outlineLevel="1">
      <c r="A531" s="753" t="s">
        <v>1460</v>
      </c>
      <c r="B531" s="116">
        <v>0</v>
      </c>
      <c r="C531" s="95">
        <v>106810</v>
      </c>
      <c r="D531" s="125">
        <v>88265</v>
      </c>
      <c r="E531" s="112">
        <f t="shared" si="10"/>
        <v>195075</v>
      </c>
      <c r="F531" t="s">
        <v>1461</v>
      </c>
    </row>
    <row r="532" spans="1:6" hidden="1" outlineLevel="1">
      <c r="A532" s="753" t="s">
        <v>1462</v>
      </c>
      <c r="B532" s="116">
        <v>0</v>
      </c>
      <c r="C532" s="95">
        <v>119482.72</v>
      </c>
      <c r="D532" s="125">
        <v>126481.06999999999</v>
      </c>
      <c r="E532" s="112">
        <f t="shared" ref="E532:E595" si="11">SUM(B532:D532)</f>
        <v>245963.78999999998</v>
      </c>
      <c r="F532" t="s">
        <v>1463</v>
      </c>
    </row>
    <row r="533" spans="1:6" hidden="1" outlineLevel="1">
      <c r="A533" s="753" t="s">
        <v>1464</v>
      </c>
      <c r="B533" s="116">
        <v>0</v>
      </c>
      <c r="C533" s="95">
        <v>61131</v>
      </c>
      <c r="D533" s="125">
        <v>2370937.9</v>
      </c>
      <c r="E533" s="112">
        <f t="shared" si="11"/>
        <v>2432068.9</v>
      </c>
      <c r="F533" t="s">
        <v>1465</v>
      </c>
    </row>
    <row r="534" spans="1:6" hidden="1" outlineLevel="1">
      <c r="A534" s="753" t="s">
        <v>1466</v>
      </c>
      <c r="B534" s="116">
        <v>0</v>
      </c>
      <c r="C534" s="95">
        <v>113017</v>
      </c>
      <c r="D534" s="125">
        <v>1300770.02</v>
      </c>
      <c r="E534" s="112">
        <f t="shared" si="11"/>
        <v>1413787.02</v>
      </c>
      <c r="F534" t="s">
        <v>1467</v>
      </c>
    </row>
    <row r="535" spans="1:6" hidden="1" outlineLevel="1">
      <c r="A535" s="753" t="s">
        <v>1468</v>
      </c>
      <c r="B535" s="116">
        <v>0</v>
      </c>
      <c r="C535" s="95">
        <v>1314842</v>
      </c>
      <c r="D535" s="125">
        <v>972613</v>
      </c>
      <c r="E535" s="112">
        <f t="shared" si="11"/>
        <v>2287455</v>
      </c>
      <c r="F535" t="s">
        <v>1469</v>
      </c>
    </row>
    <row r="536" spans="1:6" hidden="1" outlineLevel="1">
      <c r="A536" s="753" t="s">
        <v>1470</v>
      </c>
      <c r="B536" s="116">
        <v>0</v>
      </c>
      <c r="C536" s="95">
        <v>118527</v>
      </c>
      <c r="D536" s="125">
        <v>841438</v>
      </c>
      <c r="E536" s="112">
        <f t="shared" si="11"/>
        <v>959965</v>
      </c>
      <c r="F536" t="s">
        <v>1471</v>
      </c>
    </row>
    <row r="537" spans="1:6" hidden="1" outlineLevel="1">
      <c r="A537" s="753" t="s">
        <v>1472</v>
      </c>
      <c r="B537" s="116">
        <v>0</v>
      </c>
      <c r="C537" s="95">
        <v>0</v>
      </c>
      <c r="D537" s="125">
        <v>69079</v>
      </c>
      <c r="E537" s="112">
        <f t="shared" si="11"/>
        <v>69079</v>
      </c>
      <c r="F537" t="s">
        <v>1473</v>
      </c>
    </row>
    <row r="538" spans="1:6" hidden="1" outlineLevel="1">
      <c r="A538" s="753" t="s">
        <v>1474</v>
      </c>
      <c r="B538" s="116">
        <v>0</v>
      </c>
      <c r="C538" s="95">
        <v>11187.984</v>
      </c>
      <c r="D538" s="125">
        <v>70000.001000000004</v>
      </c>
      <c r="E538" s="112">
        <f t="shared" si="11"/>
        <v>81187.985000000001</v>
      </c>
      <c r="F538" t="s">
        <v>1475</v>
      </c>
    </row>
    <row r="539" spans="1:6" hidden="1" outlineLevel="1">
      <c r="A539" s="753" t="s">
        <v>1476</v>
      </c>
      <c r="B539" s="116">
        <v>7574</v>
      </c>
      <c r="C539" s="95">
        <v>48048</v>
      </c>
      <c r="D539" s="125">
        <v>217301.65300000002</v>
      </c>
      <c r="E539" s="112">
        <f t="shared" si="11"/>
        <v>272923.65300000005</v>
      </c>
      <c r="F539" t="s">
        <v>1477</v>
      </c>
    </row>
    <row r="540" spans="1:6" hidden="1" outlineLevel="1">
      <c r="A540" s="753" t="s">
        <v>1478</v>
      </c>
      <c r="B540" s="116">
        <v>0</v>
      </c>
      <c r="C540" s="95">
        <v>26690</v>
      </c>
      <c r="D540" s="125">
        <v>2488051.7000000002</v>
      </c>
      <c r="E540" s="112">
        <f t="shared" si="11"/>
        <v>2514741.7000000002</v>
      </c>
      <c r="F540" t="s">
        <v>1479</v>
      </c>
    </row>
    <row r="541" spans="1:6" hidden="1" outlineLevel="1">
      <c r="A541" s="753" t="s">
        <v>1480</v>
      </c>
      <c r="B541" s="116">
        <v>0</v>
      </c>
      <c r="C541" s="95">
        <v>0</v>
      </c>
      <c r="D541" s="125">
        <v>19250</v>
      </c>
      <c r="E541" s="112">
        <f t="shared" si="11"/>
        <v>19250</v>
      </c>
      <c r="F541" t="s">
        <v>1481</v>
      </c>
    </row>
    <row r="542" spans="1:6" hidden="1" outlineLevel="1">
      <c r="A542" s="753" t="s">
        <v>1482</v>
      </c>
      <c r="B542" s="116">
        <v>0</v>
      </c>
      <c r="C542" s="95">
        <v>0</v>
      </c>
      <c r="D542" s="125">
        <v>1082511.7889999999</v>
      </c>
      <c r="E542" s="112">
        <f t="shared" si="11"/>
        <v>1082511.7889999999</v>
      </c>
      <c r="F542" t="s">
        <v>1483</v>
      </c>
    </row>
    <row r="543" spans="1:6" hidden="1" outlineLevel="1">
      <c r="A543" s="753" t="s">
        <v>1484</v>
      </c>
      <c r="B543" s="116">
        <v>0</v>
      </c>
      <c r="C543" s="95">
        <v>0</v>
      </c>
      <c r="D543" s="125">
        <v>775630</v>
      </c>
      <c r="E543" s="112">
        <f t="shared" si="11"/>
        <v>775630</v>
      </c>
      <c r="F543" t="s">
        <v>1485</v>
      </c>
    </row>
    <row r="544" spans="1:6" hidden="1" outlineLevel="1">
      <c r="A544" s="753" t="s">
        <v>1486</v>
      </c>
      <c r="B544" s="116">
        <v>0</v>
      </c>
      <c r="C544" s="95">
        <v>301965</v>
      </c>
      <c r="D544" s="125">
        <v>745786.679</v>
      </c>
      <c r="E544" s="112">
        <f t="shared" si="11"/>
        <v>1047751.679</v>
      </c>
      <c r="F544" t="s">
        <v>1487</v>
      </c>
    </row>
    <row r="545" spans="1:6" hidden="1" outlineLevel="1">
      <c r="A545" s="753" t="s">
        <v>1488</v>
      </c>
      <c r="B545" s="116">
        <v>0</v>
      </c>
      <c r="C545" s="95">
        <v>63264.854999999996</v>
      </c>
      <c r="D545" s="125">
        <v>4890106.6999999993</v>
      </c>
      <c r="E545" s="112">
        <f t="shared" si="11"/>
        <v>4953371.5549999997</v>
      </c>
      <c r="F545" t="s">
        <v>1489</v>
      </c>
    </row>
    <row r="546" spans="1:6" hidden="1" outlineLevel="1">
      <c r="A546" s="753" t="s">
        <v>1490</v>
      </c>
      <c r="B546" s="116">
        <v>0</v>
      </c>
      <c r="C546" s="95">
        <v>34610</v>
      </c>
      <c r="D546" s="125">
        <v>19250</v>
      </c>
      <c r="E546" s="112">
        <f t="shared" si="11"/>
        <v>53860</v>
      </c>
      <c r="F546" t="s">
        <v>1491</v>
      </c>
    </row>
    <row r="547" spans="1:6" hidden="1" outlineLevel="1">
      <c r="A547" s="753" t="s">
        <v>1492</v>
      </c>
      <c r="B547" s="116">
        <v>0</v>
      </c>
      <c r="C547" s="95">
        <v>0</v>
      </c>
      <c r="D547" s="125">
        <v>21897</v>
      </c>
      <c r="E547" s="112">
        <f t="shared" si="11"/>
        <v>21897</v>
      </c>
      <c r="F547" t="s">
        <v>1493</v>
      </c>
    </row>
    <row r="548" spans="1:6" hidden="1" outlineLevel="1">
      <c r="A548" s="753" t="s">
        <v>1494</v>
      </c>
      <c r="B548" s="116">
        <v>0</v>
      </c>
      <c r="C548" s="95">
        <v>16035</v>
      </c>
      <c r="D548" s="125">
        <v>1227124.8319999999</v>
      </c>
      <c r="E548" s="112">
        <f t="shared" si="11"/>
        <v>1243159.8319999999</v>
      </c>
      <c r="F548" t="s">
        <v>1495</v>
      </c>
    </row>
    <row r="549" spans="1:6" hidden="1" outlineLevel="1">
      <c r="A549" s="753" t="s">
        <v>1496</v>
      </c>
      <c r="B549" s="116">
        <v>0</v>
      </c>
      <c r="C549" s="95">
        <v>231394.193</v>
      </c>
      <c r="D549" s="125">
        <v>5415549.7950000009</v>
      </c>
      <c r="E549" s="112">
        <f t="shared" si="11"/>
        <v>5646943.9880000008</v>
      </c>
      <c r="F549" t="s">
        <v>1497</v>
      </c>
    </row>
    <row r="550" spans="1:6" hidden="1" outlineLevel="1">
      <c r="A550" s="753" t="s">
        <v>1498</v>
      </c>
      <c r="B550" s="116">
        <v>0</v>
      </c>
      <c r="C550" s="95">
        <v>0</v>
      </c>
      <c r="D550" s="125">
        <v>120570.5</v>
      </c>
      <c r="E550" s="112">
        <f t="shared" si="11"/>
        <v>120570.5</v>
      </c>
      <c r="F550" t="s">
        <v>1499</v>
      </c>
    </row>
    <row r="551" spans="1:6" hidden="1" outlineLevel="1">
      <c r="A551" s="753" t="s">
        <v>1500</v>
      </c>
      <c r="B551" s="116">
        <v>0</v>
      </c>
      <c r="C551" s="95">
        <v>35540</v>
      </c>
      <c r="D551" s="125">
        <v>633041</v>
      </c>
      <c r="E551" s="112">
        <f t="shared" si="11"/>
        <v>668581</v>
      </c>
      <c r="F551" t="s">
        <v>1501</v>
      </c>
    </row>
    <row r="552" spans="1:6" hidden="1" outlineLevel="1">
      <c r="A552" s="753" t="s">
        <v>1502</v>
      </c>
      <c r="B552" s="116">
        <v>0</v>
      </c>
      <c r="C552" s="95">
        <v>750552</v>
      </c>
      <c r="D552" s="125">
        <v>115500</v>
      </c>
      <c r="E552" s="112">
        <f t="shared" si="11"/>
        <v>866052</v>
      </c>
      <c r="F552" t="s">
        <v>1503</v>
      </c>
    </row>
    <row r="553" spans="1:6" hidden="1" outlineLevel="1">
      <c r="A553" s="753" t="s">
        <v>1504</v>
      </c>
      <c r="B553" s="116">
        <v>0</v>
      </c>
      <c r="C553" s="95">
        <v>621149</v>
      </c>
      <c r="D553" s="125">
        <v>4830820.7309999997</v>
      </c>
      <c r="E553" s="112">
        <f t="shared" si="11"/>
        <v>5451969.7309999997</v>
      </c>
      <c r="F553" t="s">
        <v>1505</v>
      </c>
    </row>
    <row r="554" spans="1:6" hidden="1" outlineLevel="1">
      <c r="A554" s="753" t="s">
        <v>1506</v>
      </c>
      <c r="B554" s="116">
        <v>0</v>
      </c>
      <c r="C554" s="95">
        <v>0</v>
      </c>
      <c r="D554" s="125">
        <v>301174</v>
      </c>
      <c r="E554" s="112">
        <f t="shared" si="11"/>
        <v>301174</v>
      </c>
      <c r="F554" t="s">
        <v>1507</v>
      </c>
    </row>
    <row r="555" spans="1:6" hidden="1" outlineLevel="1">
      <c r="A555" s="753" t="s">
        <v>1508</v>
      </c>
      <c r="B555" s="116">
        <v>0</v>
      </c>
      <c r="C555" s="95">
        <v>383216</v>
      </c>
      <c r="D555" s="125">
        <v>550764</v>
      </c>
      <c r="E555" s="112">
        <f t="shared" si="11"/>
        <v>933980</v>
      </c>
      <c r="F555" t="s">
        <v>1509</v>
      </c>
    </row>
    <row r="556" spans="1:6" hidden="1" outlineLevel="1">
      <c r="A556" s="753" t="s">
        <v>1510</v>
      </c>
      <c r="B556" s="116">
        <v>0</v>
      </c>
      <c r="C556" s="95">
        <v>83708</v>
      </c>
      <c r="D556" s="125">
        <v>1417314</v>
      </c>
      <c r="E556" s="112">
        <f t="shared" si="11"/>
        <v>1501022</v>
      </c>
      <c r="F556" t="s">
        <v>1511</v>
      </c>
    </row>
    <row r="557" spans="1:6" hidden="1" outlineLevel="1">
      <c r="A557" s="753" t="s">
        <v>1512</v>
      </c>
      <c r="B557" s="116">
        <v>0</v>
      </c>
      <c r="C557" s="95">
        <v>31733</v>
      </c>
      <c r="D557" s="125">
        <v>363794</v>
      </c>
      <c r="E557" s="112">
        <f t="shared" si="11"/>
        <v>395527</v>
      </c>
      <c r="F557" t="s">
        <v>1513</v>
      </c>
    </row>
    <row r="558" spans="1:6" hidden="1" outlineLevel="1">
      <c r="A558" s="753" t="s">
        <v>1514</v>
      </c>
      <c r="B558" s="116">
        <v>0</v>
      </c>
      <c r="C558" s="95">
        <v>17390</v>
      </c>
      <c r="D558" s="125">
        <v>261034</v>
      </c>
      <c r="E558" s="112">
        <f t="shared" si="11"/>
        <v>278424</v>
      </c>
      <c r="F558" t="s">
        <v>1515</v>
      </c>
    </row>
    <row r="559" spans="1:6" hidden="1" outlineLevel="1">
      <c r="A559" s="753" t="s">
        <v>1516</v>
      </c>
      <c r="B559" s="116">
        <v>128095</v>
      </c>
      <c r="C559" s="95">
        <v>9034094</v>
      </c>
      <c r="D559" s="125">
        <v>504306760</v>
      </c>
      <c r="E559" s="112">
        <f t="shared" si="11"/>
        <v>513468949</v>
      </c>
      <c r="F559" t="s">
        <v>1517</v>
      </c>
    </row>
    <row r="560" spans="1:6" hidden="1" outlineLevel="1">
      <c r="A560" s="753" t="s">
        <v>1518</v>
      </c>
      <c r="B560" s="116">
        <v>0</v>
      </c>
      <c r="C560" s="95">
        <v>6915</v>
      </c>
      <c r="D560" s="125">
        <v>558178</v>
      </c>
      <c r="E560" s="112">
        <f t="shared" si="11"/>
        <v>565093</v>
      </c>
      <c r="F560" t="s">
        <v>1519</v>
      </c>
    </row>
    <row r="561" spans="1:6" hidden="1" outlineLevel="1">
      <c r="A561" s="753" t="s">
        <v>1520</v>
      </c>
      <c r="B561" s="116">
        <v>0</v>
      </c>
      <c r="C561" s="95">
        <v>4262</v>
      </c>
      <c r="D561" s="125">
        <v>81518</v>
      </c>
      <c r="E561" s="112">
        <f t="shared" si="11"/>
        <v>85780</v>
      </c>
      <c r="F561" t="s">
        <v>1521</v>
      </c>
    </row>
    <row r="562" spans="1:6" hidden="1" outlineLevel="1">
      <c r="A562" s="753" t="s">
        <v>1522</v>
      </c>
      <c r="B562" s="116">
        <v>0</v>
      </c>
      <c r="C562" s="95">
        <v>265707.79000000004</v>
      </c>
      <c r="D562" s="125">
        <v>1528764.25</v>
      </c>
      <c r="E562" s="112">
        <f t="shared" si="11"/>
        <v>1794472.04</v>
      </c>
      <c r="F562" t="s">
        <v>1523</v>
      </c>
    </row>
    <row r="563" spans="1:6" hidden="1" outlineLevel="1">
      <c r="A563" s="753" t="s">
        <v>1524</v>
      </c>
      <c r="B563" s="116">
        <v>0</v>
      </c>
      <c r="C563" s="95">
        <v>52457</v>
      </c>
      <c r="D563" s="125">
        <v>367653</v>
      </c>
      <c r="E563" s="112">
        <f t="shared" si="11"/>
        <v>420110</v>
      </c>
      <c r="F563" t="s">
        <v>1525</v>
      </c>
    </row>
    <row r="564" spans="1:6" hidden="1" outlineLevel="1">
      <c r="A564" s="753" t="s">
        <v>1526</v>
      </c>
      <c r="B564" s="116">
        <v>0</v>
      </c>
      <c r="C564" s="95">
        <v>15812</v>
      </c>
      <c r="D564" s="125">
        <v>953086.00099999993</v>
      </c>
      <c r="E564" s="112">
        <f t="shared" si="11"/>
        <v>968898.00099999993</v>
      </c>
      <c r="F564" t="s">
        <v>1527</v>
      </c>
    </row>
    <row r="565" spans="1:6" hidden="1" outlineLevel="1">
      <c r="A565" s="753" t="s">
        <v>1528</v>
      </c>
      <c r="B565" s="116">
        <v>0</v>
      </c>
      <c r="C565" s="95">
        <v>0</v>
      </c>
      <c r="D565" s="125">
        <v>15898829.82</v>
      </c>
      <c r="E565" s="112">
        <f t="shared" si="11"/>
        <v>15898829.82</v>
      </c>
      <c r="F565" t="s">
        <v>1529</v>
      </c>
    </row>
    <row r="566" spans="1:6" hidden="1" outlineLevel="1">
      <c r="A566" s="753" t="s">
        <v>1530</v>
      </c>
      <c r="B566" s="116">
        <v>0</v>
      </c>
      <c r="C566" s="95">
        <v>137661</v>
      </c>
      <c r="D566" s="125">
        <v>760937</v>
      </c>
      <c r="E566" s="112">
        <f t="shared" si="11"/>
        <v>898598</v>
      </c>
      <c r="F566" t="s">
        <v>1531</v>
      </c>
    </row>
    <row r="567" spans="1:6" hidden="1" outlineLevel="1">
      <c r="A567" s="753" t="s">
        <v>1532</v>
      </c>
      <c r="B567" s="116">
        <v>0</v>
      </c>
      <c r="C567" s="95">
        <v>17126</v>
      </c>
      <c r="D567" s="125">
        <v>4302661.6410000017</v>
      </c>
      <c r="E567" s="112">
        <f t="shared" si="11"/>
        <v>4319787.6410000017</v>
      </c>
      <c r="F567" t="s">
        <v>1533</v>
      </c>
    </row>
    <row r="568" spans="1:6" hidden="1" outlineLevel="1">
      <c r="A568" s="753" t="s">
        <v>1534</v>
      </c>
      <c r="B568" s="116">
        <v>0</v>
      </c>
      <c r="C568" s="95">
        <v>79006.399999999994</v>
      </c>
      <c r="D568" s="125">
        <v>1133431.6000000001</v>
      </c>
      <c r="E568" s="112">
        <f t="shared" si="11"/>
        <v>1212438</v>
      </c>
      <c r="F568" t="s">
        <v>1535</v>
      </c>
    </row>
    <row r="569" spans="1:6" hidden="1" outlineLevel="1">
      <c r="A569" s="753" t="s">
        <v>1536</v>
      </c>
      <c r="B569" s="116">
        <v>0</v>
      </c>
      <c r="C569" s="95">
        <v>254504</v>
      </c>
      <c r="D569" s="125">
        <v>212800</v>
      </c>
      <c r="E569" s="112">
        <f t="shared" si="11"/>
        <v>467304</v>
      </c>
      <c r="F569" t="s">
        <v>1537</v>
      </c>
    </row>
    <row r="570" spans="1:6" hidden="1" outlineLevel="1">
      <c r="A570" s="753" t="s">
        <v>1538</v>
      </c>
      <c r="B570" s="116">
        <v>0</v>
      </c>
      <c r="C570" s="95">
        <v>1063551.57</v>
      </c>
      <c r="D570" s="125">
        <v>3165843.37</v>
      </c>
      <c r="E570" s="112">
        <f t="shared" si="11"/>
        <v>4229394.9400000004</v>
      </c>
      <c r="F570" t="s">
        <v>1539</v>
      </c>
    </row>
    <row r="571" spans="1:6" hidden="1" outlineLevel="1">
      <c r="A571" s="753" t="s">
        <v>1540</v>
      </c>
      <c r="B571" s="116">
        <v>0</v>
      </c>
      <c r="C571" s="95">
        <v>0</v>
      </c>
      <c r="D571" s="125">
        <v>42697</v>
      </c>
      <c r="E571" s="112">
        <f t="shared" si="11"/>
        <v>42697</v>
      </c>
      <c r="F571" t="s">
        <v>1541</v>
      </c>
    </row>
    <row r="572" spans="1:6" hidden="1" outlineLevel="1">
      <c r="A572" s="753" t="s">
        <v>1542</v>
      </c>
      <c r="B572" s="116">
        <v>0</v>
      </c>
      <c r="C572" s="95">
        <v>0</v>
      </c>
      <c r="D572" s="125">
        <v>636008</v>
      </c>
      <c r="E572" s="112">
        <f t="shared" si="11"/>
        <v>636008</v>
      </c>
      <c r="F572" t="s">
        <v>1543</v>
      </c>
    </row>
    <row r="573" spans="1:6" hidden="1" outlineLevel="1">
      <c r="A573" s="753" t="s">
        <v>1544</v>
      </c>
      <c r="B573" s="116">
        <v>0</v>
      </c>
      <c r="C573" s="95">
        <v>177809</v>
      </c>
      <c r="D573" s="125">
        <v>39969</v>
      </c>
      <c r="E573" s="112">
        <f t="shared" si="11"/>
        <v>217778</v>
      </c>
      <c r="F573" t="s">
        <v>1545</v>
      </c>
    </row>
    <row r="574" spans="1:6" hidden="1" outlineLevel="1">
      <c r="A574" s="753" t="s">
        <v>1546</v>
      </c>
      <c r="B574" s="116">
        <v>0</v>
      </c>
      <c r="C574" s="95">
        <v>0</v>
      </c>
      <c r="D574" s="125">
        <v>1193001</v>
      </c>
      <c r="E574" s="112">
        <f t="shared" si="11"/>
        <v>1193001</v>
      </c>
      <c r="F574" t="s">
        <v>1547</v>
      </c>
    </row>
    <row r="575" spans="1:6" hidden="1" outlineLevel="1">
      <c r="A575" s="753" t="s">
        <v>1548</v>
      </c>
      <c r="B575" s="116">
        <v>0</v>
      </c>
      <c r="C575" s="95">
        <v>0</v>
      </c>
      <c r="D575" s="125">
        <v>106410.89</v>
      </c>
      <c r="E575" s="112">
        <f t="shared" si="11"/>
        <v>106410.89</v>
      </c>
      <c r="F575" t="s">
        <v>1549</v>
      </c>
    </row>
    <row r="576" spans="1:6" hidden="1" outlineLevel="1">
      <c r="A576" s="753" t="s">
        <v>1550</v>
      </c>
      <c r="B576" s="116">
        <v>0</v>
      </c>
      <c r="C576" s="95">
        <v>3857</v>
      </c>
      <c r="D576" s="125">
        <v>742922</v>
      </c>
      <c r="E576" s="112">
        <f t="shared" si="11"/>
        <v>746779</v>
      </c>
      <c r="F576" t="s">
        <v>1551</v>
      </c>
    </row>
    <row r="577" spans="1:6" hidden="1" outlineLevel="1">
      <c r="A577" s="753" t="s">
        <v>1552</v>
      </c>
      <c r="B577" s="116">
        <v>0</v>
      </c>
      <c r="C577" s="95">
        <v>31019</v>
      </c>
      <c r="D577" s="125">
        <v>532125</v>
      </c>
      <c r="E577" s="112">
        <f t="shared" si="11"/>
        <v>563144</v>
      </c>
      <c r="F577" t="s">
        <v>1553</v>
      </c>
    </row>
    <row r="578" spans="1:6" hidden="1" outlineLevel="1">
      <c r="A578" s="753" t="s">
        <v>1554</v>
      </c>
      <c r="B578" s="116">
        <v>0</v>
      </c>
      <c r="C578" s="95">
        <v>21856</v>
      </c>
      <c r="D578" s="125">
        <v>731162.4</v>
      </c>
      <c r="E578" s="112">
        <f t="shared" si="11"/>
        <v>753018.4</v>
      </c>
      <c r="F578" t="s">
        <v>1555</v>
      </c>
    </row>
    <row r="579" spans="1:6" hidden="1" outlineLevel="1">
      <c r="A579" s="753" t="s">
        <v>1556</v>
      </c>
      <c r="B579" s="116">
        <v>0</v>
      </c>
      <c r="C579" s="95">
        <v>694899</v>
      </c>
      <c r="D579" s="125">
        <v>1305081</v>
      </c>
      <c r="E579" s="112">
        <f t="shared" si="11"/>
        <v>1999980</v>
      </c>
      <c r="F579" t="s">
        <v>1557</v>
      </c>
    </row>
    <row r="580" spans="1:6" hidden="1" outlineLevel="1">
      <c r="A580" s="753" t="s">
        <v>1558</v>
      </c>
      <c r="B580" s="116">
        <v>0</v>
      </c>
      <c r="C580" s="95">
        <v>270621</v>
      </c>
      <c r="D580" s="125">
        <v>2565638</v>
      </c>
      <c r="E580" s="112">
        <f t="shared" si="11"/>
        <v>2836259</v>
      </c>
      <c r="F580" t="s">
        <v>1559</v>
      </c>
    </row>
    <row r="581" spans="1:6" hidden="1" outlineLevel="1">
      <c r="A581" s="753" t="s">
        <v>1560</v>
      </c>
      <c r="B581" s="116">
        <v>0</v>
      </c>
      <c r="C581" s="95">
        <v>128545</v>
      </c>
      <c r="D581" s="125">
        <v>0</v>
      </c>
      <c r="E581" s="112">
        <f t="shared" si="11"/>
        <v>128545</v>
      </c>
      <c r="F581" t="s">
        <v>1561</v>
      </c>
    </row>
    <row r="582" spans="1:6" hidden="1" outlineLevel="1">
      <c r="A582" s="753" t="s">
        <v>1562</v>
      </c>
      <c r="B582" s="116">
        <v>0</v>
      </c>
      <c r="C582" s="95">
        <v>0</v>
      </c>
      <c r="D582" s="125">
        <v>19250</v>
      </c>
      <c r="E582" s="112">
        <f t="shared" si="11"/>
        <v>19250</v>
      </c>
      <c r="F582" t="s">
        <v>1563</v>
      </c>
    </row>
    <row r="583" spans="1:6" hidden="1" outlineLevel="1">
      <c r="A583" s="753" t="s">
        <v>1564</v>
      </c>
      <c r="B583" s="116">
        <v>0</v>
      </c>
      <c r="C583" s="95">
        <v>0</v>
      </c>
      <c r="D583" s="125">
        <v>187886</v>
      </c>
      <c r="E583" s="112">
        <f t="shared" si="11"/>
        <v>187886</v>
      </c>
      <c r="F583" t="s">
        <v>1565</v>
      </c>
    </row>
    <row r="584" spans="1:6" hidden="1" outlineLevel="1">
      <c r="A584" s="753" t="s">
        <v>1566</v>
      </c>
      <c r="B584" s="116">
        <v>0</v>
      </c>
      <c r="C584" s="95">
        <v>826702</v>
      </c>
      <c r="D584" s="125">
        <v>13722861</v>
      </c>
      <c r="E584" s="112">
        <f t="shared" si="11"/>
        <v>14549563</v>
      </c>
      <c r="F584" t="s">
        <v>1567</v>
      </c>
    </row>
    <row r="585" spans="1:6" hidden="1" outlineLevel="1">
      <c r="A585" s="753" t="s">
        <v>1568</v>
      </c>
      <c r="B585" s="116">
        <v>0</v>
      </c>
      <c r="C585" s="95">
        <v>920</v>
      </c>
      <c r="D585" s="125">
        <v>0</v>
      </c>
      <c r="E585" s="112">
        <f t="shared" si="11"/>
        <v>920</v>
      </c>
      <c r="F585" t="s">
        <v>1569</v>
      </c>
    </row>
    <row r="586" spans="1:6" hidden="1" outlineLevel="1">
      <c r="A586" s="753" t="s">
        <v>1570</v>
      </c>
      <c r="B586" s="116">
        <v>0</v>
      </c>
      <c r="C586" s="95">
        <v>32511</v>
      </c>
      <c r="D586" s="125">
        <v>1657457.2410000002</v>
      </c>
      <c r="E586" s="112">
        <f t="shared" si="11"/>
        <v>1689968.2410000002</v>
      </c>
      <c r="F586" t="s">
        <v>1571</v>
      </c>
    </row>
    <row r="587" spans="1:6" hidden="1" outlineLevel="1">
      <c r="A587" s="753" t="s">
        <v>1572</v>
      </c>
      <c r="B587" s="116">
        <v>0</v>
      </c>
      <c r="C587" s="95">
        <v>124048</v>
      </c>
      <c r="D587" s="125">
        <v>2571679.1</v>
      </c>
      <c r="E587" s="112">
        <f t="shared" si="11"/>
        <v>2695727.1</v>
      </c>
      <c r="F587" t="s">
        <v>1573</v>
      </c>
    </row>
    <row r="588" spans="1:6" hidden="1" outlineLevel="1">
      <c r="A588" s="753" t="s">
        <v>1574</v>
      </c>
      <c r="B588" s="116">
        <v>0</v>
      </c>
      <c r="C588" s="95">
        <v>26432</v>
      </c>
      <c r="D588" s="125">
        <v>71750</v>
      </c>
      <c r="E588" s="112">
        <f t="shared" si="11"/>
        <v>98182</v>
      </c>
      <c r="F588" t="s">
        <v>1575</v>
      </c>
    </row>
    <row r="589" spans="1:6" hidden="1" outlineLevel="1">
      <c r="A589" s="753" t="s">
        <v>1576</v>
      </c>
      <c r="B589" s="116">
        <v>0</v>
      </c>
      <c r="C589" s="95">
        <v>0</v>
      </c>
      <c r="D589" s="125">
        <v>1232000</v>
      </c>
      <c r="E589" s="112">
        <f t="shared" si="11"/>
        <v>1232000</v>
      </c>
      <c r="F589" t="s">
        <v>1577</v>
      </c>
    </row>
    <row r="590" spans="1:6" hidden="1" outlineLevel="1">
      <c r="A590" s="753" t="s">
        <v>1578</v>
      </c>
      <c r="B590" s="116">
        <v>0</v>
      </c>
      <c r="C590" s="95">
        <v>152556</v>
      </c>
      <c r="D590" s="125">
        <v>1742722.828</v>
      </c>
      <c r="E590" s="112">
        <f t="shared" si="11"/>
        <v>1895278.828</v>
      </c>
      <c r="F590" t="s">
        <v>1579</v>
      </c>
    </row>
    <row r="591" spans="1:6" hidden="1" outlineLevel="1">
      <c r="A591" s="753" t="s">
        <v>1580</v>
      </c>
      <c r="B591" s="116">
        <v>0</v>
      </c>
      <c r="C591" s="95">
        <v>0</v>
      </c>
      <c r="D591" s="125">
        <v>35616</v>
      </c>
      <c r="E591" s="112">
        <f t="shared" si="11"/>
        <v>35616</v>
      </c>
      <c r="F591" t="s">
        <v>1581</v>
      </c>
    </row>
    <row r="592" spans="1:6" hidden="1" outlineLevel="1">
      <c r="A592" s="753" t="s">
        <v>1582</v>
      </c>
      <c r="B592" s="116">
        <v>0</v>
      </c>
      <c r="C592" s="95">
        <v>0</v>
      </c>
      <c r="D592" s="125">
        <v>684575.42599999998</v>
      </c>
      <c r="E592" s="112">
        <f t="shared" si="11"/>
        <v>684575.42599999998</v>
      </c>
      <c r="F592" t="s">
        <v>1583</v>
      </c>
    </row>
    <row r="593" spans="1:6" hidden="1" outlineLevel="1">
      <c r="A593" s="753" t="s">
        <v>1584</v>
      </c>
      <c r="B593" s="116">
        <v>0</v>
      </c>
      <c r="C593" s="95">
        <v>42232</v>
      </c>
      <c r="D593" s="125">
        <v>7755233</v>
      </c>
      <c r="E593" s="112">
        <f t="shared" si="11"/>
        <v>7797465</v>
      </c>
      <c r="F593" t="s">
        <v>1585</v>
      </c>
    </row>
    <row r="594" spans="1:6" hidden="1" outlineLevel="1">
      <c r="A594" s="753" t="s">
        <v>1030</v>
      </c>
      <c r="B594" s="116">
        <v>0</v>
      </c>
      <c r="C594" s="95">
        <v>15547</v>
      </c>
      <c r="D594" s="125">
        <v>70597</v>
      </c>
      <c r="E594" s="112">
        <f t="shared" si="11"/>
        <v>86144</v>
      </c>
      <c r="F594" t="s">
        <v>1031</v>
      </c>
    </row>
    <row r="595" spans="1:6" hidden="1" outlineLevel="1">
      <c r="A595" s="753" t="s">
        <v>1586</v>
      </c>
      <c r="B595" s="116">
        <v>0</v>
      </c>
      <c r="C595" s="95">
        <v>64113</v>
      </c>
      <c r="D595" s="125">
        <v>188571</v>
      </c>
      <c r="E595" s="112">
        <f t="shared" si="11"/>
        <v>252684</v>
      </c>
      <c r="F595" t="s">
        <v>1587</v>
      </c>
    </row>
    <row r="596" spans="1:6" hidden="1" outlineLevel="1">
      <c r="A596" s="753" t="s">
        <v>1588</v>
      </c>
      <c r="B596" s="116">
        <v>0</v>
      </c>
      <c r="C596" s="95">
        <v>174511</v>
      </c>
      <c r="D596" s="125">
        <v>2416219.0609999998</v>
      </c>
      <c r="E596" s="112">
        <f t="shared" ref="E596:E659" si="12">SUM(B596:D596)</f>
        <v>2590730.0609999998</v>
      </c>
      <c r="F596" t="s">
        <v>1589</v>
      </c>
    </row>
    <row r="597" spans="1:6" hidden="1" outlineLevel="1">
      <c r="A597" s="753" t="s">
        <v>1590</v>
      </c>
      <c r="B597" s="116">
        <v>0</v>
      </c>
      <c r="C597" s="95">
        <v>0</v>
      </c>
      <c r="D597" s="125">
        <v>3495</v>
      </c>
      <c r="E597" s="112">
        <f t="shared" si="12"/>
        <v>3495</v>
      </c>
      <c r="F597" t="s">
        <v>1591</v>
      </c>
    </row>
    <row r="598" spans="1:6" hidden="1" outlineLevel="1">
      <c r="A598" s="753" t="s">
        <v>1592</v>
      </c>
      <c r="B598" s="116">
        <v>0</v>
      </c>
      <c r="C598" s="95">
        <v>1</v>
      </c>
      <c r="D598" s="125">
        <v>2586847</v>
      </c>
      <c r="E598" s="112">
        <f t="shared" si="12"/>
        <v>2586848</v>
      </c>
      <c r="F598" t="s">
        <v>1593</v>
      </c>
    </row>
    <row r="599" spans="1:6" hidden="1" outlineLevel="1">
      <c r="A599" s="753" t="s">
        <v>1594</v>
      </c>
      <c r="B599" s="116">
        <v>0</v>
      </c>
      <c r="C599" s="95">
        <v>7599</v>
      </c>
      <c r="D599" s="125">
        <v>19250</v>
      </c>
      <c r="E599" s="112">
        <f t="shared" si="12"/>
        <v>26849</v>
      </c>
      <c r="F599" t="s">
        <v>1595</v>
      </c>
    </row>
    <row r="600" spans="1:6" hidden="1" outlineLevel="1">
      <c r="A600" s="753" t="s">
        <v>1596</v>
      </c>
      <c r="B600" s="116">
        <v>0</v>
      </c>
      <c r="C600" s="95">
        <v>10234</v>
      </c>
      <c r="D600" s="125">
        <v>506751</v>
      </c>
      <c r="E600" s="112">
        <f t="shared" si="12"/>
        <v>516985</v>
      </c>
      <c r="F600" t="s">
        <v>1597</v>
      </c>
    </row>
    <row r="601" spans="1:6" hidden="1" outlineLevel="1">
      <c r="A601" s="753" t="s">
        <v>1598</v>
      </c>
      <c r="B601" s="116">
        <v>0</v>
      </c>
      <c r="C601" s="95">
        <v>1068783</v>
      </c>
      <c r="D601" s="125">
        <v>706124</v>
      </c>
      <c r="E601" s="112">
        <f t="shared" si="12"/>
        <v>1774907</v>
      </c>
      <c r="F601" t="s">
        <v>1599</v>
      </c>
    </row>
    <row r="602" spans="1:6" hidden="1" outlineLevel="1">
      <c r="A602" s="753" t="s">
        <v>1600</v>
      </c>
      <c r="B602" s="116">
        <v>0</v>
      </c>
      <c r="C602" s="95">
        <v>1071891.75</v>
      </c>
      <c r="D602" s="125">
        <v>732406.43</v>
      </c>
      <c r="E602" s="112">
        <f t="shared" si="12"/>
        <v>1804298.1800000002</v>
      </c>
      <c r="F602" t="s">
        <v>1601</v>
      </c>
    </row>
    <row r="603" spans="1:6" hidden="1" outlineLevel="1">
      <c r="A603" s="753" t="s">
        <v>1602</v>
      </c>
      <c r="B603" s="116">
        <v>0</v>
      </c>
      <c r="C603" s="95">
        <v>0</v>
      </c>
      <c r="D603" s="125">
        <v>1119093.2169999999</v>
      </c>
      <c r="E603" s="112">
        <f t="shared" si="12"/>
        <v>1119093.2169999999</v>
      </c>
      <c r="F603" t="s">
        <v>1603</v>
      </c>
    </row>
    <row r="604" spans="1:6" hidden="1" outlineLevel="1">
      <c r="A604" s="753" t="s">
        <v>1604</v>
      </c>
      <c r="B604" s="116">
        <v>0</v>
      </c>
      <c r="C604" s="95">
        <v>0</v>
      </c>
      <c r="D604" s="125">
        <v>559003</v>
      </c>
      <c r="E604" s="112">
        <f t="shared" si="12"/>
        <v>559003</v>
      </c>
      <c r="F604" t="s">
        <v>1605</v>
      </c>
    </row>
    <row r="605" spans="1:6" hidden="1" outlineLevel="1">
      <c r="A605" s="753" t="s">
        <v>1606</v>
      </c>
      <c r="B605" s="116">
        <v>0</v>
      </c>
      <c r="C605" s="95">
        <v>127246</v>
      </c>
      <c r="D605" s="125">
        <v>171539.242</v>
      </c>
      <c r="E605" s="112">
        <f t="shared" si="12"/>
        <v>298785.24199999997</v>
      </c>
      <c r="F605" t="s">
        <v>1607</v>
      </c>
    </row>
    <row r="606" spans="1:6" hidden="1" outlineLevel="1">
      <c r="A606" s="753" t="s">
        <v>1608</v>
      </c>
      <c r="B606" s="116">
        <v>0</v>
      </c>
      <c r="C606" s="95">
        <v>363279</v>
      </c>
      <c r="D606" s="125">
        <v>977933.00099999993</v>
      </c>
      <c r="E606" s="112">
        <f t="shared" si="12"/>
        <v>1341212.0009999999</v>
      </c>
      <c r="F606" t="s">
        <v>1609</v>
      </c>
    </row>
    <row r="607" spans="1:6" hidden="1" outlineLevel="1">
      <c r="A607" s="753" t="s">
        <v>1610</v>
      </c>
      <c r="B607" s="116">
        <v>0</v>
      </c>
      <c r="C607" s="95">
        <v>0</v>
      </c>
      <c r="D607" s="125">
        <v>959885</v>
      </c>
      <c r="E607" s="112">
        <f t="shared" si="12"/>
        <v>959885</v>
      </c>
      <c r="F607" t="s">
        <v>1611</v>
      </c>
    </row>
    <row r="608" spans="1:6" hidden="1" outlineLevel="1">
      <c r="A608" s="753" t="s">
        <v>1612</v>
      </c>
      <c r="B608" s="116">
        <v>0</v>
      </c>
      <c r="C608" s="95">
        <v>0</v>
      </c>
      <c r="D608" s="125">
        <v>180251</v>
      </c>
      <c r="E608" s="112">
        <f t="shared" si="12"/>
        <v>180251</v>
      </c>
      <c r="F608" t="s">
        <v>1613</v>
      </c>
    </row>
    <row r="609" spans="1:6" hidden="1" outlineLevel="1">
      <c r="A609" s="753" t="s">
        <v>1614</v>
      </c>
      <c r="B609" s="116">
        <v>0</v>
      </c>
      <c r="C609" s="95">
        <v>143770</v>
      </c>
      <c r="D609" s="125">
        <v>1092157.76</v>
      </c>
      <c r="E609" s="112">
        <f t="shared" si="12"/>
        <v>1235927.76</v>
      </c>
      <c r="F609" t="s">
        <v>1615</v>
      </c>
    </row>
    <row r="610" spans="1:6" hidden="1" outlineLevel="1">
      <c r="A610" s="753" t="s">
        <v>1616</v>
      </c>
      <c r="B610" s="116">
        <v>0</v>
      </c>
      <c r="C610" s="95">
        <v>251180</v>
      </c>
      <c r="D610" s="125">
        <v>297185</v>
      </c>
      <c r="E610" s="112">
        <f t="shared" si="12"/>
        <v>548365</v>
      </c>
      <c r="F610" t="s">
        <v>1617</v>
      </c>
    </row>
    <row r="611" spans="1:6" hidden="1" outlineLevel="1">
      <c r="A611" s="753" t="s">
        <v>1618</v>
      </c>
      <c r="B611" s="116">
        <v>0</v>
      </c>
      <c r="C611" s="95">
        <v>41651</v>
      </c>
      <c r="D611" s="125">
        <v>256576.51</v>
      </c>
      <c r="E611" s="112">
        <f t="shared" si="12"/>
        <v>298227.51</v>
      </c>
      <c r="F611" t="s">
        <v>1619</v>
      </c>
    </row>
    <row r="612" spans="1:6" hidden="1" outlineLevel="1">
      <c r="A612" s="753" t="s">
        <v>1620</v>
      </c>
      <c r="B612" s="116">
        <v>0</v>
      </c>
      <c r="C612" s="95">
        <v>451885</v>
      </c>
      <c r="D612" s="125">
        <v>569930</v>
      </c>
      <c r="E612" s="112">
        <f t="shared" si="12"/>
        <v>1021815</v>
      </c>
      <c r="F612" t="s">
        <v>1621</v>
      </c>
    </row>
    <row r="613" spans="1:6" hidden="1" outlineLevel="1">
      <c r="A613" s="753" t="s">
        <v>1622</v>
      </c>
      <c r="B613" s="116">
        <v>0</v>
      </c>
      <c r="C613" s="95">
        <v>0</v>
      </c>
      <c r="D613" s="125">
        <v>701141</v>
      </c>
      <c r="E613" s="112">
        <f t="shared" si="12"/>
        <v>701141</v>
      </c>
      <c r="F613" t="s">
        <v>1623</v>
      </c>
    </row>
    <row r="614" spans="1:6" hidden="1" outlineLevel="1">
      <c r="A614" s="753" t="s">
        <v>1624</v>
      </c>
      <c r="B614" s="116">
        <v>0</v>
      </c>
      <c r="C614" s="95">
        <v>0</v>
      </c>
      <c r="D614" s="125">
        <v>233100</v>
      </c>
      <c r="E614" s="112">
        <f t="shared" si="12"/>
        <v>233100</v>
      </c>
      <c r="F614" t="s">
        <v>1625</v>
      </c>
    </row>
    <row r="615" spans="1:6" hidden="1" outlineLevel="1">
      <c r="A615" s="753" t="s">
        <v>1626</v>
      </c>
      <c r="B615" s="116">
        <v>0</v>
      </c>
      <c r="C615" s="95">
        <v>151693</v>
      </c>
      <c r="D615" s="125">
        <v>0</v>
      </c>
      <c r="E615" s="112">
        <f t="shared" si="12"/>
        <v>151693</v>
      </c>
      <c r="F615" t="s">
        <v>1627</v>
      </c>
    </row>
    <row r="616" spans="1:6" hidden="1" outlineLevel="1">
      <c r="A616" s="753" t="s">
        <v>1628</v>
      </c>
      <c r="B616" s="116">
        <v>0</v>
      </c>
      <c r="C616" s="95">
        <v>0</v>
      </c>
      <c r="D616" s="125">
        <v>26688528</v>
      </c>
      <c r="E616" s="112">
        <f t="shared" si="12"/>
        <v>26688528</v>
      </c>
      <c r="F616" t="s">
        <v>1629</v>
      </c>
    </row>
    <row r="617" spans="1:6" hidden="1" outlineLevel="1">
      <c r="A617" s="753" t="s">
        <v>1630</v>
      </c>
      <c r="B617" s="116">
        <v>0</v>
      </c>
      <c r="C617" s="95">
        <v>0</v>
      </c>
      <c r="D617" s="125">
        <v>470254.83499999996</v>
      </c>
      <c r="E617" s="112">
        <f t="shared" si="12"/>
        <v>470254.83499999996</v>
      </c>
      <c r="F617" t="s">
        <v>1631</v>
      </c>
    </row>
    <row r="618" spans="1:6" hidden="1" outlineLevel="1">
      <c r="A618" s="753" t="s">
        <v>1632</v>
      </c>
      <c r="B618" s="116">
        <v>7641870</v>
      </c>
      <c r="C618" s="95">
        <v>0</v>
      </c>
      <c r="D618" s="125">
        <v>12627086.504000001</v>
      </c>
      <c r="E618" s="112">
        <f t="shared" si="12"/>
        <v>20268956.504000001</v>
      </c>
      <c r="F618" t="s">
        <v>1633</v>
      </c>
    </row>
    <row r="619" spans="1:6" hidden="1" outlineLevel="1">
      <c r="A619" s="753" t="s">
        <v>1634</v>
      </c>
      <c r="B619" s="116">
        <v>0</v>
      </c>
      <c r="C619" s="95">
        <v>330950.33</v>
      </c>
      <c r="D619" s="125">
        <v>9725240.129999999</v>
      </c>
      <c r="E619" s="112">
        <f t="shared" si="12"/>
        <v>10056190.459999999</v>
      </c>
      <c r="F619" t="s">
        <v>1635</v>
      </c>
    </row>
    <row r="620" spans="1:6" hidden="1" outlineLevel="1">
      <c r="A620" s="753" t="s">
        <v>1636</v>
      </c>
      <c r="B620" s="116">
        <v>0</v>
      </c>
      <c r="C620" s="95">
        <v>0</v>
      </c>
      <c r="D620" s="125">
        <v>48142505</v>
      </c>
      <c r="E620" s="112">
        <f t="shared" si="12"/>
        <v>48142505</v>
      </c>
      <c r="F620" t="s">
        <v>1637</v>
      </c>
    </row>
    <row r="621" spans="1:6" hidden="1" outlineLevel="1">
      <c r="A621" s="753" t="s">
        <v>1638</v>
      </c>
      <c r="B621" s="116">
        <v>0</v>
      </c>
      <c r="C621" s="95">
        <v>0</v>
      </c>
      <c r="D621" s="125">
        <v>483981</v>
      </c>
      <c r="E621" s="112">
        <f t="shared" si="12"/>
        <v>483981</v>
      </c>
      <c r="F621" t="s">
        <v>1639</v>
      </c>
    </row>
    <row r="622" spans="1:6" hidden="1" outlineLevel="1">
      <c r="A622" s="753" t="s">
        <v>1640</v>
      </c>
      <c r="B622" s="116">
        <v>0</v>
      </c>
      <c r="C622" s="95">
        <v>6435453.4010000005</v>
      </c>
      <c r="D622" s="125">
        <v>66252117</v>
      </c>
      <c r="E622" s="112">
        <f t="shared" si="12"/>
        <v>72687570.400999993</v>
      </c>
      <c r="F622" t="s">
        <v>1641</v>
      </c>
    </row>
    <row r="623" spans="1:6" hidden="1" outlineLevel="1">
      <c r="A623" s="753" t="s">
        <v>1642</v>
      </c>
      <c r="B623" s="116">
        <v>0</v>
      </c>
      <c r="C623" s="95">
        <v>10708</v>
      </c>
      <c r="D623" s="125">
        <v>384189.33399999997</v>
      </c>
      <c r="E623" s="112">
        <f t="shared" si="12"/>
        <v>394897.33399999997</v>
      </c>
      <c r="F623" t="s">
        <v>1643</v>
      </c>
    </row>
    <row r="624" spans="1:6" hidden="1" outlineLevel="1">
      <c r="A624" s="753" t="s">
        <v>1644</v>
      </c>
      <c r="B624" s="116">
        <v>0</v>
      </c>
      <c r="C624" s="95">
        <v>0</v>
      </c>
      <c r="D624" s="125">
        <v>416873.82199999999</v>
      </c>
      <c r="E624" s="112">
        <f t="shared" si="12"/>
        <v>416873.82199999999</v>
      </c>
      <c r="F624" t="s">
        <v>1645</v>
      </c>
    </row>
    <row r="625" spans="1:6" hidden="1" outlineLevel="1">
      <c r="A625" s="753" t="s">
        <v>1646</v>
      </c>
      <c r="B625" s="116">
        <v>0</v>
      </c>
      <c r="C625" s="95">
        <v>213146</v>
      </c>
      <c r="D625" s="125">
        <v>4173636</v>
      </c>
      <c r="E625" s="112">
        <f t="shared" si="12"/>
        <v>4386782</v>
      </c>
      <c r="F625" t="s">
        <v>1647</v>
      </c>
    </row>
    <row r="626" spans="1:6" hidden="1" outlineLevel="1">
      <c r="A626" s="753" t="s">
        <v>1648</v>
      </c>
      <c r="B626" s="116">
        <v>0</v>
      </c>
      <c r="C626" s="95">
        <v>24701</v>
      </c>
      <c r="D626" s="125">
        <v>1135310</v>
      </c>
      <c r="E626" s="112">
        <f t="shared" si="12"/>
        <v>1160011</v>
      </c>
      <c r="F626" t="s">
        <v>1649</v>
      </c>
    </row>
    <row r="627" spans="1:6" hidden="1" outlineLevel="1">
      <c r="A627" s="753" t="s">
        <v>1650</v>
      </c>
      <c r="B627" s="116">
        <v>0</v>
      </c>
      <c r="C627" s="95">
        <v>12555757.299999999</v>
      </c>
      <c r="D627" s="125">
        <v>1558459657.7929997</v>
      </c>
      <c r="E627" s="112">
        <f t="shared" si="12"/>
        <v>1571015415.0929997</v>
      </c>
      <c r="F627" t="s">
        <v>1651</v>
      </c>
    </row>
    <row r="628" spans="1:6" hidden="1" outlineLevel="1">
      <c r="A628" s="753" t="s">
        <v>1652</v>
      </c>
      <c r="B628" s="116">
        <v>0</v>
      </c>
      <c r="C628" s="95">
        <v>139373</v>
      </c>
      <c r="D628" s="125">
        <v>1592125</v>
      </c>
      <c r="E628" s="112">
        <f t="shared" si="12"/>
        <v>1731498</v>
      </c>
      <c r="F628" t="s">
        <v>1653</v>
      </c>
    </row>
    <row r="629" spans="1:6" hidden="1" outlineLevel="1">
      <c r="A629" s="753" t="s">
        <v>1654</v>
      </c>
      <c r="B629" s="116">
        <v>0</v>
      </c>
      <c r="C629" s="95">
        <v>1053568</v>
      </c>
      <c r="D629" s="125">
        <v>7056566</v>
      </c>
      <c r="E629" s="112">
        <f t="shared" si="12"/>
        <v>8110134</v>
      </c>
      <c r="F629" t="s">
        <v>1655</v>
      </c>
    </row>
    <row r="630" spans="1:6" hidden="1" outlineLevel="1">
      <c r="A630" s="753" t="s">
        <v>1656</v>
      </c>
      <c r="B630" s="116">
        <v>53895891</v>
      </c>
      <c r="C630" s="95">
        <v>0</v>
      </c>
      <c r="D630" s="125">
        <v>0</v>
      </c>
      <c r="E630" s="112">
        <f t="shared" si="12"/>
        <v>53895891</v>
      </c>
      <c r="F630" t="s">
        <v>1657</v>
      </c>
    </row>
    <row r="631" spans="1:6" hidden="1" outlineLevel="1">
      <c r="A631" s="753" t="s">
        <v>1658</v>
      </c>
      <c r="B631" s="116">
        <v>0</v>
      </c>
      <c r="C631" s="95">
        <v>21279</v>
      </c>
      <c r="D631" s="125">
        <v>375754.60000000003</v>
      </c>
      <c r="E631" s="112">
        <f t="shared" si="12"/>
        <v>397033.60000000003</v>
      </c>
      <c r="F631" t="s">
        <v>1659</v>
      </c>
    </row>
    <row r="632" spans="1:6" hidden="1" outlineLevel="1">
      <c r="A632" s="753" t="s">
        <v>1660</v>
      </c>
      <c r="B632" s="116">
        <v>0</v>
      </c>
      <c r="C632" s="95">
        <v>0</v>
      </c>
      <c r="D632" s="125">
        <v>410156</v>
      </c>
      <c r="E632" s="112">
        <f t="shared" si="12"/>
        <v>410156</v>
      </c>
      <c r="F632" t="s">
        <v>1661</v>
      </c>
    </row>
    <row r="633" spans="1:6" hidden="1" outlineLevel="1">
      <c r="A633" s="753" t="s">
        <v>1662</v>
      </c>
      <c r="B633" s="116">
        <v>0</v>
      </c>
      <c r="C633" s="95">
        <v>0</v>
      </c>
      <c r="D633" s="125">
        <v>140009</v>
      </c>
      <c r="E633" s="112">
        <f t="shared" si="12"/>
        <v>140009</v>
      </c>
      <c r="F633" t="s">
        <v>1663</v>
      </c>
    </row>
    <row r="634" spans="1:6" hidden="1" outlineLevel="1">
      <c r="A634" s="753" t="s">
        <v>1090</v>
      </c>
      <c r="B634" s="116">
        <v>1188914</v>
      </c>
      <c r="C634" s="95">
        <v>1022402</v>
      </c>
      <c r="D634" s="125">
        <v>13766676.02</v>
      </c>
      <c r="E634" s="112">
        <f t="shared" si="12"/>
        <v>15977992.02</v>
      </c>
      <c r="F634" t="s">
        <v>1091</v>
      </c>
    </row>
    <row r="635" spans="1:6" hidden="1" outlineLevel="1">
      <c r="A635" s="753" t="s">
        <v>1664</v>
      </c>
      <c r="B635" s="116">
        <v>0</v>
      </c>
      <c r="C635" s="95">
        <v>136519</v>
      </c>
      <c r="D635" s="125">
        <v>2929091</v>
      </c>
      <c r="E635" s="112">
        <f t="shared" si="12"/>
        <v>3065610</v>
      </c>
      <c r="F635" t="s">
        <v>1665</v>
      </c>
    </row>
    <row r="636" spans="1:6" hidden="1" outlineLevel="1">
      <c r="A636" s="753" t="s">
        <v>1666</v>
      </c>
      <c r="B636" s="116">
        <v>0</v>
      </c>
      <c r="C636" s="95">
        <v>81543963</v>
      </c>
      <c r="D636" s="125">
        <v>16421704.101999998</v>
      </c>
      <c r="E636" s="112">
        <f t="shared" si="12"/>
        <v>97965667.101999998</v>
      </c>
      <c r="F636" t="s">
        <v>1667</v>
      </c>
    </row>
    <row r="637" spans="1:6" hidden="1" outlineLevel="1">
      <c r="A637" s="753" t="s">
        <v>692</v>
      </c>
      <c r="B637" s="116">
        <v>0</v>
      </c>
      <c r="C637" s="95">
        <v>295538</v>
      </c>
      <c r="D637" s="125">
        <v>482801.66000000003</v>
      </c>
      <c r="E637" s="112">
        <f t="shared" si="12"/>
        <v>778339.66</v>
      </c>
      <c r="F637" t="s">
        <v>1668</v>
      </c>
    </row>
    <row r="638" spans="1:6" hidden="1" outlineLevel="1">
      <c r="A638" s="753" t="s">
        <v>1669</v>
      </c>
      <c r="B638" s="116">
        <v>0</v>
      </c>
      <c r="C638" s="95">
        <v>0</v>
      </c>
      <c r="D638" s="125">
        <v>520652.58</v>
      </c>
      <c r="E638" s="112">
        <f t="shared" si="12"/>
        <v>520652.58</v>
      </c>
      <c r="F638" t="s">
        <v>1670</v>
      </c>
    </row>
    <row r="639" spans="1:6" hidden="1" outlineLevel="1">
      <c r="A639" s="753" t="s">
        <v>1671</v>
      </c>
      <c r="B639" s="116">
        <v>0</v>
      </c>
      <c r="C639" s="95">
        <v>0</v>
      </c>
      <c r="D639" s="125">
        <v>1408684</v>
      </c>
      <c r="E639" s="112">
        <f t="shared" si="12"/>
        <v>1408684</v>
      </c>
      <c r="F639" t="s">
        <v>1672</v>
      </c>
    </row>
    <row r="640" spans="1:6" hidden="1" outlineLevel="1">
      <c r="A640" s="753" t="s">
        <v>1673</v>
      </c>
      <c r="B640" s="116">
        <v>0</v>
      </c>
      <c r="C640" s="95">
        <v>8</v>
      </c>
      <c r="D640" s="125">
        <v>589098.30599999998</v>
      </c>
      <c r="E640" s="112">
        <f t="shared" si="12"/>
        <v>589106.30599999998</v>
      </c>
      <c r="F640" t="s">
        <v>1674</v>
      </c>
    </row>
    <row r="641" spans="1:6" hidden="1" outlineLevel="1">
      <c r="A641" s="753" t="s">
        <v>1675</v>
      </c>
      <c r="B641" s="116">
        <v>0</v>
      </c>
      <c r="C641" s="95">
        <v>810405</v>
      </c>
      <c r="D641" s="125">
        <v>13189130.817</v>
      </c>
      <c r="E641" s="112">
        <f t="shared" si="12"/>
        <v>13999535.817</v>
      </c>
      <c r="F641" t="s">
        <v>1676</v>
      </c>
    </row>
    <row r="642" spans="1:6" hidden="1" outlineLevel="1">
      <c r="A642" s="753" t="s">
        <v>1677</v>
      </c>
      <c r="B642" s="116">
        <v>0</v>
      </c>
      <c r="C642" s="95">
        <v>212860</v>
      </c>
      <c r="D642" s="125">
        <v>377808.54</v>
      </c>
      <c r="E642" s="112">
        <f t="shared" si="12"/>
        <v>590668.54</v>
      </c>
      <c r="F642" t="s">
        <v>1678</v>
      </c>
    </row>
    <row r="643" spans="1:6" hidden="1" outlineLevel="1">
      <c r="A643" s="753" t="s">
        <v>1679</v>
      </c>
      <c r="B643" s="116">
        <v>0</v>
      </c>
      <c r="C643" s="95">
        <v>52537</v>
      </c>
      <c r="D643" s="125">
        <v>86690.6</v>
      </c>
      <c r="E643" s="112">
        <f t="shared" si="12"/>
        <v>139227.6</v>
      </c>
      <c r="F643" t="s">
        <v>1680</v>
      </c>
    </row>
    <row r="644" spans="1:6" hidden="1" outlineLevel="1">
      <c r="A644" s="753" t="s">
        <v>1681</v>
      </c>
      <c r="B644" s="116">
        <v>0</v>
      </c>
      <c r="C644" s="95">
        <v>37786826.600000001</v>
      </c>
      <c r="D644" s="125">
        <v>659847884.66999996</v>
      </c>
      <c r="E644" s="112">
        <f t="shared" si="12"/>
        <v>697634711.26999998</v>
      </c>
      <c r="F644" t="s">
        <v>1682</v>
      </c>
    </row>
    <row r="645" spans="1:6" hidden="1" outlineLevel="1">
      <c r="A645" s="753" t="s">
        <v>1683</v>
      </c>
      <c r="B645" s="116">
        <v>0</v>
      </c>
      <c r="C645" s="95">
        <v>2422005</v>
      </c>
      <c r="D645" s="125">
        <v>178849993.95600003</v>
      </c>
      <c r="E645" s="112">
        <f t="shared" si="12"/>
        <v>181271998.95600003</v>
      </c>
      <c r="F645" t="s">
        <v>1684</v>
      </c>
    </row>
    <row r="646" spans="1:6" hidden="1" outlineLevel="1">
      <c r="A646" s="753" t="s">
        <v>1685</v>
      </c>
      <c r="B646" s="116">
        <v>0</v>
      </c>
      <c r="C646" s="95">
        <v>0</v>
      </c>
      <c r="D646" s="125">
        <v>1787700.4830000002</v>
      </c>
      <c r="E646" s="112">
        <f t="shared" si="12"/>
        <v>1787700.4830000002</v>
      </c>
      <c r="F646" t="s">
        <v>1686</v>
      </c>
    </row>
    <row r="647" spans="1:6" hidden="1" outlineLevel="1">
      <c r="A647" s="753" t="s">
        <v>1687</v>
      </c>
      <c r="B647" s="116">
        <v>0</v>
      </c>
      <c r="C647" s="95">
        <v>0</v>
      </c>
      <c r="D647" s="125">
        <v>229274729.00099999</v>
      </c>
      <c r="E647" s="112">
        <f t="shared" si="12"/>
        <v>229274729.00099999</v>
      </c>
      <c r="F647" t="s">
        <v>1688</v>
      </c>
    </row>
    <row r="648" spans="1:6" hidden="1" outlineLevel="1">
      <c r="A648" s="753" t="s">
        <v>1114</v>
      </c>
      <c r="B648" s="116">
        <v>0</v>
      </c>
      <c r="C648" s="95">
        <v>1324232</v>
      </c>
      <c r="D648" s="125">
        <v>182795</v>
      </c>
      <c r="E648" s="112">
        <f t="shared" si="12"/>
        <v>1507027</v>
      </c>
      <c r="F648" t="s">
        <v>1689</v>
      </c>
    </row>
    <row r="649" spans="1:6" hidden="1" outlineLevel="1">
      <c r="A649" s="753" t="s">
        <v>1690</v>
      </c>
      <c r="B649" s="116">
        <v>0</v>
      </c>
      <c r="C649" s="95">
        <v>87262</v>
      </c>
      <c r="D649" s="125">
        <v>9580747</v>
      </c>
      <c r="E649" s="112">
        <f t="shared" si="12"/>
        <v>9668009</v>
      </c>
      <c r="F649" t="s">
        <v>1691</v>
      </c>
    </row>
    <row r="650" spans="1:6" hidden="1" outlineLevel="1">
      <c r="A650" s="753" t="s">
        <v>1692</v>
      </c>
      <c r="B650" s="116">
        <v>0</v>
      </c>
      <c r="C650" s="95">
        <v>208094</v>
      </c>
      <c r="D650" s="125">
        <v>3801</v>
      </c>
      <c r="E650" s="112">
        <f t="shared" si="12"/>
        <v>211895</v>
      </c>
      <c r="F650" t="s">
        <v>1693</v>
      </c>
    </row>
    <row r="651" spans="1:6" hidden="1" outlineLevel="1">
      <c r="A651" s="753" t="s">
        <v>1694</v>
      </c>
      <c r="B651" s="116">
        <v>0</v>
      </c>
      <c r="C651" s="95">
        <v>374921.8</v>
      </c>
      <c r="D651" s="125">
        <v>793628</v>
      </c>
      <c r="E651" s="112">
        <f t="shared" si="12"/>
        <v>1168549.8</v>
      </c>
      <c r="F651" t="s">
        <v>1695</v>
      </c>
    </row>
    <row r="652" spans="1:6" hidden="1" outlineLevel="1">
      <c r="A652" s="753" t="s">
        <v>1696</v>
      </c>
      <c r="B652" s="116">
        <v>0</v>
      </c>
      <c r="C652" s="95">
        <v>0</v>
      </c>
      <c r="D652" s="125">
        <v>43261</v>
      </c>
      <c r="E652" s="112">
        <f t="shared" si="12"/>
        <v>43261</v>
      </c>
      <c r="F652" t="s">
        <v>1697</v>
      </c>
    </row>
    <row r="653" spans="1:6" hidden="1" outlineLevel="1">
      <c r="A653" s="753" t="s">
        <v>1698</v>
      </c>
      <c r="B653" s="116">
        <v>0</v>
      </c>
      <c r="C653" s="95">
        <v>92569</v>
      </c>
      <c r="D653" s="125">
        <v>2601950.6969999997</v>
      </c>
      <c r="E653" s="112">
        <f t="shared" si="12"/>
        <v>2694519.6969999997</v>
      </c>
      <c r="F653" t="s">
        <v>1699</v>
      </c>
    </row>
    <row r="654" spans="1:6" hidden="1" outlineLevel="1">
      <c r="A654" s="753" t="s">
        <v>1700</v>
      </c>
      <c r="B654" s="116">
        <v>0</v>
      </c>
      <c r="C654" s="95">
        <v>135721</v>
      </c>
      <c r="D654" s="125">
        <v>155080</v>
      </c>
      <c r="E654" s="112">
        <f t="shared" si="12"/>
        <v>290801</v>
      </c>
      <c r="F654" t="s">
        <v>1701</v>
      </c>
    </row>
    <row r="655" spans="1:6" hidden="1" outlineLevel="1">
      <c r="A655" s="753" t="s">
        <v>1702</v>
      </c>
      <c r="B655" s="116">
        <v>0</v>
      </c>
      <c r="C655" s="95">
        <v>0</v>
      </c>
      <c r="D655" s="125">
        <v>90636</v>
      </c>
      <c r="E655" s="112">
        <f t="shared" si="12"/>
        <v>90636</v>
      </c>
      <c r="F655" t="s">
        <v>1703</v>
      </c>
    </row>
    <row r="656" spans="1:6" hidden="1" outlineLevel="1">
      <c r="A656" s="753" t="s">
        <v>1704</v>
      </c>
      <c r="B656" s="116">
        <v>0</v>
      </c>
      <c r="C656" s="95">
        <v>5726</v>
      </c>
      <c r="D656" s="125">
        <v>1928590</v>
      </c>
      <c r="E656" s="112">
        <f t="shared" si="12"/>
        <v>1934316</v>
      </c>
      <c r="F656" t="s">
        <v>1705</v>
      </c>
    </row>
    <row r="657" spans="1:6" hidden="1" outlineLevel="1">
      <c r="A657" s="753" t="s">
        <v>1706</v>
      </c>
      <c r="B657" s="116">
        <v>1382745</v>
      </c>
      <c r="C657" s="95">
        <v>151844</v>
      </c>
      <c r="D657" s="125">
        <v>11791990.757000001</v>
      </c>
      <c r="E657" s="112">
        <f t="shared" si="12"/>
        <v>13326579.757000001</v>
      </c>
      <c r="F657" t="s">
        <v>1707</v>
      </c>
    </row>
    <row r="658" spans="1:6" hidden="1" outlineLevel="1">
      <c r="A658" s="753" t="s">
        <v>1708</v>
      </c>
      <c r="B658" s="116">
        <v>0</v>
      </c>
      <c r="C658" s="95">
        <v>0</v>
      </c>
      <c r="D658" s="125">
        <v>85595</v>
      </c>
      <c r="E658" s="112">
        <f t="shared" si="12"/>
        <v>85595</v>
      </c>
      <c r="F658" t="s">
        <v>1709</v>
      </c>
    </row>
    <row r="659" spans="1:6" hidden="1" outlineLevel="1">
      <c r="A659" s="753" t="s">
        <v>1710</v>
      </c>
      <c r="B659" s="116">
        <v>0</v>
      </c>
      <c r="C659" s="95">
        <v>89385</v>
      </c>
      <c r="D659" s="125">
        <v>1175316</v>
      </c>
      <c r="E659" s="112">
        <f t="shared" si="12"/>
        <v>1264701</v>
      </c>
      <c r="F659" t="s">
        <v>1711</v>
      </c>
    </row>
    <row r="660" spans="1:6" hidden="1" outlineLevel="1">
      <c r="A660" s="753" t="s">
        <v>1712</v>
      </c>
      <c r="B660" s="116">
        <v>0</v>
      </c>
      <c r="C660" s="95">
        <v>0</v>
      </c>
      <c r="D660" s="125">
        <v>9922</v>
      </c>
      <c r="E660" s="112">
        <f t="shared" ref="E660:E718" si="13">SUM(B660:D660)</f>
        <v>9922</v>
      </c>
      <c r="F660" t="s">
        <v>1713</v>
      </c>
    </row>
    <row r="661" spans="1:6" hidden="1" outlineLevel="1">
      <c r="A661" s="753" t="s">
        <v>1714</v>
      </c>
      <c r="B661" s="116">
        <v>0</v>
      </c>
      <c r="C661" s="95">
        <v>97589</v>
      </c>
      <c r="D661" s="125">
        <v>4418570.5610000007</v>
      </c>
      <c r="E661" s="112">
        <f t="shared" si="13"/>
        <v>4516159.5610000007</v>
      </c>
      <c r="F661" t="s">
        <v>1715</v>
      </c>
    </row>
    <row r="662" spans="1:6" hidden="1" outlineLevel="1">
      <c r="A662" s="753" t="s">
        <v>1716</v>
      </c>
      <c r="B662" s="116">
        <v>0</v>
      </c>
      <c r="C662" s="95">
        <v>0</v>
      </c>
      <c r="D662" s="125">
        <v>74262.400000000009</v>
      </c>
      <c r="E662" s="112">
        <f t="shared" si="13"/>
        <v>74262.400000000009</v>
      </c>
      <c r="F662" t="s">
        <v>1717</v>
      </c>
    </row>
    <row r="663" spans="1:6" hidden="1" outlineLevel="1">
      <c r="A663" s="753" t="s">
        <v>1718</v>
      </c>
      <c r="B663" s="116">
        <v>0</v>
      </c>
      <c r="C663" s="95">
        <v>0</v>
      </c>
      <c r="D663" s="125">
        <v>443553122.523</v>
      </c>
      <c r="E663" s="112">
        <f t="shared" si="13"/>
        <v>443553122.523</v>
      </c>
      <c r="F663" t="s">
        <v>1719</v>
      </c>
    </row>
    <row r="664" spans="1:6" hidden="1" outlineLevel="1">
      <c r="A664" s="753" t="s">
        <v>1720</v>
      </c>
      <c r="B664" s="116">
        <v>0</v>
      </c>
      <c r="C664" s="95">
        <v>532003.73399999994</v>
      </c>
      <c r="D664" s="125">
        <v>2435593.3199999998</v>
      </c>
      <c r="E664" s="112">
        <f t="shared" si="13"/>
        <v>2967597.0539999995</v>
      </c>
      <c r="F664" t="s">
        <v>1721</v>
      </c>
    </row>
    <row r="665" spans="1:6" hidden="1" outlineLevel="1">
      <c r="A665" s="753" t="s">
        <v>1722</v>
      </c>
      <c r="B665" s="116">
        <v>0</v>
      </c>
      <c r="C665" s="95">
        <v>57642</v>
      </c>
      <c r="D665" s="125">
        <v>229745</v>
      </c>
      <c r="E665" s="112">
        <f t="shared" si="13"/>
        <v>287387</v>
      </c>
      <c r="F665" t="s">
        <v>1723</v>
      </c>
    </row>
    <row r="666" spans="1:6" hidden="1" outlineLevel="1">
      <c r="A666" s="753" t="s">
        <v>1724</v>
      </c>
      <c r="B666" s="116">
        <v>0</v>
      </c>
      <c r="C666" s="95">
        <v>393850.53</v>
      </c>
      <c r="D666" s="125">
        <v>7823549.040000001</v>
      </c>
      <c r="E666" s="112">
        <f t="shared" si="13"/>
        <v>8217399.5700000012</v>
      </c>
      <c r="F666" t="s">
        <v>1725</v>
      </c>
    </row>
    <row r="667" spans="1:6" hidden="1" outlineLevel="1">
      <c r="A667" s="753" t="s">
        <v>1726</v>
      </c>
      <c r="B667" s="116">
        <v>0</v>
      </c>
      <c r="C667" s="95">
        <v>0</v>
      </c>
      <c r="D667" s="125">
        <v>339503.86300000001</v>
      </c>
      <c r="E667" s="112">
        <f t="shared" si="13"/>
        <v>339503.86300000001</v>
      </c>
      <c r="F667" t="s">
        <v>1727</v>
      </c>
    </row>
    <row r="668" spans="1:6" hidden="1" outlineLevel="1">
      <c r="A668" s="753" t="s">
        <v>1728</v>
      </c>
      <c r="B668" s="116">
        <v>0</v>
      </c>
      <c r="C668" s="95">
        <v>0</v>
      </c>
      <c r="D668" s="125">
        <v>41487</v>
      </c>
      <c r="E668" s="112">
        <f t="shared" si="13"/>
        <v>41487</v>
      </c>
      <c r="F668" t="s">
        <v>1729</v>
      </c>
    </row>
    <row r="669" spans="1:6" hidden="1" outlineLevel="1">
      <c r="A669" s="753" t="s">
        <v>1730</v>
      </c>
      <c r="B669" s="116">
        <v>0</v>
      </c>
      <c r="C669" s="95">
        <v>0</v>
      </c>
      <c r="D669" s="125">
        <v>94227</v>
      </c>
      <c r="E669" s="112">
        <f t="shared" si="13"/>
        <v>94227</v>
      </c>
      <c r="F669" t="s">
        <v>1731</v>
      </c>
    </row>
    <row r="670" spans="1:6" hidden="1" outlineLevel="1">
      <c r="A670" s="753" t="s">
        <v>1732</v>
      </c>
      <c r="B670" s="116">
        <v>0</v>
      </c>
      <c r="C670" s="95">
        <v>169179</v>
      </c>
      <c r="D670" s="125">
        <v>3429708</v>
      </c>
      <c r="E670" s="112">
        <f t="shared" si="13"/>
        <v>3598887</v>
      </c>
      <c r="F670" t="s">
        <v>1733</v>
      </c>
    </row>
    <row r="671" spans="1:6" hidden="1" outlineLevel="1">
      <c r="A671" s="753" t="s">
        <v>1734</v>
      </c>
      <c r="B671" s="116">
        <v>0</v>
      </c>
      <c r="C671" s="95">
        <v>363352</v>
      </c>
      <c r="D671" s="125">
        <v>425598</v>
      </c>
      <c r="E671" s="112">
        <f t="shared" si="13"/>
        <v>788950</v>
      </c>
      <c r="F671" t="s">
        <v>1735</v>
      </c>
    </row>
    <row r="672" spans="1:6" hidden="1" outlineLevel="1">
      <c r="A672" s="753" t="s">
        <v>1736</v>
      </c>
      <c r="B672" s="116">
        <v>0</v>
      </c>
      <c r="C672" s="95">
        <v>94063.19</v>
      </c>
      <c r="D672" s="125">
        <v>530418.05000000005</v>
      </c>
      <c r="E672" s="112">
        <f t="shared" si="13"/>
        <v>624481.24</v>
      </c>
      <c r="F672" t="s">
        <v>1737</v>
      </c>
    </row>
    <row r="673" spans="1:6" hidden="1" outlineLevel="1">
      <c r="A673" s="753" t="s">
        <v>1738</v>
      </c>
      <c r="B673" s="116">
        <v>0</v>
      </c>
      <c r="C673" s="95">
        <v>0</v>
      </c>
      <c r="D673" s="125">
        <v>148256</v>
      </c>
      <c r="E673" s="112">
        <f t="shared" si="13"/>
        <v>148256</v>
      </c>
      <c r="F673" t="s">
        <v>1739</v>
      </c>
    </row>
    <row r="674" spans="1:6" hidden="1" outlineLevel="1">
      <c r="A674" s="753" t="s">
        <v>1740</v>
      </c>
      <c r="B674" s="116">
        <v>0</v>
      </c>
      <c r="C674" s="95">
        <v>0</v>
      </c>
      <c r="D674" s="125">
        <v>113982</v>
      </c>
      <c r="E674" s="112">
        <f t="shared" si="13"/>
        <v>113982</v>
      </c>
      <c r="F674" t="s">
        <v>1741</v>
      </c>
    </row>
    <row r="675" spans="1:6" hidden="1" outlineLevel="1">
      <c r="A675" s="753" t="s">
        <v>1742</v>
      </c>
      <c r="B675" s="116">
        <v>0</v>
      </c>
      <c r="C675" s="95">
        <v>0</v>
      </c>
      <c r="D675" s="125">
        <v>300402</v>
      </c>
      <c r="E675" s="112">
        <f t="shared" si="13"/>
        <v>300402</v>
      </c>
      <c r="F675" t="s">
        <v>1743</v>
      </c>
    </row>
    <row r="676" spans="1:6" hidden="1" outlineLevel="1">
      <c r="A676" s="753" t="s">
        <v>1744</v>
      </c>
      <c r="B676" s="116">
        <v>0</v>
      </c>
      <c r="C676" s="95">
        <v>1376449.3509999998</v>
      </c>
      <c r="D676" s="125">
        <v>1473643.7479999999</v>
      </c>
      <c r="E676" s="112">
        <f t="shared" si="13"/>
        <v>2850093.0989999995</v>
      </c>
      <c r="F676" t="s">
        <v>1745</v>
      </c>
    </row>
    <row r="677" spans="1:6" hidden="1" outlineLevel="1">
      <c r="A677" s="753" t="s">
        <v>1746</v>
      </c>
      <c r="B677" s="116">
        <v>0</v>
      </c>
      <c r="C677" s="95">
        <v>109271</v>
      </c>
      <c r="D677" s="125">
        <v>955812</v>
      </c>
      <c r="E677" s="112">
        <f t="shared" si="13"/>
        <v>1065083</v>
      </c>
      <c r="F677" t="s">
        <v>1747</v>
      </c>
    </row>
    <row r="678" spans="1:6" hidden="1" outlineLevel="1">
      <c r="A678" s="753" t="s">
        <v>1748</v>
      </c>
      <c r="B678" s="116">
        <v>0</v>
      </c>
      <c r="C678" s="95">
        <v>0</v>
      </c>
      <c r="D678" s="125">
        <v>369620</v>
      </c>
      <c r="E678" s="112">
        <f t="shared" si="13"/>
        <v>369620</v>
      </c>
      <c r="F678" t="s">
        <v>1749</v>
      </c>
    </row>
    <row r="679" spans="1:6" hidden="1" outlineLevel="1">
      <c r="A679" s="753" t="s">
        <v>1750</v>
      </c>
      <c r="B679" s="116">
        <v>325937.09700000001</v>
      </c>
      <c r="C679" s="95">
        <v>458728.16</v>
      </c>
      <c r="D679" s="125">
        <v>1322948</v>
      </c>
      <c r="E679" s="112">
        <f t="shared" si="13"/>
        <v>2107613.2570000002</v>
      </c>
      <c r="F679" t="s">
        <v>1751</v>
      </c>
    </row>
    <row r="680" spans="1:6" hidden="1" outlineLevel="1">
      <c r="A680" s="753" t="s">
        <v>1752</v>
      </c>
      <c r="B680" s="116">
        <v>0</v>
      </c>
      <c r="C680" s="95">
        <v>0</v>
      </c>
      <c r="D680" s="125">
        <v>84000</v>
      </c>
      <c r="E680" s="112">
        <f t="shared" si="13"/>
        <v>84000</v>
      </c>
      <c r="F680" t="s">
        <v>1753</v>
      </c>
    </row>
    <row r="681" spans="1:6" hidden="1" outlineLevel="1">
      <c r="A681" s="753" t="s">
        <v>1754</v>
      </c>
      <c r="B681" s="116">
        <v>0</v>
      </c>
      <c r="C681" s="95">
        <v>0</v>
      </c>
      <c r="D681" s="125">
        <v>195013</v>
      </c>
      <c r="E681" s="112">
        <f t="shared" si="13"/>
        <v>195013</v>
      </c>
      <c r="F681" t="s">
        <v>1755</v>
      </c>
    </row>
    <row r="682" spans="1:6" hidden="1" outlineLevel="1">
      <c r="A682" s="753" t="s">
        <v>1756</v>
      </c>
      <c r="B682" s="116">
        <v>0</v>
      </c>
      <c r="C682" s="95">
        <v>689865</v>
      </c>
      <c r="D682" s="125">
        <v>24694540</v>
      </c>
      <c r="E682" s="112">
        <f t="shared" si="13"/>
        <v>25384405</v>
      </c>
      <c r="F682" t="s">
        <v>1757</v>
      </c>
    </row>
    <row r="683" spans="1:6" hidden="1" outlineLevel="1">
      <c r="A683" s="753" t="s">
        <v>1758</v>
      </c>
      <c r="B683" s="116">
        <v>0</v>
      </c>
      <c r="C683" s="95">
        <v>69174.86</v>
      </c>
      <c r="D683" s="125">
        <v>417384.95</v>
      </c>
      <c r="E683" s="112">
        <f t="shared" si="13"/>
        <v>486559.81</v>
      </c>
      <c r="F683" t="s">
        <v>1759</v>
      </c>
    </row>
    <row r="684" spans="1:6" hidden="1" outlineLevel="1">
      <c r="A684" s="753" t="s">
        <v>1760</v>
      </c>
      <c r="B684" s="116">
        <v>0</v>
      </c>
      <c r="C684" s="95">
        <v>7863</v>
      </c>
      <c r="D684" s="125">
        <v>167655</v>
      </c>
      <c r="E684" s="112">
        <f t="shared" si="13"/>
        <v>175518</v>
      </c>
      <c r="F684" t="s">
        <v>1761</v>
      </c>
    </row>
    <row r="685" spans="1:6" hidden="1" outlineLevel="1">
      <c r="A685" s="753" t="s">
        <v>1762</v>
      </c>
      <c r="B685" s="116">
        <v>0</v>
      </c>
      <c r="C685" s="95">
        <v>0</v>
      </c>
      <c r="D685" s="125">
        <v>703884</v>
      </c>
      <c r="E685" s="112">
        <f t="shared" si="13"/>
        <v>703884</v>
      </c>
      <c r="F685" t="s">
        <v>1763</v>
      </c>
    </row>
    <row r="686" spans="1:6" hidden="1" outlineLevel="1">
      <c r="A686" s="753" t="s">
        <v>1764</v>
      </c>
      <c r="B686" s="116">
        <v>0</v>
      </c>
      <c r="C686" s="95">
        <v>0</v>
      </c>
      <c r="D686" s="125">
        <v>101500</v>
      </c>
      <c r="E686" s="112">
        <f t="shared" si="13"/>
        <v>101500</v>
      </c>
      <c r="F686" t="s">
        <v>1765</v>
      </c>
    </row>
    <row r="687" spans="1:6" hidden="1" outlineLevel="1">
      <c r="A687" s="753" t="s">
        <v>1766</v>
      </c>
      <c r="B687" s="116">
        <v>36879</v>
      </c>
      <c r="C687" s="95">
        <v>26399</v>
      </c>
      <c r="D687" s="125">
        <v>77047.146999999997</v>
      </c>
      <c r="E687" s="112">
        <f t="shared" si="13"/>
        <v>140325.147</v>
      </c>
      <c r="F687" t="s">
        <v>1767</v>
      </c>
    </row>
    <row r="688" spans="1:6" hidden="1" outlineLevel="1">
      <c r="A688" s="753" t="s">
        <v>1768</v>
      </c>
      <c r="B688" s="116">
        <v>0</v>
      </c>
      <c r="C688" s="95">
        <v>3104877.529000001</v>
      </c>
      <c r="D688" s="125">
        <v>5059877.3440000005</v>
      </c>
      <c r="E688" s="112">
        <f t="shared" si="13"/>
        <v>8164754.8730000015</v>
      </c>
      <c r="F688" t="s">
        <v>1769</v>
      </c>
    </row>
    <row r="689" spans="1:6" hidden="1" outlineLevel="1">
      <c r="A689" s="753" t="s">
        <v>1770</v>
      </c>
      <c r="B689" s="116">
        <v>0</v>
      </c>
      <c r="C689" s="95">
        <v>58598</v>
      </c>
      <c r="D689" s="125">
        <v>898906</v>
      </c>
      <c r="E689" s="112">
        <f t="shared" si="13"/>
        <v>957504</v>
      </c>
      <c r="F689" t="s">
        <v>1771</v>
      </c>
    </row>
    <row r="690" spans="1:6" hidden="1" outlineLevel="1">
      <c r="A690" s="753" t="s">
        <v>1772</v>
      </c>
      <c r="B690" s="116">
        <v>0</v>
      </c>
      <c r="C690" s="95">
        <v>0</v>
      </c>
      <c r="D690" s="125">
        <v>110883</v>
      </c>
      <c r="E690" s="112">
        <f t="shared" si="13"/>
        <v>110883</v>
      </c>
      <c r="F690" t="s">
        <v>1773</v>
      </c>
    </row>
    <row r="691" spans="1:6" hidden="1" outlineLevel="1">
      <c r="A691" s="753" t="s">
        <v>1774</v>
      </c>
      <c r="B691" s="116">
        <v>0</v>
      </c>
      <c r="C691" s="95">
        <v>97291</v>
      </c>
      <c r="D691" s="125">
        <v>7074070.9010000005</v>
      </c>
      <c r="E691" s="112">
        <f t="shared" si="13"/>
        <v>7171361.9010000005</v>
      </c>
      <c r="F691" t="s">
        <v>1775</v>
      </c>
    </row>
    <row r="692" spans="1:6" hidden="1" outlineLevel="1">
      <c r="A692" s="753" t="s">
        <v>1776</v>
      </c>
      <c r="B692" s="116">
        <v>0</v>
      </c>
      <c r="C692" s="95">
        <v>1020511</v>
      </c>
      <c r="D692" s="125">
        <v>2057887</v>
      </c>
      <c r="E692" s="112">
        <f t="shared" si="13"/>
        <v>3078398</v>
      </c>
      <c r="F692" t="s">
        <v>1777</v>
      </c>
    </row>
    <row r="693" spans="1:6" hidden="1" outlineLevel="1">
      <c r="A693" s="753" t="s">
        <v>1778</v>
      </c>
      <c r="B693" s="116">
        <v>0</v>
      </c>
      <c r="C693" s="95">
        <v>382287</v>
      </c>
      <c r="D693" s="125">
        <v>7132757.8420000002</v>
      </c>
      <c r="E693" s="112">
        <f t="shared" si="13"/>
        <v>7515044.8420000002</v>
      </c>
      <c r="F693" t="s">
        <v>1779</v>
      </c>
    </row>
    <row r="694" spans="1:6" hidden="1" outlineLevel="1">
      <c r="A694" s="753" t="s">
        <v>1780</v>
      </c>
      <c r="B694" s="116">
        <v>0</v>
      </c>
      <c r="C694" s="95">
        <v>163776</v>
      </c>
      <c r="D694" s="125">
        <v>29825060</v>
      </c>
      <c r="E694" s="112">
        <f t="shared" si="13"/>
        <v>29988836</v>
      </c>
      <c r="F694" t="s">
        <v>1781</v>
      </c>
    </row>
    <row r="695" spans="1:6" hidden="1" outlineLevel="1">
      <c r="A695" s="753" t="s">
        <v>1782</v>
      </c>
      <c r="B695" s="116">
        <v>0</v>
      </c>
      <c r="C695" s="95">
        <v>0</v>
      </c>
      <c r="D695" s="125">
        <v>1788702.8369999998</v>
      </c>
      <c r="E695" s="112">
        <f t="shared" si="13"/>
        <v>1788702.8369999998</v>
      </c>
      <c r="F695" t="s">
        <v>1783</v>
      </c>
    </row>
    <row r="696" spans="1:6" hidden="1" outlineLevel="1">
      <c r="A696" s="753" t="s">
        <v>1784</v>
      </c>
      <c r="B696" s="116">
        <v>0</v>
      </c>
      <c r="C696" s="95">
        <v>110744.7</v>
      </c>
      <c r="D696" s="125">
        <v>25700</v>
      </c>
      <c r="E696" s="112">
        <f t="shared" si="13"/>
        <v>136444.70000000001</v>
      </c>
      <c r="F696" t="s">
        <v>1785</v>
      </c>
    </row>
    <row r="697" spans="1:6" hidden="1" outlineLevel="1">
      <c r="A697" s="753" t="s">
        <v>1786</v>
      </c>
      <c r="B697" s="116">
        <v>0</v>
      </c>
      <c r="C697" s="95">
        <v>0</v>
      </c>
      <c r="D697" s="125">
        <v>30129</v>
      </c>
      <c r="E697" s="112">
        <f t="shared" si="13"/>
        <v>30129</v>
      </c>
      <c r="F697" t="s">
        <v>1787</v>
      </c>
    </row>
    <row r="698" spans="1:6" hidden="1" outlineLevel="1">
      <c r="A698" s="753" t="s">
        <v>1788</v>
      </c>
      <c r="B698" s="116">
        <v>0</v>
      </c>
      <c r="C698" s="95">
        <v>373234</v>
      </c>
      <c r="D698" s="125">
        <v>19250</v>
      </c>
      <c r="E698" s="112">
        <f t="shared" si="13"/>
        <v>392484</v>
      </c>
      <c r="F698" t="s">
        <v>1789</v>
      </c>
    </row>
    <row r="699" spans="1:6" hidden="1" outlineLevel="1">
      <c r="A699" s="753" t="s">
        <v>1790</v>
      </c>
      <c r="B699" s="116">
        <v>0</v>
      </c>
      <c r="C699" s="95">
        <v>0</v>
      </c>
      <c r="D699" s="125">
        <v>180689</v>
      </c>
      <c r="E699" s="112">
        <f t="shared" si="13"/>
        <v>180689</v>
      </c>
      <c r="F699" t="s">
        <v>1791</v>
      </c>
    </row>
    <row r="700" spans="1:6" hidden="1" outlineLevel="1">
      <c r="A700" s="753" t="s">
        <v>1792</v>
      </c>
      <c r="B700" s="116">
        <v>0</v>
      </c>
      <c r="C700" s="95">
        <v>8656</v>
      </c>
      <c r="D700" s="125">
        <v>204511</v>
      </c>
      <c r="E700" s="112">
        <f t="shared" si="13"/>
        <v>213167</v>
      </c>
      <c r="F700" t="s">
        <v>1793</v>
      </c>
    </row>
    <row r="701" spans="1:6" hidden="1" outlineLevel="1">
      <c r="A701" s="753" t="s">
        <v>1794</v>
      </c>
      <c r="B701" s="116">
        <v>0</v>
      </c>
      <c r="C701" s="95">
        <v>619335.48300000001</v>
      </c>
      <c r="D701" s="125">
        <v>48417939.384999998</v>
      </c>
      <c r="E701" s="112">
        <f t="shared" si="13"/>
        <v>49037274.868000001</v>
      </c>
      <c r="F701" t="s">
        <v>1795</v>
      </c>
    </row>
    <row r="702" spans="1:6" hidden="1" outlineLevel="1">
      <c r="A702" s="753" t="s">
        <v>1796</v>
      </c>
      <c r="B702" s="116">
        <v>0</v>
      </c>
      <c r="C702" s="95">
        <v>40457</v>
      </c>
      <c r="D702" s="125">
        <v>147315</v>
      </c>
      <c r="E702" s="112">
        <f t="shared" si="13"/>
        <v>187772</v>
      </c>
      <c r="F702" t="s">
        <v>1797</v>
      </c>
    </row>
    <row r="703" spans="1:6" hidden="1" outlineLevel="1">
      <c r="A703" s="753" t="s">
        <v>1798</v>
      </c>
      <c r="B703" s="116">
        <v>0</v>
      </c>
      <c r="C703" s="95">
        <v>2016853</v>
      </c>
      <c r="D703" s="125">
        <v>2550002</v>
      </c>
      <c r="E703" s="112">
        <f t="shared" si="13"/>
        <v>4566855</v>
      </c>
      <c r="F703" t="s">
        <v>1799</v>
      </c>
    </row>
    <row r="704" spans="1:6" hidden="1" outlineLevel="1">
      <c r="A704" s="753" t="s">
        <v>1800</v>
      </c>
      <c r="B704" s="116">
        <v>0</v>
      </c>
      <c r="C704" s="95">
        <v>0</v>
      </c>
      <c r="D704" s="125">
        <v>51713</v>
      </c>
      <c r="E704" s="112">
        <f t="shared" si="13"/>
        <v>51713</v>
      </c>
      <c r="F704" t="s">
        <v>1801</v>
      </c>
    </row>
    <row r="705" spans="1:13" hidden="1" outlineLevel="1">
      <c r="A705" s="753" t="s">
        <v>1802</v>
      </c>
      <c r="B705" s="116">
        <v>0</v>
      </c>
      <c r="C705" s="95">
        <v>0</v>
      </c>
      <c r="D705" s="125">
        <v>100042.32</v>
      </c>
      <c r="E705" s="112">
        <f t="shared" si="13"/>
        <v>100042.32</v>
      </c>
      <c r="F705" t="s">
        <v>1803</v>
      </c>
    </row>
    <row r="706" spans="1:13" hidden="1" outlineLevel="1">
      <c r="A706" s="753" t="s">
        <v>758</v>
      </c>
      <c r="B706" s="116">
        <v>90805</v>
      </c>
      <c r="C706" s="95">
        <v>6077596</v>
      </c>
      <c r="D706" s="125">
        <v>36659999</v>
      </c>
      <c r="E706" s="112">
        <f t="shared" si="13"/>
        <v>42828400</v>
      </c>
      <c r="F706" t="s">
        <v>759</v>
      </c>
    </row>
    <row r="707" spans="1:13" hidden="1" outlineLevel="1">
      <c r="A707" s="753" t="s">
        <v>1804</v>
      </c>
      <c r="B707" s="116">
        <v>0</v>
      </c>
      <c r="C707" s="95">
        <v>109468.181</v>
      </c>
      <c r="D707" s="125">
        <v>503311.04000000004</v>
      </c>
      <c r="E707" s="112">
        <f t="shared" si="13"/>
        <v>612779.22100000002</v>
      </c>
      <c r="F707" t="s">
        <v>1805</v>
      </c>
    </row>
    <row r="708" spans="1:13" hidden="1" outlineLevel="1">
      <c r="A708" s="753" t="s">
        <v>1806</v>
      </c>
      <c r="B708" s="116">
        <v>0</v>
      </c>
      <c r="C708" s="95">
        <v>45612</v>
      </c>
      <c r="D708" s="125">
        <v>724164</v>
      </c>
      <c r="E708" s="112">
        <f t="shared" si="13"/>
        <v>769776</v>
      </c>
      <c r="F708" t="s">
        <v>1807</v>
      </c>
    </row>
    <row r="709" spans="1:13" hidden="1" outlineLevel="1">
      <c r="A709" s="753" t="s">
        <v>1808</v>
      </c>
      <c r="B709" s="116">
        <v>0</v>
      </c>
      <c r="C709" s="95">
        <v>38272761</v>
      </c>
      <c r="D709" s="125">
        <v>31455723</v>
      </c>
      <c r="E709" s="112">
        <f t="shared" si="13"/>
        <v>69728484</v>
      </c>
      <c r="F709" t="s">
        <v>1809</v>
      </c>
    </row>
    <row r="710" spans="1:13" hidden="1" outlineLevel="1">
      <c r="A710" s="753" t="s">
        <v>1810</v>
      </c>
      <c r="B710" s="116">
        <v>0</v>
      </c>
      <c r="C710" s="95">
        <v>223923</v>
      </c>
      <c r="D710" s="125">
        <v>318484</v>
      </c>
      <c r="E710" s="112">
        <f t="shared" si="13"/>
        <v>542407</v>
      </c>
      <c r="F710" t="s">
        <v>1811</v>
      </c>
    </row>
    <row r="711" spans="1:13" hidden="1" outlineLevel="1">
      <c r="A711" s="753" t="s">
        <v>1812</v>
      </c>
      <c r="B711" s="116">
        <v>0</v>
      </c>
      <c r="C711" s="95">
        <v>0</v>
      </c>
      <c r="D711" s="125">
        <v>17211.998</v>
      </c>
      <c r="E711" s="112">
        <f t="shared" si="13"/>
        <v>17211.998</v>
      </c>
      <c r="F711" t="s">
        <v>1813</v>
      </c>
    </row>
    <row r="712" spans="1:13" hidden="1" outlineLevel="1">
      <c r="A712" s="753" t="s">
        <v>1814</v>
      </c>
      <c r="B712" s="116">
        <v>0</v>
      </c>
      <c r="C712" s="95">
        <v>17285</v>
      </c>
      <c r="D712" s="125">
        <v>1894600.1779999998</v>
      </c>
      <c r="E712" s="112">
        <f t="shared" si="13"/>
        <v>1911885.1779999998</v>
      </c>
      <c r="F712" t="s">
        <v>1815</v>
      </c>
    </row>
    <row r="713" spans="1:13" hidden="1" outlineLevel="1">
      <c r="A713" s="753" t="s">
        <v>1816</v>
      </c>
      <c r="B713" s="116">
        <v>0</v>
      </c>
      <c r="C713" s="95">
        <v>0</v>
      </c>
      <c r="D713" s="125">
        <v>298499</v>
      </c>
      <c r="E713" s="112">
        <f t="shared" si="13"/>
        <v>298499</v>
      </c>
      <c r="F713" t="s">
        <v>1817</v>
      </c>
    </row>
    <row r="714" spans="1:13" hidden="1" outlineLevel="1">
      <c r="A714" s="753" t="s">
        <v>1818</v>
      </c>
      <c r="B714" s="116">
        <v>0</v>
      </c>
      <c r="C714" s="95">
        <v>178608</v>
      </c>
      <c r="D714" s="125">
        <v>10109892</v>
      </c>
      <c r="E714" s="112">
        <f t="shared" si="13"/>
        <v>10288500</v>
      </c>
      <c r="F714" t="s">
        <v>1819</v>
      </c>
    </row>
    <row r="715" spans="1:13" hidden="1" outlineLevel="1">
      <c r="A715" s="753" t="s">
        <v>1820</v>
      </c>
      <c r="B715" s="116">
        <v>0</v>
      </c>
      <c r="C715" s="95">
        <v>1484385</v>
      </c>
      <c r="D715" s="125">
        <v>1626192</v>
      </c>
      <c r="E715" s="112">
        <f t="shared" si="13"/>
        <v>3110577</v>
      </c>
      <c r="F715" t="s">
        <v>1821</v>
      </c>
    </row>
    <row r="716" spans="1:13" hidden="1" outlineLevel="1">
      <c r="A716" s="753" t="s">
        <v>1822</v>
      </c>
      <c r="B716" s="116">
        <v>0</v>
      </c>
      <c r="C716" s="95">
        <v>0</v>
      </c>
      <c r="D716" s="125">
        <v>196006.68899999998</v>
      </c>
      <c r="E716" s="112">
        <f t="shared" si="13"/>
        <v>196006.68899999998</v>
      </c>
      <c r="F716" t="s">
        <v>1823</v>
      </c>
    </row>
    <row r="717" spans="1:13" hidden="1" outlineLevel="1">
      <c r="A717" s="753" t="s">
        <v>1824</v>
      </c>
      <c r="B717" s="116">
        <v>0</v>
      </c>
      <c r="C717" s="95">
        <v>0</v>
      </c>
      <c r="D717" s="125">
        <v>19250</v>
      </c>
      <c r="E717" s="112">
        <f t="shared" si="13"/>
        <v>19250</v>
      </c>
      <c r="F717" t="s">
        <v>1825</v>
      </c>
    </row>
    <row r="718" spans="1:13" hidden="1" outlineLevel="1">
      <c r="A718" s="753" t="s">
        <v>1826</v>
      </c>
      <c r="B718" s="116">
        <v>0</v>
      </c>
      <c r="C718" s="95">
        <v>94843</v>
      </c>
      <c r="D718" s="125">
        <v>4405885.41</v>
      </c>
      <c r="E718" s="112">
        <f t="shared" si="13"/>
        <v>4500728.41</v>
      </c>
      <c r="F718" t="s">
        <v>1827</v>
      </c>
    </row>
    <row r="719" spans="1:13" ht="13.5" collapsed="1" thickBot="1">
      <c r="A719" s="933" t="s">
        <v>1828</v>
      </c>
      <c r="B719" s="120">
        <f>SUM(B720:B838)</f>
        <v>5025382</v>
      </c>
      <c r="C719" s="121">
        <f>SUM(C720:C838)</f>
        <v>957274582</v>
      </c>
      <c r="D719" s="121">
        <f>SUM(D720:D838)</f>
        <v>1135064330</v>
      </c>
      <c r="E719" s="112">
        <f t="shared" si="2"/>
        <v>2097364294</v>
      </c>
      <c r="F719" s="25"/>
      <c r="G719" s="5"/>
    </row>
    <row r="720" spans="1:13" ht="14.25" hidden="1" outlineLevel="1">
      <c r="A720" s="753" t="s">
        <v>1829</v>
      </c>
      <c r="B720" s="116">
        <v>0</v>
      </c>
      <c r="C720" s="95">
        <v>110750</v>
      </c>
      <c r="D720" s="95">
        <v>4919680</v>
      </c>
      <c r="E720" s="112">
        <v>5030430</v>
      </c>
      <c r="F720" s="1559" t="s">
        <v>1830</v>
      </c>
      <c r="G720" s="491"/>
      <c r="H720" s="5"/>
      <c r="I720" s="92"/>
      <c r="M720" s="5"/>
    </row>
    <row r="721" spans="1:13" ht="14.25" hidden="1" outlineLevel="1">
      <c r="A721" s="753" t="s">
        <v>1831</v>
      </c>
      <c r="B721" s="116">
        <v>0</v>
      </c>
      <c r="C721" s="95">
        <v>678724</v>
      </c>
      <c r="D721" s="95">
        <v>3861029</v>
      </c>
      <c r="E721" s="112">
        <v>4539753</v>
      </c>
      <c r="F721" s="1559" t="s">
        <v>1832</v>
      </c>
      <c r="G721" s="491"/>
      <c r="H721" s="5"/>
      <c r="I721" s="92"/>
      <c r="M721" s="5"/>
    </row>
    <row r="722" spans="1:13" ht="14.25" hidden="1" outlineLevel="1">
      <c r="A722" s="753" t="s">
        <v>1833</v>
      </c>
      <c r="B722" s="116">
        <v>0</v>
      </c>
      <c r="C722" s="95">
        <v>1762245</v>
      </c>
      <c r="D722" s="95">
        <v>42589491</v>
      </c>
      <c r="E722" s="112">
        <v>44351736</v>
      </c>
      <c r="F722" s="1559" t="s">
        <v>1834</v>
      </c>
      <c r="G722" s="491"/>
      <c r="H722" s="5"/>
      <c r="I722" s="92"/>
      <c r="M722" s="5"/>
    </row>
    <row r="723" spans="1:13" ht="14.25" hidden="1" outlineLevel="1">
      <c r="A723" s="753" t="s">
        <v>1835</v>
      </c>
      <c r="B723" s="116">
        <v>0</v>
      </c>
      <c r="C723" s="95">
        <v>2409103</v>
      </c>
      <c r="D723" s="95">
        <v>2416477</v>
      </c>
      <c r="E723" s="112">
        <v>4825580</v>
      </c>
      <c r="F723" s="1559" t="s">
        <v>1836</v>
      </c>
      <c r="G723" s="491"/>
      <c r="H723" s="5"/>
      <c r="I723" s="92"/>
      <c r="M723" s="5"/>
    </row>
    <row r="724" spans="1:13" ht="14.25" hidden="1" outlineLevel="1">
      <c r="A724" s="753" t="s">
        <v>1837</v>
      </c>
      <c r="B724" s="116">
        <v>0</v>
      </c>
      <c r="C724" s="95">
        <v>202378</v>
      </c>
      <c r="D724" s="95">
        <v>4179541</v>
      </c>
      <c r="E724" s="112">
        <v>4381919</v>
      </c>
      <c r="F724" s="1559" t="s">
        <v>1838</v>
      </c>
      <c r="G724" s="491"/>
      <c r="H724" s="5"/>
      <c r="I724" s="92"/>
      <c r="M724" s="5"/>
    </row>
    <row r="725" spans="1:13" ht="14.25" hidden="1" outlineLevel="1">
      <c r="A725" s="753" t="s">
        <v>1839</v>
      </c>
      <c r="B725" s="116">
        <v>0</v>
      </c>
      <c r="C725" s="95">
        <v>225662</v>
      </c>
      <c r="D725" s="95">
        <v>626550</v>
      </c>
      <c r="E725" s="112">
        <v>852212</v>
      </c>
      <c r="F725" s="1559" t="s">
        <v>1840</v>
      </c>
      <c r="G725" s="491"/>
      <c r="H725" s="5"/>
      <c r="I725" s="92"/>
      <c r="M725" s="5"/>
    </row>
    <row r="726" spans="1:13" ht="14.25" hidden="1" outlineLevel="1">
      <c r="A726" s="753" t="s">
        <v>1841</v>
      </c>
      <c r="B726" s="116">
        <v>0</v>
      </c>
      <c r="C726" s="95">
        <v>0</v>
      </c>
      <c r="D726" s="95">
        <v>71174</v>
      </c>
      <c r="E726" s="112">
        <v>71174</v>
      </c>
      <c r="F726" s="1559" t="s">
        <v>1842</v>
      </c>
      <c r="G726" s="491"/>
      <c r="H726" s="5"/>
      <c r="I726" s="92"/>
      <c r="M726" s="5"/>
    </row>
    <row r="727" spans="1:13" ht="14.25" hidden="1" outlineLevel="1">
      <c r="A727" s="753" t="s">
        <v>1843</v>
      </c>
      <c r="B727" s="116">
        <v>11</v>
      </c>
      <c r="C727" s="95">
        <v>0</v>
      </c>
      <c r="D727" s="95">
        <v>0</v>
      </c>
      <c r="E727" s="112">
        <v>11</v>
      </c>
      <c r="F727" s="1559" t="s">
        <v>1844</v>
      </c>
      <c r="G727" s="491"/>
      <c r="H727" s="5"/>
      <c r="I727" s="92"/>
      <c r="M727" s="5"/>
    </row>
    <row r="728" spans="1:13" ht="14.25" hidden="1" outlineLevel="1">
      <c r="A728" s="753" t="s">
        <v>1845</v>
      </c>
      <c r="B728" s="116">
        <v>0</v>
      </c>
      <c r="C728" s="95">
        <v>30016</v>
      </c>
      <c r="D728" s="95">
        <v>746592</v>
      </c>
      <c r="E728" s="112">
        <v>776608</v>
      </c>
      <c r="F728" s="1559" t="s">
        <v>1846</v>
      </c>
      <c r="G728" s="491"/>
      <c r="H728" s="5"/>
      <c r="I728" s="92"/>
      <c r="M728" s="5"/>
    </row>
    <row r="729" spans="1:13" ht="14.25" hidden="1" outlineLevel="1">
      <c r="A729" s="753" t="s">
        <v>1847</v>
      </c>
      <c r="B729" s="116">
        <v>0</v>
      </c>
      <c r="C729" s="95">
        <v>273420</v>
      </c>
      <c r="D729" s="95">
        <v>797387</v>
      </c>
      <c r="E729" s="112">
        <v>1070807</v>
      </c>
      <c r="F729" s="1559" t="s">
        <v>1848</v>
      </c>
      <c r="G729" s="491"/>
      <c r="H729" s="5"/>
      <c r="I729" s="92"/>
      <c r="M729" s="5"/>
    </row>
    <row r="730" spans="1:13" ht="14.25" hidden="1" outlineLevel="1">
      <c r="A730" s="753" t="s">
        <v>1849</v>
      </c>
      <c r="B730" s="116">
        <v>0</v>
      </c>
      <c r="C730" s="95">
        <v>42823</v>
      </c>
      <c r="D730" s="95">
        <v>205351</v>
      </c>
      <c r="E730" s="112">
        <v>248174</v>
      </c>
      <c r="F730" s="1559" t="s">
        <v>1850</v>
      </c>
      <c r="G730" s="491"/>
      <c r="H730" s="5"/>
      <c r="I730" s="92"/>
      <c r="M730" s="5"/>
    </row>
    <row r="731" spans="1:13" ht="14.25" hidden="1" outlineLevel="1">
      <c r="A731" s="753" t="s">
        <v>1851</v>
      </c>
      <c r="B731" s="116">
        <v>0</v>
      </c>
      <c r="C731" s="95">
        <v>0</v>
      </c>
      <c r="D731" s="95">
        <v>481876</v>
      </c>
      <c r="E731" s="112">
        <v>481876</v>
      </c>
      <c r="F731" s="1559" t="s">
        <v>1852</v>
      </c>
      <c r="G731" s="491"/>
      <c r="H731" s="5"/>
      <c r="I731" s="92"/>
      <c r="M731" s="5"/>
    </row>
    <row r="732" spans="1:13" ht="14.25" hidden="1" outlineLevel="1">
      <c r="A732" s="753" t="s">
        <v>1853</v>
      </c>
      <c r="B732" s="116">
        <v>0</v>
      </c>
      <c r="C732" s="95">
        <v>67082</v>
      </c>
      <c r="D732" s="95">
        <v>4895</v>
      </c>
      <c r="E732" s="112">
        <v>71977</v>
      </c>
      <c r="F732" s="1559" t="s">
        <v>1854</v>
      </c>
      <c r="G732" s="491"/>
      <c r="H732" s="5"/>
      <c r="I732" s="92"/>
      <c r="M732" s="5"/>
    </row>
    <row r="733" spans="1:13" ht="14.25" hidden="1" outlineLevel="1">
      <c r="A733" s="753" t="s">
        <v>1855</v>
      </c>
      <c r="B733" s="116">
        <v>0</v>
      </c>
      <c r="C733" s="95">
        <v>136676</v>
      </c>
      <c r="D733" s="95">
        <v>2686222</v>
      </c>
      <c r="E733" s="112">
        <v>2822898</v>
      </c>
      <c r="F733" s="1559" t="s">
        <v>1856</v>
      </c>
      <c r="G733" s="491"/>
      <c r="H733" s="5"/>
      <c r="I733" s="92"/>
      <c r="M733" s="5"/>
    </row>
    <row r="734" spans="1:13" ht="14.25" hidden="1" outlineLevel="1">
      <c r="A734" s="753" t="s">
        <v>1857</v>
      </c>
      <c r="B734" s="116">
        <v>0</v>
      </c>
      <c r="C734" s="95">
        <v>158236</v>
      </c>
      <c r="D734" s="95">
        <v>1171792</v>
      </c>
      <c r="E734" s="112">
        <v>1330028</v>
      </c>
      <c r="F734" s="1559" t="s">
        <v>1858</v>
      </c>
      <c r="G734" s="491"/>
      <c r="H734" s="5"/>
      <c r="I734" s="92"/>
      <c r="M734" s="5"/>
    </row>
    <row r="735" spans="1:13" ht="14.25" hidden="1" outlineLevel="1">
      <c r="A735" s="753" t="s">
        <v>1859</v>
      </c>
      <c r="B735" s="116">
        <v>0</v>
      </c>
      <c r="C735" s="95">
        <v>487060</v>
      </c>
      <c r="D735" s="95">
        <v>3586163</v>
      </c>
      <c r="E735" s="112">
        <v>4073223</v>
      </c>
      <c r="F735" s="1559" t="s">
        <v>1860</v>
      </c>
      <c r="G735" s="491"/>
      <c r="H735" s="5"/>
      <c r="I735" s="92"/>
      <c r="M735" s="5"/>
    </row>
    <row r="736" spans="1:13" ht="14.25" hidden="1" outlineLevel="1">
      <c r="A736" s="753" t="s">
        <v>1861</v>
      </c>
      <c r="B736" s="116">
        <v>0</v>
      </c>
      <c r="C736" s="95">
        <v>0</v>
      </c>
      <c r="D736" s="95">
        <v>27998</v>
      </c>
      <c r="E736" s="112">
        <v>27998</v>
      </c>
      <c r="F736" s="1559" t="s">
        <v>1862</v>
      </c>
      <c r="G736" s="491"/>
      <c r="H736" s="5"/>
      <c r="I736" s="92"/>
      <c r="M736" s="5"/>
    </row>
    <row r="737" spans="1:13" ht="14.25" hidden="1" outlineLevel="1">
      <c r="A737" s="753" t="s">
        <v>1863</v>
      </c>
      <c r="B737" s="116">
        <v>0</v>
      </c>
      <c r="C737" s="95">
        <v>715578</v>
      </c>
      <c r="D737" s="95">
        <v>2273932</v>
      </c>
      <c r="E737" s="112">
        <v>2989510</v>
      </c>
      <c r="F737" s="1559" t="s">
        <v>1864</v>
      </c>
      <c r="G737" s="491"/>
      <c r="H737" s="5"/>
      <c r="I737" s="92"/>
      <c r="M737" s="5"/>
    </row>
    <row r="738" spans="1:13" ht="14.25" hidden="1" outlineLevel="1">
      <c r="A738" s="753" t="s">
        <v>1865</v>
      </c>
      <c r="B738" s="116">
        <v>0</v>
      </c>
      <c r="C738" s="95">
        <v>3857</v>
      </c>
      <c r="D738" s="95">
        <v>709819</v>
      </c>
      <c r="E738" s="112">
        <v>713676</v>
      </c>
      <c r="F738" s="1559" t="s">
        <v>1866</v>
      </c>
      <c r="G738" s="491"/>
      <c r="H738" s="5"/>
      <c r="I738" s="92"/>
      <c r="M738" s="5"/>
    </row>
    <row r="739" spans="1:13" ht="14.25" hidden="1" outlineLevel="1">
      <c r="A739" s="753" t="s">
        <v>1867</v>
      </c>
      <c r="B739" s="116">
        <v>0</v>
      </c>
      <c r="C739" s="95">
        <v>833</v>
      </c>
      <c r="D739" s="95">
        <v>245000</v>
      </c>
      <c r="E739" s="112">
        <v>245833</v>
      </c>
      <c r="F739" s="1559" t="s">
        <v>1868</v>
      </c>
      <c r="G739" s="491"/>
      <c r="H739" s="5"/>
      <c r="I739" s="92"/>
      <c r="M739" s="5"/>
    </row>
    <row r="740" spans="1:13" ht="14.25" hidden="1" outlineLevel="1">
      <c r="A740" s="753" t="s">
        <v>1869</v>
      </c>
      <c r="B740" s="116">
        <v>0</v>
      </c>
      <c r="C740" s="95">
        <v>12176</v>
      </c>
      <c r="D740" s="95">
        <v>3254566</v>
      </c>
      <c r="E740" s="112">
        <v>3266742</v>
      </c>
      <c r="F740" s="1559" t="s">
        <v>1870</v>
      </c>
      <c r="G740" s="491"/>
      <c r="H740" s="5"/>
      <c r="I740" s="92"/>
      <c r="M740" s="5"/>
    </row>
    <row r="741" spans="1:13" ht="14.25" hidden="1" outlineLevel="1">
      <c r="A741" s="753" t="s">
        <v>1871</v>
      </c>
      <c r="B741" s="116">
        <v>0</v>
      </c>
      <c r="C741" s="95">
        <v>783</v>
      </c>
      <c r="D741" s="95">
        <v>245611</v>
      </c>
      <c r="E741" s="112">
        <v>246394</v>
      </c>
      <c r="F741" s="1559" t="s">
        <v>1872</v>
      </c>
      <c r="G741" s="491"/>
      <c r="H741" s="5"/>
      <c r="I741" s="92"/>
      <c r="M741" s="5"/>
    </row>
    <row r="742" spans="1:13" ht="14.25" hidden="1" outlineLevel="1">
      <c r="A742" s="753" t="s">
        <v>1873</v>
      </c>
      <c r="B742" s="116">
        <v>0</v>
      </c>
      <c r="C742" s="95">
        <v>2164917</v>
      </c>
      <c r="D742" s="95">
        <v>12485643</v>
      </c>
      <c r="E742" s="112">
        <v>14650560</v>
      </c>
      <c r="F742" s="1559" t="s">
        <v>1874</v>
      </c>
      <c r="G742" s="491"/>
      <c r="H742" s="5"/>
      <c r="I742" s="92"/>
      <c r="M742" s="5"/>
    </row>
    <row r="743" spans="1:13" ht="14.25" hidden="1" outlineLevel="1">
      <c r="A743" s="753" t="s">
        <v>799</v>
      </c>
      <c r="B743" s="116">
        <v>0</v>
      </c>
      <c r="C743" s="95">
        <v>0</v>
      </c>
      <c r="D743" s="95">
        <v>350000</v>
      </c>
      <c r="E743" s="112">
        <v>350000</v>
      </c>
      <c r="F743" s="1559" t="s">
        <v>800</v>
      </c>
      <c r="G743" s="491"/>
      <c r="H743" s="5"/>
      <c r="I743" s="92"/>
      <c r="M743" s="5"/>
    </row>
    <row r="744" spans="1:13" ht="14.25" hidden="1" outlineLevel="1">
      <c r="A744" s="753" t="s">
        <v>1875</v>
      </c>
      <c r="B744" s="116">
        <v>0</v>
      </c>
      <c r="C744" s="95">
        <v>0</v>
      </c>
      <c r="D744" s="95">
        <v>273076</v>
      </c>
      <c r="E744" s="112">
        <v>273076</v>
      </c>
      <c r="F744" s="1559" t="s">
        <v>1876</v>
      </c>
      <c r="G744" s="491"/>
      <c r="H744" s="5"/>
      <c r="I744" s="92"/>
      <c r="M744" s="5"/>
    </row>
    <row r="745" spans="1:13" ht="14.25" hidden="1" outlineLevel="1">
      <c r="A745" s="753" t="s">
        <v>1877</v>
      </c>
      <c r="B745" s="116">
        <v>0</v>
      </c>
      <c r="C745" s="95">
        <v>19914</v>
      </c>
      <c r="D745" s="95">
        <v>235962</v>
      </c>
      <c r="E745" s="112">
        <v>255876</v>
      </c>
      <c r="F745" s="1559" t="s">
        <v>1878</v>
      </c>
      <c r="G745" s="491"/>
      <c r="H745" s="5"/>
      <c r="I745" s="92"/>
      <c r="M745" s="5"/>
    </row>
    <row r="746" spans="1:13" ht="14.25" hidden="1" outlineLevel="1">
      <c r="A746" s="753" t="s">
        <v>1879</v>
      </c>
      <c r="B746" s="116">
        <v>0</v>
      </c>
      <c r="C746" s="95">
        <v>273926</v>
      </c>
      <c r="D746" s="95">
        <v>2931041</v>
      </c>
      <c r="E746" s="112">
        <v>3204967</v>
      </c>
      <c r="F746" s="1559" t="s">
        <v>1880</v>
      </c>
      <c r="G746" s="491"/>
      <c r="H746" s="5"/>
      <c r="I746" s="92"/>
      <c r="M746" s="5"/>
    </row>
    <row r="747" spans="1:13" ht="14.25" hidden="1" outlineLevel="1">
      <c r="A747" s="753" t="s">
        <v>1881</v>
      </c>
      <c r="B747" s="116">
        <v>0</v>
      </c>
      <c r="C747" s="95">
        <v>48578</v>
      </c>
      <c r="D747" s="95">
        <v>461870</v>
      </c>
      <c r="E747" s="112">
        <v>510448</v>
      </c>
      <c r="F747" s="1559" t="s">
        <v>1882</v>
      </c>
      <c r="G747" s="491"/>
      <c r="H747" s="5"/>
      <c r="I747" s="92"/>
      <c r="M747" s="5"/>
    </row>
    <row r="748" spans="1:13" ht="14.25" hidden="1" outlineLevel="1">
      <c r="A748" s="753" t="s">
        <v>1883</v>
      </c>
      <c r="B748" s="116">
        <v>0</v>
      </c>
      <c r="C748" s="95">
        <v>27006</v>
      </c>
      <c r="D748" s="95">
        <v>1338066</v>
      </c>
      <c r="E748" s="112">
        <v>1365072</v>
      </c>
      <c r="F748" s="1559" t="s">
        <v>1884</v>
      </c>
      <c r="G748" s="491"/>
      <c r="H748" s="5"/>
      <c r="I748" s="92"/>
      <c r="M748" s="5"/>
    </row>
    <row r="749" spans="1:13" ht="14.25" hidden="1" outlineLevel="1">
      <c r="A749" s="753" t="s">
        <v>1885</v>
      </c>
      <c r="B749" s="116">
        <v>0</v>
      </c>
      <c r="C749" s="95">
        <v>0</v>
      </c>
      <c r="D749" s="95">
        <v>171212</v>
      </c>
      <c r="E749" s="112">
        <v>171212</v>
      </c>
      <c r="F749" s="1559" t="s">
        <v>1886</v>
      </c>
      <c r="G749" s="491"/>
      <c r="H749" s="5"/>
      <c r="I749" s="92"/>
      <c r="M749" s="5"/>
    </row>
    <row r="750" spans="1:13" ht="14.25" hidden="1" outlineLevel="1">
      <c r="A750" s="753" t="s">
        <v>456</v>
      </c>
      <c r="B750" s="116">
        <v>0</v>
      </c>
      <c r="C750" s="95">
        <v>0</v>
      </c>
      <c r="D750" s="95">
        <v>264261</v>
      </c>
      <c r="E750" s="112">
        <v>264261</v>
      </c>
      <c r="F750" s="1559" t="s">
        <v>457</v>
      </c>
      <c r="G750" s="491"/>
      <c r="H750" s="5"/>
      <c r="I750" s="92"/>
      <c r="M750" s="5"/>
    </row>
    <row r="751" spans="1:13" ht="14.25" hidden="1" outlineLevel="1">
      <c r="A751" s="753" t="s">
        <v>1887</v>
      </c>
      <c r="B751" s="116">
        <v>0</v>
      </c>
      <c r="C751" s="95">
        <v>42430712</v>
      </c>
      <c r="D751" s="95">
        <v>876638</v>
      </c>
      <c r="E751" s="112">
        <v>43307350</v>
      </c>
      <c r="F751" s="1559" t="s">
        <v>1888</v>
      </c>
      <c r="G751" s="491"/>
      <c r="H751" s="5"/>
      <c r="I751" s="92"/>
      <c r="M751" s="5"/>
    </row>
    <row r="752" spans="1:13" ht="14.25" hidden="1" outlineLevel="1">
      <c r="A752" s="753" t="s">
        <v>1889</v>
      </c>
      <c r="B752" s="116">
        <v>0</v>
      </c>
      <c r="C752" s="95">
        <v>9656200</v>
      </c>
      <c r="D752" s="95">
        <v>0</v>
      </c>
      <c r="E752" s="112">
        <v>9656200</v>
      </c>
      <c r="F752" s="1559" t="s">
        <v>1890</v>
      </c>
      <c r="G752" s="491"/>
      <c r="H752" s="5"/>
      <c r="I752" s="92"/>
      <c r="M752" s="5"/>
    </row>
    <row r="753" spans="1:13" ht="14.25" hidden="1" outlineLevel="1">
      <c r="A753" s="753" t="s">
        <v>1891</v>
      </c>
      <c r="B753" s="116">
        <v>0</v>
      </c>
      <c r="C753" s="95">
        <v>0</v>
      </c>
      <c r="D753" s="95">
        <v>19250</v>
      </c>
      <c r="E753" s="112">
        <v>19250</v>
      </c>
      <c r="F753" s="1559" t="s">
        <v>1892</v>
      </c>
      <c r="G753" s="491"/>
      <c r="H753" s="5"/>
      <c r="I753" s="92"/>
      <c r="M753" s="5"/>
    </row>
    <row r="754" spans="1:13" ht="14.25" hidden="1" outlineLevel="1">
      <c r="A754" s="753" t="s">
        <v>1893</v>
      </c>
      <c r="B754" s="116">
        <v>4082395</v>
      </c>
      <c r="C754" s="95">
        <v>9620885</v>
      </c>
      <c r="D754" s="95">
        <v>16794591</v>
      </c>
      <c r="E754" s="112">
        <v>30497871</v>
      </c>
      <c r="F754" s="1559" t="s">
        <v>1894</v>
      </c>
      <c r="G754" s="491"/>
      <c r="H754" s="5"/>
      <c r="I754" s="92"/>
      <c r="M754" s="5"/>
    </row>
    <row r="755" spans="1:13" ht="14.25" hidden="1" outlineLevel="1">
      <c r="A755" s="753" t="s">
        <v>1895</v>
      </c>
      <c r="B755" s="116">
        <v>0</v>
      </c>
      <c r="C755" s="95">
        <v>11685362</v>
      </c>
      <c r="D755" s="95">
        <v>21275663</v>
      </c>
      <c r="E755" s="112">
        <v>32961025</v>
      </c>
      <c r="F755" s="1559" t="s">
        <v>1896</v>
      </c>
      <c r="G755" s="491"/>
      <c r="H755" s="5"/>
      <c r="I755" s="92"/>
      <c r="M755" s="5"/>
    </row>
    <row r="756" spans="1:13" ht="14.25" hidden="1" outlineLevel="1">
      <c r="A756" s="753" t="s">
        <v>1683</v>
      </c>
      <c r="B756" s="116">
        <v>0</v>
      </c>
      <c r="C756" s="95">
        <v>109167</v>
      </c>
      <c r="D756" s="95">
        <v>602602</v>
      </c>
      <c r="E756" s="112">
        <v>711769</v>
      </c>
      <c r="F756" s="1559" t="s">
        <v>1684</v>
      </c>
      <c r="G756" s="491"/>
      <c r="H756" s="5"/>
      <c r="I756" s="92"/>
      <c r="M756" s="5"/>
    </row>
    <row r="757" spans="1:13" ht="14.25" hidden="1" outlineLevel="1">
      <c r="A757" s="753" t="s">
        <v>1897</v>
      </c>
      <c r="B757" s="116">
        <v>0</v>
      </c>
      <c r="C757" s="95">
        <v>18235</v>
      </c>
      <c r="D757" s="95">
        <v>83010</v>
      </c>
      <c r="E757" s="112">
        <v>101245</v>
      </c>
      <c r="F757" s="1559" t="s">
        <v>1898</v>
      </c>
      <c r="G757" s="491"/>
      <c r="H757" s="5"/>
      <c r="I757" s="92"/>
      <c r="M757" s="5"/>
    </row>
    <row r="758" spans="1:13" ht="14.25" hidden="1" outlineLevel="1">
      <c r="A758" s="753" t="s">
        <v>977</v>
      </c>
      <c r="B758" s="116">
        <v>0</v>
      </c>
      <c r="C758" s="95">
        <v>16822095</v>
      </c>
      <c r="D758" s="95">
        <v>379240575</v>
      </c>
      <c r="E758" s="112">
        <v>396062670</v>
      </c>
      <c r="F758" s="1559" t="s">
        <v>978</v>
      </c>
      <c r="G758" s="491"/>
      <c r="H758" s="5"/>
      <c r="I758" s="92"/>
      <c r="M758" s="5"/>
    </row>
    <row r="759" spans="1:13" ht="14.25" hidden="1" outlineLevel="1">
      <c r="A759" s="753" t="s">
        <v>1899</v>
      </c>
      <c r="B759" s="116">
        <v>0</v>
      </c>
      <c r="C759" s="95">
        <v>383222</v>
      </c>
      <c r="D759" s="95">
        <v>1691285</v>
      </c>
      <c r="E759" s="112">
        <v>2074507</v>
      </c>
      <c r="F759" s="1559" t="s">
        <v>1900</v>
      </c>
      <c r="G759" s="491"/>
      <c r="H759" s="5"/>
      <c r="I759" s="92"/>
      <c r="M759" s="5"/>
    </row>
    <row r="760" spans="1:13" ht="14.25" hidden="1" outlineLevel="1">
      <c r="A760" s="753" t="s">
        <v>1901</v>
      </c>
      <c r="B760" s="116">
        <v>0</v>
      </c>
      <c r="C760" s="95">
        <v>3271</v>
      </c>
      <c r="D760" s="95">
        <v>717647</v>
      </c>
      <c r="E760" s="112">
        <v>720918</v>
      </c>
      <c r="F760" s="1559" t="s">
        <v>1902</v>
      </c>
      <c r="G760" s="491"/>
      <c r="H760" s="5"/>
      <c r="I760" s="92"/>
      <c r="M760" s="5"/>
    </row>
    <row r="761" spans="1:13" ht="14.25" hidden="1" outlineLevel="1">
      <c r="A761" s="753" t="s">
        <v>1903</v>
      </c>
      <c r="B761" s="116">
        <v>0</v>
      </c>
      <c r="C761" s="95">
        <v>2110545</v>
      </c>
      <c r="D761" s="95">
        <v>11917402</v>
      </c>
      <c r="E761" s="112">
        <v>14027947</v>
      </c>
      <c r="F761" s="1559" t="s">
        <v>1904</v>
      </c>
      <c r="G761" s="491"/>
      <c r="H761" s="5"/>
      <c r="I761" s="92"/>
      <c r="M761" s="5"/>
    </row>
    <row r="762" spans="1:13" ht="14.25" hidden="1" outlineLevel="1">
      <c r="A762" s="753" t="s">
        <v>1905</v>
      </c>
      <c r="B762" s="116">
        <v>0</v>
      </c>
      <c r="C762" s="95">
        <v>413567</v>
      </c>
      <c r="D762" s="95">
        <v>2305101</v>
      </c>
      <c r="E762" s="112">
        <v>2718668</v>
      </c>
      <c r="F762" s="1559" t="s">
        <v>1906</v>
      </c>
      <c r="G762" s="491"/>
      <c r="H762" s="5"/>
      <c r="I762" s="92"/>
      <c r="M762" s="5"/>
    </row>
    <row r="763" spans="1:13" ht="14.25" hidden="1" outlineLevel="1">
      <c r="A763" s="753" t="s">
        <v>1907</v>
      </c>
      <c r="B763" s="116">
        <v>0</v>
      </c>
      <c r="C763" s="95">
        <v>0</v>
      </c>
      <c r="D763" s="95">
        <v>122413</v>
      </c>
      <c r="E763" s="112">
        <v>122413</v>
      </c>
      <c r="F763" s="1559" t="s">
        <v>1908</v>
      </c>
      <c r="G763" s="491"/>
      <c r="H763" s="5"/>
      <c r="I763" s="92"/>
      <c r="M763" s="5"/>
    </row>
    <row r="764" spans="1:13" ht="14.25" hidden="1" outlineLevel="1">
      <c r="A764" s="753" t="s">
        <v>1909</v>
      </c>
      <c r="B764" s="116">
        <v>0</v>
      </c>
      <c r="C764" s="95">
        <v>0</v>
      </c>
      <c r="D764" s="95">
        <v>1015000</v>
      </c>
      <c r="E764" s="112">
        <v>1015000</v>
      </c>
      <c r="F764" s="1559" t="s">
        <v>1910</v>
      </c>
      <c r="G764" s="491"/>
      <c r="H764" s="5"/>
      <c r="I764" s="92"/>
      <c r="M764" s="5"/>
    </row>
    <row r="765" spans="1:13" ht="14.25" hidden="1" outlineLevel="1">
      <c r="A765" s="753" t="s">
        <v>1911</v>
      </c>
      <c r="B765" s="116">
        <v>0</v>
      </c>
      <c r="C765" s="95">
        <v>87834</v>
      </c>
      <c r="D765" s="95">
        <v>1379010</v>
      </c>
      <c r="E765" s="112">
        <v>1466844</v>
      </c>
      <c r="F765" s="1559" t="s">
        <v>1912</v>
      </c>
      <c r="G765" s="491"/>
      <c r="H765" s="5"/>
      <c r="I765" s="92"/>
      <c r="M765" s="5"/>
    </row>
    <row r="766" spans="1:13" ht="14.25" hidden="1" outlineLevel="1">
      <c r="A766" s="753" t="s">
        <v>1913</v>
      </c>
      <c r="B766" s="116">
        <v>0</v>
      </c>
      <c r="C766" s="95">
        <v>231912</v>
      </c>
      <c r="D766" s="95">
        <v>2747057</v>
      </c>
      <c r="E766" s="112">
        <v>2978969</v>
      </c>
      <c r="F766" s="1559" t="s">
        <v>1914</v>
      </c>
      <c r="G766" s="491"/>
      <c r="H766" s="5"/>
      <c r="I766" s="92"/>
      <c r="M766" s="5"/>
    </row>
    <row r="767" spans="1:13" ht="14.25" hidden="1" outlineLevel="1">
      <c r="A767" s="753" t="s">
        <v>1915</v>
      </c>
      <c r="B767" s="116">
        <v>0</v>
      </c>
      <c r="C767" s="95">
        <v>214174</v>
      </c>
      <c r="D767" s="95">
        <v>7190385</v>
      </c>
      <c r="E767" s="112">
        <v>7404559</v>
      </c>
      <c r="F767" s="1559" t="s">
        <v>1916</v>
      </c>
      <c r="G767" s="491"/>
      <c r="H767" s="5"/>
      <c r="I767" s="92"/>
      <c r="M767" s="5"/>
    </row>
    <row r="768" spans="1:13" ht="14.25" hidden="1" outlineLevel="1">
      <c r="A768" s="753" t="s">
        <v>1917</v>
      </c>
      <c r="B768" s="116">
        <v>0</v>
      </c>
      <c r="C768" s="95">
        <v>145577</v>
      </c>
      <c r="D768" s="95">
        <v>1920812</v>
      </c>
      <c r="E768" s="112">
        <v>2066389</v>
      </c>
      <c r="F768" s="1559" t="s">
        <v>1918</v>
      </c>
      <c r="G768" s="491"/>
      <c r="H768" s="5"/>
      <c r="I768" s="92"/>
      <c r="M768" s="5"/>
    </row>
    <row r="769" spans="1:18" ht="14.25" hidden="1" outlineLevel="1">
      <c r="A769" s="753" t="s">
        <v>1919</v>
      </c>
      <c r="B769" s="116">
        <v>0</v>
      </c>
      <c r="C769" s="95">
        <v>13079</v>
      </c>
      <c r="D769" s="95">
        <v>2352683</v>
      </c>
      <c r="E769" s="112">
        <v>2365762</v>
      </c>
      <c r="F769" s="1559" t="s">
        <v>1920</v>
      </c>
      <c r="G769" s="491"/>
      <c r="H769" s="5"/>
      <c r="I769" s="92"/>
      <c r="M769" s="5"/>
    </row>
    <row r="770" spans="1:18" ht="14.25" hidden="1" outlineLevel="1">
      <c r="A770" s="753" t="s">
        <v>1921</v>
      </c>
      <c r="B770" s="116">
        <v>0</v>
      </c>
      <c r="C770" s="95">
        <v>526856</v>
      </c>
      <c r="D770" s="95">
        <v>5186759</v>
      </c>
      <c r="E770" s="112">
        <v>5713615</v>
      </c>
      <c r="F770" s="1559" t="s">
        <v>1922</v>
      </c>
      <c r="G770" s="491"/>
      <c r="H770" s="5"/>
      <c r="I770" s="92"/>
      <c r="M770" s="5"/>
    </row>
    <row r="771" spans="1:18" ht="14.25" hidden="1" outlineLevel="1">
      <c r="A771" s="753" t="s">
        <v>1923</v>
      </c>
      <c r="B771" s="116">
        <v>0</v>
      </c>
      <c r="C771" s="95">
        <v>265587</v>
      </c>
      <c r="D771" s="95">
        <v>434019</v>
      </c>
      <c r="E771" s="112">
        <v>699606</v>
      </c>
      <c r="F771" s="1559" t="s">
        <v>1924</v>
      </c>
      <c r="G771" s="491"/>
      <c r="H771" s="5"/>
      <c r="I771" s="92"/>
      <c r="M771" s="5"/>
    </row>
    <row r="772" spans="1:18" ht="14.25" hidden="1" outlineLevel="1">
      <c r="A772" s="753" t="s">
        <v>1925</v>
      </c>
      <c r="B772" s="116">
        <v>0</v>
      </c>
      <c r="C772" s="95">
        <v>22866</v>
      </c>
      <c r="D772" s="95">
        <v>41735</v>
      </c>
      <c r="E772" s="112">
        <v>64601</v>
      </c>
      <c r="F772" s="1559" t="s">
        <v>1926</v>
      </c>
      <c r="G772" s="491"/>
      <c r="H772" s="5"/>
      <c r="I772" s="92"/>
      <c r="M772" s="5"/>
    </row>
    <row r="773" spans="1:18" ht="14.25" hidden="1" outlineLevel="1">
      <c r="A773" s="753" t="s">
        <v>1927</v>
      </c>
      <c r="B773" s="116">
        <v>0</v>
      </c>
      <c r="C773" s="95">
        <v>372948</v>
      </c>
      <c r="D773" s="95">
        <v>812432</v>
      </c>
      <c r="E773" s="112">
        <v>1185380</v>
      </c>
      <c r="F773" s="1559" t="s">
        <v>1928</v>
      </c>
      <c r="G773" s="491"/>
      <c r="H773" s="5"/>
      <c r="I773" s="92"/>
      <c r="M773" s="5"/>
    </row>
    <row r="774" spans="1:18" ht="14.25" hidden="1" outlineLevel="1">
      <c r="A774" s="753" t="s">
        <v>1929</v>
      </c>
      <c r="B774" s="116">
        <v>0</v>
      </c>
      <c r="C774" s="95">
        <v>0</v>
      </c>
      <c r="D774" s="95">
        <v>407764</v>
      </c>
      <c r="E774" s="112">
        <v>407764</v>
      </c>
      <c r="F774" s="1559" t="s">
        <v>1930</v>
      </c>
      <c r="G774" s="491"/>
      <c r="H774" s="5"/>
      <c r="I774" s="92"/>
      <c r="M774" s="5"/>
    </row>
    <row r="775" spans="1:18" ht="14.25" hidden="1" outlineLevel="1">
      <c r="A775" s="753" t="s">
        <v>1931</v>
      </c>
      <c r="B775" s="116">
        <v>0</v>
      </c>
      <c r="C775" s="95">
        <v>194552</v>
      </c>
      <c r="D775" s="95">
        <v>1535397</v>
      </c>
      <c r="E775" s="112">
        <v>1729949</v>
      </c>
      <c r="F775" s="1559" t="s">
        <v>1932</v>
      </c>
      <c r="G775" s="491"/>
      <c r="H775" s="5"/>
      <c r="I775" s="92"/>
      <c r="M775" s="5"/>
    </row>
    <row r="776" spans="1:18" ht="14.25" hidden="1" outlineLevel="1">
      <c r="A776" s="753" t="s">
        <v>1933</v>
      </c>
      <c r="B776" s="116">
        <v>0</v>
      </c>
      <c r="C776" s="95">
        <v>78093</v>
      </c>
      <c r="D776" s="95">
        <v>3607649</v>
      </c>
      <c r="E776" s="112">
        <v>3685742</v>
      </c>
      <c r="F776" s="1559" t="s">
        <v>1934</v>
      </c>
      <c r="G776" s="491"/>
      <c r="H776" s="5"/>
      <c r="I776" s="92"/>
      <c r="M776" s="5"/>
    </row>
    <row r="777" spans="1:18" ht="14.25" hidden="1" outlineLevel="1">
      <c r="A777" s="753" t="s">
        <v>1935</v>
      </c>
      <c r="B777" s="116">
        <v>0</v>
      </c>
      <c r="C777" s="95">
        <v>26415</v>
      </c>
      <c r="D777" s="95">
        <v>12138957</v>
      </c>
      <c r="E777" s="112">
        <v>12165372</v>
      </c>
      <c r="F777" s="1559" t="s">
        <v>1936</v>
      </c>
      <c r="G777" s="491"/>
      <c r="H777" s="5"/>
      <c r="I777" s="92"/>
      <c r="M777" s="5"/>
    </row>
    <row r="778" spans="1:18" ht="14.25" hidden="1" outlineLevel="1">
      <c r="A778" s="753" t="s">
        <v>1937</v>
      </c>
      <c r="B778" s="116">
        <v>0</v>
      </c>
      <c r="C778" s="95">
        <v>6112</v>
      </c>
      <c r="D778" s="95">
        <v>1283174</v>
      </c>
      <c r="E778" s="112">
        <v>1289286</v>
      </c>
      <c r="F778" s="1559" t="s">
        <v>1938</v>
      </c>
      <c r="G778" s="899"/>
      <c r="H778" s="5"/>
      <c r="I778" s="92"/>
      <c r="M778" s="5"/>
    </row>
    <row r="779" spans="1:18" ht="14.25" hidden="1" outlineLevel="1">
      <c r="A779" s="753" t="s">
        <v>1939</v>
      </c>
      <c r="B779" s="116">
        <v>0</v>
      </c>
      <c r="C779" s="95">
        <v>1380</v>
      </c>
      <c r="D779" s="95">
        <v>412965</v>
      </c>
      <c r="E779" s="112">
        <v>414345</v>
      </c>
      <c r="F779" s="1559" t="s">
        <v>1940</v>
      </c>
      <c r="H779" s="5"/>
      <c r="I779" s="92"/>
      <c r="M779" s="5"/>
      <c r="Q779" s="5"/>
      <c r="R779" s="5"/>
    </row>
    <row r="780" spans="1:18" ht="14.25" hidden="1" outlineLevel="1">
      <c r="A780" s="753" t="s">
        <v>1941</v>
      </c>
      <c r="B780" s="116">
        <v>0</v>
      </c>
      <c r="C780" s="95">
        <v>0</v>
      </c>
      <c r="D780" s="95">
        <v>480194</v>
      </c>
      <c r="E780" s="112">
        <v>480194</v>
      </c>
      <c r="F780" s="1559" t="s">
        <v>1942</v>
      </c>
      <c r="G780" s="491"/>
      <c r="H780" s="5"/>
      <c r="I780" s="92"/>
      <c r="M780" s="5"/>
    </row>
    <row r="781" spans="1:18" ht="14.25" hidden="1" outlineLevel="1">
      <c r="A781" s="753" t="s">
        <v>1943</v>
      </c>
      <c r="B781" s="116">
        <v>0</v>
      </c>
      <c r="C781" s="95">
        <v>333158</v>
      </c>
      <c r="D781" s="95">
        <v>7280140</v>
      </c>
      <c r="E781" s="112">
        <v>7613298</v>
      </c>
      <c r="F781" s="1559" t="s">
        <v>1944</v>
      </c>
      <c r="G781" s="491"/>
      <c r="H781" s="5"/>
      <c r="I781" s="92"/>
      <c r="M781" s="5"/>
    </row>
    <row r="782" spans="1:18" ht="14.25" hidden="1" outlineLevel="1">
      <c r="A782" s="753" t="s">
        <v>1945</v>
      </c>
      <c r="B782" s="116">
        <v>0</v>
      </c>
      <c r="C782" s="95">
        <v>24213</v>
      </c>
      <c r="D782" s="95">
        <v>1429369</v>
      </c>
      <c r="E782" s="112">
        <v>1453582</v>
      </c>
      <c r="F782" s="1559" t="s">
        <v>1946</v>
      </c>
      <c r="G782" s="491"/>
      <c r="H782" s="5"/>
      <c r="I782" s="92"/>
      <c r="M782" s="5"/>
    </row>
    <row r="783" spans="1:18" ht="14.25" hidden="1" outlineLevel="1">
      <c r="A783" s="753" t="s">
        <v>1947</v>
      </c>
      <c r="B783" s="116">
        <v>0</v>
      </c>
      <c r="C783" s="95">
        <v>0</v>
      </c>
      <c r="D783" s="95">
        <v>330132</v>
      </c>
      <c r="E783" s="112">
        <v>330132</v>
      </c>
      <c r="F783" s="1559" t="s">
        <v>1948</v>
      </c>
      <c r="G783" s="491"/>
      <c r="H783" s="5"/>
      <c r="I783" s="92"/>
      <c r="M783" s="5"/>
    </row>
    <row r="784" spans="1:18" ht="14.25" hidden="1" outlineLevel="1">
      <c r="A784" s="753" t="s">
        <v>1949</v>
      </c>
      <c r="B784" s="116">
        <v>0</v>
      </c>
      <c r="C784" s="95">
        <v>138252</v>
      </c>
      <c r="D784" s="95">
        <v>3440402</v>
      </c>
      <c r="E784" s="112">
        <v>3578654</v>
      </c>
      <c r="F784" s="1559" t="s">
        <v>1950</v>
      </c>
      <c r="G784" s="491"/>
      <c r="H784" s="5"/>
      <c r="I784" s="92"/>
      <c r="M784" s="5"/>
    </row>
    <row r="785" spans="1:13" ht="14.25" hidden="1" outlineLevel="1">
      <c r="A785" s="753" t="s">
        <v>1951</v>
      </c>
      <c r="B785" s="116">
        <v>0</v>
      </c>
      <c r="C785" s="95">
        <v>38043</v>
      </c>
      <c r="D785" s="95">
        <v>437537</v>
      </c>
      <c r="E785" s="112">
        <v>475580</v>
      </c>
      <c r="F785" s="1559" t="s">
        <v>1952</v>
      </c>
      <c r="G785" s="491"/>
      <c r="H785" s="5"/>
      <c r="I785" s="92"/>
      <c r="M785" s="5"/>
    </row>
    <row r="786" spans="1:13" ht="14.25" hidden="1" outlineLevel="1">
      <c r="A786" s="753" t="s">
        <v>1953</v>
      </c>
      <c r="B786" s="116">
        <v>0</v>
      </c>
      <c r="C786" s="95">
        <v>52418</v>
      </c>
      <c r="D786" s="95">
        <v>6593321</v>
      </c>
      <c r="E786" s="112">
        <v>6645739</v>
      </c>
      <c r="F786" s="1559" t="s">
        <v>1954</v>
      </c>
      <c r="G786" s="491"/>
      <c r="H786" s="5"/>
      <c r="I786" s="92"/>
      <c r="M786" s="5"/>
    </row>
    <row r="787" spans="1:13" ht="14.25" hidden="1" outlineLevel="1">
      <c r="A787" s="753" t="s">
        <v>1955</v>
      </c>
      <c r="B787" s="116">
        <v>0</v>
      </c>
      <c r="C787" s="95">
        <v>420932</v>
      </c>
      <c r="D787" s="95">
        <v>2828684</v>
      </c>
      <c r="E787" s="112">
        <v>3249616</v>
      </c>
      <c r="F787" s="1559" t="s">
        <v>1956</v>
      </c>
      <c r="G787" s="491"/>
      <c r="H787" s="5"/>
      <c r="I787" s="92"/>
      <c r="M787" s="5"/>
    </row>
    <row r="788" spans="1:13" ht="14.25" hidden="1" outlineLevel="1">
      <c r="A788" s="753" t="s">
        <v>1957</v>
      </c>
      <c r="B788" s="116">
        <v>0</v>
      </c>
      <c r="C788" s="95">
        <v>270842</v>
      </c>
      <c r="D788" s="95">
        <v>1141737</v>
      </c>
      <c r="E788" s="112">
        <v>1412579</v>
      </c>
      <c r="F788" s="1559" t="s">
        <v>1958</v>
      </c>
      <c r="G788" s="491"/>
      <c r="H788" s="5"/>
      <c r="I788" s="92"/>
      <c r="M788" s="5"/>
    </row>
    <row r="789" spans="1:13" ht="14.25" hidden="1" outlineLevel="1">
      <c r="A789" s="753" t="s">
        <v>1959</v>
      </c>
      <c r="B789" s="116">
        <v>0</v>
      </c>
      <c r="C789" s="95">
        <v>115172</v>
      </c>
      <c r="D789" s="95">
        <v>390927</v>
      </c>
      <c r="E789" s="112">
        <v>506099</v>
      </c>
      <c r="F789" s="1559" t="s">
        <v>1960</v>
      </c>
      <c r="G789" s="491"/>
      <c r="H789" s="5"/>
      <c r="I789" s="92"/>
      <c r="M789" s="5"/>
    </row>
    <row r="790" spans="1:13" ht="14.25" hidden="1" outlineLevel="1">
      <c r="A790" s="753" t="s">
        <v>1961</v>
      </c>
      <c r="B790" s="116">
        <v>0</v>
      </c>
      <c r="C790" s="95">
        <v>6969</v>
      </c>
      <c r="D790" s="95">
        <v>780177</v>
      </c>
      <c r="E790" s="112">
        <v>787146</v>
      </c>
      <c r="F790" s="1559" t="s">
        <v>1962</v>
      </c>
      <c r="G790" s="491"/>
      <c r="H790" s="5"/>
      <c r="I790" s="92"/>
      <c r="M790" s="5"/>
    </row>
    <row r="791" spans="1:13" ht="14.25" hidden="1" outlineLevel="1">
      <c r="A791" s="753" t="s">
        <v>1963</v>
      </c>
      <c r="B791" s="116">
        <v>0</v>
      </c>
      <c r="C791" s="95">
        <v>327741</v>
      </c>
      <c r="D791" s="95">
        <v>23031159</v>
      </c>
      <c r="E791" s="112">
        <v>23358900</v>
      </c>
      <c r="F791" s="1559" t="s">
        <v>1964</v>
      </c>
      <c r="G791" s="491"/>
      <c r="H791" s="5"/>
      <c r="I791" s="92"/>
      <c r="M791" s="5"/>
    </row>
    <row r="792" spans="1:13" ht="14.25" hidden="1" outlineLevel="1">
      <c r="A792" s="753" t="s">
        <v>1965</v>
      </c>
      <c r="B792" s="116">
        <v>0</v>
      </c>
      <c r="C792" s="95">
        <v>0</v>
      </c>
      <c r="D792" s="95">
        <v>1333428</v>
      </c>
      <c r="E792" s="112">
        <v>1333428</v>
      </c>
      <c r="F792" s="1559" t="s">
        <v>1966</v>
      </c>
      <c r="G792" s="491"/>
      <c r="H792" s="5"/>
      <c r="I792" s="92"/>
      <c r="M792" s="5"/>
    </row>
    <row r="793" spans="1:13" ht="14.25" hidden="1" outlineLevel="1">
      <c r="A793" s="753" t="s">
        <v>1967</v>
      </c>
      <c r="B793" s="116">
        <v>0</v>
      </c>
      <c r="C793" s="95">
        <v>154322</v>
      </c>
      <c r="D793" s="95">
        <v>58821909</v>
      </c>
      <c r="E793" s="112">
        <v>58976231</v>
      </c>
      <c r="F793" s="1559" t="s">
        <v>1968</v>
      </c>
      <c r="G793" s="491"/>
      <c r="H793" s="5"/>
      <c r="I793" s="92"/>
      <c r="M793" s="5"/>
    </row>
    <row r="794" spans="1:13" ht="14.25" hidden="1" outlineLevel="1">
      <c r="A794" s="753" t="s">
        <v>1969</v>
      </c>
      <c r="B794" s="116">
        <v>0</v>
      </c>
      <c r="C794" s="95">
        <v>1567835</v>
      </c>
      <c r="D794" s="95">
        <v>11146358</v>
      </c>
      <c r="E794" s="112">
        <v>12714193</v>
      </c>
      <c r="F794" s="1559" t="s">
        <v>1970</v>
      </c>
      <c r="G794" s="491"/>
      <c r="H794" s="5"/>
      <c r="I794" s="92"/>
      <c r="M794" s="5"/>
    </row>
    <row r="795" spans="1:13" ht="14.25" hidden="1" outlineLevel="1">
      <c r="A795" s="753" t="s">
        <v>1971</v>
      </c>
      <c r="B795" s="116">
        <v>0</v>
      </c>
      <c r="C795" s="95">
        <v>49701</v>
      </c>
      <c r="D795" s="95">
        <v>186483</v>
      </c>
      <c r="E795" s="112">
        <v>236184</v>
      </c>
      <c r="F795" s="1559" t="s">
        <v>1972</v>
      </c>
      <c r="G795" s="491"/>
      <c r="H795" s="5"/>
      <c r="I795" s="92"/>
      <c r="M795" s="5"/>
    </row>
    <row r="796" spans="1:13" ht="14.25" hidden="1" outlineLevel="1">
      <c r="A796" s="753" t="s">
        <v>1132</v>
      </c>
      <c r="B796" s="116">
        <v>0</v>
      </c>
      <c r="C796" s="95">
        <v>476664</v>
      </c>
      <c r="D796" s="95">
        <v>6108983</v>
      </c>
      <c r="E796" s="112">
        <v>6585647</v>
      </c>
      <c r="F796" s="1559" t="s">
        <v>1133</v>
      </c>
      <c r="G796" s="491"/>
      <c r="H796" s="5"/>
      <c r="I796" s="92"/>
      <c r="M796" s="5"/>
    </row>
    <row r="797" spans="1:13" ht="14.25" hidden="1" outlineLevel="1">
      <c r="A797" s="753" t="s">
        <v>1973</v>
      </c>
      <c r="B797" s="116">
        <v>0</v>
      </c>
      <c r="C797" s="95">
        <v>0</v>
      </c>
      <c r="D797" s="95">
        <v>643999</v>
      </c>
      <c r="E797" s="112">
        <v>643999</v>
      </c>
      <c r="F797" s="1559" t="s">
        <v>1974</v>
      </c>
      <c r="G797" s="491"/>
      <c r="H797" s="5"/>
      <c r="I797" s="92"/>
      <c r="M797" s="5"/>
    </row>
    <row r="798" spans="1:13" ht="14.25" hidden="1" outlineLevel="1">
      <c r="A798" s="753" t="s">
        <v>1975</v>
      </c>
      <c r="B798" s="116">
        <v>0</v>
      </c>
      <c r="C798" s="95">
        <v>35765</v>
      </c>
      <c r="D798" s="95">
        <v>1792551</v>
      </c>
      <c r="E798" s="112">
        <v>1828316</v>
      </c>
      <c r="F798" s="1559" t="s">
        <v>1976</v>
      </c>
      <c r="G798" s="491"/>
      <c r="H798" s="5"/>
      <c r="I798" s="92"/>
      <c r="M798" s="5"/>
    </row>
    <row r="799" spans="1:13" ht="14.25" hidden="1" outlineLevel="1">
      <c r="A799" s="753" t="s">
        <v>1977</v>
      </c>
      <c r="B799" s="116">
        <v>0</v>
      </c>
      <c r="C799" s="95">
        <v>92737</v>
      </c>
      <c r="D799" s="95">
        <v>1346787</v>
      </c>
      <c r="E799" s="112">
        <v>1439524</v>
      </c>
      <c r="F799" s="1559" t="s">
        <v>1978</v>
      </c>
      <c r="G799" s="491"/>
      <c r="H799" s="5"/>
      <c r="I799" s="92"/>
      <c r="M799" s="5"/>
    </row>
    <row r="800" spans="1:13" ht="14.25" hidden="1" outlineLevel="1">
      <c r="A800" s="753" t="s">
        <v>1979</v>
      </c>
      <c r="B800" s="116">
        <v>0</v>
      </c>
      <c r="C800" s="95">
        <v>0</v>
      </c>
      <c r="D800" s="95">
        <v>1504312</v>
      </c>
      <c r="E800" s="112">
        <v>1504312</v>
      </c>
      <c r="F800" s="1559" t="s">
        <v>1980</v>
      </c>
      <c r="G800" s="491"/>
      <c r="H800" s="5"/>
      <c r="I800" s="92"/>
      <c r="M800" s="5"/>
    </row>
    <row r="801" spans="1:13" ht="14.25" hidden="1" outlineLevel="1">
      <c r="A801" s="753" t="s">
        <v>1981</v>
      </c>
      <c r="B801" s="116">
        <v>0</v>
      </c>
      <c r="C801" s="95">
        <v>11840</v>
      </c>
      <c r="D801" s="95">
        <v>730546</v>
      </c>
      <c r="E801" s="112">
        <v>742386</v>
      </c>
      <c r="F801" s="1559" t="s">
        <v>1982</v>
      </c>
      <c r="G801" s="491"/>
      <c r="H801" s="5"/>
      <c r="I801" s="92"/>
      <c r="M801" s="5"/>
    </row>
    <row r="802" spans="1:13" ht="14.25" hidden="1" outlineLevel="1">
      <c r="A802" s="753" t="s">
        <v>1983</v>
      </c>
      <c r="B802" s="116">
        <v>0</v>
      </c>
      <c r="C802" s="95">
        <v>11454</v>
      </c>
      <c r="D802" s="95">
        <v>288825</v>
      </c>
      <c r="E802" s="112">
        <v>300279</v>
      </c>
      <c r="F802" s="1559" t="s">
        <v>1984</v>
      </c>
      <c r="G802" s="491"/>
      <c r="H802" s="5"/>
      <c r="I802" s="92"/>
      <c r="M802" s="5"/>
    </row>
    <row r="803" spans="1:13" ht="14.25" hidden="1" outlineLevel="1">
      <c r="A803" s="753" t="s">
        <v>1985</v>
      </c>
      <c r="B803" s="116">
        <v>0</v>
      </c>
      <c r="C803" s="95">
        <v>165861</v>
      </c>
      <c r="D803" s="95">
        <v>2350274</v>
      </c>
      <c r="E803" s="112">
        <v>2516135</v>
      </c>
      <c r="F803" s="1559" t="s">
        <v>1986</v>
      </c>
      <c r="G803" s="491"/>
      <c r="H803" s="5"/>
      <c r="I803" s="92"/>
      <c r="M803" s="5"/>
    </row>
    <row r="804" spans="1:13" ht="14.25" hidden="1" outlineLevel="1">
      <c r="A804" s="753" t="s">
        <v>1987</v>
      </c>
      <c r="B804" s="116">
        <v>0</v>
      </c>
      <c r="C804" s="95">
        <v>71927</v>
      </c>
      <c r="D804" s="95">
        <v>1554649</v>
      </c>
      <c r="E804" s="112">
        <v>1626576</v>
      </c>
      <c r="F804" s="1559" t="s">
        <v>1988</v>
      </c>
      <c r="G804" s="491"/>
      <c r="H804" s="5"/>
      <c r="I804" s="92"/>
      <c r="M804" s="5"/>
    </row>
    <row r="805" spans="1:13" ht="14.25" hidden="1" outlineLevel="1">
      <c r="A805" s="753" t="s">
        <v>1989</v>
      </c>
      <c r="B805" s="116">
        <v>0</v>
      </c>
      <c r="C805" s="95">
        <v>69277</v>
      </c>
      <c r="D805" s="95">
        <v>1140125</v>
      </c>
      <c r="E805" s="112">
        <v>1209402</v>
      </c>
      <c r="F805" s="1559" t="s">
        <v>1990</v>
      </c>
      <c r="G805" s="491"/>
      <c r="H805" s="5"/>
      <c r="I805" s="92"/>
      <c r="M805" s="5"/>
    </row>
    <row r="806" spans="1:13" ht="14.25" hidden="1" outlineLevel="1">
      <c r="A806" s="753" t="s">
        <v>1991</v>
      </c>
      <c r="B806" s="116">
        <v>0</v>
      </c>
      <c r="C806" s="95">
        <v>1505234</v>
      </c>
      <c r="D806" s="95">
        <v>8599953</v>
      </c>
      <c r="E806" s="112">
        <v>10105187</v>
      </c>
      <c r="F806" s="1559" t="s">
        <v>1992</v>
      </c>
      <c r="G806" s="491"/>
      <c r="H806" s="5"/>
      <c r="I806" s="92"/>
      <c r="M806" s="5"/>
    </row>
    <row r="807" spans="1:13" ht="14.25" hidden="1" outlineLevel="1">
      <c r="A807" s="753" t="s">
        <v>1993</v>
      </c>
      <c r="B807" s="116">
        <v>0</v>
      </c>
      <c r="C807" s="95">
        <v>0</v>
      </c>
      <c r="D807" s="95">
        <v>256840</v>
      </c>
      <c r="E807" s="112">
        <v>256840</v>
      </c>
      <c r="F807" s="1559" t="s">
        <v>1994</v>
      </c>
      <c r="G807" s="491"/>
      <c r="H807" s="5"/>
      <c r="I807" s="92"/>
      <c r="M807" s="5"/>
    </row>
    <row r="808" spans="1:13" ht="14.25" hidden="1" outlineLevel="1">
      <c r="A808" s="753" t="s">
        <v>1995</v>
      </c>
      <c r="B808" s="116">
        <v>0</v>
      </c>
      <c r="C808" s="95">
        <v>215605</v>
      </c>
      <c r="D808" s="95">
        <v>837474</v>
      </c>
      <c r="E808" s="112">
        <v>1053079</v>
      </c>
      <c r="F808" s="1559" t="s">
        <v>1996</v>
      </c>
      <c r="G808" s="491"/>
      <c r="H808" s="5"/>
      <c r="I808" s="92"/>
      <c r="M808" s="5"/>
    </row>
    <row r="809" spans="1:13" ht="14.25" hidden="1" outlineLevel="1">
      <c r="A809" s="753" t="s">
        <v>1154</v>
      </c>
      <c r="B809" s="116">
        <v>0</v>
      </c>
      <c r="C809" s="95">
        <v>77242</v>
      </c>
      <c r="D809" s="95">
        <v>29349226</v>
      </c>
      <c r="E809" s="112">
        <v>29426468</v>
      </c>
      <c r="F809" s="1559" t="s">
        <v>1155</v>
      </c>
      <c r="G809" s="491"/>
      <c r="H809" s="5"/>
      <c r="I809" s="92"/>
      <c r="M809" s="5"/>
    </row>
    <row r="810" spans="1:13" ht="14.25" hidden="1" outlineLevel="1">
      <c r="A810" s="753" t="s">
        <v>1997</v>
      </c>
      <c r="B810" s="116">
        <v>0</v>
      </c>
      <c r="C810" s="95">
        <v>0</v>
      </c>
      <c r="D810" s="95">
        <v>3433484</v>
      </c>
      <c r="E810" s="112">
        <v>3433484</v>
      </c>
      <c r="F810" s="1559" t="s">
        <v>1998</v>
      </c>
      <c r="G810" s="491"/>
      <c r="H810" s="5"/>
      <c r="I810" s="92"/>
      <c r="M810" s="5"/>
    </row>
    <row r="811" spans="1:13" ht="14.25" hidden="1" outlineLevel="1">
      <c r="A811" s="753" t="s">
        <v>1999</v>
      </c>
      <c r="B811" s="116">
        <v>0</v>
      </c>
      <c r="C811" s="95">
        <v>96831</v>
      </c>
      <c r="D811" s="95">
        <v>10268162</v>
      </c>
      <c r="E811" s="112">
        <v>10364993</v>
      </c>
      <c r="F811" s="1559" t="s">
        <v>2000</v>
      </c>
      <c r="G811" s="491"/>
      <c r="H811" s="5"/>
      <c r="I811" s="92"/>
      <c r="M811" s="5"/>
    </row>
    <row r="812" spans="1:13" ht="14.25" hidden="1" outlineLevel="1">
      <c r="A812" s="753" t="s">
        <v>2001</v>
      </c>
      <c r="B812" s="116">
        <v>0</v>
      </c>
      <c r="C812" s="95">
        <v>54878</v>
      </c>
      <c r="D812" s="95">
        <v>56243</v>
      </c>
      <c r="E812" s="112">
        <v>111121</v>
      </c>
      <c r="F812" s="1559" t="s">
        <v>2002</v>
      </c>
      <c r="G812" s="491"/>
      <c r="H812" s="5"/>
      <c r="I812" s="92"/>
      <c r="M812" s="5"/>
    </row>
    <row r="813" spans="1:13" ht="14.25" hidden="1" outlineLevel="1">
      <c r="A813" s="753" t="s">
        <v>2003</v>
      </c>
      <c r="B813" s="116">
        <v>0</v>
      </c>
      <c r="C813" s="95">
        <v>406662</v>
      </c>
      <c r="D813" s="95">
        <v>20716895</v>
      </c>
      <c r="E813" s="112">
        <v>21123557</v>
      </c>
      <c r="F813" s="1559" t="s">
        <v>2004</v>
      </c>
      <c r="G813" s="491"/>
      <c r="H813" s="5"/>
      <c r="I813" s="92"/>
      <c r="M813" s="5"/>
    </row>
    <row r="814" spans="1:13" ht="14.25" hidden="1" outlineLevel="1">
      <c r="A814" s="753" t="s">
        <v>2005</v>
      </c>
      <c r="B814" s="116">
        <v>0</v>
      </c>
      <c r="C814" s="95">
        <v>39808</v>
      </c>
      <c r="D814" s="95">
        <v>1747458</v>
      </c>
      <c r="E814" s="112">
        <v>1787266</v>
      </c>
      <c r="F814" s="1559" t="s">
        <v>2006</v>
      </c>
      <c r="G814" s="491"/>
      <c r="H814" s="5"/>
      <c r="I814" s="92"/>
      <c r="M814" s="5"/>
    </row>
    <row r="815" spans="1:13" ht="14.25" hidden="1" outlineLevel="1">
      <c r="A815" s="753" t="s">
        <v>911</v>
      </c>
      <c r="B815" s="116">
        <v>0</v>
      </c>
      <c r="C815" s="95">
        <v>3281510</v>
      </c>
      <c r="D815" s="95">
        <v>55901421</v>
      </c>
      <c r="E815" s="112">
        <v>59182931</v>
      </c>
      <c r="F815" s="1559" t="s">
        <v>912</v>
      </c>
      <c r="G815" s="491"/>
      <c r="H815" s="5"/>
      <c r="I815" s="92"/>
      <c r="M815" s="5"/>
    </row>
    <row r="816" spans="1:13" ht="14.25" hidden="1" outlineLevel="1">
      <c r="A816" s="753" t="s">
        <v>2007</v>
      </c>
      <c r="B816" s="116">
        <v>0</v>
      </c>
      <c r="C816" s="95">
        <v>3027</v>
      </c>
      <c r="D816" s="95">
        <v>1398674</v>
      </c>
      <c r="E816" s="112">
        <v>1401701</v>
      </c>
      <c r="F816" s="1559" t="s">
        <v>2008</v>
      </c>
      <c r="G816" s="491"/>
      <c r="H816" s="5"/>
      <c r="I816" s="92"/>
      <c r="M816" s="5"/>
    </row>
    <row r="817" spans="1:13" ht="14.25" hidden="1" outlineLevel="1">
      <c r="A817" s="753" t="s">
        <v>2009</v>
      </c>
      <c r="B817" s="116">
        <v>0</v>
      </c>
      <c r="C817" s="95">
        <v>621109</v>
      </c>
      <c r="D817" s="95">
        <v>10462567</v>
      </c>
      <c r="E817" s="112">
        <v>11083676</v>
      </c>
      <c r="F817" s="1559" t="s">
        <v>2010</v>
      </c>
      <c r="G817" s="491"/>
      <c r="H817" s="5"/>
      <c r="I817" s="92"/>
      <c r="M817" s="5"/>
    </row>
    <row r="818" spans="1:13" ht="14.25" hidden="1" outlineLevel="1">
      <c r="A818" s="753" t="s">
        <v>2011</v>
      </c>
      <c r="B818" s="116">
        <v>0</v>
      </c>
      <c r="C818" s="95">
        <v>213556</v>
      </c>
      <c r="D818" s="95">
        <v>1515206</v>
      </c>
      <c r="E818" s="112">
        <v>1728762</v>
      </c>
      <c r="F818" s="1559" t="s">
        <v>2012</v>
      </c>
      <c r="G818" s="491"/>
      <c r="H818" s="5"/>
      <c r="I818" s="92"/>
      <c r="M818" s="5"/>
    </row>
    <row r="819" spans="1:13" ht="14.25" hidden="1" outlineLevel="1">
      <c r="A819" s="753" t="s">
        <v>2013</v>
      </c>
      <c r="B819" s="116">
        <v>931643</v>
      </c>
      <c r="C819" s="95">
        <v>323567</v>
      </c>
      <c r="D819" s="95">
        <v>917072</v>
      </c>
      <c r="E819" s="112">
        <v>2172282</v>
      </c>
      <c r="F819" s="1559" t="s">
        <v>2014</v>
      </c>
      <c r="G819" s="491"/>
      <c r="H819" s="5"/>
      <c r="I819" s="92"/>
      <c r="M819" s="5"/>
    </row>
    <row r="820" spans="1:13" ht="14.25" hidden="1" outlineLevel="1">
      <c r="A820" s="753" t="s">
        <v>2015</v>
      </c>
      <c r="B820" s="116">
        <v>0</v>
      </c>
      <c r="C820" s="95">
        <v>312662</v>
      </c>
      <c r="D820" s="95">
        <v>828801</v>
      </c>
      <c r="E820" s="112">
        <v>1141463</v>
      </c>
      <c r="F820" s="1559" t="s">
        <v>2016</v>
      </c>
      <c r="G820" s="491"/>
      <c r="H820" s="5"/>
      <c r="I820" s="92"/>
      <c r="M820" s="5"/>
    </row>
    <row r="821" spans="1:13" ht="14.25" hidden="1" outlineLevel="1">
      <c r="A821" s="753" t="s">
        <v>2017</v>
      </c>
      <c r="B821" s="116">
        <v>0</v>
      </c>
      <c r="C821" s="95">
        <v>0</v>
      </c>
      <c r="D821" s="95">
        <v>182205</v>
      </c>
      <c r="E821" s="112">
        <v>182205</v>
      </c>
      <c r="F821" s="1559" t="s">
        <v>2018</v>
      </c>
      <c r="G821" s="491"/>
      <c r="H821" s="5"/>
      <c r="I821" s="92"/>
      <c r="M821" s="5"/>
    </row>
    <row r="822" spans="1:13" ht="14.25" hidden="1" outlineLevel="1">
      <c r="A822" s="753" t="s">
        <v>2019</v>
      </c>
      <c r="B822" s="116">
        <v>0</v>
      </c>
      <c r="C822" s="95">
        <v>0</v>
      </c>
      <c r="D822" s="95">
        <v>811539</v>
      </c>
      <c r="E822" s="112">
        <v>811539</v>
      </c>
      <c r="F822" s="1559" t="s">
        <v>2020</v>
      </c>
      <c r="G822" s="491"/>
      <c r="H822" s="5"/>
      <c r="I822" s="92"/>
      <c r="M822" s="5"/>
    </row>
    <row r="823" spans="1:13" ht="14.25" hidden="1" outlineLevel="1">
      <c r="A823" s="753" t="s">
        <v>1314</v>
      </c>
      <c r="B823" s="116">
        <v>0</v>
      </c>
      <c r="C823" s="95">
        <v>0</v>
      </c>
      <c r="D823" s="95">
        <v>5391418</v>
      </c>
      <c r="E823" s="112">
        <v>5391418</v>
      </c>
      <c r="F823" s="1559" t="s">
        <v>1315</v>
      </c>
      <c r="G823" s="491"/>
      <c r="H823" s="5"/>
      <c r="I823" s="92"/>
      <c r="M823" s="5"/>
    </row>
    <row r="824" spans="1:13" ht="14.25" hidden="1" outlineLevel="1">
      <c r="A824" s="753" t="s">
        <v>2021</v>
      </c>
      <c r="B824" s="116">
        <v>0</v>
      </c>
      <c r="C824" s="95">
        <v>217087</v>
      </c>
      <c r="D824" s="95">
        <v>1108472</v>
      </c>
      <c r="E824" s="112">
        <v>1325559</v>
      </c>
      <c r="F824" s="1559" t="s">
        <v>2022</v>
      </c>
      <c r="G824" s="491"/>
      <c r="H824" s="5"/>
      <c r="I824" s="92"/>
      <c r="M824" s="5"/>
    </row>
    <row r="825" spans="1:13" ht="14.25" hidden="1" outlineLevel="1">
      <c r="A825" s="753" t="s">
        <v>2023</v>
      </c>
      <c r="B825" s="116">
        <v>0</v>
      </c>
      <c r="C825" s="95">
        <v>78618</v>
      </c>
      <c r="D825" s="95">
        <v>1105868</v>
      </c>
      <c r="E825" s="112">
        <v>1184486</v>
      </c>
      <c r="F825" s="1559" t="s">
        <v>2024</v>
      </c>
      <c r="G825" s="491"/>
      <c r="H825" s="5"/>
      <c r="I825" s="92"/>
      <c r="M825" s="5"/>
    </row>
    <row r="826" spans="1:13" ht="14.25" hidden="1" outlineLevel="1">
      <c r="A826" s="753" t="s">
        <v>2025</v>
      </c>
      <c r="B826" s="116">
        <v>0</v>
      </c>
      <c r="C826" s="95">
        <v>1054400</v>
      </c>
      <c r="D826" s="95">
        <v>481163</v>
      </c>
      <c r="E826" s="112">
        <v>1535563</v>
      </c>
      <c r="F826" s="1559" t="s">
        <v>2026</v>
      </c>
      <c r="G826" s="491"/>
      <c r="H826" s="5"/>
      <c r="I826" s="92"/>
      <c r="M826" s="5"/>
    </row>
    <row r="827" spans="1:13" ht="14.25" hidden="1" outlineLevel="1">
      <c r="A827" s="753" t="s">
        <v>2027</v>
      </c>
      <c r="B827" s="116">
        <v>0</v>
      </c>
      <c r="C827" s="95">
        <v>7151005</v>
      </c>
      <c r="D827" s="95">
        <v>85954295</v>
      </c>
      <c r="E827" s="112">
        <v>93105300</v>
      </c>
      <c r="F827" s="1559" t="s">
        <v>2028</v>
      </c>
      <c r="G827" s="491"/>
      <c r="H827" s="5"/>
      <c r="I827" s="92"/>
      <c r="M827" s="5"/>
    </row>
    <row r="828" spans="1:13" ht="14.25" hidden="1" outlineLevel="1">
      <c r="A828" s="753" t="s">
        <v>2029</v>
      </c>
      <c r="B828" s="116">
        <v>0</v>
      </c>
      <c r="C828" s="95">
        <v>66591</v>
      </c>
      <c r="D828" s="95">
        <v>3741748</v>
      </c>
      <c r="E828" s="112">
        <v>3808339</v>
      </c>
      <c r="F828" s="1559" t="s">
        <v>2030</v>
      </c>
      <c r="G828" s="491"/>
      <c r="H828" s="5"/>
      <c r="I828" s="92"/>
      <c r="M828" s="5"/>
    </row>
    <row r="829" spans="1:13" ht="14.25" hidden="1" outlineLevel="1">
      <c r="A829" s="753" t="s">
        <v>2031</v>
      </c>
      <c r="B829" s="116">
        <v>0</v>
      </c>
      <c r="C829" s="95">
        <v>148260</v>
      </c>
      <c r="D829" s="95">
        <v>147620400</v>
      </c>
      <c r="E829" s="112">
        <v>147768660</v>
      </c>
      <c r="F829" s="1559" t="s">
        <v>2032</v>
      </c>
      <c r="G829" s="491"/>
      <c r="H829" s="5"/>
      <c r="I829" s="92"/>
      <c r="M829" s="5"/>
    </row>
    <row r="830" spans="1:13" ht="14.25" hidden="1" outlineLevel="1">
      <c r="A830" s="753" t="s">
        <v>819</v>
      </c>
      <c r="B830" s="116">
        <v>0</v>
      </c>
      <c r="C830" s="95">
        <v>297180</v>
      </c>
      <c r="D830" s="95">
        <v>361917</v>
      </c>
      <c r="E830" s="112">
        <v>659097</v>
      </c>
      <c r="F830" s="1559" t="s">
        <v>820</v>
      </c>
      <c r="G830" s="491"/>
      <c r="H830" s="5"/>
      <c r="I830" s="92"/>
      <c r="M830" s="5"/>
    </row>
    <row r="831" spans="1:13" ht="14.25" hidden="1" outlineLevel="1">
      <c r="A831" s="753" t="s">
        <v>2033</v>
      </c>
      <c r="B831" s="116">
        <v>0</v>
      </c>
      <c r="C831" s="95">
        <v>0</v>
      </c>
      <c r="D831" s="95">
        <v>121079</v>
      </c>
      <c r="E831" s="112">
        <v>121079</v>
      </c>
      <c r="F831" s="1559" t="s">
        <v>2034</v>
      </c>
      <c r="G831" s="491"/>
      <c r="H831" s="5"/>
      <c r="I831" s="92"/>
      <c r="M831" s="5"/>
    </row>
    <row r="832" spans="1:13" ht="14.25" hidden="1" outlineLevel="1">
      <c r="A832" s="753" t="s">
        <v>1202</v>
      </c>
      <c r="B832" s="116">
        <v>0</v>
      </c>
      <c r="C832" s="95">
        <v>0</v>
      </c>
      <c r="D832" s="95">
        <v>976425</v>
      </c>
      <c r="E832" s="112">
        <v>976425</v>
      </c>
      <c r="F832" s="1559" t="s">
        <v>1203</v>
      </c>
      <c r="G832" s="491"/>
      <c r="H832" s="5"/>
      <c r="I832" s="92"/>
      <c r="M832" s="5"/>
    </row>
    <row r="833" spans="1:13" ht="14.25" hidden="1" outlineLevel="1">
      <c r="A833" s="753" t="s">
        <v>2035</v>
      </c>
      <c r="B833" s="116">
        <v>0</v>
      </c>
      <c r="C833" s="95">
        <v>829407032</v>
      </c>
      <c r="D833" s="95">
        <v>0</v>
      </c>
      <c r="E833" s="112">
        <v>829407032</v>
      </c>
      <c r="F833" s="1559" t="s">
        <v>2036</v>
      </c>
      <c r="G833" s="491"/>
      <c r="H833" s="5"/>
      <c r="I833" s="92"/>
      <c r="M833" s="5"/>
    </row>
    <row r="834" spans="1:13" ht="14.25" hidden="1" outlineLevel="1">
      <c r="A834" s="753" t="s">
        <v>2037</v>
      </c>
      <c r="B834" s="116">
        <v>0</v>
      </c>
      <c r="C834" s="95">
        <v>806749</v>
      </c>
      <c r="D834" s="95">
        <v>2850937</v>
      </c>
      <c r="E834" s="112">
        <v>3657686</v>
      </c>
      <c r="F834" s="1559" t="s">
        <v>2038</v>
      </c>
      <c r="G834" s="491"/>
      <c r="H834" s="5"/>
      <c r="I834" s="92"/>
      <c r="M834" s="5"/>
    </row>
    <row r="835" spans="1:13" ht="14.25" hidden="1" outlineLevel="1">
      <c r="A835" s="753" t="s">
        <v>2039</v>
      </c>
      <c r="B835" s="116">
        <v>0</v>
      </c>
      <c r="C835" s="95">
        <v>80010</v>
      </c>
      <c r="D835" s="95">
        <v>0</v>
      </c>
      <c r="E835" s="112">
        <v>80010</v>
      </c>
      <c r="F835" s="1559" t="s">
        <v>2040</v>
      </c>
      <c r="G835" s="491"/>
      <c r="H835" s="5"/>
      <c r="I835" s="92"/>
      <c r="M835" s="5"/>
    </row>
    <row r="836" spans="1:13" ht="14.25" hidden="1" outlineLevel="1">
      <c r="A836" s="753" t="s">
        <v>2041</v>
      </c>
      <c r="B836" s="116">
        <v>11333</v>
      </c>
      <c r="C836" s="95">
        <v>452986</v>
      </c>
      <c r="D836" s="95">
        <v>28824905</v>
      </c>
      <c r="E836" s="112">
        <v>29289224</v>
      </c>
      <c r="F836" s="1559" t="s">
        <v>2042</v>
      </c>
      <c r="G836" s="491"/>
      <c r="H836" s="5"/>
      <c r="I836" s="92"/>
      <c r="M836" s="5"/>
    </row>
    <row r="837" spans="1:13" ht="14.25" hidden="1" outlineLevel="1">
      <c r="A837" s="753" t="s">
        <v>2043</v>
      </c>
      <c r="B837" s="116">
        <v>0</v>
      </c>
      <c r="C837" s="95">
        <v>0</v>
      </c>
      <c r="D837" s="95">
        <v>202036</v>
      </c>
      <c r="E837" s="112">
        <v>202036</v>
      </c>
      <c r="F837" s="1559" t="s">
        <v>2044</v>
      </c>
      <c r="G837" s="491"/>
      <c r="H837" s="5"/>
      <c r="I837" s="92"/>
      <c r="M837" s="5"/>
    </row>
    <row r="838" spans="1:13" ht="15" hidden="1" outlineLevel="1" thickBot="1">
      <c r="A838" s="753" t="s">
        <v>2045</v>
      </c>
      <c r="B838" s="116">
        <v>0</v>
      </c>
      <c r="C838" s="95">
        <v>635461</v>
      </c>
      <c r="D838" s="95">
        <v>203187</v>
      </c>
      <c r="E838" s="112">
        <v>838648</v>
      </c>
      <c r="F838" s="1559" t="s">
        <v>2046</v>
      </c>
      <c r="G838" s="491"/>
      <c r="H838" s="5"/>
      <c r="I838" s="92"/>
      <c r="M838" s="5"/>
    </row>
    <row r="839" spans="1:13" ht="13.5" collapsed="1" thickBot="1">
      <c r="A839" s="935" t="s">
        <v>2047</v>
      </c>
      <c r="B839" s="442">
        <f>B719+B403+B168+B8</f>
        <v>264274643.67699999</v>
      </c>
      <c r="C839" s="443">
        <f>C719+C403+C168+C8</f>
        <v>2006540930.0940001</v>
      </c>
      <c r="D839" s="443">
        <f>D719+D403+D168+D8</f>
        <v>22055303035.622002</v>
      </c>
      <c r="E839" s="444">
        <f>E719+E403+E168+E8</f>
        <v>24326118609.393002</v>
      </c>
      <c r="F839" s="17"/>
    </row>
    <row r="840" spans="1:13">
      <c r="A840" s="934" t="s">
        <v>2048</v>
      </c>
      <c r="B840" s="105">
        <f>B839/$E839</f>
        <v>1.0863822869586605E-2</v>
      </c>
      <c r="C840" s="105">
        <f>C839/$E839</f>
        <v>8.2485042612561219E-2</v>
      </c>
      <c r="D840" s="106">
        <f>D839/$E839</f>
        <v>0.90665113451785218</v>
      </c>
      <c r="E840" s="107">
        <f>SUM(B840:D840)</f>
        <v>1</v>
      </c>
    </row>
    <row r="843" spans="1:13" s="8" customFormat="1">
      <c r="A843" s="13" t="s">
        <v>2049</v>
      </c>
    </row>
    <row r="844" spans="1:13" ht="13.5" thickBot="1">
      <c r="F844" s="8"/>
      <c r="G844" s="8"/>
    </row>
    <row r="845" spans="1:13" ht="45.75" customHeight="1">
      <c r="A845" s="490"/>
      <c r="B845" s="108" t="s">
        <v>2050</v>
      </c>
      <c r="C845" s="109" t="s">
        <v>2051</v>
      </c>
      <c r="D845" s="1496" t="s">
        <v>2052</v>
      </c>
      <c r="E845" s="938" t="s">
        <v>2053</v>
      </c>
    </row>
    <row r="846" spans="1:13" ht="13.5" thickBot="1">
      <c r="A846" s="550"/>
      <c r="B846" s="436" t="s">
        <v>2054</v>
      </c>
      <c r="C846" s="437" t="s">
        <v>2054</v>
      </c>
      <c r="D846" s="437" t="s">
        <v>2054</v>
      </c>
      <c r="E846" s="438" t="s">
        <v>2054</v>
      </c>
      <c r="F846" s="104"/>
    </row>
    <row r="847" spans="1:13">
      <c r="A847" s="932" t="str">
        <f>A8</f>
        <v>Regelzone 50Hertz (gesamt)</v>
      </c>
      <c r="B847" s="148">
        <f>SUM(B848:B1006)</f>
        <v>1674211.0099999998</v>
      </c>
      <c r="C847" s="156">
        <f>SUM(C848:C1006)</f>
        <v>3471552.9399999995</v>
      </c>
      <c r="D847" s="1582">
        <f>SUM(D848:D1006)</f>
        <v>262051557.35999981</v>
      </c>
      <c r="E847" s="134">
        <f>SUM(B847:D847)</f>
        <v>267197321.30999979</v>
      </c>
    </row>
    <row r="848" spans="1:13" hidden="1" outlineLevel="1">
      <c r="A848" s="932" t="s">
        <v>456</v>
      </c>
      <c r="B848" s="157">
        <v>0</v>
      </c>
      <c r="C848" s="158">
        <v>0</v>
      </c>
      <c r="D848" s="158">
        <v>72501.8</v>
      </c>
      <c r="E848" s="134">
        <f t="shared" ref="E848:E1559" si="14">SUM(B848:D848)</f>
        <v>72501.8</v>
      </c>
      <c r="F848" t="s">
        <v>457</v>
      </c>
    </row>
    <row r="849" spans="1:6" hidden="1" outlineLevel="1">
      <c r="A849" s="932" t="s">
        <v>458</v>
      </c>
      <c r="B849" s="157">
        <v>0</v>
      </c>
      <c r="C849" s="158">
        <v>3438</v>
      </c>
      <c r="D849" s="158">
        <v>25850.32</v>
      </c>
      <c r="E849" s="134">
        <f t="shared" si="14"/>
        <v>29288.32</v>
      </c>
      <c r="F849" t="s">
        <v>459</v>
      </c>
    </row>
    <row r="850" spans="1:6" hidden="1" outlineLevel="1">
      <c r="A850" s="932" t="s">
        <v>460</v>
      </c>
      <c r="B850" s="159">
        <v>0</v>
      </c>
      <c r="C850" s="160">
        <v>0</v>
      </c>
      <c r="D850" s="161">
        <v>11066804.680000002</v>
      </c>
      <c r="E850" s="134">
        <f t="shared" si="14"/>
        <v>11066804.680000002</v>
      </c>
      <c r="F850" t="s">
        <v>461</v>
      </c>
    </row>
    <row r="851" spans="1:6" hidden="1" outlineLevel="1">
      <c r="A851" s="932" t="s">
        <v>462</v>
      </c>
      <c r="B851" s="159">
        <v>0</v>
      </c>
      <c r="C851" s="160">
        <v>1122.6300000000001</v>
      </c>
      <c r="D851" s="161">
        <v>0</v>
      </c>
      <c r="E851" s="134">
        <f t="shared" si="14"/>
        <v>1122.6300000000001</v>
      </c>
      <c r="F851" t="s">
        <v>463</v>
      </c>
    </row>
    <row r="852" spans="1:6" hidden="1" outlineLevel="1">
      <c r="A852" s="932" t="s">
        <v>464</v>
      </c>
      <c r="B852" s="159">
        <v>0</v>
      </c>
      <c r="C852" s="160">
        <v>0</v>
      </c>
      <c r="D852" s="161">
        <v>590584.1</v>
      </c>
      <c r="E852" s="134">
        <f t="shared" si="14"/>
        <v>590584.1</v>
      </c>
      <c r="F852" t="s">
        <v>465</v>
      </c>
    </row>
    <row r="853" spans="1:6" hidden="1" outlineLevel="1">
      <c r="A853" s="932" t="s">
        <v>466</v>
      </c>
      <c r="B853" s="159">
        <v>0</v>
      </c>
      <c r="C853" s="160">
        <v>0</v>
      </c>
      <c r="D853" s="161">
        <v>6465887.0099999998</v>
      </c>
      <c r="E853" s="134">
        <f t="shared" si="14"/>
        <v>6465887.0099999998</v>
      </c>
      <c r="F853" t="s">
        <v>467</v>
      </c>
    </row>
    <row r="854" spans="1:6" hidden="1" outlineLevel="1">
      <c r="A854" s="932" t="s">
        <v>468</v>
      </c>
      <c r="B854" s="159">
        <v>0</v>
      </c>
      <c r="C854" s="160">
        <v>10115.780000000001</v>
      </c>
      <c r="D854" s="161">
        <v>27705.55</v>
      </c>
      <c r="E854" s="134">
        <f t="shared" si="14"/>
        <v>37821.33</v>
      </c>
      <c r="F854" t="s">
        <v>469</v>
      </c>
    </row>
    <row r="855" spans="1:6" hidden="1" outlineLevel="1">
      <c r="A855" s="932" t="s">
        <v>470</v>
      </c>
      <c r="B855" s="159">
        <v>0</v>
      </c>
      <c r="C855" s="160">
        <v>13805.16</v>
      </c>
      <c r="D855" s="161">
        <v>337114.87</v>
      </c>
      <c r="E855" s="134">
        <f t="shared" si="14"/>
        <v>350920.02999999997</v>
      </c>
      <c r="F855" t="s">
        <v>471</v>
      </c>
    </row>
    <row r="856" spans="1:6" hidden="1" outlineLevel="1">
      <c r="A856" s="932" t="s">
        <v>472</v>
      </c>
      <c r="B856" s="159">
        <v>0</v>
      </c>
      <c r="C856" s="160">
        <v>8377</v>
      </c>
      <c r="D856" s="161">
        <v>1317734.1200000001</v>
      </c>
      <c r="E856" s="134">
        <f t="shared" si="14"/>
        <v>1326111.1200000001</v>
      </c>
      <c r="F856" t="s">
        <v>473</v>
      </c>
    </row>
    <row r="857" spans="1:6" hidden="1" outlineLevel="1">
      <c r="A857" s="932" t="s">
        <v>474</v>
      </c>
      <c r="B857" s="159">
        <v>0</v>
      </c>
      <c r="C857" s="160">
        <v>40.58</v>
      </c>
      <c r="D857" s="161">
        <v>2210.48</v>
      </c>
      <c r="E857" s="134">
        <f t="shared" si="14"/>
        <v>2251.06</v>
      </c>
      <c r="F857" t="s">
        <v>475</v>
      </c>
    </row>
    <row r="858" spans="1:6" hidden="1" outlineLevel="1">
      <c r="A858" s="932" t="s">
        <v>476</v>
      </c>
      <c r="B858" s="159">
        <v>0</v>
      </c>
      <c r="C858" s="160">
        <v>9581.6500000000015</v>
      </c>
      <c r="D858" s="161">
        <v>1508100.8</v>
      </c>
      <c r="E858" s="134">
        <f t="shared" si="14"/>
        <v>1517682.45</v>
      </c>
      <c r="F858" t="s">
        <v>477</v>
      </c>
    </row>
    <row r="859" spans="1:6" hidden="1" outlineLevel="1">
      <c r="A859" s="932" t="s">
        <v>478</v>
      </c>
      <c r="B859" s="159">
        <v>0</v>
      </c>
      <c r="C859" s="160">
        <v>826.54</v>
      </c>
      <c r="D859" s="161">
        <v>0</v>
      </c>
      <c r="E859" s="134">
        <f t="shared" si="14"/>
        <v>826.54</v>
      </c>
      <c r="F859" t="s">
        <v>479</v>
      </c>
    </row>
    <row r="860" spans="1:6" hidden="1" outlineLevel="1">
      <c r="A860" s="932" t="s">
        <v>480</v>
      </c>
      <c r="B860" s="159">
        <v>0</v>
      </c>
      <c r="C860" s="160">
        <v>0</v>
      </c>
      <c r="D860" s="161">
        <v>0</v>
      </c>
      <c r="E860" s="134">
        <f t="shared" si="14"/>
        <v>0</v>
      </c>
      <c r="F860" t="s">
        <v>481</v>
      </c>
    </row>
    <row r="861" spans="1:6" hidden="1" outlineLevel="1">
      <c r="A861" s="932" t="s">
        <v>482</v>
      </c>
      <c r="B861" s="159">
        <v>0</v>
      </c>
      <c r="C861" s="160">
        <v>8831.56</v>
      </c>
      <c r="D861" s="161">
        <v>1462385.46</v>
      </c>
      <c r="E861" s="134">
        <f t="shared" si="14"/>
        <v>1471217.02</v>
      </c>
      <c r="F861" t="s">
        <v>483</v>
      </c>
    </row>
    <row r="862" spans="1:6" hidden="1" outlineLevel="1">
      <c r="A862" s="932" t="s">
        <v>484</v>
      </c>
      <c r="B862" s="159">
        <v>0</v>
      </c>
      <c r="C862" s="160">
        <v>311641.38999999996</v>
      </c>
      <c r="D862" s="161">
        <v>40493858.699999981</v>
      </c>
      <c r="E862" s="134">
        <f t="shared" si="14"/>
        <v>40805500.089999981</v>
      </c>
      <c r="F862" t="s">
        <v>485</v>
      </c>
    </row>
    <row r="863" spans="1:6" hidden="1" outlineLevel="1">
      <c r="A863" s="932" t="s">
        <v>486</v>
      </c>
      <c r="B863" s="159">
        <v>0</v>
      </c>
      <c r="C863" s="160">
        <v>4721.2</v>
      </c>
      <c r="D863" s="161">
        <v>19760902.089999992</v>
      </c>
      <c r="E863" s="134">
        <f t="shared" si="14"/>
        <v>19765623.289999992</v>
      </c>
      <c r="F863" t="s">
        <v>487</v>
      </c>
    </row>
    <row r="864" spans="1:6" hidden="1" outlineLevel="1">
      <c r="A864" s="932" t="s">
        <v>488</v>
      </c>
      <c r="B864" s="159">
        <v>0</v>
      </c>
      <c r="C864" s="160">
        <v>2376.0700000000002</v>
      </c>
      <c r="D864" s="161">
        <v>6215523.9699999997</v>
      </c>
      <c r="E864" s="134">
        <f t="shared" si="14"/>
        <v>6217900.04</v>
      </c>
      <c r="F864" t="s">
        <v>489</v>
      </c>
    </row>
    <row r="865" spans="1:6" hidden="1" outlineLevel="1">
      <c r="A865" s="932" t="s">
        <v>490</v>
      </c>
      <c r="B865" s="159">
        <v>0</v>
      </c>
      <c r="C865" s="160">
        <v>0</v>
      </c>
      <c r="D865" s="161">
        <v>53881.240000000005</v>
      </c>
      <c r="E865" s="134">
        <f t="shared" si="14"/>
        <v>53881.240000000005</v>
      </c>
      <c r="F865" t="s">
        <v>491</v>
      </c>
    </row>
    <row r="866" spans="1:6" hidden="1" outlineLevel="1">
      <c r="A866" s="932" t="s">
        <v>492</v>
      </c>
      <c r="B866" s="159">
        <v>0</v>
      </c>
      <c r="C866" s="160">
        <v>0</v>
      </c>
      <c r="D866" s="161">
        <v>17182.32</v>
      </c>
      <c r="E866" s="134">
        <f t="shared" si="14"/>
        <v>17182.32</v>
      </c>
      <c r="F866" t="s">
        <v>493</v>
      </c>
    </row>
    <row r="867" spans="1:6" hidden="1" outlineLevel="1">
      <c r="A867" s="932" t="s">
        <v>494</v>
      </c>
      <c r="B867" s="159">
        <v>0</v>
      </c>
      <c r="C867" s="160">
        <v>0</v>
      </c>
      <c r="D867" s="161">
        <v>5040</v>
      </c>
      <c r="E867" s="134">
        <f t="shared" si="14"/>
        <v>5040</v>
      </c>
      <c r="F867" t="s">
        <v>495</v>
      </c>
    </row>
    <row r="868" spans="1:6" hidden="1" outlineLevel="1">
      <c r="A868" s="932" t="s">
        <v>496</v>
      </c>
      <c r="B868" s="159">
        <v>0</v>
      </c>
      <c r="C868" s="160">
        <v>0</v>
      </c>
      <c r="D868" s="161">
        <v>323331.99999999994</v>
      </c>
      <c r="E868" s="134">
        <f t="shared" si="14"/>
        <v>323331.99999999994</v>
      </c>
      <c r="F868" t="s">
        <v>497</v>
      </c>
    </row>
    <row r="869" spans="1:6" hidden="1" outlineLevel="1">
      <c r="A869" s="932" t="s">
        <v>498</v>
      </c>
      <c r="B869" s="159">
        <v>0</v>
      </c>
      <c r="C869" s="160">
        <v>797.65</v>
      </c>
      <c r="D869" s="161">
        <v>5553.9599999999991</v>
      </c>
      <c r="E869" s="134">
        <f t="shared" si="14"/>
        <v>6351.6099999999988</v>
      </c>
      <c r="F869" t="s">
        <v>499</v>
      </c>
    </row>
    <row r="870" spans="1:6" hidden="1" outlineLevel="1">
      <c r="A870" s="932" t="s">
        <v>500</v>
      </c>
      <c r="B870" s="159">
        <v>0</v>
      </c>
      <c r="C870" s="160">
        <v>1461.35</v>
      </c>
      <c r="D870" s="161">
        <v>14451.359999999999</v>
      </c>
      <c r="E870" s="134">
        <f t="shared" si="14"/>
        <v>15912.71</v>
      </c>
      <c r="F870" t="s">
        <v>501</v>
      </c>
    </row>
    <row r="871" spans="1:6" hidden="1" outlineLevel="1">
      <c r="A871" s="932" t="s">
        <v>502</v>
      </c>
      <c r="B871" s="159">
        <v>0</v>
      </c>
      <c r="C871" s="160">
        <v>0</v>
      </c>
      <c r="D871" s="161">
        <v>265130.98</v>
      </c>
      <c r="E871" s="134">
        <f t="shared" si="14"/>
        <v>265130.98</v>
      </c>
      <c r="F871" t="s">
        <v>503</v>
      </c>
    </row>
    <row r="872" spans="1:6" hidden="1" outlineLevel="1">
      <c r="A872" s="932" t="s">
        <v>504</v>
      </c>
      <c r="B872" s="159">
        <v>0</v>
      </c>
      <c r="C872" s="160">
        <v>101.38</v>
      </c>
      <c r="D872" s="161">
        <v>126205.82</v>
      </c>
      <c r="E872" s="134">
        <f t="shared" si="14"/>
        <v>126307.20000000001</v>
      </c>
      <c r="F872" t="s">
        <v>505</v>
      </c>
    </row>
    <row r="873" spans="1:6" hidden="1" outlineLevel="1">
      <c r="A873" s="932" t="s">
        <v>506</v>
      </c>
      <c r="B873" s="159">
        <v>0</v>
      </c>
      <c r="C873" s="160">
        <v>21817.890000000003</v>
      </c>
      <c r="D873" s="161">
        <v>622938.14000000013</v>
      </c>
      <c r="E873" s="134">
        <f t="shared" si="14"/>
        <v>644756.03000000014</v>
      </c>
      <c r="F873" t="s">
        <v>507</v>
      </c>
    </row>
    <row r="874" spans="1:6" hidden="1" outlineLevel="1">
      <c r="A874" s="932" t="s">
        <v>508</v>
      </c>
      <c r="B874" s="159">
        <v>0</v>
      </c>
      <c r="C874" s="160">
        <v>0</v>
      </c>
      <c r="D874" s="161">
        <v>110458.25</v>
      </c>
      <c r="E874" s="134">
        <f t="shared" si="14"/>
        <v>110458.25</v>
      </c>
      <c r="F874" t="s">
        <v>509</v>
      </c>
    </row>
    <row r="875" spans="1:6" hidden="1" outlineLevel="1">
      <c r="A875" s="932" t="s">
        <v>510</v>
      </c>
      <c r="B875" s="159">
        <v>0</v>
      </c>
      <c r="C875" s="160">
        <v>0</v>
      </c>
      <c r="D875" s="161">
        <v>26272.600000000002</v>
      </c>
      <c r="E875" s="134">
        <f t="shared" si="14"/>
        <v>26272.600000000002</v>
      </c>
      <c r="F875" t="s">
        <v>511</v>
      </c>
    </row>
    <row r="876" spans="1:6" hidden="1" outlineLevel="1">
      <c r="A876" s="932" t="s">
        <v>512</v>
      </c>
      <c r="B876" s="159">
        <v>0</v>
      </c>
      <c r="C876" s="160">
        <v>124.59</v>
      </c>
      <c r="D876" s="161">
        <v>33802.379999999997</v>
      </c>
      <c r="E876" s="134">
        <f t="shared" si="14"/>
        <v>33926.969999999994</v>
      </c>
      <c r="F876" t="s">
        <v>513</v>
      </c>
    </row>
    <row r="877" spans="1:6" hidden="1" outlineLevel="1">
      <c r="A877" s="932" t="s">
        <v>514</v>
      </c>
      <c r="B877" s="159">
        <v>0</v>
      </c>
      <c r="C877" s="160">
        <v>0</v>
      </c>
      <c r="D877" s="161">
        <v>166190.05000000002</v>
      </c>
      <c r="E877" s="134">
        <f t="shared" si="14"/>
        <v>166190.05000000002</v>
      </c>
      <c r="F877" t="s">
        <v>515</v>
      </c>
    </row>
    <row r="878" spans="1:6" hidden="1" outlineLevel="1">
      <c r="A878" s="932" t="s">
        <v>516</v>
      </c>
      <c r="B878" s="159">
        <v>0</v>
      </c>
      <c r="C878" s="160">
        <v>0</v>
      </c>
      <c r="D878" s="161">
        <v>236879.53000000003</v>
      </c>
      <c r="E878" s="134">
        <f t="shared" si="14"/>
        <v>236879.53000000003</v>
      </c>
      <c r="F878" t="s">
        <v>517</v>
      </c>
    </row>
    <row r="879" spans="1:6" hidden="1" outlineLevel="1">
      <c r="A879" s="932" t="s">
        <v>518</v>
      </c>
      <c r="B879" s="159">
        <v>0</v>
      </c>
      <c r="C879" s="160">
        <v>10570.33</v>
      </c>
      <c r="D879" s="161">
        <v>130661.11</v>
      </c>
      <c r="E879" s="134">
        <f t="shared" si="14"/>
        <v>141231.44</v>
      </c>
      <c r="F879" t="s">
        <v>519</v>
      </c>
    </row>
    <row r="880" spans="1:6" hidden="1" outlineLevel="1">
      <c r="A880" s="932" t="s">
        <v>520</v>
      </c>
      <c r="B880" s="159">
        <v>0</v>
      </c>
      <c r="C880" s="160">
        <v>0</v>
      </c>
      <c r="D880" s="161">
        <v>847209.13</v>
      </c>
      <c r="E880" s="134">
        <f t="shared" si="14"/>
        <v>847209.13</v>
      </c>
      <c r="F880" t="s">
        <v>521</v>
      </c>
    </row>
    <row r="881" spans="1:6" hidden="1" outlineLevel="1">
      <c r="A881" s="932" t="s">
        <v>522</v>
      </c>
      <c r="B881" s="159">
        <v>0</v>
      </c>
      <c r="C881" s="160">
        <v>1045.97</v>
      </c>
      <c r="D881" s="161">
        <v>904</v>
      </c>
      <c r="E881" s="134">
        <f t="shared" si="14"/>
        <v>1949.97</v>
      </c>
      <c r="F881" t="s">
        <v>523</v>
      </c>
    </row>
    <row r="882" spans="1:6" hidden="1" outlineLevel="1">
      <c r="A882" s="932" t="s">
        <v>524</v>
      </c>
      <c r="B882" s="159">
        <v>0</v>
      </c>
      <c r="C882" s="160">
        <v>1815.92</v>
      </c>
      <c r="D882" s="161">
        <v>3827265.62</v>
      </c>
      <c r="E882" s="134">
        <f t="shared" si="14"/>
        <v>3829081.54</v>
      </c>
      <c r="F882" t="s">
        <v>525</v>
      </c>
    </row>
    <row r="883" spans="1:6" hidden="1" outlineLevel="1">
      <c r="A883" s="932" t="s">
        <v>526</v>
      </c>
      <c r="B883" s="159">
        <v>0</v>
      </c>
      <c r="C883" s="160">
        <v>1984.72</v>
      </c>
      <c r="D883" s="161">
        <v>320758.83999999991</v>
      </c>
      <c r="E883" s="134">
        <f t="shared" si="14"/>
        <v>322743.55999999988</v>
      </c>
      <c r="F883" t="s">
        <v>527</v>
      </c>
    </row>
    <row r="884" spans="1:6" hidden="1" outlineLevel="1">
      <c r="A884" s="932" t="s">
        <v>528</v>
      </c>
      <c r="B884" s="159">
        <v>0</v>
      </c>
      <c r="C884" s="160">
        <v>0</v>
      </c>
      <c r="D884" s="161">
        <v>637021.52</v>
      </c>
      <c r="E884" s="134">
        <f t="shared" si="14"/>
        <v>637021.52</v>
      </c>
      <c r="F884" t="s">
        <v>529</v>
      </c>
    </row>
    <row r="885" spans="1:6" hidden="1" outlineLevel="1">
      <c r="A885" s="932" t="s">
        <v>530</v>
      </c>
      <c r="B885" s="159">
        <v>0</v>
      </c>
      <c r="C885" s="160">
        <v>2522.1999999999998</v>
      </c>
      <c r="D885" s="161">
        <v>67513</v>
      </c>
      <c r="E885" s="134">
        <f t="shared" si="14"/>
        <v>70035.199999999997</v>
      </c>
      <c r="F885" t="s">
        <v>531</v>
      </c>
    </row>
    <row r="886" spans="1:6" hidden="1" outlineLevel="1">
      <c r="A886" s="932" t="s">
        <v>532</v>
      </c>
      <c r="B886" s="159">
        <v>0</v>
      </c>
      <c r="C886" s="160">
        <v>1673.8</v>
      </c>
      <c r="D886" s="161">
        <v>860.8</v>
      </c>
      <c r="E886" s="134">
        <f t="shared" si="14"/>
        <v>2534.6</v>
      </c>
      <c r="F886" t="s">
        <v>533</v>
      </c>
    </row>
    <row r="887" spans="1:6" hidden="1" outlineLevel="1">
      <c r="A887" s="932" t="s">
        <v>534</v>
      </c>
      <c r="B887" s="159">
        <v>0</v>
      </c>
      <c r="C887" s="160">
        <v>0</v>
      </c>
      <c r="D887" s="161">
        <v>68124.41</v>
      </c>
      <c r="E887" s="134">
        <f t="shared" si="14"/>
        <v>68124.41</v>
      </c>
      <c r="F887" t="s">
        <v>535</v>
      </c>
    </row>
    <row r="888" spans="1:6" hidden="1" outlineLevel="1">
      <c r="A888" s="932" t="s">
        <v>536</v>
      </c>
      <c r="B888" s="159">
        <v>0</v>
      </c>
      <c r="C888" s="160">
        <v>25400.379999999997</v>
      </c>
      <c r="D888" s="161">
        <v>353051.78000000009</v>
      </c>
      <c r="E888" s="134">
        <f t="shared" si="14"/>
        <v>378452.16000000009</v>
      </c>
      <c r="F888" t="s">
        <v>537</v>
      </c>
    </row>
    <row r="889" spans="1:6" hidden="1" outlineLevel="1">
      <c r="A889" s="932" t="s">
        <v>538</v>
      </c>
      <c r="B889" s="159">
        <v>0</v>
      </c>
      <c r="C889" s="160">
        <v>0</v>
      </c>
      <c r="D889" s="161">
        <v>137639.38</v>
      </c>
      <c r="E889" s="134">
        <f t="shared" si="14"/>
        <v>137639.38</v>
      </c>
      <c r="F889" t="s">
        <v>539</v>
      </c>
    </row>
    <row r="890" spans="1:6" hidden="1" outlineLevel="1">
      <c r="A890" s="932" t="s">
        <v>540</v>
      </c>
      <c r="B890" s="159">
        <v>0</v>
      </c>
      <c r="C890" s="160">
        <v>884.97</v>
      </c>
      <c r="D890" s="161">
        <v>66688.709999999992</v>
      </c>
      <c r="E890" s="134">
        <f t="shared" si="14"/>
        <v>67573.679999999993</v>
      </c>
      <c r="F890" t="s">
        <v>541</v>
      </c>
    </row>
    <row r="891" spans="1:6" hidden="1" outlineLevel="1">
      <c r="A891" s="932" t="s">
        <v>542</v>
      </c>
      <c r="B891" s="159">
        <v>0</v>
      </c>
      <c r="C891" s="160">
        <v>0</v>
      </c>
      <c r="D891" s="161">
        <v>0</v>
      </c>
      <c r="E891" s="134">
        <f t="shared" si="14"/>
        <v>0</v>
      </c>
      <c r="F891" t="s">
        <v>543</v>
      </c>
    </row>
    <row r="892" spans="1:6" hidden="1" outlineLevel="1">
      <c r="A892" s="932" t="s">
        <v>544</v>
      </c>
      <c r="B892" s="159">
        <v>0</v>
      </c>
      <c r="C892" s="160">
        <v>0</v>
      </c>
      <c r="D892" s="161">
        <v>0</v>
      </c>
      <c r="E892" s="134">
        <f t="shared" si="14"/>
        <v>0</v>
      </c>
      <c r="F892" t="s">
        <v>545</v>
      </c>
    </row>
    <row r="893" spans="1:6" hidden="1" outlineLevel="1">
      <c r="A893" s="932" t="s">
        <v>546</v>
      </c>
      <c r="B893" s="159">
        <v>0</v>
      </c>
      <c r="C893" s="160">
        <v>5429.48</v>
      </c>
      <c r="D893" s="161">
        <v>5601758.459999999</v>
      </c>
      <c r="E893" s="134">
        <f t="shared" si="14"/>
        <v>5607187.9399999995</v>
      </c>
      <c r="F893" t="s">
        <v>547</v>
      </c>
    </row>
    <row r="894" spans="1:6" hidden="1" outlineLevel="1">
      <c r="A894" s="932" t="s">
        <v>548</v>
      </c>
      <c r="B894" s="159">
        <v>0</v>
      </c>
      <c r="C894" s="160">
        <v>1300.73</v>
      </c>
      <c r="D894" s="161">
        <v>329682.19</v>
      </c>
      <c r="E894" s="134">
        <f t="shared" si="14"/>
        <v>330982.92</v>
      </c>
      <c r="F894" t="s">
        <v>549</v>
      </c>
    </row>
    <row r="895" spans="1:6" hidden="1" outlineLevel="1">
      <c r="A895" s="932" t="s">
        <v>550</v>
      </c>
      <c r="B895" s="159">
        <v>0</v>
      </c>
      <c r="C895" s="160">
        <v>0</v>
      </c>
      <c r="D895" s="161">
        <v>1323000</v>
      </c>
      <c r="E895" s="134">
        <f t="shared" si="14"/>
        <v>1323000</v>
      </c>
      <c r="F895" t="s">
        <v>551</v>
      </c>
    </row>
    <row r="896" spans="1:6" hidden="1" outlineLevel="1">
      <c r="A896" s="932" t="s">
        <v>552</v>
      </c>
      <c r="B896" s="159">
        <v>0</v>
      </c>
      <c r="C896" s="160">
        <v>2581.71</v>
      </c>
      <c r="D896" s="161">
        <v>459183.94999999995</v>
      </c>
      <c r="E896" s="134">
        <f t="shared" si="14"/>
        <v>461765.66</v>
      </c>
      <c r="F896" t="s">
        <v>553</v>
      </c>
    </row>
    <row r="897" spans="1:6" hidden="1" outlineLevel="1">
      <c r="A897" s="932" t="s">
        <v>554</v>
      </c>
      <c r="B897" s="159">
        <v>0</v>
      </c>
      <c r="C897" s="160">
        <v>0</v>
      </c>
      <c r="D897" s="161">
        <v>11420.399999999998</v>
      </c>
      <c r="E897" s="134">
        <f t="shared" si="14"/>
        <v>11420.399999999998</v>
      </c>
      <c r="F897" t="s">
        <v>555</v>
      </c>
    </row>
    <row r="898" spans="1:6" hidden="1" outlineLevel="1">
      <c r="A898" s="932" t="s">
        <v>556</v>
      </c>
      <c r="B898" s="159">
        <v>0</v>
      </c>
      <c r="C898" s="160">
        <v>3441.84</v>
      </c>
      <c r="D898" s="161">
        <v>330851.03999999998</v>
      </c>
      <c r="E898" s="134">
        <f t="shared" si="14"/>
        <v>334292.88</v>
      </c>
      <c r="F898" t="s">
        <v>557</v>
      </c>
    </row>
    <row r="899" spans="1:6" hidden="1" outlineLevel="1">
      <c r="A899" s="932" t="s">
        <v>558</v>
      </c>
      <c r="B899" s="159">
        <v>0</v>
      </c>
      <c r="C899" s="160">
        <v>3784.3</v>
      </c>
      <c r="D899" s="161">
        <v>33646.120000000003</v>
      </c>
      <c r="E899" s="134">
        <f t="shared" si="14"/>
        <v>37430.420000000006</v>
      </c>
      <c r="F899" t="s">
        <v>559</v>
      </c>
    </row>
    <row r="900" spans="1:6" hidden="1" outlineLevel="1">
      <c r="A900" s="932" t="s">
        <v>560</v>
      </c>
      <c r="B900" s="159">
        <v>0</v>
      </c>
      <c r="C900" s="160">
        <v>25708.7</v>
      </c>
      <c r="D900" s="161">
        <v>113354.94999999998</v>
      </c>
      <c r="E900" s="134">
        <f t="shared" si="14"/>
        <v>139063.65</v>
      </c>
      <c r="F900" t="s">
        <v>561</v>
      </c>
    </row>
    <row r="901" spans="1:6" hidden="1" outlineLevel="1">
      <c r="A901" s="932" t="s">
        <v>562</v>
      </c>
      <c r="B901" s="159">
        <v>0</v>
      </c>
      <c r="C901" s="160">
        <v>0</v>
      </c>
      <c r="D901" s="161">
        <v>0</v>
      </c>
      <c r="E901" s="134">
        <f t="shared" si="14"/>
        <v>0</v>
      </c>
      <c r="F901" t="s">
        <v>563</v>
      </c>
    </row>
    <row r="902" spans="1:6" hidden="1" outlineLevel="1">
      <c r="A902" s="932" t="s">
        <v>564</v>
      </c>
      <c r="B902" s="159">
        <v>0</v>
      </c>
      <c r="C902" s="160">
        <v>0</v>
      </c>
      <c r="D902" s="161">
        <v>0</v>
      </c>
      <c r="E902" s="134">
        <f t="shared" si="14"/>
        <v>0</v>
      </c>
      <c r="F902" t="s">
        <v>565</v>
      </c>
    </row>
    <row r="903" spans="1:6" hidden="1" outlineLevel="1">
      <c r="A903" s="932" t="s">
        <v>566</v>
      </c>
      <c r="B903" s="159">
        <v>0</v>
      </c>
      <c r="C903" s="160">
        <v>0</v>
      </c>
      <c r="D903" s="161">
        <v>0</v>
      </c>
      <c r="E903" s="134">
        <f t="shared" si="14"/>
        <v>0</v>
      </c>
      <c r="F903" t="s">
        <v>567</v>
      </c>
    </row>
    <row r="904" spans="1:6" hidden="1" outlineLevel="1">
      <c r="A904" s="932" t="s">
        <v>568</v>
      </c>
      <c r="B904" s="159">
        <v>0</v>
      </c>
      <c r="C904" s="160">
        <v>0</v>
      </c>
      <c r="D904" s="161">
        <v>81043.960000000006</v>
      </c>
      <c r="E904" s="134">
        <f t="shared" si="14"/>
        <v>81043.960000000006</v>
      </c>
      <c r="F904" t="s">
        <v>569</v>
      </c>
    </row>
    <row r="905" spans="1:6" hidden="1" outlineLevel="1">
      <c r="A905" s="932" t="s">
        <v>570</v>
      </c>
      <c r="B905" s="159">
        <v>0</v>
      </c>
      <c r="C905" s="160">
        <v>0</v>
      </c>
      <c r="D905" s="161">
        <v>417102.99</v>
      </c>
      <c r="E905" s="134">
        <f t="shared" si="14"/>
        <v>417102.99</v>
      </c>
      <c r="F905" t="s">
        <v>571</v>
      </c>
    </row>
    <row r="906" spans="1:6" hidden="1" outlineLevel="1">
      <c r="A906" s="932" t="s">
        <v>572</v>
      </c>
      <c r="B906" s="159">
        <v>0</v>
      </c>
      <c r="C906" s="160">
        <v>9009.16</v>
      </c>
      <c r="D906" s="161">
        <v>41485.5</v>
      </c>
      <c r="E906" s="134">
        <f t="shared" si="14"/>
        <v>50494.66</v>
      </c>
      <c r="F906" t="s">
        <v>573</v>
      </c>
    </row>
    <row r="907" spans="1:6" hidden="1" outlineLevel="1">
      <c r="A907" s="932" t="s">
        <v>574</v>
      </c>
      <c r="B907" s="159">
        <v>0</v>
      </c>
      <c r="C907" s="160">
        <v>4711.79</v>
      </c>
      <c r="D907" s="161">
        <v>71854.19</v>
      </c>
      <c r="E907" s="134">
        <f t="shared" si="14"/>
        <v>76565.98</v>
      </c>
      <c r="F907" t="s">
        <v>575</v>
      </c>
    </row>
    <row r="908" spans="1:6" hidden="1" outlineLevel="1">
      <c r="A908" s="932" t="s">
        <v>576</v>
      </c>
      <c r="B908" s="159">
        <v>0</v>
      </c>
      <c r="C908" s="160">
        <v>0</v>
      </c>
      <c r="D908" s="161">
        <v>0</v>
      </c>
      <c r="E908" s="134">
        <f t="shared" si="14"/>
        <v>0</v>
      </c>
      <c r="F908" t="s">
        <v>577</v>
      </c>
    </row>
    <row r="909" spans="1:6" hidden="1" outlineLevel="1">
      <c r="A909" s="932" t="s">
        <v>578</v>
      </c>
      <c r="B909" s="159">
        <v>0</v>
      </c>
      <c r="C909" s="160">
        <v>6461.87</v>
      </c>
      <c r="D909" s="161">
        <v>222432.52000000005</v>
      </c>
      <c r="E909" s="134">
        <f t="shared" si="14"/>
        <v>228894.39000000004</v>
      </c>
      <c r="F909" t="s">
        <v>579</v>
      </c>
    </row>
    <row r="910" spans="1:6" hidden="1" outlineLevel="1">
      <c r="A910" s="932" t="s">
        <v>580</v>
      </c>
      <c r="B910" s="159">
        <v>0</v>
      </c>
      <c r="C910" s="160">
        <v>0</v>
      </c>
      <c r="D910" s="161">
        <v>13262.720000000001</v>
      </c>
      <c r="E910" s="134">
        <f t="shared" si="14"/>
        <v>13262.720000000001</v>
      </c>
      <c r="F910" t="s">
        <v>581</v>
      </c>
    </row>
    <row r="911" spans="1:6" hidden="1" outlineLevel="1">
      <c r="A911" s="932" t="s">
        <v>582</v>
      </c>
      <c r="B911" s="159">
        <v>0</v>
      </c>
      <c r="C911" s="160">
        <v>349.81</v>
      </c>
      <c r="D911" s="161">
        <v>214463.64</v>
      </c>
      <c r="E911" s="134">
        <f t="shared" si="14"/>
        <v>214813.45</v>
      </c>
      <c r="F911" t="s">
        <v>583</v>
      </c>
    </row>
    <row r="912" spans="1:6" hidden="1" outlineLevel="1">
      <c r="A912" s="932" t="s">
        <v>584</v>
      </c>
      <c r="B912" s="159">
        <v>0</v>
      </c>
      <c r="C912" s="160">
        <v>0</v>
      </c>
      <c r="D912" s="161">
        <v>93130.880000000005</v>
      </c>
      <c r="E912" s="134">
        <f t="shared" si="14"/>
        <v>93130.880000000005</v>
      </c>
      <c r="F912" t="s">
        <v>585</v>
      </c>
    </row>
    <row r="913" spans="1:6" hidden="1" outlineLevel="1">
      <c r="A913" s="932" t="s">
        <v>586</v>
      </c>
      <c r="B913" s="159">
        <v>0</v>
      </c>
      <c r="C913" s="160">
        <v>0</v>
      </c>
      <c r="D913" s="161">
        <v>424083.07999999996</v>
      </c>
      <c r="E913" s="134">
        <f t="shared" si="14"/>
        <v>424083.07999999996</v>
      </c>
      <c r="F913" t="s">
        <v>587</v>
      </c>
    </row>
    <row r="914" spans="1:6" hidden="1" outlineLevel="1">
      <c r="A914" s="932" t="s">
        <v>588</v>
      </c>
      <c r="B914" s="159">
        <v>0</v>
      </c>
      <c r="C914" s="160">
        <v>759.89</v>
      </c>
      <c r="D914" s="161">
        <v>15135.48</v>
      </c>
      <c r="E914" s="134">
        <f t="shared" si="14"/>
        <v>15895.369999999999</v>
      </c>
      <c r="F914" t="s">
        <v>589</v>
      </c>
    </row>
    <row r="915" spans="1:6" hidden="1" outlineLevel="1">
      <c r="A915" s="932" t="s">
        <v>590</v>
      </c>
      <c r="B915" s="159">
        <v>0</v>
      </c>
      <c r="C915" s="160">
        <v>324.76</v>
      </c>
      <c r="D915" s="161">
        <v>56903.57</v>
      </c>
      <c r="E915" s="134">
        <f t="shared" si="14"/>
        <v>57228.33</v>
      </c>
      <c r="F915" t="s">
        <v>591</v>
      </c>
    </row>
    <row r="916" spans="1:6" hidden="1" outlineLevel="1">
      <c r="A916" s="932" t="s">
        <v>592</v>
      </c>
      <c r="B916" s="159">
        <v>0</v>
      </c>
      <c r="C916" s="160">
        <v>0</v>
      </c>
      <c r="D916" s="161">
        <v>724472.7100000002</v>
      </c>
      <c r="E916" s="134">
        <f t="shared" si="14"/>
        <v>724472.7100000002</v>
      </c>
      <c r="F916" t="s">
        <v>593</v>
      </c>
    </row>
    <row r="917" spans="1:6" hidden="1" outlineLevel="1">
      <c r="A917" s="932" t="s">
        <v>594</v>
      </c>
      <c r="B917" s="159">
        <v>0</v>
      </c>
      <c r="C917" s="160">
        <v>3118.22</v>
      </c>
      <c r="D917" s="161">
        <v>122948.08</v>
      </c>
      <c r="E917" s="134">
        <f t="shared" si="14"/>
        <v>126066.3</v>
      </c>
      <c r="F917" t="s">
        <v>595</v>
      </c>
    </row>
    <row r="918" spans="1:6" hidden="1" outlineLevel="1">
      <c r="A918" s="932" t="s">
        <v>596</v>
      </c>
      <c r="B918" s="159">
        <v>0</v>
      </c>
      <c r="C918" s="160">
        <v>17229.93</v>
      </c>
      <c r="D918" s="161">
        <v>10567.12</v>
      </c>
      <c r="E918" s="134">
        <f t="shared" si="14"/>
        <v>27797.050000000003</v>
      </c>
      <c r="F918" t="s">
        <v>597</v>
      </c>
    </row>
    <row r="919" spans="1:6" hidden="1" outlineLevel="1">
      <c r="A919" s="932" t="s">
        <v>598</v>
      </c>
      <c r="B919" s="159">
        <v>0</v>
      </c>
      <c r="C919" s="160">
        <v>641934.28</v>
      </c>
      <c r="D919" s="161">
        <v>7905383.9499999955</v>
      </c>
      <c r="E919" s="134">
        <f t="shared" si="14"/>
        <v>8547318.2299999949</v>
      </c>
      <c r="F919" t="s">
        <v>599</v>
      </c>
    </row>
    <row r="920" spans="1:6" hidden="1" outlineLevel="1">
      <c r="A920" s="932" t="s">
        <v>600</v>
      </c>
      <c r="B920" s="159">
        <v>0</v>
      </c>
      <c r="C920" s="160">
        <v>12512</v>
      </c>
      <c r="D920" s="161">
        <v>206515.12000000002</v>
      </c>
      <c r="E920" s="134">
        <f t="shared" si="14"/>
        <v>219027.12000000002</v>
      </c>
      <c r="F920" t="s">
        <v>601</v>
      </c>
    </row>
    <row r="921" spans="1:6" hidden="1" outlineLevel="1">
      <c r="A921" s="932" t="s">
        <v>602</v>
      </c>
      <c r="B921" s="159">
        <v>0</v>
      </c>
      <c r="C921" s="160">
        <v>0</v>
      </c>
      <c r="D921" s="161">
        <v>3368.52</v>
      </c>
      <c r="E921" s="134">
        <f t="shared" si="14"/>
        <v>3368.52</v>
      </c>
      <c r="F921" t="s">
        <v>603</v>
      </c>
    </row>
    <row r="922" spans="1:6" hidden="1" outlineLevel="1">
      <c r="A922" s="932" t="s">
        <v>604</v>
      </c>
      <c r="B922" s="159">
        <v>0</v>
      </c>
      <c r="C922" s="160">
        <v>737.33</v>
      </c>
      <c r="D922" s="161">
        <v>100582.68</v>
      </c>
      <c r="E922" s="134">
        <f t="shared" si="14"/>
        <v>101320.01</v>
      </c>
      <c r="F922" t="s">
        <v>605</v>
      </c>
    </row>
    <row r="923" spans="1:6" hidden="1" outlineLevel="1">
      <c r="A923" s="932" t="s">
        <v>606</v>
      </c>
      <c r="B923" s="159">
        <v>0</v>
      </c>
      <c r="C923" s="160">
        <v>0</v>
      </c>
      <c r="D923" s="161">
        <v>23595.439999999999</v>
      </c>
      <c r="E923" s="134">
        <f t="shared" si="14"/>
        <v>23595.439999999999</v>
      </c>
      <c r="F923" t="s">
        <v>607</v>
      </c>
    </row>
    <row r="924" spans="1:6" hidden="1" outlineLevel="1">
      <c r="A924" s="932" t="s">
        <v>608</v>
      </c>
      <c r="B924" s="159">
        <v>0</v>
      </c>
      <c r="C924" s="160">
        <v>11486.300000000001</v>
      </c>
      <c r="D924" s="161">
        <v>777766.94</v>
      </c>
      <c r="E924" s="134">
        <f t="shared" si="14"/>
        <v>789253.24</v>
      </c>
      <c r="F924" t="s">
        <v>609</v>
      </c>
    </row>
    <row r="925" spans="1:6" hidden="1" outlineLevel="1">
      <c r="A925" s="932" t="s">
        <v>610</v>
      </c>
      <c r="B925" s="159">
        <v>0</v>
      </c>
      <c r="C925" s="160">
        <v>7918.13</v>
      </c>
      <c r="D925" s="161">
        <v>108395.26999999999</v>
      </c>
      <c r="E925" s="134">
        <f t="shared" si="14"/>
        <v>116313.4</v>
      </c>
      <c r="F925" t="s">
        <v>611</v>
      </c>
    </row>
    <row r="926" spans="1:6" hidden="1" outlineLevel="1">
      <c r="A926" s="932" t="s">
        <v>612</v>
      </c>
      <c r="B926" s="159">
        <v>0</v>
      </c>
      <c r="C926" s="160">
        <v>0</v>
      </c>
      <c r="D926" s="161">
        <v>24034</v>
      </c>
      <c r="E926" s="134">
        <f t="shared" si="14"/>
        <v>24034</v>
      </c>
      <c r="F926" t="s">
        <v>613</v>
      </c>
    </row>
    <row r="927" spans="1:6" hidden="1" outlineLevel="1">
      <c r="A927" s="932" t="s">
        <v>614</v>
      </c>
      <c r="B927" s="159">
        <v>0</v>
      </c>
      <c r="C927" s="160">
        <v>30.03</v>
      </c>
      <c r="D927" s="161">
        <v>93799.209999999992</v>
      </c>
      <c r="E927" s="134">
        <f t="shared" si="14"/>
        <v>93829.239999999991</v>
      </c>
      <c r="F927" t="s">
        <v>615</v>
      </c>
    </row>
    <row r="928" spans="1:6" hidden="1" outlineLevel="1">
      <c r="A928" s="932" t="s">
        <v>616</v>
      </c>
      <c r="B928" s="159">
        <v>0</v>
      </c>
      <c r="C928" s="160">
        <v>0</v>
      </c>
      <c r="D928" s="161">
        <v>10810.800000000001</v>
      </c>
      <c r="E928" s="134">
        <f>SUM(B928:D928)</f>
        <v>10810.800000000001</v>
      </c>
      <c r="F928" t="s">
        <v>617</v>
      </c>
    </row>
    <row r="929" spans="1:6" hidden="1" outlineLevel="1">
      <c r="A929" s="932" t="s">
        <v>618</v>
      </c>
      <c r="B929" s="159">
        <v>0</v>
      </c>
      <c r="C929" s="160">
        <v>89.05</v>
      </c>
      <c r="D929" s="161">
        <v>4090715.9600000004</v>
      </c>
      <c r="E929" s="134">
        <f t="shared" si="14"/>
        <v>4090805.0100000002</v>
      </c>
      <c r="F929" t="s">
        <v>619</v>
      </c>
    </row>
    <row r="930" spans="1:6" hidden="1" outlineLevel="1">
      <c r="A930" s="932" t="s">
        <v>620</v>
      </c>
      <c r="B930" s="159">
        <v>0</v>
      </c>
      <c r="C930" s="160">
        <v>206093.55</v>
      </c>
      <c r="D930" s="161">
        <v>3037209.4300000006</v>
      </c>
      <c r="E930" s="134">
        <f t="shared" si="14"/>
        <v>3243302.9800000004</v>
      </c>
      <c r="F930" t="s">
        <v>621</v>
      </c>
    </row>
    <row r="931" spans="1:6" hidden="1" outlineLevel="1">
      <c r="A931" s="932" t="s">
        <v>622</v>
      </c>
      <c r="B931" s="159">
        <v>0</v>
      </c>
      <c r="C931" s="160">
        <v>19331.78</v>
      </c>
      <c r="D931" s="161">
        <v>14343659.029999999</v>
      </c>
      <c r="E931" s="134">
        <f t="shared" si="14"/>
        <v>14362990.809999999</v>
      </c>
      <c r="F931" t="s">
        <v>623</v>
      </c>
    </row>
    <row r="932" spans="1:6" hidden="1" outlineLevel="1">
      <c r="A932" s="932" t="s">
        <v>624</v>
      </c>
      <c r="B932" s="159">
        <v>0</v>
      </c>
      <c r="C932" s="160">
        <v>0</v>
      </c>
      <c r="D932" s="161">
        <v>749964.08000000007</v>
      </c>
      <c r="E932" s="134">
        <f t="shared" si="14"/>
        <v>749964.08000000007</v>
      </c>
      <c r="F932" t="s">
        <v>625</v>
      </c>
    </row>
    <row r="933" spans="1:6" hidden="1" outlineLevel="1">
      <c r="A933" s="932" t="s">
        <v>626</v>
      </c>
      <c r="B933" s="159">
        <v>0</v>
      </c>
      <c r="C933" s="160">
        <v>2061.21</v>
      </c>
      <c r="D933" s="161">
        <v>957256.14000000025</v>
      </c>
      <c r="E933" s="134">
        <f t="shared" si="14"/>
        <v>959317.35000000021</v>
      </c>
      <c r="F933" t="s">
        <v>627</v>
      </c>
    </row>
    <row r="934" spans="1:6" hidden="1" outlineLevel="1">
      <c r="A934" s="932" t="s">
        <v>628</v>
      </c>
      <c r="B934" s="159">
        <v>0</v>
      </c>
      <c r="C934" s="160">
        <v>0</v>
      </c>
      <c r="D934" s="161">
        <v>51235.600000000006</v>
      </c>
      <c r="E934" s="134">
        <f t="shared" si="14"/>
        <v>51235.600000000006</v>
      </c>
      <c r="F934" t="s">
        <v>629</v>
      </c>
    </row>
    <row r="935" spans="1:6" hidden="1" outlineLevel="1">
      <c r="A935" s="932" t="s">
        <v>630</v>
      </c>
      <c r="B935" s="159">
        <v>0</v>
      </c>
      <c r="C935" s="160">
        <v>3705.4700000000003</v>
      </c>
      <c r="D935" s="161">
        <v>6255.12</v>
      </c>
      <c r="E935" s="134">
        <f t="shared" si="14"/>
        <v>9960.59</v>
      </c>
      <c r="F935" t="s">
        <v>631</v>
      </c>
    </row>
    <row r="936" spans="1:6" hidden="1" outlineLevel="1">
      <c r="A936" s="932" t="s">
        <v>632</v>
      </c>
      <c r="B936" s="159">
        <v>0</v>
      </c>
      <c r="C936" s="160">
        <v>4378.5600000000004</v>
      </c>
      <c r="D936" s="161">
        <v>596424.63</v>
      </c>
      <c r="E936" s="134">
        <f t="shared" si="14"/>
        <v>600803.19000000006</v>
      </c>
      <c r="F936" t="s">
        <v>633</v>
      </c>
    </row>
    <row r="937" spans="1:6" hidden="1" outlineLevel="1">
      <c r="A937" s="932" t="s">
        <v>634</v>
      </c>
      <c r="B937" s="159">
        <v>0</v>
      </c>
      <c r="C937" s="160">
        <v>2596.54</v>
      </c>
      <c r="D937" s="161">
        <v>43402.28</v>
      </c>
      <c r="E937" s="134">
        <f t="shared" si="14"/>
        <v>45998.82</v>
      </c>
      <c r="F937" t="s">
        <v>635</v>
      </c>
    </row>
    <row r="938" spans="1:6" hidden="1" outlineLevel="1">
      <c r="A938" s="932" t="s">
        <v>636</v>
      </c>
      <c r="B938" s="159">
        <v>0</v>
      </c>
      <c r="C938" s="160">
        <v>6568.7800000000007</v>
      </c>
      <c r="D938" s="161">
        <v>6219240.5499999998</v>
      </c>
      <c r="E938" s="134">
        <f t="shared" si="14"/>
        <v>6225809.3300000001</v>
      </c>
      <c r="F938" t="s">
        <v>637</v>
      </c>
    </row>
    <row r="939" spans="1:6" hidden="1" outlineLevel="1">
      <c r="A939" s="932" t="s">
        <v>638</v>
      </c>
      <c r="B939" s="159">
        <v>0</v>
      </c>
      <c r="C939" s="160">
        <v>890.92</v>
      </c>
      <c r="D939" s="161">
        <v>2043339.7200000002</v>
      </c>
      <c r="E939" s="134">
        <f t="shared" si="14"/>
        <v>2044230.6400000001</v>
      </c>
      <c r="F939" t="s">
        <v>639</v>
      </c>
    </row>
    <row r="940" spans="1:6" hidden="1" outlineLevel="1">
      <c r="A940" s="932" t="s">
        <v>640</v>
      </c>
      <c r="B940" s="159">
        <v>0</v>
      </c>
      <c r="C940" s="160">
        <v>0</v>
      </c>
      <c r="D940" s="161">
        <v>40392.720000000001</v>
      </c>
      <c r="E940" s="134">
        <f t="shared" si="14"/>
        <v>40392.720000000001</v>
      </c>
      <c r="F940" t="s">
        <v>641</v>
      </c>
    </row>
    <row r="941" spans="1:6" hidden="1" outlineLevel="1">
      <c r="A941" s="932" t="s">
        <v>642</v>
      </c>
      <c r="B941" s="159">
        <v>0</v>
      </c>
      <c r="C941" s="160">
        <v>0</v>
      </c>
      <c r="D941" s="161">
        <v>31027.200000000001</v>
      </c>
      <c r="E941" s="134">
        <f t="shared" si="14"/>
        <v>31027.200000000001</v>
      </c>
      <c r="F941" t="s">
        <v>643</v>
      </c>
    </row>
    <row r="942" spans="1:6" hidden="1" outlineLevel="1">
      <c r="A942" s="932" t="s">
        <v>644</v>
      </c>
      <c r="B942" s="159">
        <v>0</v>
      </c>
      <c r="C942" s="160">
        <v>5356.66</v>
      </c>
      <c r="D942" s="161">
        <v>107601.80000000002</v>
      </c>
      <c r="E942" s="134">
        <f t="shared" si="14"/>
        <v>112958.46000000002</v>
      </c>
      <c r="F942" t="s">
        <v>645</v>
      </c>
    </row>
    <row r="943" spans="1:6" hidden="1" outlineLevel="1">
      <c r="A943" s="932" t="s">
        <v>646</v>
      </c>
      <c r="B943" s="159">
        <v>0</v>
      </c>
      <c r="C943" s="160">
        <v>12358.89</v>
      </c>
      <c r="D943" s="161">
        <v>274828.57</v>
      </c>
      <c r="E943" s="134">
        <f t="shared" si="14"/>
        <v>287187.46000000002</v>
      </c>
      <c r="F943" t="s">
        <v>647</v>
      </c>
    </row>
    <row r="944" spans="1:6" hidden="1" outlineLevel="1">
      <c r="A944" s="932" t="s">
        <v>648</v>
      </c>
      <c r="B944" s="159">
        <v>0</v>
      </c>
      <c r="C944" s="160">
        <v>48954.740000000005</v>
      </c>
      <c r="D944" s="161">
        <v>147187.16</v>
      </c>
      <c r="E944" s="134">
        <f t="shared" si="14"/>
        <v>196141.90000000002</v>
      </c>
      <c r="F944" t="s">
        <v>649</v>
      </c>
    </row>
    <row r="945" spans="1:6" hidden="1" outlineLevel="1">
      <c r="A945" s="932" t="s">
        <v>650</v>
      </c>
      <c r="B945" s="159">
        <v>0</v>
      </c>
      <c r="C945" s="160">
        <v>17426.07</v>
      </c>
      <c r="D945" s="161">
        <v>55936.460000000006</v>
      </c>
      <c r="E945" s="134">
        <f t="shared" si="14"/>
        <v>73362.53</v>
      </c>
      <c r="F945" t="s">
        <v>651</v>
      </c>
    </row>
    <row r="946" spans="1:6" hidden="1" outlineLevel="1">
      <c r="A946" s="932" t="s">
        <v>652</v>
      </c>
      <c r="B946" s="159">
        <v>0</v>
      </c>
      <c r="C946" s="160">
        <v>0</v>
      </c>
      <c r="D946" s="161">
        <v>118617.28999999998</v>
      </c>
      <c r="E946" s="134">
        <f t="shared" si="14"/>
        <v>118617.28999999998</v>
      </c>
      <c r="F946" t="s">
        <v>653</v>
      </c>
    </row>
    <row r="947" spans="1:6" hidden="1" outlineLevel="1">
      <c r="A947" s="932" t="s">
        <v>654</v>
      </c>
      <c r="B947" s="159">
        <v>0</v>
      </c>
      <c r="C947" s="160">
        <v>27430.53</v>
      </c>
      <c r="D947" s="161">
        <v>359830.95</v>
      </c>
      <c r="E947" s="134">
        <f t="shared" si="14"/>
        <v>387261.48</v>
      </c>
      <c r="F947" t="s">
        <v>655</v>
      </c>
    </row>
    <row r="948" spans="1:6" hidden="1" outlineLevel="1">
      <c r="A948" s="932" t="s">
        <v>656</v>
      </c>
      <c r="B948" s="159">
        <v>0</v>
      </c>
      <c r="C948" s="160">
        <v>0</v>
      </c>
      <c r="D948" s="161">
        <v>0</v>
      </c>
      <c r="E948" s="134">
        <f t="shared" si="14"/>
        <v>0</v>
      </c>
      <c r="F948" t="s">
        <v>657</v>
      </c>
    </row>
    <row r="949" spans="1:6" hidden="1" outlineLevel="1">
      <c r="A949" s="932" t="s">
        <v>658</v>
      </c>
      <c r="B949" s="159">
        <v>0</v>
      </c>
      <c r="C949" s="160">
        <v>32284.9</v>
      </c>
      <c r="D949" s="161">
        <v>511299.2699999999</v>
      </c>
      <c r="E949" s="134">
        <f t="shared" si="14"/>
        <v>543584.16999999993</v>
      </c>
      <c r="F949" t="s">
        <v>659</v>
      </c>
    </row>
    <row r="950" spans="1:6" hidden="1" outlineLevel="1">
      <c r="A950" s="932" t="s">
        <v>660</v>
      </c>
      <c r="B950" s="159">
        <v>0</v>
      </c>
      <c r="C950" s="160">
        <v>0</v>
      </c>
      <c r="D950" s="161">
        <v>22538.880000000001</v>
      </c>
      <c r="E950" s="134">
        <f t="shared" si="14"/>
        <v>22538.880000000001</v>
      </c>
      <c r="F950" t="s">
        <v>661</v>
      </c>
    </row>
    <row r="951" spans="1:6" hidden="1" outlineLevel="1">
      <c r="A951" s="932" t="s">
        <v>662</v>
      </c>
      <c r="B951" s="159">
        <v>0</v>
      </c>
      <c r="C951" s="160">
        <v>0</v>
      </c>
      <c r="D951" s="161">
        <v>11760</v>
      </c>
      <c r="E951" s="134">
        <f t="shared" si="14"/>
        <v>11760</v>
      </c>
      <c r="F951" t="s">
        <v>663</v>
      </c>
    </row>
    <row r="952" spans="1:6" hidden="1" outlineLevel="1">
      <c r="A952" s="932" t="s">
        <v>664</v>
      </c>
      <c r="B952" s="159">
        <v>0</v>
      </c>
      <c r="C952" s="160">
        <v>1263.4000000000001</v>
      </c>
      <c r="D952" s="161">
        <v>9387.36</v>
      </c>
      <c r="E952" s="134">
        <f t="shared" si="14"/>
        <v>10650.76</v>
      </c>
      <c r="F952" t="s">
        <v>665</v>
      </c>
    </row>
    <row r="953" spans="1:6" hidden="1" outlineLevel="1">
      <c r="A953" s="932" t="s">
        <v>666</v>
      </c>
      <c r="B953" s="159">
        <v>0</v>
      </c>
      <c r="C953" s="160">
        <v>0</v>
      </c>
      <c r="D953" s="161">
        <v>24589.039999999997</v>
      </c>
      <c r="E953" s="134">
        <f t="shared" si="14"/>
        <v>24589.039999999997</v>
      </c>
      <c r="F953" t="s">
        <v>667</v>
      </c>
    </row>
    <row r="954" spans="1:6" hidden="1" outlineLevel="1">
      <c r="A954" s="932" t="s">
        <v>668</v>
      </c>
      <c r="B954" s="159">
        <v>0</v>
      </c>
      <c r="C954" s="160">
        <v>4268.71</v>
      </c>
      <c r="D954" s="161">
        <v>20776.280000000002</v>
      </c>
      <c r="E954" s="134">
        <f t="shared" si="14"/>
        <v>25044.99</v>
      </c>
      <c r="F954" t="s">
        <v>669</v>
      </c>
    </row>
    <row r="955" spans="1:6" hidden="1" outlineLevel="1">
      <c r="A955" s="932" t="s">
        <v>670</v>
      </c>
      <c r="B955" s="159">
        <v>0</v>
      </c>
      <c r="C955" s="160">
        <v>9065.3300000000017</v>
      </c>
      <c r="D955" s="161">
        <v>205462.23</v>
      </c>
      <c r="E955" s="134">
        <f t="shared" si="14"/>
        <v>214527.56</v>
      </c>
      <c r="F955" t="s">
        <v>671</v>
      </c>
    </row>
    <row r="956" spans="1:6" hidden="1" outlineLevel="1">
      <c r="A956" s="932" t="s">
        <v>672</v>
      </c>
      <c r="B956" s="159">
        <v>0</v>
      </c>
      <c r="C956" s="160">
        <v>0</v>
      </c>
      <c r="D956" s="161">
        <v>372612.96</v>
      </c>
      <c r="E956" s="134">
        <f t="shared" si="14"/>
        <v>372612.96</v>
      </c>
      <c r="F956" t="s">
        <v>673</v>
      </c>
    </row>
    <row r="957" spans="1:6" hidden="1" outlineLevel="1">
      <c r="A957" s="932" t="s">
        <v>674</v>
      </c>
      <c r="B957" s="159">
        <v>0</v>
      </c>
      <c r="C957" s="160">
        <v>4495.6000000000004</v>
      </c>
      <c r="D957" s="161">
        <v>435967.77</v>
      </c>
      <c r="E957" s="134">
        <f t="shared" si="14"/>
        <v>440463.37</v>
      </c>
      <c r="F957" t="s">
        <v>675</v>
      </c>
    </row>
    <row r="958" spans="1:6" hidden="1" outlineLevel="1">
      <c r="A958" s="932" t="s">
        <v>676</v>
      </c>
      <c r="B958" s="159">
        <v>0</v>
      </c>
      <c r="C958" s="160">
        <v>0</v>
      </c>
      <c r="D958" s="161">
        <v>0</v>
      </c>
      <c r="E958" s="134">
        <f t="shared" si="14"/>
        <v>0</v>
      </c>
      <c r="F958" t="s">
        <v>677</v>
      </c>
    </row>
    <row r="959" spans="1:6" hidden="1" outlineLevel="1">
      <c r="A959" s="932" t="s">
        <v>678</v>
      </c>
      <c r="B959" s="159">
        <v>0</v>
      </c>
      <c r="C959" s="160">
        <v>0</v>
      </c>
      <c r="D959" s="161">
        <v>5989.32</v>
      </c>
      <c r="E959" s="134">
        <f t="shared" si="14"/>
        <v>5989.32</v>
      </c>
      <c r="F959" t="s">
        <v>679</v>
      </c>
    </row>
    <row r="960" spans="1:6" hidden="1" outlineLevel="1">
      <c r="A960" s="932" t="s">
        <v>680</v>
      </c>
      <c r="B960" s="159">
        <v>1666559.0699999998</v>
      </c>
      <c r="C960" s="160">
        <v>280642.75999999995</v>
      </c>
      <c r="D960" s="161">
        <v>3386506.9200000009</v>
      </c>
      <c r="E960" s="134">
        <f t="shared" si="14"/>
        <v>5333708.7500000009</v>
      </c>
      <c r="F960" t="s">
        <v>681</v>
      </c>
    </row>
    <row r="961" spans="1:6" hidden="1" outlineLevel="1">
      <c r="A961" s="932" t="s">
        <v>682</v>
      </c>
      <c r="B961" s="159">
        <v>0</v>
      </c>
      <c r="C961" s="160">
        <v>53804.249999999985</v>
      </c>
      <c r="D961" s="161">
        <v>2207600.4600000009</v>
      </c>
      <c r="E961" s="134">
        <f t="shared" si="14"/>
        <v>2261404.7100000009</v>
      </c>
      <c r="F961" t="s">
        <v>683</v>
      </c>
    </row>
    <row r="962" spans="1:6" hidden="1" outlineLevel="1">
      <c r="A962" s="932" t="s">
        <v>684</v>
      </c>
      <c r="B962" s="159">
        <v>0</v>
      </c>
      <c r="C962" s="160">
        <v>7229.2099999999991</v>
      </c>
      <c r="D962" s="161">
        <v>62868.800000000003</v>
      </c>
      <c r="E962" s="134">
        <f t="shared" si="14"/>
        <v>70098.010000000009</v>
      </c>
      <c r="F962" t="s">
        <v>685</v>
      </c>
    </row>
    <row r="963" spans="1:6" hidden="1" outlineLevel="1">
      <c r="A963" s="932" t="s">
        <v>686</v>
      </c>
      <c r="B963" s="159">
        <v>0</v>
      </c>
      <c r="C963" s="160">
        <v>91168.859999999971</v>
      </c>
      <c r="D963" s="161">
        <v>1511201.6199999994</v>
      </c>
      <c r="E963" s="134">
        <f t="shared" si="14"/>
        <v>1602370.4799999993</v>
      </c>
      <c r="F963" t="s">
        <v>687</v>
      </c>
    </row>
    <row r="964" spans="1:6" hidden="1" outlineLevel="1">
      <c r="A964" s="932" t="s">
        <v>688</v>
      </c>
      <c r="B964" s="159">
        <v>0</v>
      </c>
      <c r="C964" s="160">
        <v>7133.14</v>
      </c>
      <c r="D964" s="161">
        <v>92008.2</v>
      </c>
      <c r="E964" s="134">
        <f t="shared" si="14"/>
        <v>99141.34</v>
      </c>
      <c r="F964" t="s">
        <v>689</v>
      </c>
    </row>
    <row r="965" spans="1:6" hidden="1" outlineLevel="1">
      <c r="A965" s="932" t="s">
        <v>690</v>
      </c>
      <c r="B965" s="159">
        <v>0</v>
      </c>
      <c r="C965" s="160">
        <v>2367.69</v>
      </c>
      <c r="D965" s="161">
        <v>404991.46</v>
      </c>
      <c r="E965" s="134">
        <f t="shared" si="14"/>
        <v>407359.15</v>
      </c>
      <c r="F965" t="s">
        <v>691</v>
      </c>
    </row>
    <row r="966" spans="1:6" hidden="1" outlineLevel="1">
      <c r="A966" s="932" t="s">
        <v>692</v>
      </c>
      <c r="B966" s="159">
        <v>0</v>
      </c>
      <c r="C966" s="160">
        <v>0</v>
      </c>
      <c r="D966" s="161">
        <v>39252.639999999999</v>
      </c>
      <c r="E966" s="134">
        <f t="shared" si="14"/>
        <v>39252.639999999999</v>
      </c>
      <c r="F966" t="s">
        <v>693</v>
      </c>
    </row>
    <row r="967" spans="1:6" hidden="1" outlineLevel="1">
      <c r="A967" s="932" t="s">
        <v>694</v>
      </c>
      <c r="B967" s="159">
        <v>0</v>
      </c>
      <c r="C967" s="160">
        <v>0</v>
      </c>
      <c r="D967" s="161">
        <v>0</v>
      </c>
      <c r="E967" s="134">
        <f t="shared" si="14"/>
        <v>0</v>
      </c>
      <c r="F967" t="s">
        <v>695</v>
      </c>
    </row>
    <row r="968" spans="1:6" hidden="1" outlineLevel="1">
      <c r="A968" s="932" t="s">
        <v>696</v>
      </c>
      <c r="B968" s="159">
        <v>0</v>
      </c>
      <c r="C968" s="160">
        <v>25002.92</v>
      </c>
      <c r="D968" s="161">
        <v>32953.08</v>
      </c>
      <c r="E968" s="134">
        <f t="shared" si="14"/>
        <v>57956</v>
      </c>
      <c r="F968" t="s">
        <v>697</v>
      </c>
    </row>
    <row r="969" spans="1:6" hidden="1" outlineLevel="1">
      <c r="A969" s="932" t="s">
        <v>698</v>
      </c>
      <c r="B969" s="159">
        <v>0</v>
      </c>
      <c r="C969" s="160">
        <v>1574.8500000000001</v>
      </c>
      <c r="D969" s="161">
        <v>103353.41</v>
      </c>
      <c r="E969" s="134">
        <f t="shared" si="14"/>
        <v>104928.26000000001</v>
      </c>
      <c r="F969" t="s">
        <v>699</v>
      </c>
    </row>
    <row r="970" spans="1:6" hidden="1" outlineLevel="1">
      <c r="A970" s="932" t="s">
        <v>700</v>
      </c>
      <c r="B970" s="159">
        <v>0</v>
      </c>
      <c r="C970" s="160">
        <v>1477.04</v>
      </c>
      <c r="D970" s="161">
        <v>34774.949999999997</v>
      </c>
      <c r="E970" s="134">
        <f t="shared" si="14"/>
        <v>36251.99</v>
      </c>
      <c r="F970" t="s">
        <v>701</v>
      </c>
    </row>
    <row r="971" spans="1:6" hidden="1" outlineLevel="1">
      <c r="A971" s="932" t="s">
        <v>702</v>
      </c>
      <c r="B971" s="159">
        <v>0</v>
      </c>
      <c r="C971" s="160">
        <v>0</v>
      </c>
      <c r="D971" s="161">
        <v>50890.92</v>
      </c>
      <c r="E971" s="134">
        <f t="shared" si="14"/>
        <v>50890.92</v>
      </c>
      <c r="F971" t="s">
        <v>703</v>
      </c>
    </row>
    <row r="972" spans="1:6" hidden="1" outlineLevel="1">
      <c r="A972" s="932" t="s">
        <v>704</v>
      </c>
      <c r="B972" s="159">
        <v>0</v>
      </c>
      <c r="C972" s="160">
        <v>0</v>
      </c>
      <c r="D972" s="161">
        <v>0</v>
      </c>
      <c r="E972" s="134">
        <f t="shared" si="14"/>
        <v>0</v>
      </c>
      <c r="F972" t="s">
        <v>705</v>
      </c>
    </row>
    <row r="973" spans="1:6" hidden="1" outlineLevel="1">
      <c r="A973" s="932" t="s">
        <v>706</v>
      </c>
      <c r="B973" s="159">
        <v>0</v>
      </c>
      <c r="C973" s="160">
        <v>0</v>
      </c>
      <c r="D973" s="161">
        <v>947567.32000000007</v>
      </c>
      <c r="E973" s="134">
        <f t="shared" si="14"/>
        <v>947567.32000000007</v>
      </c>
      <c r="F973" t="s">
        <v>707</v>
      </c>
    </row>
    <row r="974" spans="1:6" hidden="1" outlineLevel="1">
      <c r="A974" s="932" t="s">
        <v>708</v>
      </c>
      <c r="B974" s="159">
        <v>0</v>
      </c>
      <c r="C974" s="160">
        <v>0</v>
      </c>
      <c r="D974" s="161">
        <v>11200</v>
      </c>
      <c r="E974" s="134">
        <f t="shared" si="14"/>
        <v>11200</v>
      </c>
      <c r="F974" t="s">
        <v>709</v>
      </c>
    </row>
    <row r="975" spans="1:6" hidden="1" outlineLevel="1">
      <c r="A975" s="932" t="s">
        <v>710</v>
      </c>
      <c r="B975" s="159">
        <v>0</v>
      </c>
      <c r="C975" s="160">
        <v>5073.5</v>
      </c>
      <c r="D975" s="161">
        <v>90704.73000000001</v>
      </c>
      <c r="E975" s="134">
        <f t="shared" si="14"/>
        <v>95778.23000000001</v>
      </c>
      <c r="F975" t="s">
        <v>711</v>
      </c>
    </row>
    <row r="976" spans="1:6" hidden="1" outlineLevel="1">
      <c r="A976" s="932" t="s">
        <v>712</v>
      </c>
      <c r="B976" s="159">
        <v>0</v>
      </c>
      <c r="C976" s="160">
        <v>0</v>
      </c>
      <c r="D976" s="161">
        <v>28007.279999999999</v>
      </c>
      <c r="E976" s="134">
        <f t="shared" si="14"/>
        <v>28007.279999999999</v>
      </c>
      <c r="F976" t="s">
        <v>713</v>
      </c>
    </row>
    <row r="977" spans="1:6" hidden="1" outlineLevel="1">
      <c r="A977" s="932" t="s">
        <v>714</v>
      </c>
      <c r="B977" s="159">
        <v>0</v>
      </c>
      <c r="C977" s="160">
        <v>0</v>
      </c>
      <c r="D977" s="161">
        <v>383413.42000000004</v>
      </c>
      <c r="E977" s="134">
        <f t="shared" si="14"/>
        <v>383413.42000000004</v>
      </c>
      <c r="F977" t="s">
        <v>715</v>
      </c>
    </row>
    <row r="978" spans="1:6" hidden="1" outlineLevel="1">
      <c r="A978" s="932" t="s">
        <v>716</v>
      </c>
      <c r="B978" s="159">
        <v>0</v>
      </c>
      <c r="C978" s="160">
        <v>71128.040000000008</v>
      </c>
      <c r="D978" s="161">
        <v>5070.68</v>
      </c>
      <c r="E978" s="134">
        <f t="shared" si="14"/>
        <v>76198.720000000001</v>
      </c>
      <c r="F978" t="s">
        <v>717</v>
      </c>
    </row>
    <row r="979" spans="1:6" hidden="1" outlineLevel="1">
      <c r="A979" s="932" t="s">
        <v>718</v>
      </c>
      <c r="B979" s="159">
        <v>0</v>
      </c>
      <c r="C979" s="160">
        <v>0</v>
      </c>
      <c r="D979" s="161">
        <v>331258.49</v>
      </c>
      <c r="E979" s="134">
        <f t="shared" si="14"/>
        <v>331258.49</v>
      </c>
      <c r="F979" t="s">
        <v>719</v>
      </c>
    </row>
    <row r="980" spans="1:6" hidden="1" outlineLevel="1">
      <c r="A980" s="932" t="s">
        <v>720</v>
      </c>
      <c r="B980" s="159">
        <v>0</v>
      </c>
      <c r="C980" s="160">
        <v>1321.88</v>
      </c>
      <c r="D980" s="161">
        <v>21726.800000000003</v>
      </c>
      <c r="E980" s="134">
        <f t="shared" si="14"/>
        <v>23048.680000000004</v>
      </c>
      <c r="F980" t="s">
        <v>721</v>
      </c>
    </row>
    <row r="981" spans="1:6" hidden="1" outlineLevel="1">
      <c r="A981" s="932" t="s">
        <v>722</v>
      </c>
      <c r="B981" s="159">
        <v>7651.9400000000005</v>
      </c>
      <c r="C981" s="160">
        <v>1005507.1899999998</v>
      </c>
      <c r="D981" s="161">
        <v>62438403.929999992</v>
      </c>
      <c r="E981" s="134">
        <f t="shared" si="14"/>
        <v>63451563.059999995</v>
      </c>
      <c r="F981" t="s">
        <v>723</v>
      </c>
    </row>
    <row r="982" spans="1:6" hidden="1" outlineLevel="1">
      <c r="A982" s="932" t="s">
        <v>724</v>
      </c>
      <c r="B982" s="159">
        <v>0</v>
      </c>
      <c r="C982" s="160">
        <v>0</v>
      </c>
      <c r="D982" s="161">
        <v>126616.41</v>
      </c>
      <c r="E982" s="134">
        <f t="shared" si="14"/>
        <v>126616.41</v>
      </c>
      <c r="F982" t="s">
        <v>725</v>
      </c>
    </row>
    <row r="983" spans="1:6" hidden="1" outlineLevel="1">
      <c r="A983" s="932" t="s">
        <v>726</v>
      </c>
      <c r="B983" s="159">
        <v>0</v>
      </c>
      <c r="C983" s="160">
        <v>0</v>
      </c>
      <c r="D983" s="161">
        <v>0</v>
      </c>
      <c r="E983" s="134">
        <f t="shared" si="14"/>
        <v>0</v>
      </c>
      <c r="F983" t="s">
        <v>727</v>
      </c>
    </row>
    <row r="984" spans="1:6" hidden="1" outlineLevel="1">
      <c r="A984" s="932" t="s">
        <v>728</v>
      </c>
      <c r="B984" s="159">
        <v>0</v>
      </c>
      <c r="C984" s="160">
        <v>109823.02</v>
      </c>
      <c r="D984" s="161">
        <v>13427098.230000002</v>
      </c>
      <c r="E984" s="134">
        <f t="shared" si="14"/>
        <v>13536921.250000002</v>
      </c>
      <c r="F984" t="s">
        <v>729</v>
      </c>
    </row>
    <row r="985" spans="1:6" hidden="1" outlineLevel="1">
      <c r="A985" s="932" t="s">
        <v>730</v>
      </c>
      <c r="B985" s="159">
        <v>0</v>
      </c>
      <c r="C985" s="160">
        <v>0</v>
      </c>
      <c r="D985" s="161">
        <v>0</v>
      </c>
      <c r="E985" s="134">
        <f t="shared" si="14"/>
        <v>0</v>
      </c>
      <c r="F985" t="s">
        <v>731</v>
      </c>
    </row>
    <row r="986" spans="1:6" hidden="1" outlineLevel="1">
      <c r="A986" s="932" t="s">
        <v>732</v>
      </c>
      <c r="B986" s="159">
        <v>0</v>
      </c>
      <c r="C986" s="160">
        <v>3528.56</v>
      </c>
      <c r="D986" s="161">
        <v>2043.16</v>
      </c>
      <c r="E986" s="134">
        <f t="shared" si="14"/>
        <v>5571.72</v>
      </c>
      <c r="F986" t="s">
        <v>733</v>
      </c>
    </row>
    <row r="987" spans="1:6" hidden="1" outlineLevel="1">
      <c r="A987" s="932" t="s">
        <v>734</v>
      </c>
      <c r="B987" s="159">
        <v>0</v>
      </c>
      <c r="C987" s="160">
        <v>0</v>
      </c>
      <c r="D987" s="161">
        <v>0</v>
      </c>
      <c r="E987" s="134">
        <f t="shared" si="14"/>
        <v>0</v>
      </c>
      <c r="F987" t="s">
        <v>735</v>
      </c>
    </row>
    <row r="988" spans="1:6" hidden="1" outlineLevel="1">
      <c r="A988" s="932" t="s">
        <v>736</v>
      </c>
      <c r="B988" s="159">
        <v>0</v>
      </c>
      <c r="C988" s="160">
        <v>21467.040000000001</v>
      </c>
      <c r="D988" s="161">
        <v>365756.66</v>
      </c>
      <c r="E988" s="134">
        <f t="shared" si="14"/>
        <v>387223.69999999995</v>
      </c>
      <c r="F988" t="s">
        <v>737</v>
      </c>
    </row>
    <row r="989" spans="1:6" hidden="1" outlineLevel="1">
      <c r="A989" s="932" t="s">
        <v>738</v>
      </c>
      <c r="B989" s="159">
        <v>0</v>
      </c>
      <c r="C989" s="160">
        <v>0</v>
      </c>
      <c r="D989" s="161">
        <v>8015995</v>
      </c>
      <c r="E989" s="134">
        <f t="shared" si="14"/>
        <v>8015995</v>
      </c>
      <c r="F989" t="s">
        <v>739</v>
      </c>
    </row>
    <row r="990" spans="1:6" hidden="1" outlineLevel="1">
      <c r="A990" s="932" t="s">
        <v>740</v>
      </c>
      <c r="B990" s="159">
        <v>0</v>
      </c>
      <c r="C990" s="160">
        <v>46139.08</v>
      </c>
      <c r="D990" s="161">
        <v>13017880.85</v>
      </c>
      <c r="E990" s="134">
        <f t="shared" si="14"/>
        <v>13064019.93</v>
      </c>
      <c r="F990" t="s">
        <v>741</v>
      </c>
    </row>
    <row r="991" spans="1:6" hidden="1" outlineLevel="1">
      <c r="A991" s="932" t="s">
        <v>742</v>
      </c>
      <c r="B991" s="159">
        <v>0</v>
      </c>
      <c r="C991" s="160">
        <v>0</v>
      </c>
      <c r="D991" s="161">
        <v>8270.7999999999993</v>
      </c>
      <c r="E991" s="134">
        <f t="shared" si="14"/>
        <v>8270.7999999999993</v>
      </c>
      <c r="F991" t="s">
        <v>743</v>
      </c>
    </row>
    <row r="992" spans="1:6" hidden="1" outlineLevel="1">
      <c r="A992" s="932" t="s">
        <v>744</v>
      </c>
      <c r="B992" s="159">
        <v>0</v>
      </c>
      <c r="C992" s="160">
        <v>0</v>
      </c>
      <c r="D992" s="161">
        <v>102863.51000000001</v>
      </c>
      <c r="E992" s="134">
        <f t="shared" si="14"/>
        <v>102863.51000000001</v>
      </c>
      <c r="F992" t="s">
        <v>745</v>
      </c>
    </row>
    <row r="993" spans="1:6" hidden="1" outlineLevel="1">
      <c r="A993" s="932" t="s">
        <v>746</v>
      </c>
      <c r="B993" s="159">
        <v>0</v>
      </c>
      <c r="C993" s="160">
        <v>491.28</v>
      </c>
      <c r="D993" s="161">
        <v>22629.279999999999</v>
      </c>
      <c r="E993" s="134">
        <f t="shared" si="14"/>
        <v>23120.559999999998</v>
      </c>
      <c r="F993" t="s">
        <v>747</v>
      </c>
    </row>
    <row r="994" spans="1:6" hidden="1" outlineLevel="1">
      <c r="A994" s="932" t="s">
        <v>748</v>
      </c>
      <c r="B994" s="159">
        <v>0</v>
      </c>
      <c r="C994" s="160">
        <v>0</v>
      </c>
      <c r="D994" s="161">
        <v>333006.56</v>
      </c>
      <c r="E994" s="134">
        <f t="shared" si="14"/>
        <v>333006.56</v>
      </c>
      <c r="F994" t="s">
        <v>749</v>
      </c>
    </row>
    <row r="995" spans="1:6" hidden="1" outlineLevel="1">
      <c r="A995" s="932" t="s">
        <v>750</v>
      </c>
      <c r="B995" s="159">
        <v>0</v>
      </c>
      <c r="C995" s="160">
        <v>0</v>
      </c>
      <c r="D995" s="161">
        <v>10608.36</v>
      </c>
      <c r="E995" s="134">
        <f t="shared" si="14"/>
        <v>10608.36</v>
      </c>
      <c r="F995" t="s">
        <v>751</v>
      </c>
    </row>
    <row r="996" spans="1:6" hidden="1" outlineLevel="1">
      <c r="A996" s="932" t="s">
        <v>752</v>
      </c>
      <c r="B996" s="159">
        <v>0</v>
      </c>
      <c r="C996" s="160">
        <v>473.92</v>
      </c>
      <c r="D996" s="161">
        <v>588388.7300000001</v>
      </c>
      <c r="E996" s="134">
        <f t="shared" si="14"/>
        <v>588862.65000000014</v>
      </c>
      <c r="F996" t="s">
        <v>753</v>
      </c>
    </row>
    <row r="997" spans="1:6" hidden="1" outlineLevel="1">
      <c r="A997" s="932" t="s">
        <v>754</v>
      </c>
      <c r="B997" s="159">
        <v>0</v>
      </c>
      <c r="C997" s="160">
        <v>178.91</v>
      </c>
      <c r="D997" s="161">
        <v>12031.68</v>
      </c>
      <c r="E997" s="134">
        <f t="shared" si="14"/>
        <v>12210.59</v>
      </c>
      <c r="F997" t="s">
        <v>755</v>
      </c>
    </row>
    <row r="998" spans="1:6" hidden="1" outlineLevel="1">
      <c r="A998" s="932" t="s">
        <v>756</v>
      </c>
      <c r="B998" s="159">
        <v>0</v>
      </c>
      <c r="C998" s="160">
        <v>33983.449999999997</v>
      </c>
      <c r="D998" s="161">
        <v>30884.04</v>
      </c>
      <c r="E998" s="134">
        <f t="shared" si="14"/>
        <v>64867.49</v>
      </c>
      <c r="F998" t="s">
        <v>757</v>
      </c>
    </row>
    <row r="999" spans="1:6" hidden="1" outlineLevel="1">
      <c r="A999" s="932" t="s">
        <v>758</v>
      </c>
      <c r="B999" s="159">
        <v>0</v>
      </c>
      <c r="C999" s="160">
        <v>72593.849999999991</v>
      </c>
      <c r="D999" s="161">
        <v>878194.3200000003</v>
      </c>
      <c r="E999" s="134">
        <f t="shared" si="14"/>
        <v>950788.17000000027</v>
      </c>
      <c r="F999" t="s">
        <v>759</v>
      </c>
    </row>
    <row r="1000" spans="1:6" hidden="1" outlineLevel="1">
      <c r="A1000" s="932" t="s">
        <v>760</v>
      </c>
      <c r="B1000" s="159">
        <v>0</v>
      </c>
      <c r="C1000" s="160">
        <v>0</v>
      </c>
      <c r="D1000" s="161">
        <v>37435.040000000001</v>
      </c>
      <c r="E1000" s="134">
        <f t="shared" si="14"/>
        <v>37435.040000000001</v>
      </c>
      <c r="F1000" t="s">
        <v>761</v>
      </c>
    </row>
    <row r="1001" spans="1:6" hidden="1" outlineLevel="1">
      <c r="A1001" s="932" t="s">
        <v>762</v>
      </c>
      <c r="B1001" s="159">
        <v>0</v>
      </c>
      <c r="C1001" s="160">
        <v>0</v>
      </c>
      <c r="D1001" s="161">
        <v>23078.880000000001</v>
      </c>
      <c r="E1001" s="134">
        <f t="shared" si="14"/>
        <v>23078.880000000001</v>
      </c>
      <c r="F1001" t="s">
        <v>763</v>
      </c>
    </row>
    <row r="1002" spans="1:6" hidden="1" outlineLevel="1">
      <c r="A1002" s="932" t="s">
        <v>764</v>
      </c>
      <c r="B1002" s="159">
        <v>0</v>
      </c>
      <c r="C1002" s="160">
        <v>14377.23</v>
      </c>
      <c r="D1002" s="161">
        <v>32165.200000000004</v>
      </c>
      <c r="E1002" s="134">
        <f t="shared" si="14"/>
        <v>46542.430000000008</v>
      </c>
      <c r="F1002" t="s">
        <v>765</v>
      </c>
    </row>
    <row r="1003" spans="1:6" hidden="1" outlineLevel="1">
      <c r="A1003" s="932" t="s">
        <v>766</v>
      </c>
      <c r="B1003" s="159">
        <v>0</v>
      </c>
      <c r="C1003" s="160">
        <v>0</v>
      </c>
      <c r="D1003" s="161">
        <v>29194.52</v>
      </c>
      <c r="E1003" s="134">
        <f t="shared" si="14"/>
        <v>29194.52</v>
      </c>
      <c r="F1003" t="s">
        <v>767</v>
      </c>
    </row>
    <row r="1004" spans="1:6" hidden="1" outlineLevel="1">
      <c r="A1004" s="932" t="s">
        <v>768</v>
      </c>
      <c r="B1004" s="159">
        <v>0</v>
      </c>
      <c r="C1004" s="160">
        <v>0</v>
      </c>
      <c r="D1004" s="161">
        <v>62425.26</v>
      </c>
      <c r="E1004" s="134">
        <f t="shared" si="14"/>
        <v>62425.26</v>
      </c>
      <c r="F1004" t="s">
        <v>769</v>
      </c>
    </row>
    <row r="1005" spans="1:6" hidden="1" outlineLevel="1">
      <c r="A1005" s="932" t="s">
        <v>770</v>
      </c>
      <c r="B1005" s="159">
        <v>0</v>
      </c>
      <c r="C1005" s="160">
        <v>2535.61</v>
      </c>
      <c r="D1005" s="161">
        <v>68511.599999999991</v>
      </c>
      <c r="E1005" s="134">
        <f t="shared" si="14"/>
        <v>71047.209999999992</v>
      </c>
      <c r="F1005" t="s">
        <v>771</v>
      </c>
    </row>
    <row r="1006" spans="1:6" hidden="1" outlineLevel="1">
      <c r="A1006" s="932" t="s">
        <v>772</v>
      </c>
      <c r="B1006" s="159">
        <v>0</v>
      </c>
      <c r="C1006" s="160">
        <v>0</v>
      </c>
      <c r="D1006" s="161">
        <v>0</v>
      </c>
      <c r="E1006" s="134">
        <f t="shared" si="14"/>
        <v>0</v>
      </c>
      <c r="F1006" t="s">
        <v>773</v>
      </c>
    </row>
    <row r="1007" spans="1:6" collapsed="1">
      <c r="A1007" s="932" t="str">
        <f>A168</f>
        <v>Regelzone Amprion (gesamt)</v>
      </c>
      <c r="B1007" s="162">
        <f>SUM(B1008:B1241)</f>
        <v>1264963.8</v>
      </c>
      <c r="C1007" s="163">
        <f>SUM(C1008:C1241)</f>
        <v>15498146.709999997</v>
      </c>
      <c r="D1007" s="163">
        <f>SUM(D1008:D1241)</f>
        <v>279278876.37000006</v>
      </c>
      <c r="E1007" s="134">
        <f t="shared" si="14"/>
        <v>296041986.88000005</v>
      </c>
    </row>
    <row r="1008" spans="1:6" hidden="1" outlineLevel="1">
      <c r="A1008" s="932" t="s">
        <v>775</v>
      </c>
      <c r="B1008" s="159">
        <v>0</v>
      </c>
      <c r="C1008" s="160">
        <v>0</v>
      </c>
      <c r="D1008" s="161">
        <v>44540.98</v>
      </c>
      <c r="E1008" s="134">
        <f t="shared" ref="E1008:E1071" si="15">SUM(B1008:D1008)</f>
        <v>44540.98</v>
      </c>
      <c r="F1008" s="117" t="s">
        <v>776</v>
      </c>
    </row>
    <row r="1009" spans="1:6" hidden="1" outlineLevel="1">
      <c r="A1009" s="932" t="s">
        <v>456</v>
      </c>
      <c r="B1009" s="159">
        <v>0</v>
      </c>
      <c r="C1009" s="160">
        <v>0</v>
      </c>
      <c r="D1009" s="161">
        <v>190227.03</v>
      </c>
      <c r="E1009" s="134">
        <f t="shared" si="15"/>
        <v>190227.03</v>
      </c>
      <c r="F1009" s="117" t="s">
        <v>457</v>
      </c>
    </row>
    <row r="1010" spans="1:6" hidden="1" outlineLevel="1">
      <c r="A1010" s="932" t="s">
        <v>777</v>
      </c>
      <c r="B1010" s="159">
        <v>0</v>
      </c>
      <c r="C1010" s="160">
        <v>68737.69</v>
      </c>
      <c r="D1010" s="161">
        <v>116925.12</v>
      </c>
      <c r="E1010" s="134">
        <f t="shared" si="15"/>
        <v>185662.81</v>
      </c>
      <c r="F1010" s="117" t="s">
        <v>778</v>
      </c>
    </row>
    <row r="1011" spans="1:6" hidden="1" outlineLevel="1">
      <c r="A1011" s="932" t="s">
        <v>779</v>
      </c>
      <c r="B1011" s="159">
        <v>0</v>
      </c>
      <c r="C1011" s="160">
        <v>30258.080000000002</v>
      </c>
      <c r="D1011" s="161">
        <v>216184.08</v>
      </c>
      <c r="E1011" s="134">
        <f t="shared" si="15"/>
        <v>246442.15999999997</v>
      </c>
      <c r="F1011" s="117" t="s">
        <v>780</v>
      </c>
    </row>
    <row r="1012" spans="1:6" hidden="1" outlineLevel="1">
      <c r="A1012" s="932" t="s">
        <v>781</v>
      </c>
      <c r="B1012" s="159">
        <v>0</v>
      </c>
      <c r="C1012" s="160">
        <v>412321.18</v>
      </c>
      <c r="D1012" s="161">
        <v>779400.53</v>
      </c>
      <c r="E1012" s="134">
        <f t="shared" si="15"/>
        <v>1191721.71</v>
      </c>
      <c r="F1012" s="117" t="s">
        <v>782</v>
      </c>
    </row>
    <row r="1013" spans="1:6" hidden="1" outlineLevel="1">
      <c r="A1013" s="932" t="s">
        <v>783</v>
      </c>
      <c r="B1013" s="159">
        <v>0</v>
      </c>
      <c r="C1013" s="160">
        <v>76282.240000000005</v>
      </c>
      <c r="D1013" s="161">
        <v>397630.34</v>
      </c>
      <c r="E1013" s="134">
        <f t="shared" si="15"/>
        <v>473912.58</v>
      </c>
      <c r="F1013" s="117" t="s">
        <v>784</v>
      </c>
    </row>
    <row r="1014" spans="1:6" hidden="1" outlineLevel="1">
      <c r="A1014" s="932" t="s">
        <v>785</v>
      </c>
      <c r="B1014" s="159">
        <v>0</v>
      </c>
      <c r="C1014" s="160">
        <v>0</v>
      </c>
      <c r="D1014" s="161">
        <v>169617.43</v>
      </c>
      <c r="E1014" s="134">
        <f t="shared" si="15"/>
        <v>169617.43</v>
      </c>
      <c r="F1014" s="117" t="s">
        <v>786</v>
      </c>
    </row>
    <row r="1015" spans="1:6" hidden="1" outlineLevel="1">
      <c r="A1015" s="932" t="s">
        <v>787</v>
      </c>
      <c r="B1015" s="159">
        <v>0</v>
      </c>
      <c r="C1015" s="160">
        <v>62176.3</v>
      </c>
      <c r="D1015" s="161">
        <v>4748937.8600000003</v>
      </c>
      <c r="E1015" s="134">
        <f t="shared" si="15"/>
        <v>4811114.16</v>
      </c>
      <c r="F1015" s="117" t="s">
        <v>788</v>
      </c>
    </row>
    <row r="1016" spans="1:6" hidden="1" outlineLevel="1">
      <c r="A1016" s="932" t="s">
        <v>789</v>
      </c>
      <c r="B1016" s="159">
        <v>0</v>
      </c>
      <c r="C1016" s="160">
        <v>205763.41</v>
      </c>
      <c r="D1016" s="161">
        <v>3302830.34</v>
      </c>
      <c r="E1016" s="134">
        <f t="shared" si="15"/>
        <v>3508593.75</v>
      </c>
      <c r="F1016" s="117" t="s">
        <v>790</v>
      </c>
    </row>
    <row r="1017" spans="1:6" hidden="1" outlineLevel="1">
      <c r="A1017" s="932" t="s">
        <v>791</v>
      </c>
      <c r="B1017" s="159">
        <v>0</v>
      </c>
      <c r="C1017" s="160">
        <v>4423.13</v>
      </c>
      <c r="D1017" s="161">
        <v>23242.639999999999</v>
      </c>
      <c r="E1017" s="134">
        <f t="shared" si="15"/>
        <v>27665.77</v>
      </c>
      <c r="F1017" s="117" t="s">
        <v>792</v>
      </c>
    </row>
    <row r="1018" spans="1:6" hidden="1" outlineLevel="1">
      <c r="A1018" s="932" t="s">
        <v>793</v>
      </c>
      <c r="B1018" s="159">
        <v>0</v>
      </c>
      <c r="C1018" s="160">
        <v>3374.27</v>
      </c>
      <c r="D1018" s="161">
        <v>279964.84000000003</v>
      </c>
      <c r="E1018" s="134">
        <f t="shared" si="15"/>
        <v>283339.11000000004</v>
      </c>
      <c r="F1018" s="117" t="s">
        <v>794</v>
      </c>
    </row>
    <row r="1019" spans="1:6" hidden="1" outlineLevel="1">
      <c r="A1019" s="932" t="s">
        <v>795</v>
      </c>
      <c r="B1019" s="159">
        <v>0</v>
      </c>
      <c r="C1019" s="160">
        <v>177340.88</v>
      </c>
      <c r="D1019" s="161">
        <v>298165.36</v>
      </c>
      <c r="E1019" s="134">
        <f t="shared" si="15"/>
        <v>475506.24</v>
      </c>
      <c r="F1019" s="117" t="s">
        <v>796</v>
      </c>
    </row>
    <row r="1020" spans="1:6" hidden="1" outlineLevel="1">
      <c r="A1020" s="932" t="s">
        <v>797</v>
      </c>
      <c r="B1020" s="159">
        <v>0</v>
      </c>
      <c r="C1020" s="160">
        <v>1200.75</v>
      </c>
      <c r="D1020" s="161">
        <v>76190.28</v>
      </c>
      <c r="E1020" s="134">
        <f t="shared" si="15"/>
        <v>77391.03</v>
      </c>
      <c r="F1020" s="117" t="s">
        <v>798</v>
      </c>
    </row>
    <row r="1021" spans="1:6" hidden="1" outlineLevel="1">
      <c r="A1021" s="932" t="s">
        <v>799</v>
      </c>
      <c r="B1021" s="159">
        <v>0</v>
      </c>
      <c r="C1021" s="160">
        <v>0</v>
      </c>
      <c r="D1021" s="161">
        <v>48191.69</v>
      </c>
      <c r="E1021" s="134">
        <f t="shared" si="15"/>
        <v>48191.69</v>
      </c>
      <c r="F1021" s="117" t="s">
        <v>800</v>
      </c>
    </row>
    <row r="1022" spans="1:6" hidden="1" outlineLevel="1">
      <c r="A1022" s="932" t="s">
        <v>801</v>
      </c>
      <c r="B1022" s="159">
        <v>0</v>
      </c>
      <c r="C1022" s="160">
        <v>86.24</v>
      </c>
      <c r="D1022" s="161">
        <v>1498.08</v>
      </c>
      <c r="E1022" s="134">
        <f t="shared" si="15"/>
        <v>1584.32</v>
      </c>
      <c r="F1022" s="117" t="s">
        <v>802</v>
      </c>
    </row>
    <row r="1023" spans="1:6" hidden="1" outlineLevel="1">
      <c r="A1023" s="932" t="s">
        <v>803</v>
      </c>
      <c r="B1023" s="159">
        <v>0</v>
      </c>
      <c r="C1023" s="160">
        <v>6124.11</v>
      </c>
      <c r="D1023" s="161">
        <v>899207.24</v>
      </c>
      <c r="E1023" s="134">
        <f t="shared" si="15"/>
        <v>905331.35</v>
      </c>
      <c r="F1023" s="117" t="s">
        <v>804</v>
      </c>
    </row>
    <row r="1024" spans="1:6" hidden="1" outlineLevel="1">
      <c r="A1024" s="932" t="s">
        <v>805</v>
      </c>
      <c r="B1024" s="159">
        <v>0</v>
      </c>
      <c r="C1024" s="160">
        <v>1316.41</v>
      </c>
      <c r="D1024" s="161">
        <v>126541.84</v>
      </c>
      <c r="E1024" s="134">
        <f t="shared" si="15"/>
        <v>127858.25</v>
      </c>
      <c r="F1024" s="117" t="s">
        <v>806</v>
      </c>
    </row>
    <row r="1025" spans="1:6" hidden="1" outlineLevel="1">
      <c r="A1025" s="932" t="s">
        <v>807</v>
      </c>
      <c r="B1025" s="159">
        <v>0</v>
      </c>
      <c r="C1025" s="160">
        <v>17888.23</v>
      </c>
      <c r="D1025" s="161">
        <v>155117.79999999999</v>
      </c>
      <c r="E1025" s="134">
        <f t="shared" si="15"/>
        <v>173006.03</v>
      </c>
      <c r="F1025" s="117" t="s">
        <v>808</v>
      </c>
    </row>
    <row r="1026" spans="1:6" hidden="1" outlineLevel="1">
      <c r="A1026" s="932" t="s">
        <v>809</v>
      </c>
      <c r="B1026" s="159">
        <v>0</v>
      </c>
      <c r="C1026" s="160">
        <v>0</v>
      </c>
      <c r="D1026" s="161">
        <v>0</v>
      </c>
      <c r="E1026" s="134">
        <f t="shared" si="15"/>
        <v>0</v>
      </c>
      <c r="F1026" s="117" t="s">
        <v>810</v>
      </c>
    </row>
    <row r="1027" spans="1:6" hidden="1" outlineLevel="1">
      <c r="A1027" s="932" t="s">
        <v>811</v>
      </c>
      <c r="B1027" s="159">
        <v>3376.26</v>
      </c>
      <c r="C1027" s="160">
        <v>94127.99</v>
      </c>
      <c r="D1027" s="161">
        <v>4874302.43</v>
      </c>
      <c r="E1027" s="134">
        <f t="shared" si="15"/>
        <v>4971806.68</v>
      </c>
      <c r="F1027" s="117" t="s">
        <v>812</v>
      </c>
    </row>
    <row r="1028" spans="1:6" hidden="1" outlineLevel="1">
      <c r="A1028" s="932" t="s">
        <v>813</v>
      </c>
      <c r="B1028" s="159">
        <v>0</v>
      </c>
      <c r="C1028" s="160">
        <v>2062.4</v>
      </c>
      <c r="D1028" s="161">
        <v>2833</v>
      </c>
      <c r="E1028" s="134">
        <f t="shared" si="15"/>
        <v>4895.3999999999996</v>
      </c>
      <c r="F1028" s="117" t="s">
        <v>814</v>
      </c>
    </row>
    <row r="1029" spans="1:6" hidden="1" outlineLevel="1">
      <c r="A1029" s="932" t="s">
        <v>815</v>
      </c>
      <c r="B1029" s="159">
        <v>0</v>
      </c>
      <c r="C1029" s="160">
        <v>18302.79</v>
      </c>
      <c r="D1029" s="161">
        <v>39538.32</v>
      </c>
      <c r="E1029" s="134">
        <f t="shared" si="15"/>
        <v>57841.11</v>
      </c>
      <c r="F1029" s="117" t="s">
        <v>816</v>
      </c>
    </row>
    <row r="1030" spans="1:6" hidden="1" outlineLevel="1">
      <c r="A1030" s="932" t="s">
        <v>817</v>
      </c>
      <c r="B1030" s="159">
        <v>0</v>
      </c>
      <c r="C1030" s="160">
        <v>0</v>
      </c>
      <c r="D1030" s="161">
        <v>39695.839999999997</v>
      </c>
      <c r="E1030" s="134">
        <f t="shared" si="15"/>
        <v>39695.839999999997</v>
      </c>
      <c r="F1030" s="117" t="s">
        <v>818</v>
      </c>
    </row>
    <row r="1031" spans="1:6" hidden="1" outlineLevel="1">
      <c r="A1031" s="932" t="s">
        <v>819</v>
      </c>
      <c r="B1031" s="159">
        <v>0</v>
      </c>
      <c r="C1031" s="160">
        <v>257855.97</v>
      </c>
      <c r="D1031" s="161">
        <v>32434129.800000001</v>
      </c>
      <c r="E1031" s="134">
        <f t="shared" si="15"/>
        <v>32691985.77</v>
      </c>
      <c r="F1031" s="117" t="s">
        <v>820</v>
      </c>
    </row>
    <row r="1032" spans="1:6" hidden="1" outlineLevel="1">
      <c r="A1032" s="932" t="s">
        <v>821</v>
      </c>
      <c r="B1032" s="159">
        <v>0</v>
      </c>
      <c r="C1032" s="160">
        <v>1040.07</v>
      </c>
      <c r="D1032" s="161">
        <v>71080.800000000003</v>
      </c>
      <c r="E1032" s="134">
        <f t="shared" si="15"/>
        <v>72120.87000000001</v>
      </c>
      <c r="F1032" s="117" t="s">
        <v>822</v>
      </c>
    </row>
    <row r="1033" spans="1:6" hidden="1" outlineLevel="1">
      <c r="A1033" s="932" t="s">
        <v>823</v>
      </c>
      <c r="B1033" s="159">
        <v>0</v>
      </c>
      <c r="C1033" s="160">
        <v>40949.839999999997</v>
      </c>
      <c r="D1033" s="161">
        <v>133894.78</v>
      </c>
      <c r="E1033" s="134">
        <f t="shared" si="15"/>
        <v>174844.62</v>
      </c>
      <c r="F1033" s="117" t="s">
        <v>824</v>
      </c>
    </row>
    <row r="1034" spans="1:6" hidden="1" outlineLevel="1">
      <c r="A1034" s="932" t="s">
        <v>825</v>
      </c>
      <c r="B1034" s="159">
        <v>0</v>
      </c>
      <c r="C1034" s="160">
        <v>0</v>
      </c>
      <c r="D1034" s="161">
        <v>164921.81</v>
      </c>
      <c r="E1034" s="134">
        <f t="shared" si="15"/>
        <v>164921.81</v>
      </c>
      <c r="F1034" s="117" t="s">
        <v>826</v>
      </c>
    </row>
    <row r="1035" spans="1:6" hidden="1" outlineLevel="1">
      <c r="A1035" s="932" t="s">
        <v>827</v>
      </c>
      <c r="B1035" s="159">
        <v>0</v>
      </c>
      <c r="C1035" s="160">
        <v>0</v>
      </c>
      <c r="D1035" s="161">
        <v>0</v>
      </c>
      <c r="E1035" s="134">
        <f t="shared" si="15"/>
        <v>0</v>
      </c>
      <c r="F1035" s="117" t="s">
        <v>828</v>
      </c>
    </row>
    <row r="1036" spans="1:6" hidden="1" outlineLevel="1">
      <c r="A1036" s="932" t="s">
        <v>829</v>
      </c>
      <c r="B1036" s="159">
        <v>0</v>
      </c>
      <c r="C1036" s="160">
        <v>0</v>
      </c>
      <c r="D1036" s="161">
        <v>113023.4</v>
      </c>
      <c r="E1036" s="134">
        <f t="shared" si="15"/>
        <v>113023.4</v>
      </c>
      <c r="F1036" s="117" t="s">
        <v>830</v>
      </c>
    </row>
    <row r="1037" spans="1:6" hidden="1" outlineLevel="1">
      <c r="A1037" s="932" t="s">
        <v>831</v>
      </c>
      <c r="B1037" s="159">
        <v>0</v>
      </c>
      <c r="C1037" s="160">
        <v>19887.27</v>
      </c>
      <c r="D1037" s="161">
        <v>10791.6</v>
      </c>
      <c r="E1037" s="134">
        <f t="shared" si="15"/>
        <v>30678.870000000003</v>
      </c>
      <c r="F1037" s="117" t="s">
        <v>832</v>
      </c>
    </row>
    <row r="1038" spans="1:6" hidden="1" outlineLevel="1">
      <c r="A1038" s="932" t="s">
        <v>833</v>
      </c>
      <c r="B1038" s="159">
        <v>0</v>
      </c>
      <c r="C1038" s="160">
        <v>20198.03</v>
      </c>
      <c r="D1038" s="161">
        <v>361310.45</v>
      </c>
      <c r="E1038" s="134">
        <f t="shared" si="15"/>
        <v>381508.48</v>
      </c>
      <c r="F1038" s="117" t="s">
        <v>834</v>
      </c>
    </row>
    <row r="1039" spans="1:6" hidden="1" outlineLevel="1">
      <c r="A1039" s="932" t="s">
        <v>835</v>
      </c>
      <c r="B1039" s="159">
        <v>0</v>
      </c>
      <c r="C1039" s="160">
        <v>0</v>
      </c>
      <c r="D1039" s="161">
        <v>30.08</v>
      </c>
      <c r="E1039" s="134">
        <f t="shared" si="15"/>
        <v>30.08</v>
      </c>
      <c r="F1039" s="117" t="s">
        <v>836</v>
      </c>
    </row>
    <row r="1040" spans="1:6" hidden="1" outlineLevel="1">
      <c r="A1040" s="932" t="s">
        <v>837</v>
      </c>
      <c r="B1040" s="159">
        <v>0</v>
      </c>
      <c r="C1040" s="160">
        <v>11854.86</v>
      </c>
      <c r="D1040" s="161">
        <v>15953.28</v>
      </c>
      <c r="E1040" s="134">
        <f t="shared" si="15"/>
        <v>27808.14</v>
      </c>
      <c r="F1040" s="117" t="s">
        <v>838</v>
      </c>
    </row>
    <row r="1041" spans="1:6" hidden="1" outlineLevel="1">
      <c r="A1041" s="932" t="s">
        <v>839</v>
      </c>
      <c r="B1041" s="159">
        <v>31618.98</v>
      </c>
      <c r="C1041" s="160">
        <v>1063097.76</v>
      </c>
      <c r="D1041" s="161">
        <v>10335251.779999999</v>
      </c>
      <c r="E1041" s="134">
        <f t="shared" si="15"/>
        <v>11429968.52</v>
      </c>
      <c r="F1041" s="117" t="s">
        <v>840</v>
      </c>
    </row>
    <row r="1042" spans="1:6" hidden="1" outlineLevel="1">
      <c r="A1042" s="932" t="s">
        <v>841</v>
      </c>
      <c r="B1042" s="159">
        <v>0</v>
      </c>
      <c r="C1042" s="160">
        <v>0</v>
      </c>
      <c r="D1042" s="161">
        <v>235536.04</v>
      </c>
      <c r="E1042" s="134">
        <f t="shared" si="15"/>
        <v>235536.04</v>
      </c>
      <c r="F1042" s="117" t="s">
        <v>842</v>
      </c>
    </row>
    <row r="1043" spans="1:6" hidden="1" outlineLevel="1">
      <c r="A1043" s="932" t="s">
        <v>843</v>
      </c>
      <c r="B1043" s="159">
        <v>0</v>
      </c>
      <c r="C1043" s="160">
        <v>0</v>
      </c>
      <c r="D1043" s="161">
        <v>94756.44</v>
      </c>
      <c r="E1043" s="134">
        <f t="shared" si="15"/>
        <v>94756.44</v>
      </c>
      <c r="F1043" s="117" t="s">
        <v>844</v>
      </c>
    </row>
    <row r="1044" spans="1:6" hidden="1" outlineLevel="1">
      <c r="A1044" s="932" t="s">
        <v>845</v>
      </c>
      <c r="B1044" s="159">
        <v>0</v>
      </c>
      <c r="C1044" s="160">
        <v>3874.26</v>
      </c>
      <c r="D1044" s="161">
        <v>4346</v>
      </c>
      <c r="E1044" s="134">
        <f t="shared" si="15"/>
        <v>8220.26</v>
      </c>
      <c r="F1044" s="117" t="s">
        <v>846</v>
      </c>
    </row>
    <row r="1045" spans="1:6" hidden="1" outlineLevel="1">
      <c r="A1045" s="932" t="s">
        <v>847</v>
      </c>
      <c r="B1045" s="159">
        <v>0</v>
      </c>
      <c r="C1045" s="160">
        <v>2606005.02</v>
      </c>
      <c r="D1045" s="161">
        <v>2523714.5600000001</v>
      </c>
      <c r="E1045" s="134">
        <f t="shared" si="15"/>
        <v>5129719.58</v>
      </c>
      <c r="F1045" s="117" t="s">
        <v>848</v>
      </c>
    </row>
    <row r="1046" spans="1:6" hidden="1" outlineLevel="1">
      <c r="A1046" s="932" t="s">
        <v>849</v>
      </c>
      <c r="B1046" s="159">
        <v>0</v>
      </c>
      <c r="C1046" s="160">
        <v>2586.25</v>
      </c>
      <c r="D1046" s="161">
        <v>53257.440000000002</v>
      </c>
      <c r="E1046" s="134">
        <f t="shared" si="15"/>
        <v>55843.69</v>
      </c>
      <c r="F1046" s="117" t="s">
        <v>850</v>
      </c>
    </row>
    <row r="1047" spans="1:6" hidden="1" outlineLevel="1">
      <c r="A1047" s="932" t="s">
        <v>851</v>
      </c>
      <c r="B1047" s="159">
        <v>0</v>
      </c>
      <c r="C1047" s="160">
        <v>24660.46</v>
      </c>
      <c r="D1047" s="161">
        <v>311337.52</v>
      </c>
      <c r="E1047" s="134">
        <f t="shared" si="15"/>
        <v>335997.98000000004</v>
      </c>
      <c r="F1047" s="117" t="s">
        <v>852</v>
      </c>
    </row>
    <row r="1048" spans="1:6" hidden="1" outlineLevel="1">
      <c r="A1048" s="932" t="s">
        <v>853</v>
      </c>
      <c r="B1048" s="159">
        <v>0</v>
      </c>
      <c r="C1048" s="160">
        <v>162848.37</v>
      </c>
      <c r="D1048" s="161">
        <v>37205251.590000004</v>
      </c>
      <c r="E1048" s="134">
        <f t="shared" si="15"/>
        <v>37368099.960000001</v>
      </c>
      <c r="F1048" s="117" t="s">
        <v>854</v>
      </c>
    </row>
    <row r="1049" spans="1:6" hidden="1" outlineLevel="1">
      <c r="A1049" s="932" t="s">
        <v>855</v>
      </c>
      <c r="B1049" s="159">
        <v>0</v>
      </c>
      <c r="C1049" s="160">
        <v>22761.3</v>
      </c>
      <c r="D1049" s="161">
        <v>101801.48</v>
      </c>
      <c r="E1049" s="134">
        <f t="shared" si="15"/>
        <v>124562.78</v>
      </c>
      <c r="F1049" s="117" t="s">
        <v>856</v>
      </c>
    </row>
    <row r="1050" spans="1:6" hidden="1" outlineLevel="1">
      <c r="A1050" s="932" t="s">
        <v>857</v>
      </c>
      <c r="B1050" s="159">
        <v>0</v>
      </c>
      <c r="C1050" s="160">
        <v>0</v>
      </c>
      <c r="D1050" s="161">
        <v>20299.84</v>
      </c>
      <c r="E1050" s="134">
        <f t="shared" si="15"/>
        <v>20299.84</v>
      </c>
      <c r="F1050" s="117" t="s">
        <v>858</v>
      </c>
    </row>
    <row r="1051" spans="1:6" hidden="1" outlineLevel="1">
      <c r="A1051" s="932" t="s">
        <v>859</v>
      </c>
      <c r="B1051" s="159">
        <v>0</v>
      </c>
      <c r="C1051" s="160">
        <v>145544.39000000001</v>
      </c>
      <c r="D1051" s="161">
        <v>179756.64</v>
      </c>
      <c r="E1051" s="134">
        <f t="shared" si="15"/>
        <v>325301.03000000003</v>
      </c>
      <c r="F1051" s="117" t="s">
        <v>860</v>
      </c>
    </row>
    <row r="1052" spans="1:6" hidden="1" outlineLevel="1">
      <c r="A1052" s="932" t="s">
        <v>861</v>
      </c>
      <c r="B1052" s="159">
        <v>0</v>
      </c>
      <c r="C1052" s="160">
        <v>1440.14</v>
      </c>
      <c r="D1052" s="161">
        <v>53892.72</v>
      </c>
      <c r="E1052" s="134">
        <f t="shared" si="15"/>
        <v>55332.86</v>
      </c>
      <c r="F1052" s="117" t="s">
        <v>862</v>
      </c>
    </row>
    <row r="1053" spans="1:6" hidden="1" outlineLevel="1">
      <c r="A1053" s="932" t="s">
        <v>863</v>
      </c>
      <c r="B1053" s="159">
        <v>0</v>
      </c>
      <c r="C1053" s="160">
        <v>1033.42</v>
      </c>
      <c r="D1053" s="161">
        <v>459538.19</v>
      </c>
      <c r="E1053" s="134">
        <f t="shared" si="15"/>
        <v>460571.61</v>
      </c>
      <c r="F1053" s="117" t="s">
        <v>864</v>
      </c>
    </row>
    <row r="1054" spans="1:6" hidden="1" outlineLevel="1">
      <c r="A1054" s="932" t="s">
        <v>865</v>
      </c>
      <c r="B1054" s="159">
        <v>0</v>
      </c>
      <c r="C1054" s="160">
        <v>87118.37</v>
      </c>
      <c r="D1054" s="161">
        <v>282241.55</v>
      </c>
      <c r="E1054" s="134">
        <f t="shared" si="15"/>
        <v>369359.92</v>
      </c>
      <c r="F1054" s="117" t="s">
        <v>866</v>
      </c>
    </row>
    <row r="1055" spans="1:6" hidden="1" outlineLevel="1">
      <c r="A1055" s="932" t="s">
        <v>867</v>
      </c>
      <c r="B1055" s="159">
        <v>0</v>
      </c>
      <c r="C1055" s="160">
        <v>15619.8</v>
      </c>
      <c r="D1055" s="161">
        <v>4937.5200000000004</v>
      </c>
      <c r="E1055" s="134">
        <f t="shared" si="15"/>
        <v>20557.32</v>
      </c>
      <c r="F1055" s="117" t="s">
        <v>868</v>
      </c>
    </row>
    <row r="1056" spans="1:6" hidden="1" outlineLevel="1">
      <c r="A1056" s="932" t="s">
        <v>869</v>
      </c>
      <c r="B1056" s="159">
        <v>0</v>
      </c>
      <c r="C1056" s="160">
        <v>0</v>
      </c>
      <c r="D1056" s="161">
        <v>0</v>
      </c>
      <c r="E1056" s="134">
        <f t="shared" si="15"/>
        <v>0</v>
      </c>
      <c r="F1056" s="117" t="s">
        <v>870</v>
      </c>
    </row>
    <row r="1057" spans="1:6" hidden="1" outlineLevel="1">
      <c r="A1057" s="932" t="s">
        <v>871</v>
      </c>
      <c r="B1057" s="159">
        <v>0</v>
      </c>
      <c r="C1057" s="160">
        <v>2776.74</v>
      </c>
      <c r="D1057" s="161">
        <v>91387.64</v>
      </c>
      <c r="E1057" s="134">
        <f t="shared" si="15"/>
        <v>94164.38</v>
      </c>
      <c r="F1057" s="117" t="s">
        <v>872</v>
      </c>
    </row>
    <row r="1058" spans="1:6" hidden="1" outlineLevel="1">
      <c r="A1058" s="932" t="s">
        <v>873</v>
      </c>
      <c r="B1058" s="159">
        <v>0</v>
      </c>
      <c r="C1058" s="160">
        <v>16378.49</v>
      </c>
      <c r="D1058" s="161">
        <v>197691.51999999999</v>
      </c>
      <c r="E1058" s="134">
        <f t="shared" si="15"/>
        <v>214070.00999999998</v>
      </c>
      <c r="F1058" s="117" t="s">
        <v>874</v>
      </c>
    </row>
    <row r="1059" spans="1:6" hidden="1" outlineLevel="1">
      <c r="A1059" s="932" t="s">
        <v>875</v>
      </c>
      <c r="B1059" s="159">
        <v>0</v>
      </c>
      <c r="C1059" s="160">
        <v>2137.2199999999998</v>
      </c>
      <c r="D1059" s="161">
        <v>123906.07</v>
      </c>
      <c r="E1059" s="134">
        <f t="shared" si="15"/>
        <v>126043.29000000001</v>
      </c>
      <c r="F1059" s="117" t="s">
        <v>876</v>
      </c>
    </row>
    <row r="1060" spans="1:6" hidden="1" outlineLevel="1">
      <c r="A1060" s="932" t="s">
        <v>877</v>
      </c>
      <c r="B1060" s="159">
        <v>0</v>
      </c>
      <c r="C1060" s="160">
        <v>6573.03</v>
      </c>
      <c r="D1060" s="161">
        <v>61862.79</v>
      </c>
      <c r="E1060" s="134">
        <f t="shared" si="15"/>
        <v>68435.820000000007</v>
      </c>
      <c r="F1060" s="117" t="s">
        <v>878</v>
      </c>
    </row>
    <row r="1061" spans="1:6" hidden="1" outlineLevel="1">
      <c r="A1061" s="932" t="s">
        <v>879</v>
      </c>
      <c r="B1061" s="159">
        <v>0</v>
      </c>
      <c r="C1061" s="160">
        <v>12564.73</v>
      </c>
      <c r="D1061" s="161">
        <v>1433.12</v>
      </c>
      <c r="E1061" s="134">
        <f t="shared" si="15"/>
        <v>13997.849999999999</v>
      </c>
      <c r="F1061" s="117" t="s">
        <v>880</v>
      </c>
    </row>
    <row r="1062" spans="1:6" hidden="1" outlineLevel="1">
      <c r="A1062" s="932" t="s">
        <v>881</v>
      </c>
      <c r="B1062" s="159">
        <v>0</v>
      </c>
      <c r="C1062" s="160">
        <v>0</v>
      </c>
      <c r="D1062" s="161">
        <v>0</v>
      </c>
      <c r="E1062" s="134">
        <f t="shared" si="15"/>
        <v>0</v>
      </c>
      <c r="F1062" s="117" t="s">
        <v>882</v>
      </c>
    </row>
    <row r="1063" spans="1:6" hidden="1" outlineLevel="1">
      <c r="A1063" s="932" t="s">
        <v>542</v>
      </c>
      <c r="B1063" s="159">
        <v>0</v>
      </c>
      <c r="C1063" s="160">
        <v>0</v>
      </c>
      <c r="D1063" s="161">
        <v>0</v>
      </c>
      <c r="E1063" s="134">
        <f t="shared" si="15"/>
        <v>0</v>
      </c>
      <c r="F1063" s="117" t="s">
        <v>543</v>
      </c>
    </row>
    <row r="1064" spans="1:6" hidden="1" outlineLevel="1">
      <c r="A1064" s="932" t="s">
        <v>883</v>
      </c>
      <c r="B1064" s="159">
        <v>0</v>
      </c>
      <c r="C1064" s="160">
        <v>22411.25</v>
      </c>
      <c r="D1064" s="161">
        <v>81156.92</v>
      </c>
      <c r="E1064" s="134">
        <f t="shared" si="15"/>
        <v>103568.17</v>
      </c>
      <c r="F1064" s="117" t="s">
        <v>884</v>
      </c>
    </row>
    <row r="1065" spans="1:6" hidden="1" outlineLevel="1">
      <c r="A1065" s="932" t="s">
        <v>885</v>
      </c>
      <c r="B1065" s="159">
        <v>0</v>
      </c>
      <c r="C1065" s="160">
        <v>0</v>
      </c>
      <c r="D1065" s="161">
        <v>2271.1999999999998</v>
      </c>
      <c r="E1065" s="134">
        <f t="shared" si="15"/>
        <v>2271.1999999999998</v>
      </c>
      <c r="F1065" s="117" t="s">
        <v>886</v>
      </c>
    </row>
    <row r="1066" spans="1:6" hidden="1" outlineLevel="1">
      <c r="A1066" s="932" t="s">
        <v>887</v>
      </c>
      <c r="B1066" s="159">
        <v>0</v>
      </c>
      <c r="C1066" s="160">
        <v>6524.08</v>
      </c>
      <c r="D1066" s="161">
        <v>30677.52</v>
      </c>
      <c r="E1066" s="134">
        <f t="shared" si="15"/>
        <v>37201.599999999999</v>
      </c>
      <c r="F1066" s="117" t="s">
        <v>888</v>
      </c>
    </row>
    <row r="1067" spans="1:6" hidden="1" outlineLevel="1">
      <c r="A1067" s="932" t="s">
        <v>889</v>
      </c>
      <c r="B1067" s="159">
        <v>0</v>
      </c>
      <c r="C1067" s="160">
        <v>2275.39</v>
      </c>
      <c r="D1067" s="161">
        <v>36439.4</v>
      </c>
      <c r="E1067" s="134">
        <f t="shared" si="15"/>
        <v>38714.79</v>
      </c>
      <c r="F1067" s="117" t="s">
        <v>890</v>
      </c>
    </row>
    <row r="1068" spans="1:6" hidden="1" outlineLevel="1">
      <c r="A1068" s="932" t="s">
        <v>891</v>
      </c>
      <c r="B1068" s="159">
        <v>0</v>
      </c>
      <c r="C1068" s="160">
        <v>6691.2</v>
      </c>
      <c r="D1068" s="161">
        <v>80071.520000000004</v>
      </c>
      <c r="E1068" s="134">
        <f t="shared" si="15"/>
        <v>86762.72</v>
      </c>
      <c r="F1068" s="117" t="s">
        <v>892</v>
      </c>
    </row>
    <row r="1069" spans="1:6" hidden="1" outlineLevel="1">
      <c r="A1069" s="932" t="s">
        <v>893</v>
      </c>
      <c r="B1069" s="159">
        <v>0</v>
      </c>
      <c r="C1069" s="160">
        <v>0</v>
      </c>
      <c r="D1069" s="161">
        <v>0</v>
      </c>
      <c r="E1069" s="134">
        <f t="shared" si="15"/>
        <v>0</v>
      </c>
      <c r="F1069" s="117" t="s">
        <v>894</v>
      </c>
    </row>
    <row r="1070" spans="1:6" hidden="1" outlineLevel="1">
      <c r="A1070" s="932" t="s">
        <v>895</v>
      </c>
      <c r="B1070" s="159">
        <v>0</v>
      </c>
      <c r="C1070" s="160">
        <v>2040.87</v>
      </c>
      <c r="D1070" s="161">
        <v>106754.16</v>
      </c>
      <c r="E1070" s="134">
        <f t="shared" si="15"/>
        <v>108795.03</v>
      </c>
      <c r="F1070" s="117" t="s">
        <v>896</v>
      </c>
    </row>
    <row r="1071" spans="1:6" hidden="1" outlineLevel="1">
      <c r="A1071" s="932" t="s">
        <v>897</v>
      </c>
      <c r="B1071" s="159">
        <v>0</v>
      </c>
      <c r="C1071" s="160">
        <v>0</v>
      </c>
      <c r="D1071" s="161">
        <v>0</v>
      </c>
      <c r="E1071" s="134">
        <f t="shared" si="15"/>
        <v>0</v>
      </c>
      <c r="F1071" s="117" t="s">
        <v>898</v>
      </c>
    </row>
    <row r="1072" spans="1:6" hidden="1" outlineLevel="1">
      <c r="A1072" s="932" t="s">
        <v>899</v>
      </c>
      <c r="B1072" s="159">
        <v>0</v>
      </c>
      <c r="C1072" s="160">
        <v>12016.26</v>
      </c>
      <c r="D1072" s="161">
        <v>103557.24</v>
      </c>
      <c r="E1072" s="134">
        <f t="shared" ref="E1072:E1135" si="16">SUM(B1072:D1072)</f>
        <v>115573.5</v>
      </c>
      <c r="F1072" s="117" t="s">
        <v>900</v>
      </c>
    </row>
    <row r="1073" spans="1:6" hidden="1" outlineLevel="1">
      <c r="A1073" s="932" t="s">
        <v>901</v>
      </c>
      <c r="B1073" s="159">
        <v>0</v>
      </c>
      <c r="C1073" s="160">
        <v>0</v>
      </c>
      <c r="D1073" s="161">
        <v>254558.97</v>
      </c>
      <c r="E1073" s="134">
        <f t="shared" si="16"/>
        <v>254558.97</v>
      </c>
      <c r="F1073" s="117" t="s">
        <v>902</v>
      </c>
    </row>
    <row r="1074" spans="1:6" hidden="1" outlineLevel="1">
      <c r="A1074" s="932" t="s">
        <v>903</v>
      </c>
      <c r="B1074" s="159">
        <v>0</v>
      </c>
      <c r="C1074" s="160">
        <v>568.70000000000005</v>
      </c>
      <c r="D1074" s="161">
        <v>82334.19</v>
      </c>
      <c r="E1074" s="134">
        <f t="shared" si="16"/>
        <v>82902.89</v>
      </c>
      <c r="F1074" s="117" t="s">
        <v>904</v>
      </c>
    </row>
    <row r="1075" spans="1:6" hidden="1" outlineLevel="1">
      <c r="A1075" s="932" t="s">
        <v>905</v>
      </c>
      <c r="B1075" s="159">
        <v>0</v>
      </c>
      <c r="C1075" s="160">
        <v>0</v>
      </c>
      <c r="D1075" s="161">
        <v>0</v>
      </c>
      <c r="E1075" s="134">
        <f t="shared" si="16"/>
        <v>0</v>
      </c>
      <c r="F1075" s="117" t="s">
        <v>906</v>
      </c>
    </row>
    <row r="1076" spans="1:6" hidden="1" outlineLevel="1">
      <c r="A1076" s="932" t="s">
        <v>907</v>
      </c>
      <c r="B1076" s="159">
        <v>0</v>
      </c>
      <c r="C1076" s="160">
        <v>8146</v>
      </c>
      <c r="D1076" s="161">
        <v>133585.1</v>
      </c>
      <c r="E1076" s="134">
        <f t="shared" si="16"/>
        <v>141731.1</v>
      </c>
      <c r="F1076" s="117" t="s">
        <v>908</v>
      </c>
    </row>
    <row r="1077" spans="1:6" hidden="1" outlineLevel="1">
      <c r="A1077" s="932" t="s">
        <v>909</v>
      </c>
      <c r="B1077" s="159">
        <v>0</v>
      </c>
      <c r="C1077" s="160">
        <v>111025.03</v>
      </c>
      <c r="D1077" s="161">
        <v>33868072.840000004</v>
      </c>
      <c r="E1077" s="134">
        <f t="shared" si="16"/>
        <v>33979097.870000005</v>
      </c>
      <c r="F1077" s="117" t="s">
        <v>910</v>
      </c>
    </row>
    <row r="1078" spans="1:6" hidden="1" outlineLevel="1">
      <c r="A1078" s="932" t="s">
        <v>911</v>
      </c>
      <c r="B1078" s="159">
        <v>0</v>
      </c>
      <c r="C1078" s="160">
        <v>3562.11</v>
      </c>
      <c r="D1078" s="161">
        <v>1893912.17</v>
      </c>
      <c r="E1078" s="134">
        <f t="shared" si="16"/>
        <v>1897474.28</v>
      </c>
      <c r="F1078" s="117" t="s">
        <v>912</v>
      </c>
    </row>
    <row r="1079" spans="1:6" hidden="1" outlineLevel="1">
      <c r="A1079" s="932" t="s">
        <v>913</v>
      </c>
      <c r="B1079" s="159">
        <v>0</v>
      </c>
      <c r="C1079" s="160">
        <v>1712.37</v>
      </c>
      <c r="D1079" s="161">
        <v>5054.3999999999996</v>
      </c>
      <c r="E1079" s="134">
        <f t="shared" si="16"/>
        <v>6766.7699999999995</v>
      </c>
      <c r="F1079" s="117" t="s">
        <v>914</v>
      </c>
    </row>
    <row r="1080" spans="1:6" hidden="1" outlineLevel="1">
      <c r="A1080" s="932" t="s">
        <v>915</v>
      </c>
      <c r="B1080" s="159">
        <v>0</v>
      </c>
      <c r="C1080" s="160">
        <v>2804.49</v>
      </c>
      <c r="D1080" s="161">
        <v>280192.40000000002</v>
      </c>
      <c r="E1080" s="134">
        <f t="shared" si="16"/>
        <v>282996.89</v>
      </c>
      <c r="F1080" s="117" t="s">
        <v>916</v>
      </c>
    </row>
    <row r="1081" spans="1:6" hidden="1" outlineLevel="1">
      <c r="A1081" s="932" t="s">
        <v>917</v>
      </c>
      <c r="B1081" s="159">
        <v>0</v>
      </c>
      <c r="C1081" s="160">
        <v>15884.19</v>
      </c>
      <c r="D1081" s="161">
        <v>111446.24</v>
      </c>
      <c r="E1081" s="134">
        <f t="shared" si="16"/>
        <v>127330.43000000001</v>
      </c>
      <c r="F1081" s="117" t="s">
        <v>918</v>
      </c>
    </row>
    <row r="1082" spans="1:6" hidden="1" outlineLevel="1">
      <c r="A1082" s="932" t="s">
        <v>919</v>
      </c>
      <c r="B1082" s="159">
        <v>0</v>
      </c>
      <c r="C1082" s="160">
        <v>42484.46</v>
      </c>
      <c r="D1082" s="161">
        <v>155138.32</v>
      </c>
      <c r="E1082" s="134">
        <f t="shared" si="16"/>
        <v>197622.78</v>
      </c>
      <c r="F1082" s="117" t="s">
        <v>920</v>
      </c>
    </row>
    <row r="1083" spans="1:6" hidden="1" outlineLevel="1">
      <c r="A1083" s="932" t="s">
        <v>921</v>
      </c>
      <c r="B1083" s="159">
        <v>0</v>
      </c>
      <c r="C1083" s="160">
        <v>21908.82</v>
      </c>
      <c r="D1083" s="161">
        <v>46727.14</v>
      </c>
      <c r="E1083" s="134">
        <f t="shared" si="16"/>
        <v>68635.959999999992</v>
      </c>
      <c r="F1083" s="117" t="s">
        <v>922</v>
      </c>
    </row>
    <row r="1084" spans="1:6" hidden="1" outlineLevel="1">
      <c r="A1084" s="932" t="s">
        <v>923</v>
      </c>
      <c r="B1084" s="159">
        <v>0</v>
      </c>
      <c r="C1084" s="160">
        <v>10707.85</v>
      </c>
      <c r="D1084" s="161">
        <v>13405.11</v>
      </c>
      <c r="E1084" s="134">
        <f t="shared" si="16"/>
        <v>24112.959999999999</v>
      </c>
      <c r="F1084" s="117" t="s">
        <v>924</v>
      </c>
    </row>
    <row r="1085" spans="1:6" hidden="1" outlineLevel="1">
      <c r="A1085" s="932" t="s">
        <v>925</v>
      </c>
      <c r="B1085" s="159">
        <v>0</v>
      </c>
      <c r="C1085" s="160">
        <v>0</v>
      </c>
      <c r="D1085" s="161">
        <v>0</v>
      </c>
      <c r="E1085" s="134">
        <f t="shared" si="16"/>
        <v>0</v>
      </c>
      <c r="F1085" s="117" t="s">
        <v>926</v>
      </c>
    </row>
    <row r="1086" spans="1:6" hidden="1" outlineLevel="1">
      <c r="A1086" s="932" t="s">
        <v>927</v>
      </c>
      <c r="B1086" s="159">
        <v>0</v>
      </c>
      <c r="C1086" s="160">
        <v>0</v>
      </c>
      <c r="D1086" s="161">
        <v>0</v>
      </c>
      <c r="E1086" s="134">
        <f t="shared" si="16"/>
        <v>0</v>
      </c>
      <c r="F1086" s="117" t="s">
        <v>928</v>
      </c>
    </row>
    <row r="1087" spans="1:6" hidden="1" outlineLevel="1">
      <c r="A1087" s="932" t="s">
        <v>929</v>
      </c>
      <c r="B1087" s="159">
        <v>0</v>
      </c>
      <c r="C1087" s="160">
        <v>133.13999999999999</v>
      </c>
      <c r="D1087" s="161">
        <v>20982.9</v>
      </c>
      <c r="E1087" s="134">
        <f t="shared" si="16"/>
        <v>21116.04</v>
      </c>
      <c r="F1087" s="117" t="s">
        <v>930</v>
      </c>
    </row>
    <row r="1088" spans="1:6" hidden="1" outlineLevel="1">
      <c r="A1088" s="932" t="s">
        <v>931</v>
      </c>
      <c r="B1088" s="159">
        <v>0</v>
      </c>
      <c r="C1088" s="160">
        <v>0</v>
      </c>
      <c r="D1088" s="161">
        <v>5337010.58</v>
      </c>
      <c r="E1088" s="134">
        <f t="shared" si="16"/>
        <v>5337010.58</v>
      </c>
      <c r="F1088" s="117" t="s">
        <v>932</v>
      </c>
    </row>
    <row r="1089" spans="1:6" hidden="1" outlineLevel="1">
      <c r="A1089" s="932" t="s">
        <v>933</v>
      </c>
      <c r="B1089" s="159">
        <v>0</v>
      </c>
      <c r="C1089" s="160">
        <v>74229.240000000005</v>
      </c>
      <c r="D1089" s="161">
        <v>465164.36</v>
      </c>
      <c r="E1089" s="134">
        <f t="shared" si="16"/>
        <v>539393.6</v>
      </c>
      <c r="F1089" s="117" t="s">
        <v>934</v>
      </c>
    </row>
    <row r="1090" spans="1:6" hidden="1" outlineLevel="1">
      <c r="A1090" s="932" t="s">
        <v>935</v>
      </c>
      <c r="B1090" s="159">
        <v>0</v>
      </c>
      <c r="C1090" s="160">
        <v>18779.73</v>
      </c>
      <c r="D1090" s="161">
        <v>31381.08</v>
      </c>
      <c r="E1090" s="134">
        <f t="shared" si="16"/>
        <v>50160.81</v>
      </c>
      <c r="F1090" s="117" t="s">
        <v>936</v>
      </c>
    </row>
    <row r="1091" spans="1:6" hidden="1" outlineLevel="1">
      <c r="A1091" s="932" t="s">
        <v>937</v>
      </c>
      <c r="B1091" s="159">
        <v>0</v>
      </c>
      <c r="C1091" s="160">
        <v>0</v>
      </c>
      <c r="D1091" s="161">
        <v>0</v>
      </c>
      <c r="E1091" s="134">
        <f t="shared" si="16"/>
        <v>0</v>
      </c>
      <c r="F1091" s="117" t="s">
        <v>938</v>
      </c>
    </row>
    <row r="1092" spans="1:6" hidden="1" outlineLevel="1">
      <c r="A1092" s="932" t="s">
        <v>939</v>
      </c>
      <c r="B1092" s="159">
        <v>0</v>
      </c>
      <c r="C1092" s="160">
        <v>11523.84</v>
      </c>
      <c r="D1092" s="161">
        <v>108054.44</v>
      </c>
      <c r="E1092" s="134">
        <f t="shared" si="16"/>
        <v>119578.28</v>
      </c>
      <c r="F1092" s="117" t="s">
        <v>940</v>
      </c>
    </row>
    <row r="1093" spans="1:6" hidden="1" outlineLevel="1">
      <c r="A1093" s="932" t="s">
        <v>941</v>
      </c>
      <c r="B1093" s="159">
        <v>0</v>
      </c>
      <c r="C1093" s="160">
        <v>1152.01</v>
      </c>
      <c r="D1093" s="161">
        <v>117272.74</v>
      </c>
      <c r="E1093" s="134">
        <f t="shared" si="16"/>
        <v>118424.75</v>
      </c>
      <c r="F1093" s="117" t="s">
        <v>942</v>
      </c>
    </row>
    <row r="1094" spans="1:6" hidden="1" outlineLevel="1">
      <c r="A1094" s="932" t="s">
        <v>943</v>
      </c>
      <c r="B1094" s="159">
        <v>0</v>
      </c>
      <c r="C1094" s="160">
        <v>0</v>
      </c>
      <c r="D1094" s="161">
        <v>0</v>
      </c>
      <c r="E1094" s="134">
        <f t="shared" si="16"/>
        <v>0</v>
      </c>
      <c r="F1094" s="117" t="s">
        <v>944</v>
      </c>
    </row>
    <row r="1095" spans="1:6" hidden="1" outlineLevel="1">
      <c r="A1095" s="932" t="s">
        <v>945</v>
      </c>
      <c r="B1095" s="159">
        <v>0</v>
      </c>
      <c r="C1095" s="160">
        <v>601.65</v>
      </c>
      <c r="D1095" s="161">
        <v>592699.18000000005</v>
      </c>
      <c r="E1095" s="134">
        <f t="shared" si="16"/>
        <v>593300.83000000007</v>
      </c>
      <c r="F1095" s="117" t="s">
        <v>946</v>
      </c>
    </row>
    <row r="1096" spans="1:6" hidden="1" outlineLevel="1">
      <c r="A1096" s="932" t="s">
        <v>947</v>
      </c>
      <c r="B1096" s="159">
        <v>0</v>
      </c>
      <c r="C1096" s="160">
        <v>0</v>
      </c>
      <c r="D1096" s="161">
        <v>16318.8</v>
      </c>
      <c r="E1096" s="134">
        <f t="shared" si="16"/>
        <v>16318.8</v>
      </c>
      <c r="F1096" s="117" t="s">
        <v>948</v>
      </c>
    </row>
    <row r="1097" spans="1:6" hidden="1" outlineLevel="1">
      <c r="A1097" s="932" t="s">
        <v>949</v>
      </c>
      <c r="B1097" s="159">
        <v>0</v>
      </c>
      <c r="C1097" s="160">
        <v>3809.9</v>
      </c>
      <c r="D1097" s="161">
        <v>2421902.89</v>
      </c>
      <c r="E1097" s="134">
        <f t="shared" si="16"/>
        <v>2425712.79</v>
      </c>
      <c r="F1097" s="117" t="s">
        <v>950</v>
      </c>
    </row>
    <row r="1098" spans="1:6" hidden="1" outlineLevel="1">
      <c r="A1098" s="932" t="s">
        <v>951</v>
      </c>
      <c r="B1098" s="159">
        <v>0</v>
      </c>
      <c r="C1098" s="160">
        <v>0</v>
      </c>
      <c r="D1098" s="161">
        <v>0</v>
      </c>
      <c r="E1098" s="134">
        <f t="shared" si="16"/>
        <v>0</v>
      </c>
      <c r="F1098" s="117" t="s">
        <v>952</v>
      </c>
    </row>
    <row r="1099" spans="1:6" hidden="1" outlineLevel="1">
      <c r="A1099" s="932" t="s">
        <v>951</v>
      </c>
      <c r="B1099" s="159">
        <v>0</v>
      </c>
      <c r="C1099" s="160">
        <v>0</v>
      </c>
      <c r="D1099" s="161">
        <v>0</v>
      </c>
      <c r="E1099" s="134">
        <f t="shared" si="16"/>
        <v>0</v>
      </c>
      <c r="F1099" s="117" t="s">
        <v>952</v>
      </c>
    </row>
    <row r="1100" spans="1:6" hidden="1" outlineLevel="1">
      <c r="A1100" s="932" t="s">
        <v>953</v>
      </c>
      <c r="B1100" s="159">
        <v>0</v>
      </c>
      <c r="C1100" s="160">
        <v>0</v>
      </c>
      <c r="D1100" s="161">
        <v>152990.1</v>
      </c>
      <c r="E1100" s="134">
        <f t="shared" si="16"/>
        <v>152990.1</v>
      </c>
      <c r="F1100" s="117" t="s">
        <v>954</v>
      </c>
    </row>
    <row r="1101" spans="1:6" hidden="1" outlineLevel="1">
      <c r="A1101" s="932" t="s">
        <v>955</v>
      </c>
      <c r="B1101" s="159">
        <v>0</v>
      </c>
      <c r="C1101" s="160">
        <v>2401.77</v>
      </c>
      <c r="D1101" s="161">
        <v>67989.72</v>
      </c>
      <c r="E1101" s="134">
        <f t="shared" si="16"/>
        <v>70391.490000000005</v>
      </c>
      <c r="F1101" s="117" t="s">
        <v>956</v>
      </c>
    </row>
    <row r="1102" spans="1:6" hidden="1" outlineLevel="1">
      <c r="A1102" s="932" t="s">
        <v>957</v>
      </c>
      <c r="B1102" s="159">
        <v>0</v>
      </c>
      <c r="C1102" s="160">
        <v>205764.27</v>
      </c>
      <c r="D1102" s="161">
        <v>557881.18999999994</v>
      </c>
      <c r="E1102" s="134">
        <f t="shared" si="16"/>
        <v>763645.46</v>
      </c>
      <c r="F1102" s="117" t="s">
        <v>958</v>
      </c>
    </row>
    <row r="1103" spans="1:6" hidden="1" outlineLevel="1">
      <c r="A1103" s="932" t="s">
        <v>959</v>
      </c>
      <c r="B1103" s="159">
        <v>0</v>
      </c>
      <c r="C1103" s="160">
        <v>9856.26</v>
      </c>
      <c r="D1103" s="161">
        <v>21694.16</v>
      </c>
      <c r="E1103" s="134">
        <f t="shared" si="16"/>
        <v>31550.42</v>
      </c>
      <c r="F1103" s="117" t="s">
        <v>960</v>
      </c>
    </row>
    <row r="1104" spans="1:6" hidden="1" outlineLevel="1">
      <c r="A1104" s="932" t="s">
        <v>961</v>
      </c>
      <c r="B1104" s="159">
        <v>0</v>
      </c>
      <c r="C1104" s="160">
        <v>749.77</v>
      </c>
      <c r="D1104" s="161">
        <v>9267.7199999999993</v>
      </c>
      <c r="E1104" s="134">
        <f t="shared" si="16"/>
        <v>10017.49</v>
      </c>
      <c r="F1104" s="117" t="s">
        <v>962</v>
      </c>
    </row>
    <row r="1105" spans="1:6" hidden="1" outlineLevel="1">
      <c r="A1105" s="932" t="s">
        <v>963</v>
      </c>
      <c r="B1105" s="159">
        <v>0</v>
      </c>
      <c r="C1105" s="160">
        <v>0</v>
      </c>
      <c r="D1105" s="161">
        <v>16297.92</v>
      </c>
      <c r="E1105" s="134">
        <f t="shared" si="16"/>
        <v>16297.92</v>
      </c>
      <c r="F1105" s="117" t="s">
        <v>964</v>
      </c>
    </row>
    <row r="1106" spans="1:6" hidden="1" outlineLevel="1">
      <c r="A1106" s="932" t="s">
        <v>965</v>
      </c>
      <c r="B1106" s="159">
        <v>0</v>
      </c>
      <c r="C1106" s="160">
        <v>24916.45</v>
      </c>
      <c r="D1106" s="161">
        <v>39393.32</v>
      </c>
      <c r="E1106" s="134">
        <f t="shared" si="16"/>
        <v>64309.770000000004</v>
      </c>
      <c r="F1106" s="117" t="s">
        <v>966</v>
      </c>
    </row>
    <row r="1107" spans="1:6" hidden="1" outlineLevel="1">
      <c r="A1107" s="932" t="s">
        <v>967</v>
      </c>
      <c r="B1107" s="159">
        <v>0</v>
      </c>
      <c r="C1107" s="160">
        <v>23295.08</v>
      </c>
      <c r="D1107" s="161">
        <v>47910.55</v>
      </c>
      <c r="E1107" s="134">
        <f t="shared" si="16"/>
        <v>71205.63</v>
      </c>
      <c r="F1107" s="117" t="s">
        <v>968</v>
      </c>
    </row>
    <row r="1108" spans="1:6" hidden="1" outlineLevel="1">
      <c r="A1108" s="932" t="s">
        <v>969</v>
      </c>
      <c r="B1108" s="159">
        <v>0</v>
      </c>
      <c r="C1108" s="160">
        <v>0</v>
      </c>
      <c r="D1108" s="161">
        <v>27738.35</v>
      </c>
      <c r="E1108" s="134">
        <f t="shared" si="16"/>
        <v>27738.35</v>
      </c>
      <c r="F1108" s="117" t="s">
        <v>970</v>
      </c>
    </row>
    <row r="1109" spans="1:6" hidden="1" outlineLevel="1">
      <c r="A1109" s="932" t="s">
        <v>971</v>
      </c>
      <c r="B1109" s="159">
        <v>0</v>
      </c>
      <c r="C1109" s="160">
        <v>7381.3</v>
      </c>
      <c r="D1109" s="161">
        <v>243346.09</v>
      </c>
      <c r="E1109" s="134">
        <f t="shared" si="16"/>
        <v>250727.38999999998</v>
      </c>
      <c r="F1109" s="117" t="s">
        <v>972</v>
      </c>
    </row>
    <row r="1110" spans="1:6" hidden="1" outlineLevel="1">
      <c r="A1110" s="932" t="s">
        <v>973</v>
      </c>
      <c r="B1110" s="159">
        <v>0</v>
      </c>
      <c r="C1110" s="160">
        <v>0</v>
      </c>
      <c r="D1110" s="161">
        <v>0</v>
      </c>
      <c r="E1110" s="134">
        <f t="shared" si="16"/>
        <v>0</v>
      </c>
      <c r="F1110" s="117" t="s">
        <v>974</v>
      </c>
    </row>
    <row r="1111" spans="1:6" hidden="1" outlineLevel="1">
      <c r="A1111" s="932" t="s">
        <v>975</v>
      </c>
      <c r="B1111" s="159">
        <v>0</v>
      </c>
      <c r="C1111" s="160">
        <v>26.02</v>
      </c>
      <c r="D1111" s="161">
        <v>71654.37</v>
      </c>
      <c r="E1111" s="134">
        <f t="shared" si="16"/>
        <v>71680.39</v>
      </c>
      <c r="F1111" s="117" t="s">
        <v>976</v>
      </c>
    </row>
    <row r="1112" spans="1:6" hidden="1" outlineLevel="1">
      <c r="A1112" s="932" t="s">
        <v>977</v>
      </c>
      <c r="B1112" s="159">
        <v>0</v>
      </c>
      <c r="C1112" s="160">
        <v>0</v>
      </c>
      <c r="D1112" s="161">
        <v>0</v>
      </c>
      <c r="E1112" s="134">
        <f t="shared" si="16"/>
        <v>0</v>
      </c>
      <c r="F1112" s="117" t="s">
        <v>978</v>
      </c>
    </row>
    <row r="1113" spans="1:6" hidden="1" outlineLevel="1">
      <c r="A1113" s="932" t="s">
        <v>979</v>
      </c>
      <c r="B1113" s="159">
        <v>0</v>
      </c>
      <c r="C1113" s="160">
        <v>0</v>
      </c>
      <c r="D1113" s="161">
        <v>0</v>
      </c>
      <c r="E1113" s="134">
        <f t="shared" si="16"/>
        <v>0</v>
      </c>
      <c r="F1113" s="117" t="s">
        <v>980</v>
      </c>
    </row>
    <row r="1114" spans="1:6" hidden="1" outlineLevel="1">
      <c r="A1114" s="932" t="s">
        <v>981</v>
      </c>
      <c r="B1114" s="159">
        <v>0</v>
      </c>
      <c r="C1114" s="160">
        <v>0</v>
      </c>
      <c r="D1114" s="161">
        <v>64559.6</v>
      </c>
      <c r="E1114" s="134">
        <f t="shared" si="16"/>
        <v>64559.6</v>
      </c>
      <c r="F1114" s="117" t="s">
        <v>982</v>
      </c>
    </row>
    <row r="1115" spans="1:6" hidden="1" outlineLevel="1">
      <c r="A1115" s="932" t="s">
        <v>983</v>
      </c>
      <c r="B1115" s="159">
        <v>0</v>
      </c>
      <c r="C1115" s="160">
        <v>15136.74</v>
      </c>
      <c r="D1115" s="161">
        <v>199770.35</v>
      </c>
      <c r="E1115" s="134">
        <f t="shared" si="16"/>
        <v>214907.09</v>
      </c>
      <c r="F1115" s="117" t="s">
        <v>984</v>
      </c>
    </row>
    <row r="1116" spans="1:6" hidden="1" outlineLevel="1">
      <c r="A1116" s="932" t="s">
        <v>985</v>
      </c>
      <c r="B1116" s="159">
        <v>0</v>
      </c>
      <c r="C1116" s="160">
        <v>53209.51</v>
      </c>
      <c r="D1116" s="161">
        <v>397388.04</v>
      </c>
      <c r="E1116" s="134">
        <f t="shared" si="16"/>
        <v>450597.55</v>
      </c>
      <c r="F1116" s="117" t="s">
        <v>986</v>
      </c>
    </row>
    <row r="1117" spans="1:6" hidden="1" outlineLevel="1">
      <c r="A1117" s="932" t="s">
        <v>987</v>
      </c>
      <c r="B1117" s="159">
        <v>0</v>
      </c>
      <c r="C1117" s="160">
        <v>1766.91</v>
      </c>
      <c r="D1117" s="161">
        <v>3380.88</v>
      </c>
      <c r="E1117" s="134">
        <f t="shared" si="16"/>
        <v>5147.79</v>
      </c>
      <c r="F1117" s="117" t="s">
        <v>988</v>
      </c>
    </row>
    <row r="1118" spans="1:6" hidden="1" outlineLevel="1">
      <c r="A1118" s="932" t="s">
        <v>989</v>
      </c>
      <c r="B1118" s="159">
        <v>0</v>
      </c>
      <c r="C1118" s="160">
        <v>0</v>
      </c>
      <c r="D1118" s="161">
        <v>0</v>
      </c>
      <c r="E1118" s="134">
        <f t="shared" si="16"/>
        <v>0</v>
      </c>
      <c r="F1118" s="117" t="s">
        <v>990</v>
      </c>
    </row>
    <row r="1119" spans="1:6" hidden="1" outlineLevel="1">
      <c r="A1119" s="932" t="s">
        <v>991</v>
      </c>
      <c r="B1119" s="159">
        <v>0</v>
      </c>
      <c r="C1119" s="160">
        <v>0</v>
      </c>
      <c r="D1119" s="161">
        <v>26321.279999999999</v>
      </c>
      <c r="E1119" s="134">
        <f t="shared" si="16"/>
        <v>26321.279999999999</v>
      </c>
      <c r="F1119" s="117" t="s">
        <v>992</v>
      </c>
    </row>
    <row r="1120" spans="1:6" hidden="1" outlineLevel="1">
      <c r="A1120" s="932" t="s">
        <v>993</v>
      </c>
      <c r="B1120" s="159">
        <v>0</v>
      </c>
      <c r="C1120" s="160">
        <v>0</v>
      </c>
      <c r="D1120" s="161">
        <v>525659.43999999994</v>
      </c>
      <c r="E1120" s="134">
        <f t="shared" si="16"/>
        <v>525659.43999999994</v>
      </c>
      <c r="F1120" s="117" t="s">
        <v>994</v>
      </c>
    </row>
    <row r="1121" spans="1:6" hidden="1" outlineLevel="1">
      <c r="A1121" s="932" t="s">
        <v>995</v>
      </c>
      <c r="B1121" s="159">
        <v>0</v>
      </c>
      <c r="C1121" s="160">
        <v>0</v>
      </c>
      <c r="D1121" s="161">
        <v>32800.769999999997</v>
      </c>
      <c r="E1121" s="134">
        <f t="shared" si="16"/>
        <v>32800.769999999997</v>
      </c>
      <c r="F1121" s="117" t="s">
        <v>996</v>
      </c>
    </row>
    <row r="1122" spans="1:6" hidden="1" outlineLevel="1">
      <c r="A1122" s="932" t="s">
        <v>997</v>
      </c>
      <c r="B1122" s="159">
        <v>0</v>
      </c>
      <c r="C1122" s="160">
        <v>0</v>
      </c>
      <c r="D1122" s="161">
        <v>140048.65</v>
      </c>
      <c r="E1122" s="134">
        <f t="shared" si="16"/>
        <v>140048.65</v>
      </c>
      <c r="F1122" s="117" t="s">
        <v>998</v>
      </c>
    </row>
    <row r="1123" spans="1:6" hidden="1" outlineLevel="1">
      <c r="A1123" s="932" t="s">
        <v>999</v>
      </c>
      <c r="B1123" s="159">
        <v>0</v>
      </c>
      <c r="C1123" s="160">
        <v>1130.8</v>
      </c>
      <c r="D1123" s="161">
        <v>57224.72</v>
      </c>
      <c r="E1123" s="134">
        <f t="shared" si="16"/>
        <v>58355.520000000004</v>
      </c>
      <c r="F1123" s="117" t="s">
        <v>1000</v>
      </c>
    </row>
    <row r="1124" spans="1:6" hidden="1" outlineLevel="1">
      <c r="A1124" s="932" t="s">
        <v>1001</v>
      </c>
      <c r="B1124" s="159">
        <v>0</v>
      </c>
      <c r="C1124" s="160">
        <v>7094.45</v>
      </c>
      <c r="D1124" s="161">
        <v>10729.04</v>
      </c>
      <c r="E1124" s="134">
        <f t="shared" si="16"/>
        <v>17823.490000000002</v>
      </c>
      <c r="F1124" s="117" t="s">
        <v>1002</v>
      </c>
    </row>
    <row r="1125" spans="1:6" hidden="1" outlineLevel="1">
      <c r="A1125" s="932" t="s">
        <v>1003</v>
      </c>
      <c r="B1125" s="159">
        <v>0</v>
      </c>
      <c r="C1125" s="160">
        <v>0</v>
      </c>
      <c r="D1125" s="161">
        <v>34429663.340000004</v>
      </c>
      <c r="E1125" s="134">
        <f t="shared" si="16"/>
        <v>34429663.340000004</v>
      </c>
      <c r="F1125" s="117" t="s">
        <v>1004</v>
      </c>
    </row>
    <row r="1126" spans="1:6" hidden="1" outlineLevel="1">
      <c r="A1126" s="932" t="s">
        <v>1005</v>
      </c>
      <c r="B1126" s="159">
        <v>0</v>
      </c>
      <c r="C1126" s="160">
        <v>35655.370000000003</v>
      </c>
      <c r="D1126" s="161">
        <v>787367.2</v>
      </c>
      <c r="E1126" s="134">
        <f t="shared" si="16"/>
        <v>823022.57</v>
      </c>
      <c r="F1126" s="117" t="s">
        <v>1006</v>
      </c>
    </row>
    <row r="1127" spans="1:6" hidden="1" outlineLevel="1">
      <c r="A1127" s="932" t="s">
        <v>1007</v>
      </c>
      <c r="B1127" s="159">
        <v>0</v>
      </c>
      <c r="C1127" s="160">
        <v>0</v>
      </c>
      <c r="D1127" s="161">
        <v>8141</v>
      </c>
      <c r="E1127" s="134">
        <f t="shared" si="16"/>
        <v>8141</v>
      </c>
      <c r="F1127" s="117" t="s">
        <v>1008</v>
      </c>
    </row>
    <row r="1128" spans="1:6" hidden="1" outlineLevel="1">
      <c r="A1128" s="932" t="s">
        <v>1009</v>
      </c>
      <c r="B1128" s="159">
        <v>0</v>
      </c>
      <c r="C1128" s="160">
        <v>2125.2600000000002</v>
      </c>
      <c r="D1128" s="161">
        <v>20278.080000000002</v>
      </c>
      <c r="E1128" s="134">
        <f t="shared" si="16"/>
        <v>22403.340000000004</v>
      </c>
      <c r="F1128" s="117" t="s">
        <v>1010</v>
      </c>
    </row>
    <row r="1129" spans="1:6" hidden="1" outlineLevel="1">
      <c r="A1129" s="932" t="s">
        <v>1011</v>
      </c>
      <c r="B1129" s="159">
        <v>0</v>
      </c>
      <c r="C1129" s="160">
        <v>30064.560000000001</v>
      </c>
      <c r="D1129" s="161">
        <v>199129.26</v>
      </c>
      <c r="E1129" s="134">
        <f t="shared" si="16"/>
        <v>229193.82</v>
      </c>
      <c r="F1129" s="117" t="s">
        <v>1012</v>
      </c>
    </row>
    <row r="1130" spans="1:6" hidden="1" outlineLevel="1">
      <c r="A1130" s="932" t="s">
        <v>1013</v>
      </c>
      <c r="B1130" s="159">
        <v>0</v>
      </c>
      <c r="C1130" s="160">
        <v>0</v>
      </c>
      <c r="D1130" s="161">
        <v>0</v>
      </c>
      <c r="E1130" s="134">
        <f t="shared" si="16"/>
        <v>0</v>
      </c>
      <c r="F1130" s="117" t="s">
        <v>1014</v>
      </c>
    </row>
    <row r="1131" spans="1:6" hidden="1" outlineLevel="1">
      <c r="A1131" s="932" t="s">
        <v>1015</v>
      </c>
      <c r="B1131" s="159">
        <v>0</v>
      </c>
      <c r="C1131" s="160">
        <v>2.4900000000000002</v>
      </c>
      <c r="D1131" s="161">
        <v>44752.26</v>
      </c>
      <c r="E1131" s="134">
        <f t="shared" si="16"/>
        <v>44754.75</v>
      </c>
      <c r="F1131" s="117" t="s">
        <v>1016</v>
      </c>
    </row>
    <row r="1132" spans="1:6" hidden="1" outlineLevel="1">
      <c r="A1132" s="932" t="s">
        <v>1017</v>
      </c>
      <c r="B1132" s="159">
        <v>0</v>
      </c>
      <c r="C1132" s="160">
        <v>13699.9</v>
      </c>
      <c r="D1132" s="161">
        <v>4253658.59</v>
      </c>
      <c r="E1132" s="134">
        <f t="shared" si="16"/>
        <v>4267358.49</v>
      </c>
      <c r="F1132" s="117" t="s">
        <v>1018</v>
      </c>
    </row>
    <row r="1133" spans="1:6" hidden="1" outlineLevel="1">
      <c r="A1133" s="932" t="s">
        <v>1019</v>
      </c>
      <c r="B1133" s="159">
        <v>0</v>
      </c>
      <c r="C1133" s="160">
        <v>0</v>
      </c>
      <c r="D1133" s="161">
        <v>1865.44</v>
      </c>
      <c r="E1133" s="134">
        <f t="shared" si="16"/>
        <v>1865.44</v>
      </c>
      <c r="F1133" s="117" t="s">
        <v>1020</v>
      </c>
    </row>
    <row r="1134" spans="1:6" hidden="1" outlineLevel="1">
      <c r="A1134" s="932" t="s">
        <v>1021</v>
      </c>
      <c r="B1134" s="159">
        <v>0</v>
      </c>
      <c r="C1134" s="160">
        <v>0</v>
      </c>
      <c r="D1134" s="161">
        <v>0</v>
      </c>
      <c r="E1134" s="134">
        <f t="shared" si="16"/>
        <v>0</v>
      </c>
      <c r="F1134" s="117" t="s">
        <v>944</v>
      </c>
    </row>
    <row r="1135" spans="1:6" hidden="1" outlineLevel="1">
      <c r="A1135" s="932" t="s">
        <v>1022</v>
      </c>
      <c r="B1135" s="159">
        <v>0</v>
      </c>
      <c r="C1135" s="160">
        <v>0</v>
      </c>
      <c r="D1135" s="161">
        <v>100762.38</v>
      </c>
      <c r="E1135" s="134">
        <f t="shared" si="16"/>
        <v>100762.38</v>
      </c>
      <c r="F1135" s="117" t="s">
        <v>1023</v>
      </c>
    </row>
    <row r="1136" spans="1:6" hidden="1" outlineLevel="1">
      <c r="A1136" s="932" t="s">
        <v>1024</v>
      </c>
      <c r="B1136" s="159">
        <v>0</v>
      </c>
      <c r="C1136" s="160">
        <v>0</v>
      </c>
      <c r="D1136" s="161">
        <v>7588279.2999999998</v>
      </c>
      <c r="E1136" s="134">
        <f t="shared" ref="E1136:E1199" si="17">SUM(B1136:D1136)</f>
        <v>7588279.2999999998</v>
      </c>
      <c r="F1136" s="117" t="s">
        <v>1025</v>
      </c>
    </row>
    <row r="1137" spans="1:6" hidden="1" outlineLevel="1">
      <c r="A1137" s="932" t="s">
        <v>1026</v>
      </c>
      <c r="B1137" s="159">
        <v>0</v>
      </c>
      <c r="C1137" s="160">
        <v>0</v>
      </c>
      <c r="D1137" s="161">
        <v>34915.85</v>
      </c>
      <c r="E1137" s="134">
        <f t="shared" si="17"/>
        <v>34915.85</v>
      </c>
      <c r="F1137" s="117" t="s">
        <v>1027</v>
      </c>
    </row>
    <row r="1138" spans="1:6" hidden="1" outlineLevel="1">
      <c r="A1138" s="932" t="s">
        <v>1028</v>
      </c>
      <c r="B1138" s="159">
        <v>0</v>
      </c>
      <c r="C1138" s="160">
        <v>2706.56</v>
      </c>
      <c r="D1138" s="161">
        <v>10477231.34</v>
      </c>
      <c r="E1138" s="134">
        <f t="shared" si="17"/>
        <v>10479937.9</v>
      </c>
      <c r="F1138" s="117" t="s">
        <v>1029</v>
      </c>
    </row>
    <row r="1139" spans="1:6" hidden="1" outlineLevel="1">
      <c r="A1139" s="932" t="s">
        <v>1030</v>
      </c>
      <c r="B1139" s="159">
        <v>0</v>
      </c>
      <c r="C1139" s="160">
        <v>340.61</v>
      </c>
      <c r="D1139" s="161">
        <v>89972.44</v>
      </c>
      <c r="E1139" s="134">
        <f t="shared" si="17"/>
        <v>90313.05</v>
      </c>
      <c r="F1139" s="117" t="s">
        <v>1031</v>
      </c>
    </row>
    <row r="1140" spans="1:6" hidden="1" outlineLevel="1">
      <c r="A1140" s="932" t="s">
        <v>1032</v>
      </c>
      <c r="B1140" s="159">
        <v>0</v>
      </c>
      <c r="C1140" s="160">
        <v>10473.77</v>
      </c>
      <c r="D1140" s="161">
        <v>107625.60000000001</v>
      </c>
      <c r="E1140" s="134">
        <f t="shared" si="17"/>
        <v>118099.37000000001</v>
      </c>
      <c r="F1140" s="117" t="s">
        <v>1033</v>
      </c>
    </row>
    <row r="1141" spans="1:6" hidden="1" outlineLevel="1">
      <c r="A1141" s="932" t="s">
        <v>1034</v>
      </c>
      <c r="B1141" s="159">
        <v>0</v>
      </c>
      <c r="C1141" s="160">
        <v>0</v>
      </c>
      <c r="D1141" s="161">
        <v>22958.959999999999</v>
      </c>
      <c r="E1141" s="134">
        <f t="shared" si="17"/>
        <v>22958.959999999999</v>
      </c>
      <c r="F1141" s="117" t="s">
        <v>1035</v>
      </c>
    </row>
    <row r="1142" spans="1:6" hidden="1" outlineLevel="1">
      <c r="A1142" s="932" t="s">
        <v>1036</v>
      </c>
      <c r="B1142" s="159">
        <v>0</v>
      </c>
      <c r="C1142" s="160">
        <v>27425.919999999998</v>
      </c>
      <c r="D1142" s="161">
        <v>70651.240000000005</v>
      </c>
      <c r="E1142" s="134">
        <f t="shared" si="17"/>
        <v>98077.16</v>
      </c>
      <c r="F1142" s="117" t="s">
        <v>1037</v>
      </c>
    </row>
    <row r="1143" spans="1:6" hidden="1" outlineLevel="1">
      <c r="A1143" s="932" t="s">
        <v>1038</v>
      </c>
      <c r="B1143" s="159">
        <v>0</v>
      </c>
      <c r="C1143" s="160">
        <v>0</v>
      </c>
      <c r="D1143" s="161">
        <v>17582.75</v>
      </c>
      <c r="E1143" s="134">
        <f t="shared" si="17"/>
        <v>17582.75</v>
      </c>
      <c r="F1143" s="117" t="s">
        <v>1039</v>
      </c>
    </row>
    <row r="1144" spans="1:6" hidden="1" outlineLevel="1">
      <c r="A1144" s="932" t="s">
        <v>1040</v>
      </c>
      <c r="B1144" s="159">
        <v>0</v>
      </c>
      <c r="C1144" s="160">
        <v>42615.46</v>
      </c>
      <c r="D1144" s="161">
        <v>26576.36</v>
      </c>
      <c r="E1144" s="134">
        <f t="shared" si="17"/>
        <v>69191.820000000007</v>
      </c>
      <c r="F1144" s="117" t="s">
        <v>1041</v>
      </c>
    </row>
    <row r="1145" spans="1:6" hidden="1" outlineLevel="1">
      <c r="A1145" s="932" t="s">
        <v>1042</v>
      </c>
      <c r="B1145" s="159">
        <v>0</v>
      </c>
      <c r="C1145" s="160">
        <v>1165.8</v>
      </c>
      <c r="D1145" s="161">
        <v>329343.15000000002</v>
      </c>
      <c r="E1145" s="134">
        <f t="shared" si="17"/>
        <v>330508.95</v>
      </c>
      <c r="F1145" s="117" t="s">
        <v>1043</v>
      </c>
    </row>
    <row r="1146" spans="1:6" hidden="1" outlineLevel="1">
      <c r="A1146" s="932" t="s">
        <v>1044</v>
      </c>
      <c r="B1146" s="159">
        <v>0</v>
      </c>
      <c r="C1146" s="160">
        <v>1654.76</v>
      </c>
      <c r="D1146" s="161">
        <v>151751.76</v>
      </c>
      <c r="E1146" s="134">
        <f t="shared" si="17"/>
        <v>153406.52000000002</v>
      </c>
      <c r="F1146" s="117" t="s">
        <v>1045</v>
      </c>
    </row>
    <row r="1147" spans="1:6" hidden="1" outlineLevel="1">
      <c r="A1147" s="932" t="s">
        <v>1046</v>
      </c>
      <c r="B1147" s="159">
        <v>0</v>
      </c>
      <c r="C1147" s="160">
        <v>0</v>
      </c>
      <c r="D1147" s="161">
        <v>0</v>
      </c>
      <c r="E1147" s="134">
        <f t="shared" si="17"/>
        <v>0</v>
      </c>
      <c r="F1147" s="117" t="s">
        <v>1047</v>
      </c>
    </row>
    <row r="1148" spans="1:6" hidden="1" outlineLevel="1">
      <c r="A1148" s="932" t="s">
        <v>1048</v>
      </c>
      <c r="B1148" s="159">
        <v>0</v>
      </c>
      <c r="C1148" s="160">
        <v>1301.3800000000001</v>
      </c>
      <c r="D1148" s="161">
        <v>101694.87</v>
      </c>
      <c r="E1148" s="134">
        <f t="shared" si="17"/>
        <v>102996.25</v>
      </c>
      <c r="F1148" s="117" t="s">
        <v>1049</v>
      </c>
    </row>
    <row r="1149" spans="1:6" hidden="1" outlineLevel="1">
      <c r="A1149" s="932" t="s">
        <v>1050</v>
      </c>
      <c r="B1149" s="159">
        <v>0</v>
      </c>
      <c r="C1149" s="160">
        <v>88339.34</v>
      </c>
      <c r="D1149" s="161">
        <v>362468.16</v>
      </c>
      <c r="E1149" s="134">
        <f t="shared" si="17"/>
        <v>450807.5</v>
      </c>
      <c r="F1149" s="117" t="s">
        <v>1051</v>
      </c>
    </row>
    <row r="1150" spans="1:6" hidden="1" outlineLevel="1">
      <c r="A1150" s="932" t="s">
        <v>1052</v>
      </c>
      <c r="B1150" s="159">
        <v>0</v>
      </c>
      <c r="C1150" s="160">
        <v>0</v>
      </c>
      <c r="D1150" s="161">
        <v>0</v>
      </c>
      <c r="E1150" s="134">
        <f t="shared" si="17"/>
        <v>0</v>
      </c>
      <c r="F1150" s="117" t="s">
        <v>1053</v>
      </c>
    </row>
    <row r="1151" spans="1:6" hidden="1" outlineLevel="1">
      <c r="A1151" s="932" t="s">
        <v>1054</v>
      </c>
      <c r="B1151" s="159">
        <v>0</v>
      </c>
      <c r="C1151" s="160">
        <v>4202.1099999999997</v>
      </c>
      <c r="D1151" s="161">
        <v>319337.63</v>
      </c>
      <c r="E1151" s="134">
        <f t="shared" si="17"/>
        <v>323539.74</v>
      </c>
      <c r="F1151" s="117" t="s">
        <v>1055</v>
      </c>
    </row>
    <row r="1152" spans="1:6" hidden="1" outlineLevel="1">
      <c r="A1152" s="932" t="s">
        <v>1056</v>
      </c>
      <c r="B1152" s="159">
        <v>0</v>
      </c>
      <c r="C1152" s="160">
        <v>11931.48</v>
      </c>
      <c r="D1152" s="161">
        <v>90161.59</v>
      </c>
      <c r="E1152" s="134">
        <f t="shared" si="17"/>
        <v>102093.06999999999</v>
      </c>
      <c r="F1152" s="117" t="s">
        <v>1057</v>
      </c>
    </row>
    <row r="1153" spans="1:6" hidden="1" outlineLevel="1">
      <c r="A1153" s="932" t="s">
        <v>1058</v>
      </c>
      <c r="B1153" s="159">
        <v>0</v>
      </c>
      <c r="C1153" s="160">
        <v>59958.98</v>
      </c>
      <c r="D1153" s="161">
        <v>201013.07</v>
      </c>
      <c r="E1153" s="134">
        <f t="shared" si="17"/>
        <v>260972.05000000002</v>
      </c>
      <c r="F1153" s="117" t="s">
        <v>1059</v>
      </c>
    </row>
    <row r="1154" spans="1:6" hidden="1" outlineLevel="1">
      <c r="A1154" s="932" t="s">
        <v>1060</v>
      </c>
      <c r="B1154" s="159">
        <v>0</v>
      </c>
      <c r="C1154" s="160">
        <v>0</v>
      </c>
      <c r="D1154" s="161">
        <v>0</v>
      </c>
      <c r="E1154" s="134">
        <f t="shared" si="17"/>
        <v>0</v>
      </c>
      <c r="F1154" s="117" t="s">
        <v>1061</v>
      </c>
    </row>
    <row r="1155" spans="1:6" hidden="1" outlineLevel="1">
      <c r="A1155" s="932" t="s">
        <v>1062</v>
      </c>
      <c r="B1155" s="159">
        <v>0</v>
      </c>
      <c r="C1155" s="160">
        <v>9994.2099999999991</v>
      </c>
      <c r="D1155" s="161">
        <v>223228.68</v>
      </c>
      <c r="E1155" s="134">
        <f t="shared" si="17"/>
        <v>233222.88999999998</v>
      </c>
      <c r="F1155" s="117" t="s">
        <v>1063</v>
      </c>
    </row>
    <row r="1156" spans="1:6" hidden="1" outlineLevel="1">
      <c r="A1156" s="932" t="s">
        <v>1064</v>
      </c>
      <c r="B1156" s="159">
        <v>0</v>
      </c>
      <c r="C1156" s="160">
        <v>11521.12</v>
      </c>
      <c r="D1156" s="161">
        <v>369487.57</v>
      </c>
      <c r="E1156" s="134">
        <f t="shared" si="17"/>
        <v>381008.69</v>
      </c>
      <c r="F1156" s="117" t="s">
        <v>1065</v>
      </c>
    </row>
    <row r="1157" spans="1:6" hidden="1" outlineLevel="1">
      <c r="A1157" s="932" t="s">
        <v>1066</v>
      </c>
      <c r="B1157" s="159">
        <v>0</v>
      </c>
      <c r="C1157" s="160">
        <v>0</v>
      </c>
      <c r="D1157" s="161">
        <v>5614.56</v>
      </c>
      <c r="E1157" s="134">
        <f t="shared" si="17"/>
        <v>5614.56</v>
      </c>
      <c r="F1157" s="117" t="s">
        <v>1067</v>
      </c>
    </row>
    <row r="1158" spans="1:6" hidden="1" outlineLevel="1">
      <c r="A1158" s="932" t="s">
        <v>1068</v>
      </c>
      <c r="B1158" s="159">
        <v>0</v>
      </c>
      <c r="C1158" s="160">
        <v>10664.79</v>
      </c>
      <c r="D1158" s="161">
        <v>141940.04</v>
      </c>
      <c r="E1158" s="134">
        <f t="shared" si="17"/>
        <v>152604.83000000002</v>
      </c>
      <c r="F1158" s="117" t="s">
        <v>1069</v>
      </c>
    </row>
    <row r="1159" spans="1:6" hidden="1" outlineLevel="1">
      <c r="A1159" s="932" t="s">
        <v>1070</v>
      </c>
      <c r="B1159" s="159">
        <v>0</v>
      </c>
      <c r="C1159" s="160">
        <v>3692.27</v>
      </c>
      <c r="D1159" s="161">
        <v>42487.519999999997</v>
      </c>
      <c r="E1159" s="134">
        <f t="shared" si="17"/>
        <v>46179.789999999994</v>
      </c>
      <c r="F1159" s="117" t="s">
        <v>1071</v>
      </c>
    </row>
    <row r="1160" spans="1:6" hidden="1" outlineLevel="1">
      <c r="A1160" s="932" t="s">
        <v>1072</v>
      </c>
      <c r="B1160" s="159">
        <v>0</v>
      </c>
      <c r="C1160" s="160">
        <v>23358.799999999999</v>
      </c>
      <c r="D1160" s="161">
        <v>413853.45</v>
      </c>
      <c r="E1160" s="134">
        <f t="shared" si="17"/>
        <v>437212.25</v>
      </c>
      <c r="F1160" s="117" t="s">
        <v>1073</v>
      </c>
    </row>
    <row r="1161" spans="1:6" hidden="1" outlineLevel="1">
      <c r="A1161" s="932" t="s">
        <v>1074</v>
      </c>
      <c r="B1161" s="159">
        <v>0</v>
      </c>
      <c r="C1161" s="160">
        <v>2110.02</v>
      </c>
      <c r="D1161" s="161">
        <v>547446.56999999995</v>
      </c>
      <c r="E1161" s="134">
        <f t="shared" si="17"/>
        <v>549556.59</v>
      </c>
      <c r="F1161" s="117" t="s">
        <v>1075</v>
      </c>
    </row>
    <row r="1162" spans="1:6" hidden="1" outlineLevel="1">
      <c r="A1162" s="932" t="s">
        <v>1076</v>
      </c>
      <c r="B1162" s="159">
        <v>0</v>
      </c>
      <c r="C1162" s="160">
        <v>15830.68</v>
      </c>
      <c r="D1162" s="161">
        <v>73923.72</v>
      </c>
      <c r="E1162" s="134">
        <f t="shared" si="17"/>
        <v>89754.4</v>
      </c>
      <c r="F1162" s="117" t="s">
        <v>1077</v>
      </c>
    </row>
    <row r="1163" spans="1:6" hidden="1" outlineLevel="1">
      <c r="A1163" s="932" t="s">
        <v>1078</v>
      </c>
      <c r="B1163" s="159">
        <v>0</v>
      </c>
      <c r="C1163" s="160">
        <v>5017.0200000000004</v>
      </c>
      <c r="D1163" s="161">
        <v>130082.1</v>
      </c>
      <c r="E1163" s="134">
        <f t="shared" si="17"/>
        <v>135099.12</v>
      </c>
      <c r="F1163" s="117" t="s">
        <v>1079</v>
      </c>
    </row>
    <row r="1164" spans="1:6" hidden="1" outlineLevel="1">
      <c r="A1164" s="932" t="s">
        <v>1080</v>
      </c>
      <c r="B1164" s="159">
        <v>0</v>
      </c>
      <c r="C1164" s="160">
        <v>0</v>
      </c>
      <c r="D1164" s="161">
        <v>6667.77</v>
      </c>
      <c r="E1164" s="134">
        <f t="shared" si="17"/>
        <v>6667.77</v>
      </c>
      <c r="F1164" s="117" t="s">
        <v>1081</v>
      </c>
    </row>
    <row r="1165" spans="1:6" hidden="1" outlineLevel="1">
      <c r="A1165" s="932" t="s">
        <v>1082</v>
      </c>
      <c r="B1165" s="159">
        <v>0</v>
      </c>
      <c r="C1165" s="160">
        <v>6239.73</v>
      </c>
      <c r="D1165" s="161">
        <v>69386.490000000005</v>
      </c>
      <c r="E1165" s="134">
        <f t="shared" si="17"/>
        <v>75626.22</v>
      </c>
      <c r="F1165" s="117" t="s">
        <v>1083</v>
      </c>
    </row>
    <row r="1166" spans="1:6" hidden="1" outlineLevel="1">
      <c r="A1166" s="932" t="s">
        <v>1084</v>
      </c>
      <c r="B1166" s="159">
        <v>0</v>
      </c>
      <c r="C1166" s="160">
        <v>0</v>
      </c>
      <c r="D1166" s="161">
        <v>54409.2</v>
      </c>
      <c r="E1166" s="134">
        <f t="shared" si="17"/>
        <v>54409.2</v>
      </c>
      <c r="F1166" s="117" t="s">
        <v>1085</v>
      </c>
    </row>
    <row r="1167" spans="1:6" hidden="1" outlineLevel="1">
      <c r="A1167" s="932" t="s">
        <v>1086</v>
      </c>
      <c r="B1167" s="159">
        <v>0</v>
      </c>
      <c r="C1167" s="160">
        <v>0</v>
      </c>
      <c r="D1167" s="161">
        <v>244809.35</v>
      </c>
      <c r="E1167" s="134">
        <f t="shared" si="17"/>
        <v>244809.35</v>
      </c>
      <c r="F1167" s="117" t="s">
        <v>1087</v>
      </c>
    </row>
    <row r="1168" spans="1:6" hidden="1" outlineLevel="1">
      <c r="A1168" s="932" t="s">
        <v>1088</v>
      </c>
      <c r="B1168" s="159">
        <v>0</v>
      </c>
      <c r="C1168" s="160">
        <v>3415.98</v>
      </c>
      <c r="D1168" s="161">
        <v>60685.279999999999</v>
      </c>
      <c r="E1168" s="134">
        <f t="shared" si="17"/>
        <v>64101.26</v>
      </c>
      <c r="F1168" s="117" t="s">
        <v>1089</v>
      </c>
    </row>
    <row r="1169" spans="1:6" hidden="1" outlineLevel="1">
      <c r="A1169" s="932" t="s">
        <v>1090</v>
      </c>
      <c r="B1169" s="159">
        <v>0</v>
      </c>
      <c r="C1169" s="160">
        <v>0</v>
      </c>
      <c r="D1169" s="161">
        <v>60506.6</v>
      </c>
      <c r="E1169" s="134">
        <f t="shared" si="17"/>
        <v>60506.6</v>
      </c>
      <c r="F1169" s="117" t="s">
        <v>1091</v>
      </c>
    </row>
    <row r="1170" spans="1:6" hidden="1" outlineLevel="1">
      <c r="A1170" s="932" t="s">
        <v>1092</v>
      </c>
      <c r="B1170" s="159">
        <v>0</v>
      </c>
      <c r="C1170" s="160">
        <v>94174.25</v>
      </c>
      <c r="D1170" s="161">
        <v>91687.24</v>
      </c>
      <c r="E1170" s="134">
        <f t="shared" si="17"/>
        <v>185861.49</v>
      </c>
      <c r="F1170" s="117" t="s">
        <v>1093</v>
      </c>
    </row>
    <row r="1171" spans="1:6" hidden="1" outlineLevel="1">
      <c r="A1171" s="932" t="s">
        <v>1094</v>
      </c>
      <c r="B1171" s="159">
        <v>0</v>
      </c>
      <c r="C1171" s="160">
        <v>12320.25</v>
      </c>
      <c r="D1171" s="161">
        <v>6779.8</v>
      </c>
      <c r="E1171" s="134">
        <f t="shared" si="17"/>
        <v>19100.05</v>
      </c>
      <c r="F1171" s="117" t="s">
        <v>1095</v>
      </c>
    </row>
    <row r="1172" spans="1:6" hidden="1" outlineLevel="1">
      <c r="A1172" s="932" t="s">
        <v>1096</v>
      </c>
      <c r="B1172" s="159">
        <v>0</v>
      </c>
      <c r="C1172" s="160">
        <v>0</v>
      </c>
      <c r="D1172" s="161">
        <v>60602.16</v>
      </c>
      <c r="E1172" s="134">
        <f t="shared" si="17"/>
        <v>60602.16</v>
      </c>
      <c r="F1172" s="117" t="s">
        <v>1097</v>
      </c>
    </row>
    <row r="1173" spans="1:6" hidden="1" outlineLevel="1">
      <c r="A1173" s="932" t="s">
        <v>1098</v>
      </c>
      <c r="B1173" s="159">
        <v>0</v>
      </c>
      <c r="C1173" s="160">
        <v>0</v>
      </c>
      <c r="D1173" s="161">
        <v>0</v>
      </c>
      <c r="E1173" s="134">
        <f t="shared" si="17"/>
        <v>0</v>
      </c>
      <c r="F1173" s="117" t="s">
        <v>1099</v>
      </c>
    </row>
    <row r="1174" spans="1:6" hidden="1" outlineLevel="1">
      <c r="A1174" s="932" t="s">
        <v>1100</v>
      </c>
      <c r="B1174" s="159">
        <v>0</v>
      </c>
      <c r="C1174" s="160">
        <v>36538.949999999997</v>
      </c>
      <c r="D1174" s="161">
        <v>370788.71</v>
      </c>
      <c r="E1174" s="134">
        <f t="shared" si="17"/>
        <v>407327.66000000003</v>
      </c>
      <c r="F1174" s="117" t="s">
        <v>1101</v>
      </c>
    </row>
    <row r="1175" spans="1:6" hidden="1" outlineLevel="1">
      <c r="A1175" s="932" t="s">
        <v>1102</v>
      </c>
      <c r="B1175" s="159">
        <v>0</v>
      </c>
      <c r="C1175" s="160">
        <v>6814.43</v>
      </c>
      <c r="D1175" s="161">
        <v>142536.95999999999</v>
      </c>
      <c r="E1175" s="134">
        <f t="shared" si="17"/>
        <v>149351.38999999998</v>
      </c>
      <c r="F1175" s="117" t="s">
        <v>1103</v>
      </c>
    </row>
    <row r="1176" spans="1:6" hidden="1" outlineLevel="1">
      <c r="A1176" s="932" t="s">
        <v>1104</v>
      </c>
      <c r="B1176" s="159">
        <v>0</v>
      </c>
      <c r="C1176" s="160">
        <v>0</v>
      </c>
      <c r="D1176" s="161">
        <v>29452.13</v>
      </c>
      <c r="E1176" s="134">
        <f t="shared" si="17"/>
        <v>29452.13</v>
      </c>
      <c r="F1176" s="117" t="s">
        <v>1105</v>
      </c>
    </row>
    <row r="1177" spans="1:6" hidden="1" outlineLevel="1">
      <c r="A1177" s="932" t="s">
        <v>1106</v>
      </c>
      <c r="B1177" s="159">
        <v>0</v>
      </c>
      <c r="C1177" s="160">
        <v>0</v>
      </c>
      <c r="D1177" s="161">
        <v>0</v>
      </c>
      <c r="E1177" s="134">
        <f t="shared" si="17"/>
        <v>0</v>
      </c>
      <c r="F1177" s="117" t="s">
        <v>1107</v>
      </c>
    </row>
    <row r="1178" spans="1:6" hidden="1" outlineLevel="1">
      <c r="A1178" s="932" t="s">
        <v>1108</v>
      </c>
      <c r="B1178" s="159">
        <v>0</v>
      </c>
      <c r="C1178" s="160">
        <v>2679.36</v>
      </c>
      <c r="D1178" s="161">
        <v>56289.25</v>
      </c>
      <c r="E1178" s="134">
        <f t="shared" si="17"/>
        <v>58968.61</v>
      </c>
      <c r="F1178" s="117" t="s">
        <v>1109</v>
      </c>
    </row>
    <row r="1179" spans="1:6" hidden="1" outlineLevel="1">
      <c r="A1179" s="932" t="s">
        <v>1110</v>
      </c>
      <c r="B1179" s="159">
        <v>0</v>
      </c>
      <c r="C1179" s="160">
        <v>4990.3</v>
      </c>
      <c r="D1179" s="161">
        <v>35588.660000000003</v>
      </c>
      <c r="E1179" s="134">
        <f t="shared" si="17"/>
        <v>40578.960000000006</v>
      </c>
      <c r="F1179" s="117" t="s">
        <v>1111</v>
      </c>
    </row>
    <row r="1180" spans="1:6" hidden="1" outlineLevel="1">
      <c r="A1180" s="932" t="s">
        <v>1112</v>
      </c>
      <c r="B1180" s="159">
        <v>0</v>
      </c>
      <c r="C1180" s="160">
        <v>0</v>
      </c>
      <c r="D1180" s="161">
        <v>28816.21</v>
      </c>
      <c r="E1180" s="134">
        <f t="shared" si="17"/>
        <v>28816.21</v>
      </c>
      <c r="F1180" s="117" t="s">
        <v>1113</v>
      </c>
    </row>
    <row r="1181" spans="1:6" hidden="1" outlineLevel="1">
      <c r="A1181" s="932" t="s">
        <v>1114</v>
      </c>
      <c r="B1181" s="159">
        <v>0</v>
      </c>
      <c r="C1181" s="160">
        <v>660.83</v>
      </c>
      <c r="D1181" s="161">
        <v>41804.720000000001</v>
      </c>
      <c r="E1181" s="134">
        <f t="shared" si="17"/>
        <v>42465.55</v>
      </c>
      <c r="F1181" s="117" t="s">
        <v>1115</v>
      </c>
    </row>
    <row r="1182" spans="1:6" hidden="1" outlineLevel="1">
      <c r="A1182" s="932" t="s">
        <v>1116</v>
      </c>
      <c r="B1182" s="159">
        <v>0</v>
      </c>
      <c r="C1182" s="160">
        <v>0</v>
      </c>
      <c r="D1182" s="161">
        <v>17534.580000000002</v>
      </c>
      <c r="E1182" s="134">
        <f t="shared" si="17"/>
        <v>17534.580000000002</v>
      </c>
      <c r="F1182" s="117" t="s">
        <v>1117</v>
      </c>
    </row>
    <row r="1183" spans="1:6" hidden="1" outlineLevel="1">
      <c r="A1183" s="932" t="s">
        <v>1118</v>
      </c>
      <c r="B1183" s="159">
        <v>0</v>
      </c>
      <c r="C1183" s="160">
        <v>43045.21</v>
      </c>
      <c r="D1183" s="161">
        <v>249373.28</v>
      </c>
      <c r="E1183" s="134">
        <f t="shared" si="17"/>
        <v>292418.49</v>
      </c>
      <c r="F1183" s="117" t="s">
        <v>1119</v>
      </c>
    </row>
    <row r="1184" spans="1:6" hidden="1" outlineLevel="1">
      <c r="A1184" s="932" t="s">
        <v>1120</v>
      </c>
      <c r="B1184" s="159">
        <v>1229968.56</v>
      </c>
      <c r="C1184" s="160">
        <v>7444534.0099999998</v>
      </c>
      <c r="D1184" s="161">
        <v>40989936.359999999</v>
      </c>
      <c r="E1184" s="134">
        <f t="shared" si="17"/>
        <v>49664438.93</v>
      </c>
      <c r="F1184" s="117" t="s">
        <v>1121</v>
      </c>
    </row>
    <row r="1185" spans="1:6" hidden="1" outlineLevel="1">
      <c r="A1185" s="932" t="s">
        <v>1122</v>
      </c>
      <c r="B1185" s="159">
        <v>0</v>
      </c>
      <c r="C1185" s="160">
        <v>20228.09</v>
      </c>
      <c r="D1185" s="161">
        <v>154763.64000000001</v>
      </c>
      <c r="E1185" s="134">
        <f t="shared" si="17"/>
        <v>174991.73</v>
      </c>
      <c r="F1185" s="117" t="s">
        <v>1123</v>
      </c>
    </row>
    <row r="1186" spans="1:6" hidden="1" outlineLevel="1">
      <c r="A1186" s="932" t="s">
        <v>1122</v>
      </c>
      <c r="B1186" s="159">
        <v>0</v>
      </c>
      <c r="C1186" s="160">
        <v>2984.86</v>
      </c>
      <c r="D1186" s="161">
        <v>411577.08</v>
      </c>
      <c r="E1186" s="134">
        <f t="shared" si="17"/>
        <v>414561.94</v>
      </c>
      <c r="F1186" s="117" t="s">
        <v>1123</v>
      </c>
    </row>
    <row r="1187" spans="1:6" hidden="1" outlineLevel="1">
      <c r="A1187" s="932" t="s">
        <v>1124</v>
      </c>
      <c r="B1187" s="159">
        <v>0</v>
      </c>
      <c r="C1187" s="160">
        <v>0</v>
      </c>
      <c r="D1187" s="161">
        <v>0</v>
      </c>
      <c r="E1187" s="134">
        <f t="shared" si="17"/>
        <v>0</v>
      </c>
      <c r="F1187" s="117" t="s">
        <v>1125</v>
      </c>
    </row>
    <row r="1188" spans="1:6" hidden="1" outlineLevel="1">
      <c r="A1188" s="932" t="s">
        <v>1126</v>
      </c>
      <c r="B1188" s="159">
        <v>0</v>
      </c>
      <c r="C1188" s="160">
        <v>12373.97</v>
      </c>
      <c r="D1188" s="161">
        <v>62834.48</v>
      </c>
      <c r="E1188" s="134">
        <f t="shared" si="17"/>
        <v>75208.45</v>
      </c>
      <c r="F1188" s="117" t="s">
        <v>1127</v>
      </c>
    </row>
    <row r="1189" spans="1:6" hidden="1" outlineLevel="1">
      <c r="A1189" s="932" t="s">
        <v>1128</v>
      </c>
      <c r="B1189" s="159">
        <v>0</v>
      </c>
      <c r="C1189" s="160">
        <v>0</v>
      </c>
      <c r="D1189" s="161">
        <v>190092.16</v>
      </c>
      <c r="E1189" s="134">
        <f t="shared" si="17"/>
        <v>190092.16</v>
      </c>
      <c r="F1189" s="117" t="s">
        <v>1129</v>
      </c>
    </row>
    <row r="1190" spans="1:6" hidden="1" outlineLevel="1">
      <c r="A1190" s="932" t="s">
        <v>1130</v>
      </c>
      <c r="B1190" s="159">
        <v>0</v>
      </c>
      <c r="C1190" s="160">
        <v>0</v>
      </c>
      <c r="D1190" s="161">
        <v>5891.32</v>
      </c>
      <c r="E1190" s="134">
        <f t="shared" si="17"/>
        <v>5891.32</v>
      </c>
      <c r="F1190" s="117" t="s">
        <v>1131</v>
      </c>
    </row>
    <row r="1191" spans="1:6" hidden="1" outlineLevel="1">
      <c r="A1191" s="932" t="s">
        <v>1132</v>
      </c>
      <c r="B1191" s="159">
        <v>0</v>
      </c>
      <c r="C1191" s="160">
        <v>0</v>
      </c>
      <c r="D1191" s="161">
        <v>54578.76</v>
      </c>
      <c r="E1191" s="134">
        <f t="shared" si="17"/>
        <v>54578.76</v>
      </c>
      <c r="F1191" s="117" t="s">
        <v>1133</v>
      </c>
    </row>
    <row r="1192" spans="1:6" hidden="1" outlineLevel="1">
      <c r="A1192" s="932" t="s">
        <v>1134</v>
      </c>
      <c r="B1192" s="159">
        <v>0</v>
      </c>
      <c r="C1192" s="160">
        <v>0</v>
      </c>
      <c r="D1192" s="161">
        <v>7698.08</v>
      </c>
      <c r="E1192" s="134">
        <f t="shared" si="17"/>
        <v>7698.08</v>
      </c>
      <c r="F1192" s="117" t="s">
        <v>1135</v>
      </c>
    </row>
    <row r="1193" spans="1:6" hidden="1" outlineLevel="1">
      <c r="A1193" s="932" t="s">
        <v>1136</v>
      </c>
      <c r="B1193" s="159">
        <v>0</v>
      </c>
      <c r="C1193" s="160">
        <v>0</v>
      </c>
      <c r="D1193" s="161">
        <v>40124.199999999997</v>
      </c>
      <c r="E1193" s="134">
        <f t="shared" si="17"/>
        <v>40124.199999999997</v>
      </c>
      <c r="F1193" s="117" t="s">
        <v>1137</v>
      </c>
    </row>
    <row r="1194" spans="1:6" hidden="1" outlineLevel="1">
      <c r="A1194" s="932" t="s">
        <v>1138</v>
      </c>
      <c r="B1194" s="159">
        <v>0</v>
      </c>
      <c r="C1194" s="160">
        <v>252249.51</v>
      </c>
      <c r="D1194" s="161">
        <v>336891.21</v>
      </c>
      <c r="E1194" s="134">
        <f t="shared" si="17"/>
        <v>589140.72</v>
      </c>
      <c r="F1194" s="117" t="s">
        <v>1139</v>
      </c>
    </row>
    <row r="1195" spans="1:6" hidden="1" outlineLevel="1">
      <c r="A1195" s="932" t="s">
        <v>726</v>
      </c>
      <c r="B1195" s="159">
        <v>0</v>
      </c>
      <c r="C1195" s="160">
        <v>0</v>
      </c>
      <c r="D1195" s="161">
        <v>0</v>
      </c>
      <c r="E1195" s="134">
        <f t="shared" si="17"/>
        <v>0</v>
      </c>
      <c r="F1195" s="117" t="s">
        <v>727</v>
      </c>
    </row>
    <row r="1196" spans="1:6" hidden="1" outlineLevel="1">
      <c r="A1196" s="932" t="s">
        <v>1140</v>
      </c>
      <c r="B1196" s="159">
        <v>0</v>
      </c>
      <c r="C1196" s="160">
        <v>394099.07</v>
      </c>
      <c r="D1196" s="161">
        <v>449945.29</v>
      </c>
      <c r="E1196" s="134">
        <f t="shared" si="17"/>
        <v>844044.36</v>
      </c>
      <c r="F1196" s="117" t="s">
        <v>1141</v>
      </c>
    </row>
    <row r="1197" spans="1:6" hidden="1" outlineLevel="1">
      <c r="A1197" s="932" t="s">
        <v>1142</v>
      </c>
      <c r="B1197" s="159">
        <v>0</v>
      </c>
      <c r="C1197" s="160">
        <v>18059.580000000002</v>
      </c>
      <c r="D1197" s="161">
        <v>305384.44</v>
      </c>
      <c r="E1197" s="134">
        <f t="shared" si="17"/>
        <v>323444.02</v>
      </c>
      <c r="F1197" s="117" t="s">
        <v>1143</v>
      </c>
    </row>
    <row r="1198" spans="1:6" hidden="1" outlineLevel="1">
      <c r="A1198" s="932" t="s">
        <v>730</v>
      </c>
      <c r="B1198" s="159">
        <v>0</v>
      </c>
      <c r="C1198" s="160">
        <v>0</v>
      </c>
      <c r="D1198" s="161">
        <v>0</v>
      </c>
      <c r="E1198" s="134">
        <f t="shared" si="17"/>
        <v>0</v>
      </c>
      <c r="F1198" s="117" t="s">
        <v>731</v>
      </c>
    </row>
    <row r="1199" spans="1:6" hidden="1" outlineLevel="1">
      <c r="A1199" s="932" t="s">
        <v>1144</v>
      </c>
      <c r="B1199" s="159">
        <v>0</v>
      </c>
      <c r="C1199" s="160">
        <v>0</v>
      </c>
      <c r="D1199" s="161">
        <v>43622.400000000001</v>
      </c>
      <c r="E1199" s="134">
        <f t="shared" si="17"/>
        <v>43622.400000000001</v>
      </c>
      <c r="F1199" s="117" t="s">
        <v>1145</v>
      </c>
    </row>
    <row r="1200" spans="1:6" hidden="1" outlineLevel="1">
      <c r="A1200" s="932" t="s">
        <v>1146</v>
      </c>
      <c r="B1200" s="159">
        <v>0</v>
      </c>
      <c r="C1200" s="160">
        <v>21283.93</v>
      </c>
      <c r="D1200" s="161">
        <v>225431.29</v>
      </c>
      <c r="E1200" s="134">
        <f t="shared" ref="E1200:E1241" si="18">SUM(B1200:D1200)</f>
        <v>246715.22</v>
      </c>
      <c r="F1200" s="117" t="s">
        <v>1147</v>
      </c>
    </row>
    <row r="1201" spans="1:6" hidden="1" outlineLevel="1">
      <c r="A1201" s="932" t="s">
        <v>1148</v>
      </c>
      <c r="B1201" s="159">
        <v>0</v>
      </c>
      <c r="C1201" s="160">
        <v>537.16</v>
      </c>
      <c r="D1201" s="161">
        <v>42054.2</v>
      </c>
      <c r="E1201" s="134">
        <f t="shared" si="18"/>
        <v>42591.360000000001</v>
      </c>
      <c r="F1201" s="117" t="s">
        <v>1149</v>
      </c>
    </row>
    <row r="1202" spans="1:6" hidden="1" outlineLevel="1">
      <c r="A1202" s="932" t="s">
        <v>1150</v>
      </c>
      <c r="B1202" s="159">
        <v>0</v>
      </c>
      <c r="C1202" s="160">
        <v>0</v>
      </c>
      <c r="D1202" s="161">
        <v>4519397.3499999996</v>
      </c>
      <c r="E1202" s="134">
        <f t="shared" si="18"/>
        <v>4519397.3499999996</v>
      </c>
      <c r="F1202" s="117" t="s">
        <v>1151</v>
      </c>
    </row>
    <row r="1203" spans="1:6" hidden="1" outlineLevel="1">
      <c r="A1203" s="932" t="s">
        <v>1152</v>
      </c>
      <c r="B1203" s="159">
        <v>0</v>
      </c>
      <c r="C1203" s="160">
        <v>1401.03</v>
      </c>
      <c r="D1203" s="161">
        <v>185742.21</v>
      </c>
      <c r="E1203" s="134">
        <f t="shared" si="18"/>
        <v>187143.24</v>
      </c>
      <c r="F1203" s="117" t="s">
        <v>1153</v>
      </c>
    </row>
    <row r="1204" spans="1:6" hidden="1" outlineLevel="1">
      <c r="A1204" s="932" t="s">
        <v>1154</v>
      </c>
      <c r="B1204" s="159">
        <v>0</v>
      </c>
      <c r="C1204" s="160">
        <v>0</v>
      </c>
      <c r="D1204" s="161">
        <v>0</v>
      </c>
      <c r="E1204" s="134">
        <f t="shared" si="18"/>
        <v>0</v>
      </c>
      <c r="F1204" s="117" t="s">
        <v>1155</v>
      </c>
    </row>
    <row r="1205" spans="1:6" hidden="1" outlineLevel="1">
      <c r="A1205" s="932" t="s">
        <v>1156</v>
      </c>
      <c r="B1205" s="159">
        <v>0</v>
      </c>
      <c r="C1205" s="160">
        <v>1100.07</v>
      </c>
      <c r="D1205" s="161">
        <v>1690056.59</v>
      </c>
      <c r="E1205" s="134">
        <f t="shared" si="18"/>
        <v>1691156.6600000001</v>
      </c>
      <c r="F1205" s="117" t="s">
        <v>1157</v>
      </c>
    </row>
    <row r="1206" spans="1:6" hidden="1" outlineLevel="1">
      <c r="A1206" s="932" t="s">
        <v>1158</v>
      </c>
      <c r="B1206" s="159">
        <v>0</v>
      </c>
      <c r="C1206" s="160">
        <v>0</v>
      </c>
      <c r="D1206" s="161">
        <v>212484.58</v>
      </c>
      <c r="E1206" s="134">
        <f t="shared" si="18"/>
        <v>212484.58</v>
      </c>
      <c r="F1206" s="117" t="s">
        <v>1159</v>
      </c>
    </row>
    <row r="1207" spans="1:6" hidden="1" outlineLevel="1">
      <c r="A1207" s="932" t="s">
        <v>1160</v>
      </c>
      <c r="B1207" s="159">
        <v>0</v>
      </c>
      <c r="C1207" s="160">
        <v>40149.980000000003</v>
      </c>
      <c r="D1207" s="161">
        <v>100273.44</v>
      </c>
      <c r="E1207" s="134">
        <f t="shared" si="18"/>
        <v>140423.42000000001</v>
      </c>
      <c r="F1207" s="117" t="s">
        <v>1161</v>
      </c>
    </row>
    <row r="1208" spans="1:6" hidden="1" outlineLevel="1">
      <c r="A1208" s="932" t="s">
        <v>1162</v>
      </c>
      <c r="B1208" s="159">
        <v>0</v>
      </c>
      <c r="C1208" s="160">
        <v>0</v>
      </c>
      <c r="D1208" s="161">
        <v>9944.67</v>
      </c>
      <c r="E1208" s="134">
        <f t="shared" si="18"/>
        <v>9944.67</v>
      </c>
      <c r="F1208" s="117" t="s">
        <v>1163</v>
      </c>
    </row>
    <row r="1209" spans="1:6" hidden="1" outlineLevel="1">
      <c r="A1209" s="932" t="s">
        <v>1164</v>
      </c>
      <c r="B1209" s="159">
        <v>0</v>
      </c>
      <c r="C1209" s="160">
        <v>0</v>
      </c>
      <c r="D1209" s="161">
        <v>6241.04</v>
      </c>
      <c r="E1209" s="134">
        <f t="shared" si="18"/>
        <v>6241.04</v>
      </c>
      <c r="F1209" s="117" t="s">
        <v>1165</v>
      </c>
    </row>
    <row r="1210" spans="1:6" hidden="1" outlineLevel="1">
      <c r="A1210" s="932" t="s">
        <v>1166</v>
      </c>
      <c r="B1210" s="159">
        <v>0</v>
      </c>
      <c r="C1210" s="160">
        <v>0</v>
      </c>
      <c r="D1210" s="161">
        <v>0</v>
      </c>
      <c r="E1210" s="134">
        <f t="shared" si="18"/>
        <v>0</v>
      </c>
      <c r="F1210" s="117" t="s">
        <v>1167</v>
      </c>
    </row>
    <row r="1211" spans="1:6" hidden="1" outlineLevel="1">
      <c r="A1211" s="932" t="s">
        <v>1168</v>
      </c>
      <c r="B1211" s="159">
        <v>0</v>
      </c>
      <c r="C1211" s="160">
        <v>0</v>
      </c>
      <c r="D1211" s="161">
        <v>0</v>
      </c>
      <c r="E1211" s="134">
        <f t="shared" si="18"/>
        <v>0</v>
      </c>
      <c r="F1211" s="117" t="s">
        <v>1169</v>
      </c>
    </row>
    <row r="1212" spans="1:6" hidden="1" outlineLevel="1">
      <c r="A1212" s="932" t="s">
        <v>1170</v>
      </c>
      <c r="B1212" s="159">
        <v>0</v>
      </c>
      <c r="C1212" s="160">
        <v>4901.08</v>
      </c>
      <c r="D1212" s="161">
        <v>100099.65</v>
      </c>
      <c r="E1212" s="134">
        <f t="shared" si="18"/>
        <v>105000.73</v>
      </c>
      <c r="F1212" s="117" t="s">
        <v>1171</v>
      </c>
    </row>
    <row r="1213" spans="1:6" hidden="1" outlineLevel="1">
      <c r="A1213" s="932" t="s">
        <v>1172</v>
      </c>
      <c r="B1213" s="159">
        <v>0</v>
      </c>
      <c r="C1213" s="160">
        <v>21556.67</v>
      </c>
      <c r="D1213" s="161">
        <v>62291.040000000001</v>
      </c>
      <c r="E1213" s="134">
        <f t="shared" si="18"/>
        <v>83847.709999999992</v>
      </c>
      <c r="F1213" s="117" t="s">
        <v>1173</v>
      </c>
    </row>
    <row r="1214" spans="1:6" hidden="1" outlineLevel="1">
      <c r="A1214" s="932" t="s">
        <v>1174</v>
      </c>
      <c r="B1214" s="159">
        <v>0</v>
      </c>
      <c r="C1214" s="160">
        <v>9424.01</v>
      </c>
      <c r="D1214" s="161">
        <v>5885696.4900000002</v>
      </c>
      <c r="E1214" s="134">
        <f t="shared" si="18"/>
        <v>5895120.5</v>
      </c>
      <c r="F1214" s="117" t="s">
        <v>1175</v>
      </c>
    </row>
    <row r="1215" spans="1:6" hidden="1" outlineLevel="1">
      <c r="A1215" s="932" t="s">
        <v>1176</v>
      </c>
      <c r="B1215" s="159">
        <v>0</v>
      </c>
      <c r="C1215" s="160">
        <v>18876.95</v>
      </c>
      <c r="D1215" s="161">
        <v>332444.53999999998</v>
      </c>
      <c r="E1215" s="134">
        <f t="shared" si="18"/>
        <v>351321.49</v>
      </c>
      <c r="F1215" s="117" t="s">
        <v>1177</v>
      </c>
    </row>
    <row r="1216" spans="1:6" hidden="1" outlineLevel="1">
      <c r="A1216" s="932" t="s">
        <v>1178</v>
      </c>
      <c r="B1216" s="159">
        <v>0</v>
      </c>
      <c r="C1216" s="160">
        <v>1474.33</v>
      </c>
      <c r="D1216" s="161">
        <v>41307.72</v>
      </c>
      <c r="E1216" s="134">
        <f t="shared" si="18"/>
        <v>42782.05</v>
      </c>
      <c r="F1216" s="117" t="s">
        <v>1179</v>
      </c>
    </row>
    <row r="1217" spans="1:6" hidden="1" outlineLevel="1">
      <c r="A1217" s="932" t="s">
        <v>1180</v>
      </c>
      <c r="B1217" s="159">
        <v>0</v>
      </c>
      <c r="C1217" s="160">
        <v>7950.86</v>
      </c>
      <c r="D1217" s="161">
        <v>119741.85</v>
      </c>
      <c r="E1217" s="134">
        <f t="shared" si="18"/>
        <v>127692.71</v>
      </c>
      <c r="F1217" s="117" t="s">
        <v>1181</v>
      </c>
    </row>
    <row r="1218" spans="1:6" hidden="1" outlineLevel="1">
      <c r="A1218" s="932" t="s">
        <v>1182</v>
      </c>
      <c r="B1218" s="159">
        <v>0</v>
      </c>
      <c r="C1218" s="160">
        <v>17293.5</v>
      </c>
      <c r="D1218" s="161">
        <v>120249.16</v>
      </c>
      <c r="E1218" s="134">
        <f t="shared" si="18"/>
        <v>137542.66</v>
      </c>
      <c r="F1218" s="117" t="s">
        <v>1183</v>
      </c>
    </row>
    <row r="1219" spans="1:6" hidden="1" outlineLevel="1">
      <c r="A1219" s="932" t="s">
        <v>1184</v>
      </c>
      <c r="B1219" s="159">
        <v>0</v>
      </c>
      <c r="C1219" s="160">
        <v>0</v>
      </c>
      <c r="D1219" s="161">
        <v>10489.08</v>
      </c>
      <c r="E1219" s="134">
        <f t="shared" si="18"/>
        <v>10489.08</v>
      </c>
      <c r="F1219" s="117" t="s">
        <v>1185</v>
      </c>
    </row>
    <row r="1220" spans="1:6" hidden="1" outlineLevel="1">
      <c r="A1220" s="932" t="s">
        <v>1186</v>
      </c>
      <c r="B1220" s="159">
        <v>0</v>
      </c>
      <c r="C1220" s="160">
        <v>0</v>
      </c>
      <c r="D1220" s="161">
        <v>0</v>
      </c>
      <c r="E1220" s="134">
        <f t="shared" si="18"/>
        <v>0</v>
      </c>
      <c r="F1220" s="117" t="s">
        <v>1187</v>
      </c>
    </row>
    <row r="1221" spans="1:6" hidden="1" outlineLevel="1">
      <c r="A1221" s="932" t="s">
        <v>1186</v>
      </c>
      <c r="B1221" s="159">
        <v>0</v>
      </c>
      <c r="C1221" s="160">
        <v>0</v>
      </c>
      <c r="D1221" s="161">
        <v>0</v>
      </c>
      <c r="E1221" s="134">
        <f t="shared" si="18"/>
        <v>0</v>
      </c>
      <c r="F1221" s="117" t="s">
        <v>1187</v>
      </c>
    </row>
    <row r="1222" spans="1:6" hidden="1" outlineLevel="1">
      <c r="A1222" s="932" t="s">
        <v>1186</v>
      </c>
      <c r="B1222" s="159">
        <v>0</v>
      </c>
      <c r="C1222" s="160">
        <v>0</v>
      </c>
      <c r="D1222" s="161">
        <v>0</v>
      </c>
      <c r="E1222" s="134">
        <f t="shared" si="18"/>
        <v>0</v>
      </c>
      <c r="F1222" s="117" t="s">
        <v>1187</v>
      </c>
    </row>
    <row r="1223" spans="1:6" hidden="1" outlineLevel="1">
      <c r="A1223" s="932" t="s">
        <v>1188</v>
      </c>
      <c r="B1223" s="159">
        <v>0</v>
      </c>
      <c r="C1223" s="160">
        <v>3594.13</v>
      </c>
      <c r="D1223" s="161">
        <v>17707.16</v>
      </c>
      <c r="E1223" s="134">
        <f t="shared" si="18"/>
        <v>21301.29</v>
      </c>
      <c r="F1223" s="117" t="s">
        <v>1189</v>
      </c>
    </row>
    <row r="1224" spans="1:6" hidden="1" outlineLevel="1">
      <c r="A1224" s="932" t="s">
        <v>1190</v>
      </c>
      <c r="B1224" s="159">
        <v>0</v>
      </c>
      <c r="C1224" s="160">
        <v>725.54</v>
      </c>
      <c r="D1224" s="161">
        <v>32915.32</v>
      </c>
      <c r="E1224" s="134">
        <f t="shared" si="18"/>
        <v>33640.86</v>
      </c>
      <c r="F1224" s="117" t="s">
        <v>1191</v>
      </c>
    </row>
    <row r="1225" spans="1:6" hidden="1" outlineLevel="1">
      <c r="A1225" s="932" t="s">
        <v>1192</v>
      </c>
      <c r="B1225" s="159">
        <v>0</v>
      </c>
      <c r="C1225" s="160">
        <v>0</v>
      </c>
      <c r="D1225" s="161">
        <v>4398.24</v>
      </c>
      <c r="E1225" s="134">
        <f t="shared" si="18"/>
        <v>4398.24</v>
      </c>
      <c r="F1225" s="117" t="s">
        <v>1193</v>
      </c>
    </row>
    <row r="1226" spans="1:6" hidden="1" outlineLevel="1">
      <c r="A1226" s="932" t="s">
        <v>1194</v>
      </c>
      <c r="B1226" s="159">
        <v>0</v>
      </c>
      <c r="C1226" s="160">
        <v>10936.96</v>
      </c>
      <c r="D1226" s="161">
        <v>10061.120000000001</v>
      </c>
      <c r="E1226" s="134">
        <f t="shared" si="18"/>
        <v>20998.080000000002</v>
      </c>
      <c r="F1226" s="117" t="s">
        <v>1195</v>
      </c>
    </row>
    <row r="1227" spans="1:6" hidden="1" outlineLevel="1">
      <c r="A1227" s="932" t="s">
        <v>1196</v>
      </c>
      <c r="B1227" s="159">
        <v>0</v>
      </c>
      <c r="C1227" s="160">
        <v>0</v>
      </c>
      <c r="D1227" s="161">
        <v>0</v>
      </c>
      <c r="E1227" s="134">
        <f t="shared" si="18"/>
        <v>0</v>
      </c>
      <c r="F1227" s="117" t="s">
        <v>1197</v>
      </c>
    </row>
    <row r="1228" spans="1:6" hidden="1" outlineLevel="1">
      <c r="A1228" s="932" t="s">
        <v>1198</v>
      </c>
      <c r="B1228" s="159">
        <v>0</v>
      </c>
      <c r="C1228" s="160">
        <v>20777.919999999998</v>
      </c>
      <c r="D1228" s="161">
        <v>9495.48</v>
      </c>
      <c r="E1228" s="134">
        <f t="shared" si="18"/>
        <v>30273.399999999998</v>
      </c>
      <c r="F1228" s="117" t="s">
        <v>1199</v>
      </c>
    </row>
    <row r="1229" spans="1:6" hidden="1" outlineLevel="1">
      <c r="A1229" s="932" t="s">
        <v>1200</v>
      </c>
      <c r="B1229" s="159">
        <v>0</v>
      </c>
      <c r="C1229" s="160">
        <v>58784.1</v>
      </c>
      <c r="D1229" s="161">
        <v>63185.3</v>
      </c>
      <c r="E1229" s="134">
        <f t="shared" si="18"/>
        <v>121969.4</v>
      </c>
      <c r="F1229" s="117" t="s">
        <v>1201</v>
      </c>
    </row>
    <row r="1230" spans="1:6" hidden="1" outlineLevel="1">
      <c r="A1230" s="932" t="s">
        <v>1202</v>
      </c>
      <c r="B1230" s="159">
        <v>0</v>
      </c>
      <c r="C1230" s="160">
        <v>17097.66</v>
      </c>
      <c r="D1230" s="161">
        <v>1713.8</v>
      </c>
      <c r="E1230" s="134">
        <f t="shared" si="18"/>
        <v>18811.46</v>
      </c>
      <c r="F1230" s="117" t="s">
        <v>1203</v>
      </c>
    </row>
    <row r="1231" spans="1:6" hidden="1" outlineLevel="1">
      <c r="A1231" s="932" t="s">
        <v>1202</v>
      </c>
      <c r="B1231" s="159">
        <v>0</v>
      </c>
      <c r="C1231" s="160">
        <v>0</v>
      </c>
      <c r="D1231" s="161">
        <v>0</v>
      </c>
      <c r="E1231" s="134">
        <f t="shared" si="18"/>
        <v>0</v>
      </c>
      <c r="F1231" s="117" t="s">
        <v>1203</v>
      </c>
    </row>
    <row r="1232" spans="1:6" hidden="1" outlineLevel="1">
      <c r="A1232" s="932" t="s">
        <v>1202</v>
      </c>
      <c r="B1232" s="159">
        <v>0</v>
      </c>
      <c r="C1232" s="160">
        <v>0</v>
      </c>
      <c r="D1232" s="161">
        <v>0</v>
      </c>
      <c r="E1232" s="134">
        <f t="shared" si="18"/>
        <v>0</v>
      </c>
      <c r="F1232" s="117" t="s">
        <v>1203</v>
      </c>
    </row>
    <row r="1233" spans="1:6" hidden="1" outlineLevel="1">
      <c r="A1233" s="932" t="s">
        <v>1204</v>
      </c>
      <c r="B1233" s="159">
        <v>0</v>
      </c>
      <c r="C1233" s="160">
        <v>0</v>
      </c>
      <c r="D1233" s="161">
        <v>26880</v>
      </c>
      <c r="E1233" s="134">
        <f t="shared" si="18"/>
        <v>26880</v>
      </c>
      <c r="F1233" s="117" t="s">
        <v>1205</v>
      </c>
    </row>
    <row r="1234" spans="1:6" hidden="1" outlineLevel="1">
      <c r="A1234" s="932" t="s">
        <v>1206</v>
      </c>
      <c r="B1234" s="159">
        <v>0</v>
      </c>
      <c r="C1234" s="160">
        <v>450.33</v>
      </c>
      <c r="D1234" s="161">
        <v>52676.68</v>
      </c>
      <c r="E1234" s="134">
        <f t="shared" si="18"/>
        <v>53127.01</v>
      </c>
      <c r="F1234" s="117" t="s">
        <v>1207</v>
      </c>
    </row>
    <row r="1235" spans="1:6" hidden="1" outlineLevel="1">
      <c r="A1235" s="932" t="s">
        <v>1208</v>
      </c>
      <c r="B1235" s="159">
        <v>0</v>
      </c>
      <c r="C1235" s="160">
        <v>753.72</v>
      </c>
      <c r="D1235" s="161">
        <v>6294.92</v>
      </c>
      <c r="E1235" s="134">
        <f t="shared" si="18"/>
        <v>7048.64</v>
      </c>
      <c r="F1235" s="117" t="s">
        <v>1209</v>
      </c>
    </row>
    <row r="1236" spans="1:6" hidden="1" outlineLevel="1">
      <c r="A1236" s="932" t="s">
        <v>1210</v>
      </c>
      <c r="B1236" s="159">
        <v>0</v>
      </c>
      <c r="C1236" s="160">
        <v>13647.41</v>
      </c>
      <c r="D1236" s="161">
        <v>2606044.5299999998</v>
      </c>
      <c r="E1236" s="134">
        <f t="shared" si="18"/>
        <v>2619691.94</v>
      </c>
      <c r="F1236" s="117" t="s">
        <v>1211</v>
      </c>
    </row>
    <row r="1237" spans="1:6" hidden="1" outlineLevel="1">
      <c r="A1237" s="932" t="s">
        <v>1212</v>
      </c>
      <c r="B1237" s="159">
        <v>0</v>
      </c>
      <c r="C1237" s="160">
        <v>9854.5300000000007</v>
      </c>
      <c r="D1237" s="161">
        <v>124667.96</v>
      </c>
      <c r="E1237" s="134">
        <f t="shared" si="18"/>
        <v>134522.49000000002</v>
      </c>
      <c r="F1237" s="117" t="s">
        <v>1213</v>
      </c>
    </row>
    <row r="1238" spans="1:6" hidden="1" outlineLevel="1">
      <c r="A1238" s="932" t="s">
        <v>1214</v>
      </c>
      <c r="B1238" s="159">
        <v>0</v>
      </c>
      <c r="C1238" s="160">
        <v>0</v>
      </c>
      <c r="D1238" s="161">
        <v>4509630.3899999997</v>
      </c>
      <c r="E1238" s="134">
        <f t="shared" si="18"/>
        <v>4509630.3899999997</v>
      </c>
      <c r="F1238" s="117" t="s">
        <v>1215</v>
      </c>
    </row>
    <row r="1239" spans="1:6" hidden="1" outlineLevel="1">
      <c r="A1239" s="932" t="s">
        <v>768</v>
      </c>
      <c r="B1239" s="159">
        <v>0</v>
      </c>
      <c r="C1239" s="160">
        <v>0</v>
      </c>
      <c r="D1239" s="161">
        <v>30259.89</v>
      </c>
      <c r="E1239" s="134">
        <f t="shared" si="18"/>
        <v>30259.89</v>
      </c>
      <c r="F1239" s="117" t="s">
        <v>769</v>
      </c>
    </row>
    <row r="1240" spans="1:6" hidden="1" outlineLevel="1">
      <c r="A1240" s="932" t="s">
        <v>1216</v>
      </c>
      <c r="B1240" s="159">
        <v>0</v>
      </c>
      <c r="C1240" s="160">
        <v>0</v>
      </c>
      <c r="D1240" s="161">
        <v>14775.44</v>
      </c>
      <c r="E1240" s="134">
        <f t="shared" si="18"/>
        <v>14775.44</v>
      </c>
      <c r="F1240" s="117" t="s">
        <v>1217</v>
      </c>
    </row>
    <row r="1241" spans="1:6" hidden="1" outlineLevel="1">
      <c r="A1241" s="932" t="s">
        <v>1218</v>
      </c>
      <c r="B1241" s="159">
        <v>0</v>
      </c>
      <c r="C1241" s="160">
        <v>0</v>
      </c>
      <c r="D1241" s="161">
        <v>49614.01</v>
      </c>
      <c r="E1241" s="134">
        <f t="shared" si="18"/>
        <v>49614.01</v>
      </c>
      <c r="F1241" s="117" t="s">
        <v>1219</v>
      </c>
    </row>
    <row r="1242" spans="1:6" collapsed="1">
      <c r="A1242" s="932" t="str">
        <f>A403</f>
        <v>Regelzone TenneT (gesamt)</v>
      </c>
      <c r="B1242" s="164">
        <f>SUM(B1243:B1557)</f>
        <v>1067321.1299999999</v>
      </c>
      <c r="C1242" s="165">
        <f>SUM(C1243:C1557)</f>
        <v>9512529.3399999999</v>
      </c>
      <c r="D1242" s="166">
        <f>SUM(D1243:D1557)</f>
        <v>274101840.85999995</v>
      </c>
      <c r="E1242" s="134">
        <f t="shared" si="14"/>
        <v>284681691.32999992</v>
      </c>
      <c r="F1242" s="119"/>
    </row>
    <row r="1243" spans="1:6" hidden="1" outlineLevel="1">
      <c r="A1243" s="753" t="s">
        <v>456</v>
      </c>
      <c r="B1243" s="152">
        <v>0</v>
      </c>
      <c r="C1243" s="167">
        <v>0</v>
      </c>
      <c r="D1243" s="168">
        <v>3318.7400000000002</v>
      </c>
      <c r="E1243" s="135">
        <f t="shared" ref="E1243:E1306" si="19">SUM(B1243:D1243)</f>
        <v>3318.7400000000002</v>
      </c>
      <c r="F1243" t="s">
        <v>457</v>
      </c>
    </row>
    <row r="1244" spans="1:6" hidden="1" outlineLevel="1">
      <c r="A1244" s="753" t="s">
        <v>1221</v>
      </c>
      <c r="B1244" s="152">
        <v>0</v>
      </c>
      <c r="C1244" s="167">
        <v>67428.05</v>
      </c>
      <c r="D1244" s="168">
        <v>1083605.78</v>
      </c>
      <c r="E1244" s="135">
        <f t="shared" si="19"/>
        <v>1151033.83</v>
      </c>
      <c r="F1244" t="s">
        <v>1222</v>
      </c>
    </row>
    <row r="1245" spans="1:6" hidden="1" outlineLevel="1">
      <c r="A1245" s="753" t="s">
        <v>1223</v>
      </c>
      <c r="B1245" s="152">
        <v>0</v>
      </c>
      <c r="C1245" s="167">
        <v>0</v>
      </c>
      <c r="D1245" s="168">
        <v>48933.85</v>
      </c>
      <c r="E1245" s="135">
        <f t="shared" si="19"/>
        <v>48933.85</v>
      </c>
      <c r="F1245" t="s">
        <v>1224</v>
      </c>
    </row>
    <row r="1246" spans="1:6" hidden="1" outlineLevel="1">
      <c r="A1246" s="753" t="s">
        <v>1225</v>
      </c>
      <c r="B1246" s="152">
        <v>0</v>
      </c>
      <c r="C1246" s="167">
        <v>2777.92</v>
      </c>
      <c r="D1246" s="168">
        <v>1053.08</v>
      </c>
      <c r="E1246" s="135">
        <f t="shared" si="19"/>
        <v>3831</v>
      </c>
      <c r="F1246" t="s">
        <v>1226</v>
      </c>
    </row>
    <row r="1247" spans="1:6" hidden="1" outlineLevel="1">
      <c r="A1247" s="753" t="s">
        <v>1227</v>
      </c>
      <c r="B1247" s="152">
        <v>0</v>
      </c>
      <c r="C1247" s="167">
        <v>13777.630000000001</v>
      </c>
      <c r="D1247" s="168">
        <v>105823.56999999998</v>
      </c>
      <c r="E1247" s="135">
        <f t="shared" si="19"/>
        <v>119601.19999999998</v>
      </c>
      <c r="F1247" t="s">
        <v>1228</v>
      </c>
    </row>
    <row r="1248" spans="1:6" hidden="1" outlineLevel="1">
      <c r="A1248" s="753" t="s">
        <v>1229</v>
      </c>
      <c r="B1248" s="152">
        <v>0</v>
      </c>
      <c r="C1248" s="167">
        <v>15877.05</v>
      </c>
      <c r="D1248" s="168">
        <v>220968.72000000003</v>
      </c>
      <c r="E1248" s="135">
        <f t="shared" si="19"/>
        <v>236845.77000000002</v>
      </c>
      <c r="F1248" t="s">
        <v>1230</v>
      </c>
    </row>
    <row r="1249" spans="1:6" hidden="1" outlineLevel="1">
      <c r="A1249" s="753" t="s">
        <v>779</v>
      </c>
      <c r="B1249" s="152">
        <v>0</v>
      </c>
      <c r="C1249" s="167">
        <v>295.06</v>
      </c>
      <c r="D1249" s="168">
        <v>13162.4</v>
      </c>
      <c r="E1249" s="135">
        <f t="shared" si="19"/>
        <v>13457.46</v>
      </c>
      <c r="F1249" t="s">
        <v>1231</v>
      </c>
    </row>
    <row r="1250" spans="1:6" hidden="1" outlineLevel="1">
      <c r="A1250" s="753" t="s">
        <v>1232</v>
      </c>
      <c r="B1250" s="152">
        <v>0</v>
      </c>
      <c r="C1250" s="167">
        <v>9568.94</v>
      </c>
      <c r="D1250" s="168">
        <v>121728.11000000002</v>
      </c>
      <c r="E1250" s="135">
        <f t="shared" si="19"/>
        <v>131297.05000000002</v>
      </c>
      <c r="F1250" t="s">
        <v>1233</v>
      </c>
    </row>
    <row r="1251" spans="1:6" hidden="1" outlineLevel="1">
      <c r="A1251" s="753" t="s">
        <v>1234</v>
      </c>
      <c r="B1251" s="152">
        <v>0</v>
      </c>
      <c r="C1251" s="167">
        <v>12720.699999999999</v>
      </c>
      <c r="D1251" s="168">
        <v>41400.280000000006</v>
      </c>
      <c r="E1251" s="135">
        <f t="shared" si="19"/>
        <v>54120.98</v>
      </c>
      <c r="F1251" t="s">
        <v>1235</v>
      </c>
    </row>
    <row r="1252" spans="1:6" hidden="1" outlineLevel="1">
      <c r="A1252" s="753" t="s">
        <v>1236</v>
      </c>
      <c r="B1252" s="152">
        <v>0</v>
      </c>
      <c r="C1252" s="167">
        <v>11957.45</v>
      </c>
      <c r="D1252" s="168">
        <v>58617.69000000001</v>
      </c>
      <c r="E1252" s="135">
        <f t="shared" si="19"/>
        <v>70575.140000000014</v>
      </c>
      <c r="F1252" t="s">
        <v>1237</v>
      </c>
    </row>
    <row r="1253" spans="1:6" hidden="1" outlineLevel="1">
      <c r="A1253" s="753" t="s">
        <v>1238</v>
      </c>
      <c r="B1253" s="152">
        <v>0</v>
      </c>
      <c r="C1253" s="167">
        <v>607.32000000000005</v>
      </c>
      <c r="D1253" s="168">
        <v>56431.669999999984</v>
      </c>
      <c r="E1253" s="135">
        <f t="shared" si="19"/>
        <v>57038.989999999983</v>
      </c>
      <c r="F1253" t="s">
        <v>1239</v>
      </c>
    </row>
    <row r="1254" spans="1:6" hidden="1" outlineLevel="1">
      <c r="A1254" s="753" t="s">
        <v>1240</v>
      </c>
      <c r="B1254" s="152">
        <v>0</v>
      </c>
      <c r="C1254" s="167">
        <v>22551.690000000002</v>
      </c>
      <c r="D1254" s="168">
        <v>390042.49000000005</v>
      </c>
      <c r="E1254" s="135">
        <f t="shared" si="19"/>
        <v>412594.18000000005</v>
      </c>
      <c r="F1254" t="s">
        <v>1241</v>
      </c>
    </row>
    <row r="1255" spans="1:6" hidden="1" outlineLevel="1">
      <c r="A1255" s="753" t="s">
        <v>1242</v>
      </c>
      <c r="B1255" s="152">
        <v>0</v>
      </c>
      <c r="C1255" s="167">
        <v>14485.04</v>
      </c>
      <c r="D1255" s="168">
        <v>0</v>
      </c>
      <c r="E1255" s="135">
        <f t="shared" si="19"/>
        <v>14485.04</v>
      </c>
      <c r="F1255" t="s">
        <v>1243</v>
      </c>
    </row>
    <row r="1256" spans="1:6" hidden="1" outlineLevel="1">
      <c r="A1256" s="753" t="s">
        <v>1244</v>
      </c>
      <c r="B1256" s="152">
        <v>0</v>
      </c>
      <c r="C1256" s="167">
        <v>1094.22</v>
      </c>
      <c r="D1256" s="168">
        <v>29161.320000000007</v>
      </c>
      <c r="E1256" s="135">
        <f t="shared" si="19"/>
        <v>30255.540000000008</v>
      </c>
      <c r="F1256" t="s">
        <v>1245</v>
      </c>
    </row>
    <row r="1257" spans="1:6" hidden="1" outlineLevel="1">
      <c r="A1257" s="753" t="s">
        <v>1246</v>
      </c>
      <c r="B1257" s="152">
        <v>0</v>
      </c>
      <c r="C1257" s="167">
        <v>0</v>
      </c>
      <c r="D1257" s="168">
        <v>1167.3600000000001</v>
      </c>
      <c r="E1257" s="135">
        <f t="shared" si="19"/>
        <v>1167.3600000000001</v>
      </c>
      <c r="F1257" t="s">
        <v>1247</v>
      </c>
    </row>
    <row r="1258" spans="1:6" hidden="1" outlineLevel="1">
      <c r="A1258" s="753" t="s">
        <v>1248</v>
      </c>
      <c r="B1258" s="152">
        <v>0</v>
      </c>
      <c r="C1258" s="167">
        <v>28006.54</v>
      </c>
      <c r="D1258" s="168">
        <v>8882.16</v>
      </c>
      <c r="E1258" s="135">
        <f t="shared" si="19"/>
        <v>36888.699999999997</v>
      </c>
      <c r="F1258" t="s">
        <v>1249</v>
      </c>
    </row>
    <row r="1259" spans="1:6" hidden="1" outlineLevel="1">
      <c r="A1259" s="753" t="s">
        <v>799</v>
      </c>
      <c r="B1259" s="152">
        <v>0</v>
      </c>
      <c r="C1259" s="167">
        <v>0</v>
      </c>
      <c r="D1259" s="168">
        <v>4681.7800000000007</v>
      </c>
      <c r="E1259" s="135">
        <f t="shared" si="19"/>
        <v>4681.7800000000007</v>
      </c>
      <c r="F1259" t="s">
        <v>1250</v>
      </c>
    </row>
    <row r="1260" spans="1:6" hidden="1" outlineLevel="1">
      <c r="A1260" s="753" t="s">
        <v>1251</v>
      </c>
      <c r="B1260" s="152">
        <v>0</v>
      </c>
      <c r="C1260" s="167">
        <v>5539.95</v>
      </c>
      <c r="D1260" s="168">
        <v>20843.8</v>
      </c>
      <c r="E1260" s="135">
        <f t="shared" si="19"/>
        <v>26383.75</v>
      </c>
      <c r="F1260" t="s">
        <v>1252</v>
      </c>
    </row>
    <row r="1261" spans="1:6" hidden="1" outlineLevel="1">
      <c r="A1261" s="753" t="s">
        <v>1253</v>
      </c>
      <c r="B1261" s="152">
        <v>0</v>
      </c>
      <c r="C1261" s="167">
        <v>629.51</v>
      </c>
      <c r="D1261" s="168">
        <v>19721.199999999997</v>
      </c>
      <c r="E1261" s="135">
        <f t="shared" si="19"/>
        <v>20350.709999999995</v>
      </c>
      <c r="F1261" t="s">
        <v>1254</v>
      </c>
    </row>
    <row r="1262" spans="1:6" hidden="1" outlineLevel="1">
      <c r="A1262" s="753" t="s">
        <v>1255</v>
      </c>
      <c r="B1262" s="152">
        <v>0</v>
      </c>
      <c r="C1262" s="167">
        <v>977.05</v>
      </c>
      <c r="D1262" s="168">
        <v>8161.76</v>
      </c>
      <c r="E1262" s="135">
        <f t="shared" si="19"/>
        <v>9138.81</v>
      </c>
      <c r="F1262" t="s">
        <v>1256</v>
      </c>
    </row>
    <row r="1263" spans="1:6" hidden="1" outlineLevel="1">
      <c r="A1263" s="753" t="s">
        <v>1257</v>
      </c>
      <c r="B1263" s="152">
        <v>0</v>
      </c>
      <c r="C1263" s="167">
        <v>0</v>
      </c>
      <c r="D1263" s="168">
        <v>7455.52</v>
      </c>
      <c r="E1263" s="135">
        <f t="shared" si="19"/>
        <v>7455.52</v>
      </c>
      <c r="F1263" t="s">
        <v>1258</v>
      </c>
    </row>
    <row r="1264" spans="1:6" hidden="1" outlineLevel="1">
      <c r="A1264" s="753" t="s">
        <v>1259</v>
      </c>
      <c r="B1264" s="152">
        <v>0</v>
      </c>
      <c r="C1264" s="167">
        <v>19845.34</v>
      </c>
      <c r="D1264" s="168">
        <v>6524.4</v>
      </c>
      <c r="E1264" s="135">
        <f t="shared" si="19"/>
        <v>26369.739999999998</v>
      </c>
      <c r="F1264" t="s">
        <v>1260</v>
      </c>
    </row>
    <row r="1265" spans="1:6" hidden="1" outlineLevel="1">
      <c r="A1265" s="753" t="s">
        <v>1261</v>
      </c>
      <c r="B1265" s="152">
        <v>0</v>
      </c>
      <c r="C1265" s="167">
        <v>0</v>
      </c>
      <c r="D1265" s="168">
        <v>5600</v>
      </c>
      <c r="E1265" s="135">
        <f t="shared" si="19"/>
        <v>5600</v>
      </c>
      <c r="F1265" t="s">
        <v>1262</v>
      </c>
    </row>
    <row r="1266" spans="1:6" hidden="1" outlineLevel="1">
      <c r="A1266" s="753" t="s">
        <v>1263</v>
      </c>
      <c r="B1266" s="152">
        <v>0</v>
      </c>
      <c r="C1266" s="167">
        <v>17043.009999999998</v>
      </c>
      <c r="D1266" s="168">
        <v>8980.4800000000014</v>
      </c>
      <c r="E1266" s="135">
        <f t="shared" si="19"/>
        <v>26023.489999999998</v>
      </c>
      <c r="F1266" t="s">
        <v>1264</v>
      </c>
    </row>
    <row r="1267" spans="1:6" hidden="1" outlineLevel="1">
      <c r="A1267" s="753" t="s">
        <v>1265</v>
      </c>
      <c r="B1267" s="152">
        <v>0</v>
      </c>
      <c r="C1267" s="167">
        <v>176278.08</v>
      </c>
      <c r="D1267" s="168">
        <v>5670969.4200000009</v>
      </c>
      <c r="E1267" s="135">
        <f t="shared" si="19"/>
        <v>5847247.5000000009</v>
      </c>
      <c r="F1267" t="s">
        <v>1266</v>
      </c>
    </row>
    <row r="1268" spans="1:6" hidden="1" outlineLevel="1">
      <c r="A1268" s="753" t="s">
        <v>1267</v>
      </c>
      <c r="B1268" s="152">
        <v>0</v>
      </c>
      <c r="C1268" s="167">
        <v>13.96</v>
      </c>
      <c r="D1268" s="168">
        <v>1972.52</v>
      </c>
      <c r="E1268" s="135">
        <f t="shared" si="19"/>
        <v>1986.48</v>
      </c>
      <c r="F1268" t="s">
        <v>1268</v>
      </c>
    </row>
    <row r="1269" spans="1:6" hidden="1" outlineLevel="1">
      <c r="A1269" s="753" t="s">
        <v>1269</v>
      </c>
      <c r="B1269" s="152">
        <v>0</v>
      </c>
      <c r="C1269" s="167">
        <v>609.16999999999996</v>
      </c>
      <c r="D1269" s="168">
        <v>39226.770000000004</v>
      </c>
      <c r="E1269" s="135">
        <f t="shared" si="19"/>
        <v>39835.94</v>
      </c>
      <c r="F1269" t="s">
        <v>1270</v>
      </c>
    </row>
    <row r="1270" spans="1:6" hidden="1" outlineLevel="1">
      <c r="A1270" s="753" t="s">
        <v>1271</v>
      </c>
      <c r="B1270" s="152">
        <v>0</v>
      </c>
      <c r="C1270" s="167">
        <v>7805.8300000000008</v>
      </c>
      <c r="D1270" s="168">
        <v>174081.55</v>
      </c>
      <c r="E1270" s="135">
        <f t="shared" si="19"/>
        <v>181887.37999999998</v>
      </c>
      <c r="F1270" t="s">
        <v>1272</v>
      </c>
    </row>
    <row r="1271" spans="1:6" hidden="1" outlineLevel="1">
      <c r="A1271" s="753" t="s">
        <v>1273</v>
      </c>
      <c r="B1271" s="152">
        <v>0</v>
      </c>
      <c r="C1271" s="167">
        <v>15583.24</v>
      </c>
      <c r="D1271" s="168">
        <v>94557.92</v>
      </c>
      <c r="E1271" s="135">
        <f t="shared" si="19"/>
        <v>110141.16</v>
      </c>
      <c r="F1271" t="s">
        <v>1274</v>
      </c>
    </row>
    <row r="1272" spans="1:6" hidden="1" outlineLevel="1">
      <c r="A1272" s="753" t="s">
        <v>1275</v>
      </c>
      <c r="B1272" s="152">
        <v>0</v>
      </c>
      <c r="C1272" s="167">
        <v>0</v>
      </c>
      <c r="D1272" s="168">
        <v>1149.44</v>
      </c>
      <c r="E1272" s="135">
        <f t="shared" si="19"/>
        <v>1149.44</v>
      </c>
      <c r="F1272" t="s">
        <v>1276</v>
      </c>
    </row>
    <row r="1273" spans="1:6" hidden="1" outlineLevel="1">
      <c r="A1273" s="753" t="s">
        <v>1277</v>
      </c>
      <c r="B1273" s="152">
        <v>0</v>
      </c>
      <c r="C1273" s="167">
        <v>0</v>
      </c>
      <c r="D1273" s="168">
        <v>91248.82</v>
      </c>
      <c r="E1273" s="135">
        <f t="shared" si="19"/>
        <v>91248.82</v>
      </c>
      <c r="F1273" t="s">
        <v>1278</v>
      </c>
    </row>
    <row r="1274" spans="1:6" hidden="1" outlineLevel="1">
      <c r="A1274" s="753" t="s">
        <v>1279</v>
      </c>
      <c r="B1274" s="152">
        <v>0</v>
      </c>
      <c r="C1274" s="167">
        <v>0</v>
      </c>
      <c r="D1274" s="168">
        <v>6625.4400000000005</v>
      </c>
      <c r="E1274" s="135">
        <f t="shared" si="19"/>
        <v>6625.4400000000005</v>
      </c>
      <c r="F1274" t="s">
        <v>1280</v>
      </c>
    </row>
    <row r="1275" spans="1:6" hidden="1" outlineLevel="1">
      <c r="A1275" s="753" t="s">
        <v>1281</v>
      </c>
      <c r="B1275" s="152">
        <v>0</v>
      </c>
      <c r="C1275" s="167">
        <v>30199.430000000004</v>
      </c>
      <c r="D1275" s="168">
        <v>133093</v>
      </c>
      <c r="E1275" s="135">
        <f t="shared" si="19"/>
        <v>163292.43</v>
      </c>
      <c r="F1275" t="s">
        <v>1282</v>
      </c>
    </row>
    <row r="1276" spans="1:6" hidden="1" outlineLevel="1">
      <c r="A1276" s="753" t="s">
        <v>1283</v>
      </c>
      <c r="B1276" s="152">
        <v>0</v>
      </c>
      <c r="C1276" s="167">
        <v>20738.2</v>
      </c>
      <c r="D1276" s="168">
        <v>241116.62</v>
      </c>
      <c r="E1276" s="135">
        <f t="shared" si="19"/>
        <v>261854.82</v>
      </c>
      <c r="F1276" t="s">
        <v>1284</v>
      </c>
    </row>
    <row r="1277" spans="1:6" hidden="1" outlineLevel="1">
      <c r="A1277" s="753" t="s">
        <v>1285</v>
      </c>
      <c r="B1277" s="152">
        <v>0</v>
      </c>
      <c r="C1277" s="167">
        <v>1045.1600000000001</v>
      </c>
      <c r="D1277" s="168">
        <v>589.79999999999995</v>
      </c>
      <c r="E1277" s="135">
        <f t="shared" si="19"/>
        <v>1634.96</v>
      </c>
      <c r="F1277" t="s">
        <v>1286</v>
      </c>
    </row>
    <row r="1278" spans="1:6" hidden="1" outlineLevel="1">
      <c r="A1278" s="753" t="s">
        <v>1287</v>
      </c>
      <c r="B1278" s="152">
        <v>0</v>
      </c>
      <c r="C1278" s="167">
        <v>1866.29</v>
      </c>
      <c r="D1278" s="168">
        <v>28004.079999999994</v>
      </c>
      <c r="E1278" s="135">
        <f t="shared" si="19"/>
        <v>29870.369999999995</v>
      </c>
      <c r="F1278" t="s">
        <v>1288</v>
      </c>
    </row>
    <row r="1279" spans="1:6" hidden="1" outlineLevel="1">
      <c r="A1279" s="753" t="s">
        <v>1289</v>
      </c>
      <c r="B1279" s="152">
        <v>0</v>
      </c>
      <c r="C1279" s="167">
        <v>19799.989999999998</v>
      </c>
      <c r="D1279" s="168">
        <v>39481.799999999996</v>
      </c>
      <c r="E1279" s="135">
        <f t="shared" si="19"/>
        <v>59281.789999999994</v>
      </c>
      <c r="F1279" t="s">
        <v>1290</v>
      </c>
    </row>
    <row r="1280" spans="1:6" hidden="1" outlineLevel="1">
      <c r="A1280" s="753" t="s">
        <v>1291</v>
      </c>
      <c r="B1280" s="152">
        <v>0</v>
      </c>
      <c r="C1280" s="167">
        <v>4109.91</v>
      </c>
      <c r="D1280" s="168">
        <v>27251.97</v>
      </c>
      <c r="E1280" s="135">
        <f t="shared" si="19"/>
        <v>31361.88</v>
      </c>
      <c r="F1280" t="s">
        <v>1292</v>
      </c>
    </row>
    <row r="1281" spans="1:6" hidden="1" outlineLevel="1">
      <c r="A1281" s="753" t="s">
        <v>1293</v>
      </c>
      <c r="B1281" s="152">
        <v>0</v>
      </c>
      <c r="C1281" s="167">
        <v>502.59</v>
      </c>
      <c r="D1281" s="168">
        <v>110430.05</v>
      </c>
      <c r="E1281" s="135">
        <f t="shared" si="19"/>
        <v>110932.64</v>
      </c>
      <c r="F1281" t="s">
        <v>1294</v>
      </c>
    </row>
    <row r="1282" spans="1:6" hidden="1" outlineLevel="1">
      <c r="A1282" s="753" t="s">
        <v>1295</v>
      </c>
      <c r="B1282" s="152">
        <v>0</v>
      </c>
      <c r="C1282" s="167">
        <v>37062.979999999989</v>
      </c>
      <c r="D1282" s="168">
        <v>309628.70000000007</v>
      </c>
      <c r="E1282" s="135">
        <f t="shared" si="19"/>
        <v>346691.68000000005</v>
      </c>
      <c r="F1282" t="s">
        <v>1296</v>
      </c>
    </row>
    <row r="1283" spans="1:6" hidden="1" outlineLevel="1">
      <c r="A1283" s="753" t="s">
        <v>1297</v>
      </c>
      <c r="B1283" s="152">
        <v>0</v>
      </c>
      <c r="C1283" s="167">
        <v>0</v>
      </c>
      <c r="D1283" s="168">
        <v>22448.720000000001</v>
      </c>
      <c r="E1283" s="135">
        <f t="shared" si="19"/>
        <v>22448.720000000001</v>
      </c>
      <c r="F1283" t="s">
        <v>1298</v>
      </c>
    </row>
    <row r="1284" spans="1:6" hidden="1" outlineLevel="1">
      <c r="A1284" s="753" t="s">
        <v>1299</v>
      </c>
      <c r="B1284" s="152">
        <v>0</v>
      </c>
      <c r="C1284" s="167">
        <v>0</v>
      </c>
      <c r="D1284" s="168">
        <v>22359.559999999998</v>
      </c>
      <c r="E1284" s="135">
        <f t="shared" si="19"/>
        <v>22359.559999999998</v>
      </c>
      <c r="F1284" t="s">
        <v>1300</v>
      </c>
    </row>
    <row r="1285" spans="1:6" hidden="1" outlineLevel="1">
      <c r="A1285" s="753" t="s">
        <v>1301</v>
      </c>
      <c r="B1285" s="152">
        <v>0</v>
      </c>
      <c r="C1285" s="167">
        <v>0</v>
      </c>
      <c r="D1285" s="168">
        <v>57161.599999999999</v>
      </c>
      <c r="E1285" s="135">
        <f t="shared" si="19"/>
        <v>57161.599999999999</v>
      </c>
      <c r="F1285" t="s">
        <v>1302</v>
      </c>
    </row>
    <row r="1286" spans="1:6" hidden="1" outlineLevel="1">
      <c r="A1286" s="753" t="s">
        <v>1303</v>
      </c>
      <c r="B1286" s="152">
        <v>0</v>
      </c>
      <c r="C1286" s="167">
        <v>168372.1</v>
      </c>
      <c r="D1286" s="168">
        <v>84996.599999999991</v>
      </c>
      <c r="E1286" s="135">
        <f t="shared" si="19"/>
        <v>253368.7</v>
      </c>
      <c r="F1286" t="s">
        <v>1304</v>
      </c>
    </row>
    <row r="1287" spans="1:6" hidden="1" outlineLevel="1">
      <c r="A1287" s="753" t="s">
        <v>1305</v>
      </c>
      <c r="B1287" s="152">
        <v>0</v>
      </c>
      <c r="C1287" s="167">
        <v>27743.4</v>
      </c>
      <c r="D1287" s="168">
        <v>58100.709999999992</v>
      </c>
      <c r="E1287" s="135">
        <f t="shared" si="19"/>
        <v>85844.109999999986</v>
      </c>
      <c r="F1287" t="s">
        <v>1306</v>
      </c>
    </row>
    <row r="1288" spans="1:6" hidden="1" outlineLevel="1">
      <c r="A1288" s="753" t="s">
        <v>1307</v>
      </c>
      <c r="B1288" s="152">
        <v>0</v>
      </c>
      <c r="C1288" s="167">
        <v>1012.1</v>
      </c>
      <c r="D1288" s="168">
        <v>17148.599999999999</v>
      </c>
      <c r="E1288" s="135">
        <f t="shared" si="19"/>
        <v>18160.699999999997</v>
      </c>
      <c r="F1288" t="s">
        <v>1308</v>
      </c>
    </row>
    <row r="1289" spans="1:6" hidden="1" outlineLevel="1">
      <c r="A1289" s="753" t="s">
        <v>1309</v>
      </c>
      <c r="B1289" s="152">
        <v>0</v>
      </c>
      <c r="C1289" s="167">
        <v>6692.92</v>
      </c>
      <c r="D1289" s="168">
        <v>233240.18999999992</v>
      </c>
      <c r="E1289" s="135">
        <f t="shared" si="19"/>
        <v>239933.10999999993</v>
      </c>
      <c r="F1289" t="s">
        <v>1310</v>
      </c>
    </row>
    <row r="1290" spans="1:6" hidden="1" outlineLevel="1">
      <c r="A1290" s="753" t="s">
        <v>839</v>
      </c>
      <c r="B1290" s="152">
        <v>0</v>
      </c>
      <c r="C1290" s="167">
        <v>25277.52</v>
      </c>
      <c r="D1290" s="168">
        <v>700045.49999999977</v>
      </c>
      <c r="E1290" s="135">
        <f t="shared" si="19"/>
        <v>725323.01999999979</v>
      </c>
      <c r="F1290" t="s">
        <v>1311</v>
      </c>
    </row>
    <row r="1291" spans="1:6" hidden="1" outlineLevel="1">
      <c r="A1291" s="753" t="s">
        <v>1312</v>
      </c>
      <c r="B1291" s="152">
        <v>0</v>
      </c>
      <c r="C1291" s="167">
        <v>38278.53</v>
      </c>
      <c r="D1291" s="168">
        <v>6224613.129999999</v>
      </c>
      <c r="E1291" s="135">
        <f t="shared" si="19"/>
        <v>6262891.6599999992</v>
      </c>
      <c r="F1291" t="s">
        <v>1313</v>
      </c>
    </row>
    <row r="1292" spans="1:6" hidden="1" outlineLevel="1">
      <c r="A1292" s="753" t="s">
        <v>1314</v>
      </c>
      <c r="B1292" s="152">
        <v>0</v>
      </c>
      <c r="C1292" s="167">
        <v>0</v>
      </c>
      <c r="D1292" s="168">
        <v>688.08</v>
      </c>
      <c r="E1292" s="135">
        <f t="shared" si="19"/>
        <v>688.08</v>
      </c>
      <c r="F1292" t="s">
        <v>1315</v>
      </c>
    </row>
    <row r="1293" spans="1:6" hidden="1" outlineLevel="1">
      <c r="A1293" s="753" t="s">
        <v>1316</v>
      </c>
      <c r="B1293" s="152">
        <v>0</v>
      </c>
      <c r="C1293" s="167">
        <v>2546.19</v>
      </c>
      <c r="D1293" s="168">
        <v>20982972.850000001</v>
      </c>
      <c r="E1293" s="135">
        <f t="shared" si="19"/>
        <v>20985519.040000003</v>
      </c>
      <c r="F1293" t="s">
        <v>1317</v>
      </c>
    </row>
    <row r="1294" spans="1:6" hidden="1" outlineLevel="1">
      <c r="A1294" s="753" t="s">
        <v>1318</v>
      </c>
      <c r="B1294" s="152">
        <v>0</v>
      </c>
      <c r="C1294" s="167">
        <v>0</v>
      </c>
      <c r="D1294" s="168">
        <v>22615.05</v>
      </c>
      <c r="E1294" s="135">
        <f t="shared" si="19"/>
        <v>22615.05</v>
      </c>
      <c r="F1294" t="s">
        <v>1319</v>
      </c>
    </row>
    <row r="1295" spans="1:6" hidden="1" outlineLevel="1">
      <c r="A1295" s="753" t="s">
        <v>1320</v>
      </c>
      <c r="B1295" s="152">
        <v>0</v>
      </c>
      <c r="C1295" s="167">
        <v>15350.82</v>
      </c>
      <c r="D1295" s="168">
        <v>135143.67000000001</v>
      </c>
      <c r="E1295" s="135">
        <f t="shared" si="19"/>
        <v>150494.49000000002</v>
      </c>
      <c r="F1295" t="s">
        <v>1321</v>
      </c>
    </row>
    <row r="1296" spans="1:6" hidden="1" outlineLevel="1">
      <c r="A1296" s="753" t="s">
        <v>1322</v>
      </c>
      <c r="B1296" s="152">
        <v>0</v>
      </c>
      <c r="C1296" s="167">
        <v>1755.33</v>
      </c>
      <c r="D1296" s="168">
        <v>0</v>
      </c>
      <c r="E1296" s="135">
        <f t="shared" si="19"/>
        <v>1755.33</v>
      </c>
      <c r="F1296" t="s">
        <v>1323</v>
      </c>
    </row>
    <row r="1297" spans="1:6" hidden="1" outlineLevel="1">
      <c r="A1297" s="753" t="s">
        <v>1324</v>
      </c>
      <c r="B1297" s="152">
        <v>0</v>
      </c>
      <c r="C1297" s="167">
        <v>0</v>
      </c>
      <c r="D1297" s="168">
        <v>35197.96</v>
      </c>
      <c r="E1297" s="135">
        <f t="shared" si="19"/>
        <v>35197.96</v>
      </c>
      <c r="F1297" t="s">
        <v>1325</v>
      </c>
    </row>
    <row r="1298" spans="1:6" hidden="1" outlineLevel="1">
      <c r="A1298" s="753" t="s">
        <v>1326</v>
      </c>
      <c r="B1298" s="152">
        <v>0</v>
      </c>
      <c r="C1298" s="167">
        <v>933.71</v>
      </c>
      <c r="D1298" s="168">
        <v>20142.72</v>
      </c>
      <c r="E1298" s="135">
        <f t="shared" si="19"/>
        <v>21076.43</v>
      </c>
      <c r="F1298" t="s">
        <v>1327</v>
      </c>
    </row>
    <row r="1299" spans="1:6" hidden="1" outlineLevel="1">
      <c r="A1299" s="753" t="s">
        <v>1328</v>
      </c>
      <c r="B1299" s="152">
        <v>0</v>
      </c>
      <c r="C1299" s="167">
        <v>0</v>
      </c>
      <c r="D1299" s="168">
        <v>4200</v>
      </c>
      <c r="E1299" s="135">
        <f t="shared" si="19"/>
        <v>4200</v>
      </c>
      <c r="F1299" t="s">
        <v>1329</v>
      </c>
    </row>
    <row r="1300" spans="1:6" hidden="1" outlineLevel="1">
      <c r="A1300" s="753" t="s">
        <v>1330</v>
      </c>
      <c r="B1300" s="152">
        <v>0</v>
      </c>
      <c r="C1300" s="167">
        <v>13923.330000000002</v>
      </c>
      <c r="D1300" s="168">
        <v>49986.48</v>
      </c>
      <c r="E1300" s="135">
        <f t="shared" si="19"/>
        <v>63909.810000000005</v>
      </c>
      <c r="F1300" t="s">
        <v>1331</v>
      </c>
    </row>
    <row r="1301" spans="1:6" hidden="1" outlineLevel="1">
      <c r="A1301" s="753" t="s">
        <v>1332</v>
      </c>
      <c r="B1301" s="152">
        <v>0</v>
      </c>
      <c r="C1301" s="167">
        <v>13249.05</v>
      </c>
      <c r="D1301" s="168">
        <v>94008.969999999987</v>
      </c>
      <c r="E1301" s="135">
        <f t="shared" si="19"/>
        <v>107258.01999999999</v>
      </c>
      <c r="F1301" t="s">
        <v>1333</v>
      </c>
    </row>
    <row r="1302" spans="1:6" hidden="1" outlineLevel="1">
      <c r="A1302" s="753" t="s">
        <v>1334</v>
      </c>
      <c r="B1302" s="152">
        <v>0</v>
      </c>
      <c r="C1302" s="167">
        <v>0</v>
      </c>
      <c r="D1302" s="168">
        <v>4489.08</v>
      </c>
      <c r="E1302" s="135">
        <f t="shared" si="19"/>
        <v>4489.08</v>
      </c>
      <c r="F1302" t="s">
        <v>1335</v>
      </c>
    </row>
    <row r="1303" spans="1:6" hidden="1" outlineLevel="1">
      <c r="A1303" s="753" t="s">
        <v>1336</v>
      </c>
      <c r="B1303" s="152">
        <v>0</v>
      </c>
      <c r="C1303" s="167">
        <v>25106.25</v>
      </c>
      <c r="D1303" s="168">
        <v>63030.340000000011</v>
      </c>
      <c r="E1303" s="135">
        <f t="shared" si="19"/>
        <v>88136.590000000011</v>
      </c>
      <c r="F1303" t="s">
        <v>1337</v>
      </c>
    </row>
    <row r="1304" spans="1:6" hidden="1" outlineLevel="1">
      <c r="A1304" s="753" t="s">
        <v>1338</v>
      </c>
      <c r="B1304" s="152">
        <v>0</v>
      </c>
      <c r="C1304" s="167">
        <v>0</v>
      </c>
      <c r="D1304" s="168">
        <v>28684.16</v>
      </c>
      <c r="E1304" s="135">
        <f t="shared" si="19"/>
        <v>28684.16</v>
      </c>
      <c r="F1304" t="s">
        <v>1339</v>
      </c>
    </row>
    <row r="1305" spans="1:6" hidden="1" outlineLevel="1">
      <c r="A1305" s="753" t="s">
        <v>1340</v>
      </c>
      <c r="B1305" s="152">
        <v>0</v>
      </c>
      <c r="C1305" s="167">
        <v>20018.599999999999</v>
      </c>
      <c r="D1305" s="168">
        <v>26484.400000000001</v>
      </c>
      <c r="E1305" s="135">
        <f t="shared" si="19"/>
        <v>46503</v>
      </c>
      <c r="F1305" t="s">
        <v>1341</v>
      </c>
    </row>
    <row r="1306" spans="1:6" hidden="1" outlineLevel="1">
      <c r="A1306" s="753" t="s">
        <v>1342</v>
      </c>
      <c r="B1306" s="152">
        <v>0</v>
      </c>
      <c r="C1306" s="167">
        <v>0</v>
      </c>
      <c r="D1306" s="168">
        <v>80214.569999999992</v>
      </c>
      <c r="E1306" s="135">
        <f t="shared" si="19"/>
        <v>80214.569999999992</v>
      </c>
      <c r="F1306" t="s">
        <v>1343</v>
      </c>
    </row>
    <row r="1307" spans="1:6" hidden="1" outlineLevel="1">
      <c r="A1307" s="753" t="s">
        <v>869</v>
      </c>
      <c r="B1307" s="152">
        <v>0</v>
      </c>
      <c r="C1307" s="167">
        <v>2810.66</v>
      </c>
      <c r="D1307" s="168">
        <v>24346.04</v>
      </c>
      <c r="E1307" s="135">
        <f t="shared" ref="E1307:E1370" si="20">SUM(B1307:D1307)</f>
        <v>27156.7</v>
      </c>
      <c r="F1307" t="s">
        <v>870</v>
      </c>
    </row>
    <row r="1308" spans="1:6" hidden="1" outlineLevel="1">
      <c r="A1308" s="753" t="s">
        <v>1344</v>
      </c>
      <c r="B1308" s="152">
        <v>0</v>
      </c>
      <c r="C1308" s="167">
        <v>228361.17</v>
      </c>
      <c r="D1308" s="168">
        <v>18889850.240000006</v>
      </c>
      <c r="E1308" s="135">
        <f t="shared" si="20"/>
        <v>19118211.410000008</v>
      </c>
      <c r="F1308" t="s">
        <v>1345</v>
      </c>
    </row>
    <row r="1309" spans="1:6" hidden="1" outlineLevel="1">
      <c r="A1309" s="753" t="s">
        <v>1346</v>
      </c>
      <c r="B1309" s="152">
        <v>0</v>
      </c>
      <c r="C1309" s="167">
        <v>46337.03</v>
      </c>
      <c r="D1309" s="168">
        <v>164734.20000000001</v>
      </c>
      <c r="E1309" s="135">
        <f t="shared" si="20"/>
        <v>211071.23</v>
      </c>
      <c r="F1309" t="s">
        <v>1347</v>
      </c>
    </row>
    <row r="1310" spans="1:6" hidden="1" outlineLevel="1">
      <c r="A1310" s="753" t="s">
        <v>1348</v>
      </c>
      <c r="B1310" s="152">
        <v>0</v>
      </c>
      <c r="C1310" s="167">
        <v>3653.48</v>
      </c>
      <c r="D1310" s="168">
        <v>42074.200000000004</v>
      </c>
      <c r="E1310" s="135">
        <f t="shared" si="20"/>
        <v>45727.680000000008</v>
      </c>
      <c r="F1310" t="s">
        <v>1349</v>
      </c>
    </row>
    <row r="1311" spans="1:6" hidden="1" outlineLevel="1">
      <c r="A1311" s="753" t="s">
        <v>1350</v>
      </c>
      <c r="B1311" s="152">
        <v>0</v>
      </c>
      <c r="C1311" s="167">
        <v>0</v>
      </c>
      <c r="D1311" s="168">
        <v>1471.8400000000001</v>
      </c>
      <c r="E1311" s="135">
        <f t="shared" si="20"/>
        <v>1471.8400000000001</v>
      </c>
      <c r="F1311" t="s">
        <v>1351</v>
      </c>
    </row>
    <row r="1312" spans="1:6" hidden="1" outlineLevel="1">
      <c r="A1312" s="753" t="s">
        <v>1352</v>
      </c>
      <c r="B1312" s="152">
        <v>0</v>
      </c>
      <c r="C1312" s="167">
        <v>0</v>
      </c>
      <c r="D1312" s="168">
        <v>90225.719999999987</v>
      </c>
      <c r="E1312" s="135">
        <f t="shared" si="20"/>
        <v>90225.719999999987</v>
      </c>
      <c r="F1312" t="s">
        <v>1353</v>
      </c>
    </row>
    <row r="1313" spans="1:6" hidden="1" outlineLevel="1">
      <c r="A1313" s="753" t="s">
        <v>1354</v>
      </c>
      <c r="B1313" s="152">
        <v>8476.25</v>
      </c>
      <c r="C1313" s="167">
        <v>6551.24</v>
      </c>
      <c r="D1313" s="168">
        <v>124636.06999999993</v>
      </c>
      <c r="E1313" s="135">
        <f t="shared" si="20"/>
        <v>139663.55999999994</v>
      </c>
      <c r="F1313" t="s">
        <v>1355</v>
      </c>
    </row>
    <row r="1314" spans="1:6" hidden="1" outlineLevel="1">
      <c r="A1314" s="753" t="s">
        <v>1356</v>
      </c>
      <c r="B1314" s="152">
        <v>0</v>
      </c>
      <c r="C1314" s="167">
        <v>636.48</v>
      </c>
      <c r="D1314" s="168">
        <v>1864.72</v>
      </c>
      <c r="E1314" s="135">
        <f t="shared" si="20"/>
        <v>2501.1999999999998</v>
      </c>
      <c r="F1314" t="s">
        <v>1357</v>
      </c>
    </row>
    <row r="1315" spans="1:6" hidden="1" outlineLevel="1">
      <c r="A1315" s="753" t="s">
        <v>1358</v>
      </c>
      <c r="B1315" s="152">
        <v>0</v>
      </c>
      <c r="C1315" s="167">
        <v>84675.410000000018</v>
      </c>
      <c r="D1315" s="168">
        <v>779712.90000000014</v>
      </c>
      <c r="E1315" s="135">
        <f t="shared" si="20"/>
        <v>864388.31000000017</v>
      </c>
      <c r="F1315" t="s">
        <v>1359</v>
      </c>
    </row>
    <row r="1316" spans="1:6" hidden="1" outlineLevel="1">
      <c r="A1316" s="753" t="s">
        <v>1360</v>
      </c>
      <c r="B1316" s="152">
        <v>15162.19</v>
      </c>
      <c r="C1316" s="167">
        <v>8334.2099999999991</v>
      </c>
      <c r="D1316" s="168">
        <v>32167.64</v>
      </c>
      <c r="E1316" s="135">
        <f t="shared" si="20"/>
        <v>55664.04</v>
      </c>
      <c r="F1316" t="s">
        <v>1361</v>
      </c>
    </row>
    <row r="1317" spans="1:6" hidden="1" outlineLevel="1">
      <c r="A1317" s="753" t="s">
        <v>1362</v>
      </c>
      <c r="B1317" s="152">
        <v>0</v>
      </c>
      <c r="C1317" s="167">
        <v>17299.499999999996</v>
      </c>
      <c r="D1317" s="168">
        <v>120414.67000000001</v>
      </c>
      <c r="E1317" s="135">
        <f t="shared" si="20"/>
        <v>137714.17000000001</v>
      </c>
      <c r="F1317" t="s">
        <v>1363</v>
      </c>
    </row>
    <row r="1318" spans="1:6" hidden="1" outlineLevel="1">
      <c r="A1318" s="753" t="s">
        <v>1364</v>
      </c>
      <c r="B1318" s="152">
        <v>0</v>
      </c>
      <c r="C1318" s="167">
        <v>383.61</v>
      </c>
      <c r="D1318" s="168">
        <v>69582.559999999998</v>
      </c>
      <c r="E1318" s="135">
        <f t="shared" si="20"/>
        <v>69966.17</v>
      </c>
      <c r="F1318" t="s">
        <v>1365</v>
      </c>
    </row>
    <row r="1319" spans="1:6" hidden="1" outlineLevel="1">
      <c r="A1319" s="753" t="s">
        <v>1366</v>
      </c>
      <c r="B1319" s="152">
        <v>0</v>
      </c>
      <c r="C1319" s="167">
        <v>5.3</v>
      </c>
      <c r="D1319" s="168">
        <v>9515.64</v>
      </c>
      <c r="E1319" s="135">
        <f t="shared" si="20"/>
        <v>9520.9399999999987</v>
      </c>
      <c r="F1319" t="s">
        <v>1367</v>
      </c>
    </row>
    <row r="1320" spans="1:6" hidden="1" outlineLevel="1">
      <c r="A1320" s="753" t="s">
        <v>1368</v>
      </c>
      <c r="B1320" s="152">
        <v>0</v>
      </c>
      <c r="C1320" s="167">
        <v>0</v>
      </c>
      <c r="D1320" s="168">
        <v>1997.9099999999999</v>
      </c>
      <c r="E1320" s="135">
        <f t="shared" si="20"/>
        <v>1997.9099999999999</v>
      </c>
      <c r="F1320" t="s">
        <v>1369</v>
      </c>
    </row>
    <row r="1321" spans="1:6" hidden="1" outlineLevel="1">
      <c r="A1321" s="753" t="s">
        <v>879</v>
      </c>
      <c r="B1321" s="152">
        <v>0</v>
      </c>
      <c r="C1321" s="167">
        <v>424762.53</v>
      </c>
      <c r="D1321" s="168">
        <v>1336665.0700000003</v>
      </c>
      <c r="E1321" s="135">
        <f t="shared" si="20"/>
        <v>1761427.6000000003</v>
      </c>
      <c r="F1321" t="s">
        <v>880</v>
      </c>
    </row>
    <row r="1322" spans="1:6" hidden="1" outlineLevel="1">
      <c r="A1322" s="753" t="s">
        <v>1370</v>
      </c>
      <c r="B1322" s="152">
        <v>0</v>
      </c>
      <c r="C1322" s="167">
        <v>0</v>
      </c>
      <c r="D1322" s="168">
        <v>123333.1</v>
      </c>
      <c r="E1322" s="135">
        <f t="shared" si="20"/>
        <v>123333.1</v>
      </c>
      <c r="F1322" t="s">
        <v>1371</v>
      </c>
    </row>
    <row r="1323" spans="1:6" hidden="1" outlineLevel="1">
      <c r="A1323" s="753" t="s">
        <v>1372</v>
      </c>
      <c r="B1323" s="152">
        <v>0</v>
      </c>
      <c r="C1323" s="167">
        <v>181.18</v>
      </c>
      <c r="D1323" s="168">
        <v>13111.68</v>
      </c>
      <c r="E1323" s="135">
        <f t="shared" si="20"/>
        <v>13292.86</v>
      </c>
      <c r="F1323" t="s">
        <v>1373</v>
      </c>
    </row>
    <row r="1324" spans="1:6" hidden="1" outlineLevel="1">
      <c r="A1324" s="753" t="s">
        <v>1374</v>
      </c>
      <c r="B1324" s="152">
        <v>0</v>
      </c>
      <c r="C1324" s="167">
        <v>14744.849999999999</v>
      </c>
      <c r="D1324" s="168">
        <v>160165.78000000003</v>
      </c>
      <c r="E1324" s="135">
        <f t="shared" si="20"/>
        <v>174910.63000000003</v>
      </c>
      <c r="F1324" t="s">
        <v>1375</v>
      </c>
    </row>
    <row r="1325" spans="1:6" hidden="1" outlineLevel="1">
      <c r="A1325" s="753" t="s">
        <v>1376</v>
      </c>
      <c r="B1325" s="152">
        <v>0</v>
      </c>
      <c r="C1325" s="167">
        <v>0</v>
      </c>
      <c r="D1325" s="168">
        <v>55369.380000000005</v>
      </c>
      <c r="E1325" s="135">
        <f t="shared" si="20"/>
        <v>55369.380000000005</v>
      </c>
      <c r="F1325" t="s">
        <v>1377</v>
      </c>
    </row>
    <row r="1326" spans="1:6" hidden="1" outlineLevel="1">
      <c r="A1326" s="753" t="s">
        <v>1378</v>
      </c>
      <c r="B1326" s="152">
        <v>0</v>
      </c>
      <c r="C1326" s="167">
        <v>0</v>
      </c>
      <c r="D1326" s="168">
        <v>9244</v>
      </c>
      <c r="E1326" s="135">
        <f t="shared" si="20"/>
        <v>9244</v>
      </c>
      <c r="F1326" t="s">
        <v>1379</v>
      </c>
    </row>
    <row r="1327" spans="1:6" hidden="1" outlineLevel="1">
      <c r="A1327" s="753" t="s">
        <v>1380</v>
      </c>
      <c r="B1327" s="152">
        <v>0</v>
      </c>
      <c r="C1327" s="167">
        <v>9181.1400000000012</v>
      </c>
      <c r="D1327" s="168">
        <v>365230.27000000014</v>
      </c>
      <c r="E1327" s="135">
        <f t="shared" si="20"/>
        <v>374411.41000000015</v>
      </c>
      <c r="F1327" t="s">
        <v>1381</v>
      </c>
    </row>
    <row r="1328" spans="1:6" hidden="1" outlineLevel="1">
      <c r="A1328" s="753" t="s">
        <v>1382</v>
      </c>
      <c r="B1328" s="152">
        <v>0</v>
      </c>
      <c r="C1328" s="167">
        <v>15466.11</v>
      </c>
      <c r="D1328" s="168">
        <v>11511.24</v>
      </c>
      <c r="E1328" s="135">
        <f t="shared" si="20"/>
        <v>26977.35</v>
      </c>
      <c r="F1328" t="s">
        <v>1383</v>
      </c>
    </row>
    <row r="1329" spans="1:6" hidden="1" outlineLevel="1">
      <c r="A1329" s="753" t="s">
        <v>891</v>
      </c>
      <c r="B1329" s="152">
        <v>0</v>
      </c>
      <c r="C1329" s="167">
        <v>0</v>
      </c>
      <c r="D1329" s="168">
        <v>9090.32</v>
      </c>
      <c r="E1329" s="135">
        <f t="shared" si="20"/>
        <v>9090.32</v>
      </c>
      <c r="F1329" t="s">
        <v>892</v>
      </c>
    </row>
    <row r="1330" spans="1:6" hidden="1" outlineLevel="1">
      <c r="A1330" s="753" t="s">
        <v>1384</v>
      </c>
      <c r="B1330" s="152">
        <v>0</v>
      </c>
      <c r="C1330" s="167">
        <v>12136.14</v>
      </c>
      <c r="D1330" s="168">
        <v>12709.73</v>
      </c>
      <c r="E1330" s="135">
        <f t="shared" si="20"/>
        <v>24845.87</v>
      </c>
      <c r="F1330" t="s">
        <v>1385</v>
      </c>
    </row>
    <row r="1331" spans="1:6" hidden="1" outlineLevel="1">
      <c r="A1331" s="753" t="s">
        <v>1386</v>
      </c>
      <c r="B1331" s="152">
        <v>0</v>
      </c>
      <c r="C1331" s="167">
        <v>3614.25</v>
      </c>
      <c r="D1331" s="168">
        <v>5713.17</v>
      </c>
      <c r="E1331" s="135">
        <f t="shared" si="20"/>
        <v>9327.42</v>
      </c>
      <c r="F1331" t="s">
        <v>1387</v>
      </c>
    </row>
    <row r="1332" spans="1:6" hidden="1" outlineLevel="1">
      <c r="A1332" s="753" t="s">
        <v>1388</v>
      </c>
      <c r="B1332" s="152">
        <v>0</v>
      </c>
      <c r="C1332" s="167">
        <v>4639.3500000000004</v>
      </c>
      <c r="D1332" s="168">
        <v>128012.76000000002</v>
      </c>
      <c r="E1332" s="135">
        <f t="shared" si="20"/>
        <v>132652.11000000002</v>
      </c>
      <c r="F1332" t="s">
        <v>1389</v>
      </c>
    </row>
    <row r="1333" spans="1:6" hidden="1" outlineLevel="1">
      <c r="A1333" s="753" t="s">
        <v>1390</v>
      </c>
      <c r="B1333" s="152">
        <v>0</v>
      </c>
      <c r="C1333" s="167">
        <v>3149.65</v>
      </c>
      <c r="D1333" s="168">
        <v>15016.009999999998</v>
      </c>
      <c r="E1333" s="135">
        <f t="shared" si="20"/>
        <v>18165.66</v>
      </c>
      <c r="F1333" t="s">
        <v>1391</v>
      </c>
    </row>
    <row r="1334" spans="1:6" hidden="1" outlineLevel="1">
      <c r="A1334" s="753" t="s">
        <v>1392</v>
      </c>
      <c r="B1334" s="152">
        <v>0</v>
      </c>
      <c r="C1334" s="167">
        <v>0</v>
      </c>
      <c r="D1334" s="168">
        <v>67529.74000000002</v>
      </c>
      <c r="E1334" s="135">
        <f t="shared" si="20"/>
        <v>67529.74000000002</v>
      </c>
      <c r="F1334" t="s">
        <v>1393</v>
      </c>
    </row>
    <row r="1335" spans="1:6" hidden="1" outlineLevel="1">
      <c r="A1335" s="753" t="s">
        <v>1394</v>
      </c>
      <c r="B1335" s="152">
        <v>1457.42</v>
      </c>
      <c r="C1335" s="167">
        <v>15443.710000000001</v>
      </c>
      <c r="D1335" s="168">
        <v>126932.22000000002</v>
      </c>
      <c r="E1335" s="135">
        <f t="shared" si="20"/>
        <v>143833.35</v>
      </c>
      <c r="F1335" t="s">
        <v>1395</v>
      </c>
    </row>
    <row r="1336" spans="1:6" hidden="1" outlineLevel="1">
      <c r="A1336" s="753" t="s">
        <v>1396</v>
      </c>
      <c r="B1336" s="152">
        <v>4418.54</v>
      </c>
      <c r="C1336" s="167">
        <v>19282.88</v>
      </c>
      <c r="D1336" s="168">
        <v>30750.33</v>
      </c>
      <c r="E1336" s="135">
        <f t="shared" si="20"/>
        <v>54451.75</v>
      </c>
      <c r="F1336" t="s">
        <v>1397</v>
      </c>
    </row>
    <row r="1337" spans="1:6" hidden="1" outlineLevel="1">
      <c r="A1337" s="753" t="s">
        <v>564</v>
      </c>
      <c r="B1337" s="152">
        <v>435.87</v>
      </c>
      <c r="C1337" s="167">
        <v>105529.01999999999</v>
      </c>
      <c r="D1337" s="168">
        <v>446378.54</v>
      </c>
      <c r="E1337" s="135">
        <f t="shared" si="20"/>
        <v>552343.42999999993</v>
      </c>
      <c r="F1337" t="s">
        <v>565</v>
      </c>
    </row>
    <row r="1338" spans="1:6" hidden="1" outlineLevel="1">
      <c r="A1338" s="753" t="s">
        <v>1398</v>
      </c>
      <c r="B1338" s="152">
        <v>0</v>
      </c>
      <c r="C1338" s="167">
        <v>4274.6499999999996</v>
      </c>
      <c r="D1338" s="168">
        <v>63307.200000000012</v>
      </c>
      <c r="E1338" s="135">
        <f t="shared" si="20"/>
        <v>67581.850000000006</v>
      </c>
      <c r="F1338" t="s">
        <v>1399</v>
      </c>
    </row>
    <row r="1339" spans="1:6" hidden="1" outlineLevel="1">
      <c r="A1339" s="753" t="s">
        <v>1400</v>
      </c>
      <c r="B1339" s="152">
        <v>401.9</v>
      </c>
      <c r="C1339" s="167">
        <v>9080.31</v>
      </c>
      <c r="D1339" s="168">
        <v>2113.9700000000003</v>
      </c>
      <c r="E1339" s="135">
        <f t="shared" si="20"/>
        <v>11596.18</v>
      </c>
      <c r="F1339" t="s">
        <v>1401</v>
      </c>
    </row>
    <row r="1340" spans="1:6" hidden="1" outlineLevel="1">
      <c r="A1340" s="753" t="s">
        <v>1402</v>
      </c>
      <c r="B1340" s="152">
        <v>0</v>
      </c>
      <c r="C1340" s="167">
        <v>18526.169999999998</v>
      </c>
      <c r="D1340" s="168">
        <v>3486448.3200000003</v>
      </c>
      <c r="E1340" s="135">
        <f t="shared" si="20"/>
        <v>3504974.49</v>
      </c>
      <c r="F1340" t="s">
        <v>1403</v>
      </c>
    </row>
    <row r="1341" spans="1:6" hidden="1" outlineLevel="1">
      <c r="A1341" s="753" t="s">
        <v>1404</v>
      </c>
      <c r="B1341" s="152">
        <v>0</v>
      </c>
      <c r="C1341" s="167">
        <v>0</v>
      </c>
      <c r="D1341" s="168">
        <v>13438.679999999998</v>
      </c>
      <c r="E1341" s="135">
        <f t="shared" si="20"/>
        <v>13438.679999999998</v>
      </c>
      <c r="F1341" t="s">
        <v>1405</v>
      </c>
    </row>
    <row r="1342" spans="1:6" hidden="1" outlineLevel="1">
      <c r="A1342" s="753" t="s">
        <v>1406</v>
      </c>
      <c r="B1342" s="152">
        <v>0</v>
      </c>
      <c r="C1342" s="167">
        <v>2227.73</v>
      </c>
      <c r="D1342" s="168">
        <v>17166.670000000002</v>
      </c>
      <c r="E1342" s="135">
        <f t="shared" si="20"/>
        <v>19394.400000000001</v>
      </c>
      <c r="F1342" t="s">
        <v>1407</v>
      </c>
    </row>
    <row r="1343" spans="1:6" hidden="1" outlineLevel="1">
      <c r="A1343" s="753" t="s">
        <v>1408</v>
      </c>
      <c r="B1343" s="152">
        <v>0</v>
      </c>
      <c r="C1343" s="167">
        <v>46937.700000000004</v>
      </c>
      <c r="D1343" s="168">
        <v>3750894.48</v>
      </c>
      <c r="E1343" s="135">
        <f t="shared" si="20"/>
        <v>3797832.18</v>
      </c>
      <c r="F1343" t="s">
        <v>1409</v>
      </c>
    </row>
    <row r="1344" spans="1:6" hidden="1" outlineLevel="1">
      <c r="A1344" s="753" t="s">
        <v>580</v>
      </c>
      <c r="B1344" s="152">
        <v>0</v>
      </c>
      <c r="C1344" s="167">
        <v>36682.080000000002</v>
      </c>
      <c r="D1344" s="168">
        <v>127321.21000000002</v>
      </c>
      <c r="E1344" s="135">
        <f t="shared" si="20"/>
        <v>164003.29000000004</v>
      </c>
      <c r="F1344" t="s">
        <v>581</v>
      </c>
    </row>
    <row r="1345" spans="1:6" hidden="1" outlineLevel="1">
      <c r="A1345" s="753" t="s">
        <v>1410</v>
      </c>
      <c r="B1345" s="152">
        <v>0</v>
      </c>
      <c r="C1345" s="167">
        <v>1221.42</v>
      </c>
      <c r="D1345" s="168">
        <v>380379.73</v>
      </c>
      <c r="E1345" s="135">
        <f t="shared" si="20"/>
        <v>381601.14999999997</v>
      </c>
      <c r="F1345" t="s">
        <v>1411</v>
      </c>
    </row>
    <row r="1346" spans="1:6" hidden="1" outlineLevel="1">
      <c r="A1346" s="753" t="s">
        <v>1412</v>
      </c>
      <c r="B1346" s="152">
        <v>0</v>
      </c>
      <c r="C1346" s="167">
        <v>2048.42</v>
      </c>
      <c r="D1346" s="168">
        <v>115276.57000000004</v>
      </c>
      <c r="E1346" s="135">
        <f t="shared" si="20"/>
        <v>117324.99000000003</v>
      </c>
      <c r="F1346" t="s">
        <v>1413</v>
      </c>
    </row>
    <row r="1347" spans="1:6" hidden="1" outlineLevel="1">
      <c r="A1347" s="753" t="s">
        <v>1414</v>
      </c>
      <c r="B1347" s="152">
        <v>0</v>
      </c>
      <c r="C1347" s="167">
        <v>1235.97</v>
      </c>
      <c r="D1347" s="168">
        <v>27335.919999999998</v>
      </c>
      <c r="E1347" s="135">
        <f t="shared" si="20"/>
        <v>28571.89</v>
      </c>
      <c r="F1347" t="s">
        <v>1415</v>
      </c>
    </row>
    <row r="1348" spans="1:6" hidden="1" outlineLevel="1">
      <c r="A1348" s="753" t="s">
        <v>1416</v>
      </c>
      <c r="B1348" s="152">
        <v>0</v>
      </c>
      <c r="C1348" s="167">
        <v>0</v>
      </c>
      <c r="D1348" s="168">
        <v>21840</v>
      </c>
      <c r="E1348" s="135">
        <f t="shared" si="20"/>
        <v>21840</v>
      </c>
      <c r="F1348" t="s">
        <v>1417</v>
      </c>
    </row>
    <row r="1349" spans="1:6" hidden="1" outlineLevel="1">
      <c r="A1349" s="753" t="s">
        <v>1418</v>
      </c>
      <c r="B1349" s="152">
        <v>0</v>
      </c>
      <c r="C1349" s="167">
        <v>3716.02</v>
      </c>
      <c r="D1349" s="168">
        <v>8412.4699999999993</v>
      </c>
      <c r="E1349" s="135">
        <f t="shared" si="20"/>
        <v>12128.49</v>
      </c>
      <c r="F1349" t="s">
        <v>1419</v>
      </c>
    </row>
    <row r="1350" spans="1:6" hidden="1" outlineLevel="1">
      <c r="A1350" s="753" t="s">
        <v>1420</v>
      </c>
      <c r="B1350" s="152">
        <v>0</v>
      </c>
      <c r="C1350" s="167">
        <v>0</v>
      </c>
      <c r="D1350" s="168">
        <v>10549.99</v>
      </c>
      <c r="E1350" s="135">
        <f t="shared" si="20"/>
        <v>10549.99</v>
      </c>
      <c r="F1350" t="s">
        <v>1421</v>
      </c>
    </row>
    <row r="1351" spans="1:6" hidden="1" outlineLevel="1">
      <c r="A1351" s="753" t="s">
        <v>1422</v>
      </c>
      <c r="B1351" s="152">
        <v>0</v>
      </c>
      <c r="C1351" s="167">
        <v>2093.9899999999998</v>
      </c>
      <c r="D1351" s="168">
        <v>48005.72</v>
      </c>
      <c r="E1351" s="135">
        <f t="shared" si="20"/>
        <v>50099.71</v>
      </c>
      <c r="F1351" t="s">
        <v>1423</v>
      </c>
    </row>
    <row r="1352" spans="1:6" hidden="1" outlineLevel="1">
      <c r="A1352" s="753" t="s">
        <v>1424</v>
      </c>
      <c r="B1352" s="152">
        <v>0</v>
      </c>
      <c r="C1352" s="167">
        <v>7583.52</v>
      </c>
      <c r="D1352" s="168">
        <v>74057.8</v>
      </c>
      <c r="E1352" s="135">
        <f t="shared" si="20"/>
        <v>81641.320000000007</v>
      </c>
      <c r="F1352" t="s">
        <v>1425</v>
      </c>
    </row>
    <row r="1353" spans="1:6" hidden="1" outlineLevel="1">
      <c r="A1353" s="753" t="s">
        <v>1426</v>
      </c>
      <c r="B1353" s="152">
        <v>0</v>
      </c>
      <c r="C1353" s="167">
        <v>0</v>
      </c>
      <c r="D1353" s="168">
        <v>118546.00000000003</v>
      </c>
      <c r="E1353" s="135">
        <f t="shared" si="20"/>
        <v>118546.00000000003</v>
      </c>
      <c r="F1353" t="s">
        <v>1427</v>
      </c>
    </row>
    <row r="1354" spans="1:6" hidden="1" outlineLevel="1">
      <c r="A1354" s="753" t="s">
        <v>1428</v>
      </c>
      <c r="B1354" s="152">
        <v>0</v>
      </c>
      <c r="C1354" s="167">
        <v>0</v>
      </c>
      <c r="D1354" s="168">
        <v>15173.52</v>
      </c>
      <c r="E1354" s="135">
        <f t="shared" si="20"/>
        <v>15173.52</v>
      </c>
      <c r="F1354" t="s">
        <v>1429</v>
      </c>
    </row>
    <row r="1355" spans="1:6" hidden="1" outlineLevel="1">
      <c r="A1355" s="753" t="s">
        <v>1430</v>
      </c>
      <c r="B1355" s="152">
        <v>7653.4</v>
      </c>
      <c r="C1355" s="167">
        <v>677219.92999999993</v>
      </c>
      <c r="D1355" s="168">
        <v>16957294.449999973</v>
      </c>
      <c r="E1355" s="135">
        <f t="shared" si="20"/>
        <v>17642167.779999971</v>
      </c>
      <c r="F1355" t="s">
        <v>1431</v>
      </c>
    </row>
    <row r="1356" spans="1:6" hidden="1" outlineLevel="1">
      <c r="A1356" s="753" t="s">
        <v>1432</v>
      </c>
      <c r="B1356" s="152">
        <v>0</v>
      </c>
      <c r="C1356" s="167">
        <v>955.46</v>
      </c>
      <c r="D1356" s="168">
        <v>23551.88</v>
      </c>
      <c r="E1356" s="135">
        <f t="shared" si="20"/>
        <v>24507.34</v>
      </c>
      <c r="F1356" t="s">
        <v>1433</v>
      </c>
    </row>
    <row r="1357" spans="1:6" hidden="1" outlineLevel="1">
      <c r="A1357" s="753" t="s">
        <v>1434</v>
      </c>
      <c r="B1357" s="152">
        <v>0</v>
      </c>
      <c r="C1357" s="167">
        <v>288.19</v>
      </c>
      <c r="D1357" s="168">
        <v>52004.240000000005</v>
      </c>
      <c r="E1357" s="135">
        <f t="shared" si="20"/>
        <v>52292.430000000008</v>
      </c>
      <c r="F1357" t="s">
        <v>1435</v>
      </c>
    </row>
    <row r="1358" spans="1:6" hidden="1" outlineLevel="1">
      <c r="A1358" s="753" t="s">
        <v>1436</v>
      </c>
      <c r="B1358" s="152">
        <v>0</v>
      </c>
      <c r="C1358" s="167">
        <v>1273.8900000000001</v>
      </c>
      <c r="D1358" s="168">
        <v>96063.47000000003</v>
      </c>
      <c r="E1358" s="135">
        <f t="shared" si="20"/>
        <v>97337.36000000003</v>
      </c>
      <c r="F1358" t="s">
        <v>1437</v>
      </c>
    </row>
    <row r="1359" spans="1:6" hidden="1" outlineLevel="1">
      <c r="A1359" s="753" t="s">
        <v>1438</v>
      </c>
      <c r="B1359" s="152">
        <v>0</v>
      </c>
      <c r="C1359" s="167">
        <v>2434.12</v>
      </c>
      <c r="D1359" s="168">
        <v>43906.959999999992</v>
      </c>
      <c r="E1359" s="135">
        <f t="shared" si="20"/>
        <v>46341.079999999994</v>
      </c>
      <c r="F1359" t="s">
        <v>1439</v>
      </c>
    </row>
    <row r="1360" spans="1:6" hidden="1" outlineLevel="1">
      <c r="A1360" s="753" t="s">
        <v>1440</v>
      </c>
      <c r="B1360" s="152">
        <v>0</v>
      </c>
      <c r="C1360" s="167">
        <v>6604.58</v>
      </c>
      <c r="D1360" s="168">
        <v>115975.16999999998</v>
      </c>
      <c r="E1360" s="135">
        <f t="shared" si="20"/>
        <v>122579.74999999999</v>
      </c>
      <c r="F1360" t="s">
        <v>1441</v>
      </c>
    </row>
    <row r="1361" spans="1:6" hidden="1" outlineLevel="1">
      <c r="A1361" s="753" t="s">
        <v>1442</v>
      </c>
      <c r="B1361" s="152">
        <v>0</v>
      </c>
      <c r="C1361" s="167">
        <v>3687.46</v>
      </c>
      <c r="D1361" s="168">
        <v>7056.0599999999995</v>
      </c>
      <c r="E1361" s="135">
        <f t="shared" si="20"/>
        <v>10743.52</v>
      </c>
      <c r="F1361" t="s">
        <v>1443</v>
      </c>
    </row>
    <row r="1362" spans="1:6" hidden="1" outlineLevel="1">
      <c r="A1362" s="753" t="s">
        <v>1444</v>
      </c>
      <c r="B1362" s="152">
        <v>0</v>
      </c>
      <c r="C1362" s="167">
        <v>65995.28</v>
      </c>
      <c r="D1362" s="168">
        <v>633804.92000000039</v>
      </c>
      <c r="E1362" s="135">
        <f t="shared" si="20"/>
        <v>699800.20000000042</v>
      </c>
      <c r="F1362" t="s">
        <v>1445</v>
      </c>
    </row>
    <row r="1363" spans="1:6" hidden="1" outlineLevel="1">
      <c r="A1363" s="753" t="s">
        <v>1446</v>
      </c>
      <c r="B1363" s="152">
        <v>0</v>
      </c>
      <c r="C1363" s="167">
        <v>330001.39</v>
      </c>
      <c r="D1363" s="168">
        <v>9072647.4400000032</v>
      </c>
      <c r="E1363" s="135">
        <f t="shared" si="20"/>
        <v>9402648.8300000038</v>
      </c>
      <c r="F1363" t="s">
        <v>1447</v>
      </c>
    </row>
    <row r="1364" spans="1:6" hidden="1" outlineLevel="1">
      <c r="A1364" s="753" t="s">
        <v>1448</v>
      </c>
      <c r="B1364" s="152">
        <v>0</v>
      </c>
      <c r="C1364" s="167">
        <v>0</v>
      </c>
      <c r="D1364" s="168">
        <v>34694.389999999992</v>
      </c>
      <c r="E1364" s="135">
        <f t="shared" si="20"/>
        <v>34694.389999999992</v>
      </c>
      <c r="F1364" t="s">
        <v>1449</v>
      </c>
    </row>
    <row r="1365" spans="1:6" hidden="1" outlineLevel="1">
      <c r="A1365" s="753" t="s">
        <v>1450</v>
      </c>
      <c r="B1365" s="152">
        <v>0</v>
      </c>
      <c r="C1365" s="167">
        <v>0</v>
      </c>
      <c r="D1365" s="168">
        <v>6476602.4800000004</v>
      </c>
      <c r="E1365" s="135">
        <f t="shared" si="20"/>
        <v>6476602.4800000004</v>
      </c>
      <c r="F1365" t="s">
        <v>1451</v>
      </c>
    </row>
    <row r="1366" spans="1:6" hidden="1" outlineLevel="1">
      <c r="A1366" s="753" t="s">
        <v>1452</v>
      </c>
      <c r="B1366" s="152">
        <v>0</v>
      </c>
      <c r="C1366" s="167">
        <v>0</v>
      </c>
      <c r="D1366" s="168">
        <v>52932.749999999993</v>
      </c>
      <c r="E1366" s="135">
        <f t="shared" si="20"/>
        <v>52932.749999999993</v>
      </c>
      <c r="F1366" t="s">
        <v>1453</v>
      </c>
    </row>
    <row r="1367" spans="1:6" hidden="1" outlineLevel="1">
      <c r="A1367" s="753" t="s">
        <v>1454</v>
      </c>
      <c r="B1367" s="152">
        <v>0</v>
      </c>
      <c r="C1367" s="167">
        <v>1017.13</v>
      </c>
      <c r="D1367" s="168">
        <v>33709.519999999997</v>
      </c>
      <c r="E1367" s="135">
        <f t="shared" si="20"/>
        <v>34726.649999999994</v>
      </c>
      <c r="F1367" t="s">
        <v>1455</v>
      </c>
    </row>
    <row r="1368" spans="1:6" hidden="1" outlineLevel="1">
      <c r="A1368" s="753" t="s">
        <v>1456</v>
      </c>
      <c r="B1368" s="152">
        <v>0</v>
      </c>
      <c r="C1368" s="167">
        <v>0</v>
      </c>
      <c r="D1368" s="168">
        <v>30942.58</v>
      </c>
      <c r="E1368" s="135">
        <f t="shared" si="20"/>
        <v>30942.58</v>
      </c>
      <c r="F1368" t="s">
        <v>1457</v>
      </c>
    </row>
    <row r="1369" spans="1:6" hidden="1" outlineLevel="1">
      <c r="A1369" s="753" t="s">
        <v>1458</v>
      </c>
      <c r="B1369" s="152">
        <v>0</v>
      </c>
      <c r="C1369" s="167">
        <v>0</v>
      </c>
      <c r="D1369" s="168">
        <v>700206.57</v>
      </c>
      <c r="E1369" s="135">
        <f t="shared" si="20"/>
        <v>700206.57</v>
      </c>
      <c r="F1369" t="s">
        <v>1459</v>
      </c>
    </row>
    <row r="1370" spans="1:6" hidden="1" outlineLevel="1">
      <c r="A1370" s="753" t="s">
        <v>1460</v>
      </c>
      <c r="B1370" s="152">
        <v>0</v>
      </c>
      <c r="C1370" s="167">
        <v>5778.42</v>
      </c>
      <c r="D1370" s="168">
        <v>7205.3199999999988</v>
      </c>
      <c r="E1370" s="135">
        <f t="shared" si="20"/>
        <v>12983.739999999998</v>
      </c>
      <c r="F1370" t="s">
        <v>1461</v>
      </c>
    </row>
    <row r="1371" spans="1:6" hidden="1" outlineLevel="1">
      <c r="A1371" s="753" t="s">
        <v>1462</v>
      </c>
      <c r="B1371" s="152">
        <v>0</v>
      </c>
      <c r="C1371" s="167">
        <v>6464.01</v>
      </c>
      <c r="D1371" s="168">
        <v>11513.399999999998</v>
      </c>
      <c r="E1371" s="135">
        <f t="shared" ref="E1371:E1434" si="21">SUM(B1371:D1371)</f>
        <v>17977.409999999996</v>
      </c>
      <c r="F1371" t="s">
        <v>1463</v>
      </c>
    </row>
    <row r="1372" spans="1:6" hidden="1" outlineLevel="1">
      <c r="A1372" s="753" t="s">
        <v>1464</v>
      </c>
      <c r="B1372" s="152">
        <v>0</v>
      </c>
      <c r="C1372" s="167">
        <v>3307.19</v>
      </c>
      <c r="D1372" s="168">
        <v>189932.54</v>
      </c>
      <c r="E1372" s="135">
        <f t="shared" si="21"/>
        <v>193239.73</v>
      </c>
      <c r="F1372" t="s">
        <v>1465</v>
      </c>
    </row>
    <row r="1373" spans="1:6" hidden="1" outlineLevel="1">
      <c r="A1373" s="753" t="s">
        <v>1466</v>
      </c>
      <c r="B1373" s="152">
        <v>0</v>
      </c>
      <c r="C1373" s="167">
        <v>6114.22</v>
      </c>
      <c r="D1373" s="168">
        <v>111695.3</v>
      </c>
      <c r="E1373" s="135">
        <f t="shared" si="21"/>
        <v>117809.52</v>
      </c>
      <c r="F1373" t="s">
        <v>1467</v>
      </c>
    </row>
    <row r="1374" spans="1:6" hidden="1" outlineLevel="1">
      <c r="A1374" s="753" t="s">
        <v>1468</v>
      </c>
      <c r="B1374" s="152">
        <v>0</v>
      </c>
      <c r="C1374" s="167">
        <v>50988.959999999999</v>
      </c>
      <c r="D1374" s="168">
        <v>78920.829999999987</v>
      </c>
      <c r="E1374" s="135">
        <f t="shared" si="21"/>
        <v>129909.78999999998</v>
      </c>
      <c r="F1374" t="s">
        <v>1469</v>
      </c>
    </row>
    <row r="1375" spans="1:6" hidden="1" outlineLevel="1">
      <c r="A1375" s="753" t="s">
        <v>1470</v>
      </c>
      <c r="B1375" s="152">
        <v>0</v>
      </c>
      <c r="C1375" s="167">
        <v>5337.9500000000007</v>
      </c>
      <c r="D1375" s="168">
        <v>53569.039999999986</v>
      </c>
      <c r="E1375" s="135">
        <f t="shared" si="21"/>
        <v>58906.989999999991</v>
      </c>
      <c r="F1375" t="s">
        <v>1471</v>
      </c>
    </row>
    <row r="1376" spans="1:6" hidden="1" outlineLevel="1">
      <c r="A1376" s="753" t="s">
        <v>1472</v>
      </c>
      <c r="B1376" s="152">
        <v>0</v>
      </c>
      <c r="C1376" s="167">
        <v>0</v>
      </c>
      <c r="D1376" s="168">
        <v>4199.4400000000005</v>
      </c>
      <c r="E1376" s="135">
        <f t="shared" si="21"/>
        <v>4199.4400000000005</v>
      </c>
      <c r="F1376" t="s">
        <v>1473</v>
      </c>
    </row>
    <row r="1377" spans="1:6" hidden="1" outlineLevel="1">
      <c r="A1377" s="753" t="s">
        <v>1474</v>
      </c>
      <c r="B1377" s="152">
        <v>0</v>
      </c>
      <c r="C1377" s="167">
        <v>605.27</v>
      </c>
      <c r="D1377" s="168">
        <v>6227.3700000000008</v>
      </c>
      <c r="E1377" s="135">
        <f t="shared" si="21"/>
        <v>6832.6400000000012</v>
      </c>
      <c r="F1377" t="s">
        <v>1475</v>
      </c>
    </row>
    <row r="1378" spans="1:6" hidden="1" outlineLevel="1">
      <c r="A1378" s="753" t="s">
        <v>1476</v>
      </c>
      <c r="B1378" s="152">
        <v>218.41</v>
      </c>
      <c r="C1378" s="167">
        <v>2599.4</v>
      </c>
      <c r="D1378" s="168">
        <v>15136.71</v>
      </c>
      <c r="E1378" s="135">
        <f t="shared" si="21"/>
        <v>17954.52</v>
      </c>
      <c r="F1378" t="s">
        <v>1477</v>
      </c>
    </row>
    <row r="1379" spans="1:6" hidden="1" outlineLevel="1">
      <c r="A1379" s="753" t="s">
        <v>1478</v>
      </c>
      <c r="B1379" s="152">
        <v>0</v>
      </c>
      <c r="C1379" s="167">
        <v>1443.93</v>
      </c>
      <c r="D1379" s="168">
        <v>123488.51</v>
      </c>
      <c r="E1379" s="135">
        <f t="shared" si="21"/>
        <v>124932.43999999999</v>
      </c>
      <c r="F1379" t="s">
        <v>1479</v>
      </c>
    </row>
    <row r="1380" spans="1:6" hidden="1" outlineLevel="1">
      <c r="A1380" s="753" t="s">
        <v>1480</v>
      </c>
      <c r="B1380" s="152">
        <v>0</v>
      </c>
      <c r="C1380" s="167">
        <v>0</v>
      </c>
      <c r="D1380" s="168">
        <v>1371.76</v>
      </c>
      <c r="E1380" s="135">
        <f t="shared" si="21"/>
        <v>1371.76</v>
      </c>
      <c r="F1380" t="s">
        <v>1481</v>
      </c>
    </row>
    <row r="1381" spans="1:6" hidden="1" outlineLevel="1">
      <c r="A1381" s="753" t="s">
        <v>1482</v>
      </c>
      <c r="B1381" s="152">
        <v>0</v>
      </c>
      <c r="C1381" s="167">
        <v>0</v>
      </c>
      <c r="D1381" s="168">
        <v>67431.429999999993</v>
      </c>
      <c r="E1381" s="135">
        <f t="shared" si="21"/>
        <v>67431.429999999993</v>
      </c>
      <c r="F1381" t="s">
        <v>1483</v>
      </c>
    </row>
    <row r="1382" spans="1:6" hidden="1" outlineLevel="1">
      <c r="A1382" s="753" t="s">
        <v>1484</v>
      </c>
      <c r="B1382" s="152">
        <v>0</v>
      </c>
      <c r="C1382" s="167">
        <v>0</v>
      </c>
      <c r="D1382" s="168">
        <v>75238.219999999987</v>
      </c>
      <c r="E1382" s="135">
        <f t="shared" si="21"/>
        <v>75238.219999999987</v>
      </c>
      <c r="F1382" t="s">
        <v>1485</v>
      </c>
    </row>
    <row r="1383" spans="1:6" hidden="1" outlineLevel="1">
      <c r="A1383" s="753" t="s">
        <v>1486</v>
      </c>
      <c r="B1383" s="152">
        <v>0</v>
      </c>
      <c r="C1383" s="167">
        <v>14818.5</v>
      </c>
      <c r="D1383" s="168">
        <v>69871.859999999986</v>
      </c>
      <c r="E1383" s="135">
        <f t="shared" si="21"/>
        <v>84690.359999999986</v>
      </c>
      <c r="F1383" t="s">
        <v>1487</v>
      </c>
    </row>
    <row r="1384" spans="1:6" hidden="1" outlineLevel="1">
      <c r="A1384" s="753" t="s">
        <v>1488</v>
      </c>
      <c r="B1384" s="152">
        <v>0</v>
      </c>
      <c r="C1384" s="167">
        <v>3422.63</v>
      </c>
      <c r="D1384" s="168">
        <v>177411.79999999996</v>
      </c>
      <c r="E1384" s="135">
        <f t="shared" si="21"/>
        <v>180834.42999999996</v>
      </c>
      <c r="F1384" t="s">
        <v>1489</v>
      </c>
    </row>
    <row r="1385" spans="1:6" hidden="1" outlineLevel="1">
      <c r="A1385" s="753" t="s">
        <v>1490</v>
      </c>
      <c r="B1385" s="152">
        <v>0</v>
      </c>
      <c r="C1385" s="167">
        <v>1872.4</v>
      </c>
      <c r="D1385" s="168">
        <v>2229.1999999999998</v>
      </c>
      <c r="E1385" s="135">
        <f t="shared" si="21"/>
        <v>4101.6000000000004</v>
      </c>
      <c r="F1385" t="s">
        <v>1491</v>
      </c>
    </row>
    <row r="1386" spans="1:6" hidden="1" outlineLevel="1">
      <c r="A1386" s="753" t="s">
        <v>1492</v>
      </c>
      <c r="B1386" s="152">
        <v>0</v>
      </c>
      <c r="C1386" s="167">
        <v>0</v>
      </c>
      <c r="D1386" s="168">
        <v>1471.3200000000002</v>
      </c>
      <c r="E1386" s="135">
        <f t="shared" si="21"/>
        <v>1471.3200000000002</v>
      </c>
      <c r="F1386" t="s">
        <v>1493</v>
      </c>
    </row>
    <row r="1387" spans="1:6" hidden="1" outlineLevel="1">
      <c r="A1387" s="753" t="s">
        <v>1494</v>
      </c>
      <c r="B1387" s="152">
        <v>0</v>
      </c>
      <c r="C1387" s="167">
        <v>867.49</v>
      </c>
      <c r="D1387" s="168">
        <v>126767.13</v>
      </c>
      <c r="E1387" s="135">
        <f t="shared" si="21"/>
        <v>127634.62000000001</v>
      </c>
      <c r="F1387" t="s">
        <v>1495</v>
      </c>
    </row>
    <row r="1388" spans="1:6" hidden="1" outlineLevel="1">
      <c r="A1388" s="753" t="s">
        <v>1496</v>
      </c>
      <c r="B1388" s="152">
        <v>0</v>
      </c>
      <c r="C1388" s="167">
        <v>12518.43</v>
      </c>
      <c r="D1388" s="168">
        <v>339082.57999999996</v>
      </c>
      <c r="E1388" s="135">
        <f t="shared" si="21"/>
        <v>351601.00999999995</v>
      </c>
      <c r="F1388" t="s">
        <v>1497</v>
      </c>
    </row>
    <row r="1389" spans="1:6" hidden="1" outlineLevel="1">
      <c r="A1389" s="753" t="s">
        <v>1498</v>
      </c>
      <c r="B1389" s="152">
        <v>0</v>
      </c>
      <c r="C1389" s="167">
        <v>0</v>
      </c>
      <c r="D1389" s="168">
        <v>9645.64</v>
      </c>
      <c r="E1389" s="135">
        <f t="shared" si="21"/>
        <v>9645.64</v>
      </c>
      <c r="F1389" t="s">
        <v>1499</v>
      </c>
    </row>
    <row r="1390" spans="1:6" hidden="1" outlineLevel="1">
      <c r="A1390" s="753" t="s">
        <v>1500</v>
      </c>
      <c r="B1390" s="152">
        <v>0</v>
      </c>
      <c r="C1390" s="167">
        <v>1922.71</v>
      </c>
      <c r="D1390" s="168">
        <v>33076.719999999994</v>
      </c>
      <c r="E1390" s="135">
        <f t="shared" si="21"/>
        <v>34999.429999999993</v>
      </c>
      <c r="F1390" t="s">
        <v>1501</v>
      </c>
    </row>
    <row r="1391" spans="1:6" hidden="1" outlineLevel="1">
      <c r="A1391" s="753" t="s">
        <v>1502</v>
      </c>
      <c r="B1391" s="152">
        <v>0</v>
      </c>
      <c r="C1391" s="167">
        <v>40604.86</v>
      </c>
      <c r="D1391" s="168">
        <v>11196.24</v>
      </c>
      <c r="E1391" s="135">
        <f t="shared" si="21"/>
        <v>51801.1</v>
      </c>
      <c r="F1391" t="s">
        <v>1503</v>
      </c>
    </row>
    <row r="1392" spans="1:6" hidden="1" outlineLevel="1">
      <c r="A1392" s="753" t="s">
        <v>1504</v>
      </c>
      <c r="B1392" s="152">
        <v>0</v>
      </c>
      <c r="C1392" s="167">
        <v>32097.11</v>
      </c>
      <c r="D1392" s="168">
        <v>311541.69999999995</v>
      </c>
      <c r="E1392" s="135">
        <f t="shared" si="21"/>
        <v>343638.80999999994</v>
      </c>
      <c r="F1392" t="s">
        <v>1505</v>
      </c>
    </row>
    <row r="1393" spans="1:6" hidden="1" outlineLevel="1">
      <c r="A1393" s="753" t="s">
        <v>1506</v>
      </c>
      <c r="B1393" s="152">
        <v>0</v>
      </c>
      <c r="C1393" s="167">
        <v>0</v>
      </c>
      <c r="D1393" s="168">
        <v>15469.76</v>
      </c>
      <c r="E1393" s="135">
        <f t="shared" si="21"/>
        <v>15469.76</v>
      </c>
      <c r="F1393" t="s">
        <v>1507</v>
      </c>
    </row>
    <row r="1394" spans="1:6" hidden="1" outlineLevel="1">
      <c r="A1394" s="753" t="s">
        <v>1508</v>
      </c>
      <c r="B1394" s="152">
        <v>0</v>
      </c>
      <c r="C1394" s="167">
        <v>20731.98</v>
      </c>
      <c r="D1394" s="168">
        <v>62085.039999999994</v>
      </c>
      <c r="E1394" s="135">
        <f t="shared" si="21"/>
        <v>82817.01999999999</v>
      </c>
      <c r="F1394" t="s">
        <v>1509</v>
      </c>
    </row>
    <row r="1395" spans="1:6" hidden="1" outlineLevel="1">
      <c r="A1395" s="753" t="s">
        <v>1510</v>
      </c>
      <c r="B1395" s="152">
        <v>0</v>
      </c>
      <c r="C1395" s="167">
        <v>4528.6000000000004</v>
      </c>
      <c r="D1395" s="168">
        <v>117625.79999999997</v>
      </c>
      <c r="E1395" s="135">
        <f t="shared" si="21"/>
        <v>122154.39999999998</v>
      </c>
      <c r="F1395" t="s">
        <v>1511</v>
      </c>
    </row>
    <row r="1396" spans="1:6" hidden="1" outlineLevel="1">
      <c r="A1396" s="753" t="s">
        <v>1512</v>
      </c>
      <c r="B1396" s="152">
        <v>0</v>
      </c>
      <c r="C1396" s="167">
        <v>1716.76</v>
      </c>
      <c r="D1396" s="168">
        <v>33160.400000000001</v>
      </c>
      <c r="E1396" s="135">
        <f t="shared" si="21"/>
        <v>34877.160000000003</v>
      </c>
      <c r="F1396" t="s">
        <v>1513</v>
      </c>
    </row>
    <row r="1397" spans="1:6" hidden="1" outlineLevel="1">
      <c r="A1397" s="753" t="s">
        <v>1514</v>
      </c>
      <c r="B1397" s="152">
        <v>0</v>
      </c>
      <c r="C1397" s="167">
        <v>940.8</v>
      </c>
      <c r="D1397" s="168">
        <v>24519.239999999998</v>
      </c>
      <c r="E1397" s="135">
        <f t="shared" si="21"/>
        <v>25460.039999999997</v>
      </c>
      <c r="F1397" t="s">
        <v>1515</v>
      </c>
    </row>
    <row r="1398" spans="1:6" hidden="1" outlineLevel="1">
      <c r="A1398" s="753" t="s">
        <v>1516</v>
      </c>
      <c r="B1398" s="152">
        <v>4052.4400000000005</v>
      </c>
      <c r="C1398" s="167">
        <v>399988.61999999994</v>
      </c>
      <c r="D1398" s="168">
        <v>21188773.309999991</v>
      </c>
      <c r="E1398" s="135">
        <f t="shared" si="21"/>
        <v>21592814.36999999</v>
      </c>
      <c r="F1398" t="s">
        <v>1517</v>
      </c>
    </row>
    <row r="1399" spans="1:6" hidden="1" outlineLevel="1">
      <c r="A1399" s="753" t="s">
        <v>1518</v>
      </c>
      <c r="B1399" s="152">
        <v>0</v>
      </c>
      <c r="C1399" s="167">
        <v>374.1</v>
      </c>
      <c r="D1399" s="168">
        <v>40890.839999999997</v>
      </c>
      <c r="E1399" s="135">
        <f t="shared" si="21"/>
        <v>41264.939999999995</v>
      </c>
      <c r="F1399" t="s">
        <v>1519</v>
      </c>
    </row>
    <row r="1400" spans="1:6" hidden="1" outlineLevel="1">
      <c r="A1400" s="753" t="s">
        <v>1520</v>
      </c>
      <c r="B1400" s="152">
        <v>0</v>
      </c>
      <c r="C1400" s="167">
        <v>230.57</v>
      </c>
      <c r="D1400" s="168">
        <v>6311.4800000000005</v>
      </c>
      <c r="E1400" s="135">
        <f t="shared" si="21"/>
        <v>6542.05</v>
      </c>
      <c r="F1400" t="s">
        <v>1521</v>
      </c>
    </row>
    <row r="1401" spans="1:6" hidden="1" outlineLevel="1">
      <c r="A1401" s="753" t="s">
        <v>1522</v>
      </c>
      <c r="B1401" s="152">
        <v>0</v>
      </c>
      <c r="C1401" s="167">
        <v>14374.8</v>
      </c>
      <c r="D1401" s="168">
        <v>149250.71</v>
      </c>
      <c r="E1401" s="135">
        <f t="shared" si="21"/>
        <v>163625.50999999998</v>
      </c>
      <c r="F1401" t="s">
        <v>1523</v>
      </c>
    </row>
    <row r="1402" spans="1:6" hidden="1" outlineLevel="1">
      <c r="A1402" s="753" t="s">
        <v>1524</v>
      </c>
      <c r="B1402" s="152">
        <v>0</v>
      </c>
      <c r="C1402" s="167">
        <v>2837.92</v>
      </c>
      <c r="D1402" s="168">
        <v>23939</v>
      </c>
      <c r="E1402" s="135">
        <f t="shared" si="21"/>
        <v>26776.92</v>
      </c>
      <c r="F1402" t="s">
        <v>1525</v>
      </c>
    </row>
    <row r="1403" spans="1:6" hidden="1" outlineLevel="1">
      <c r="A1403" s="753" t="s">
        <v>1526</v>
      </c>
      <c r="B1403" s="152">
        <v>0</v>
      </c>
      <c r="C1403" s="167">
        <v>855.43</v>
      </c>
      <c r="D1403" s="168">
        <v>67362.219999999987</v>
      </c>
      <c r="E1403" s="135">
        <f t="shared" si="21"/>
        <v>68217.64999999998</v>
      </c>
      <c r="F1403" t="s">
        <v>1527</v>
      </c>
    </row>
    <row r="1404" spans="1:6" hidden="1" outlineLevel="1">
      <c r="A1404" s="753" t="s">
        <v>1528</v>
      </c>
      <c r="B1404" s="152">
        <v>0</v>
      </c>
      <c r="C1404" s="167">
        <v>0</v>
      </c>
      <c r="D1404" s="168">
        <v>645849.75</v>
      </c>
      <c r="E1404" s="135">
        <f t="shared" si="21"/>
        <v>645849.75</v>
      </c>
      <c r="F1404" t="s">
        <v>1529</v>
      </c>
    </row>
    <row r="1405" spans="1:6" hidden="1" outlineLevel="1">
      <c r="A1405" s="753" t="s">
        <v>1530</v>
      </c>
      <c r="B1405" s="152">
        <v>0</v>
      </c>
      <c r="C1405" s="167">
        <v>7447.46</v>
      </c>
      <c r="D1405" s="168">
        <v>59559.159999999996</v>
      </c>
      <c r="E1405" s="135">
        <f t="shared" si="21"/>
        <v>67006.62</v>
      </c>
      <c r="F1405" t="s">
        <v>1531</v>
      </c>
    </row>
    <row r="1406" spans="1:6" hidden="1" outlineLevel="1">
      <c r="A1406" s="753" t="s">
        <v>1532</v>
      </c>
      <c r="B1406" s="152">
        <v>0</v>
      </c>
      <c r="C1406" s="167">
        <v>926.52</v>
      </c>
      <c r="D1406" s="168">
        <v>216691.59</v>
      </c>
      <c r="E1406" s="135">
        <f t="shared" si="21"/>
        <v>217618.11</v>
      </c>
      <c r="F1406" t="s">
        <v>1533</v>
      </c>
    </row>
    <row r="1407" spans="1:6" hidden="1" outlineLevel="1">
      <c r="A1407" s="753" t="s">
        <v>1534</v>
      </c>
      <c r="B1407" s="152">
        <v>0</v>
      </c>
      <c r="C1407" s="167">
        <v>4274.25</v>
      </c>
      <c r="D1407" s="168">
        <v>100702.61</v>
      </c>
      <c r="E1407" s="135">
        <f t="shared" si="21"/>
        <v>104976.86</v>
      </c>
      <c r="F1407" t="s">
        <v>1535</v>
      </c>
    </row>
    <row r="1408" spans="1:6" hidden="1" outlineLevel="1">
      <c r="A1408" s="753" t="s">
        <v>1536</v>
      </c>
      <c r="B1408" s="152">
        <v>0</v>
      </c>
      <c r="C1408" s="167">
        <v>12988.69</v>
      </c>
      <c r="D1408" s="168">
        <v>18862.43</v>
      </c>
      <c r="E1408" s="135">
        <f t="shared" si="21"/>
        <v>31851.120000000003</v>
      </c>
      <c r="F1408" t="s">
        <v>1537</v>
      </c>
    </row>
    <row r="1409" spans="1:6" hidden="1" outlineLevel="1">
      <c r="A1409" s="753" t="s">
        <v>1538</v>
      </c>
      <c r="B1409" s="152">
        <v>0</v>
      </c>
      <c r="C1409" s="167">
        <v>57532.7</v>
      </c>
      <c r="D1409" s="168">
        <v>225197.39000000004</v>
      </c>
      <c r="E1409" s="135">
        <f t="shared" si="21"/>
        <v>282730.09000000003</v>
      </c>
      <c r="F1409" t="s">
        <v>1539</v>
      </c>
    </row>
    <row r="1410" spans="1:6" hidden="1" outlineLevel="1">
      <c r="A1410" s="753" t="s">
        <v>1540</v>
      </c>
      <c r="B1410" s="152">
        <v>0</v>
      </c>
      <c r="C1410" s="167">
        <v>0</v>
      </c>
      <c r="D1410" s="168">
        <v>1814</v>
      </c>
      <c r="E1410" s="135">
        <f t="shared" si="21"/>
        <v>1814</v>
      </c>
      <c r="F1410" t="s">
        <v>1541</v>
      </c>
    </row>
    <row r="1411" spans="1:6" hidden="1" outlineLevel="1">
      <c r="A1411" s="753" t="s">
        <v>1542</v>
      </c>
      <c r="B1411" s="152">
        <v>0</v>
      </c>
      <c r="C1411" s="167">
        <v>0</v>
      </c>
      <c r="D1411" s="168">
        <v>64977.42</v>
      </c>
      <c r="E1411" s="135">
        <f t="shared" si="21"/>
        <v>64977.42</v>
      </c>
      <c r="F1411" t="s">
        <v>1543</v>
      </c>
    </row>
    <row r="1412" spans="1:6" hidden="1" outlineLevel="1">
      <c r="A1412" s="753" t="s">
        <v>1544</v>
      </c>
      <c r="B1412" s="152">
        <v>0</v>
      </c>
      <c r="C1412" s="167">
        <v>9619.4699999999993</v>
      </c>
      <c r="D1412" s="168">
        <v>1739.48</v>
      </c>
      <c r="E1412" s="135">
        <f t="shared" si="21"/>
        <v>11358.949999999999</v>
      </c>
      <c r="F1412" t="s">
        <v>1545</v>
      </c>
    </row>
    <row r="1413" spans="1:6" hidden="1" outlineLevel="1">
      <c r="A1413" s="753" t="s">
        <v>1546</v>
      </c>
      <c r="B1413" s="152">
        <v>0</v>
      </c>
      <c r="C1413" s="167">
        <v>0</v>
      </c>
      <c r="D1413" s="168">
        <v>85841.69</v>
      </c>
      <c r="E1413" s="135">
        <f t="shared" si="21"/>
        <v>85841.69</v>
      </c>
      <c r="F1413" t="s">
        <v>1547</v>
      </c>
    </row>
    <row r="1414" spans="1:6" hidden="1" outlineLevel="1">
      <c r="A1414" s="753" t="s">
        <v>1548</v>
      </c>
      <c r="B1414" s="152">
        <v>0</v>
      </c>
      <c r="C1414" s="167">
        <v>0</v>
      </c>
      <c r="D1414" s="168">
        <v>6156.23</v>
      </c>
      <c r="E1414" s="135">
        <f t="shared" si="21"/>
        <v>6156.23</v>
      </c>
      <c r="F1414" t="s">
        <v>1549</v>
      </c>
    </row>
    <row r="1415" spans="1:6" hidden="1" outlineLevel="1">
      <c r="A1415" s="753" t="s">
        <v>1550</v>
      </c>
      <c r="B1415" s="152">
        <v>0</v>
      </c>
      <c r="C1415" s="167">
        <v>208.66</v>
      </c>
      <c r="D1415" s="168">
        <v>57122.619999999988</v>
      </c>
      <c r="E1415" s="135">
        <f t="shared" si="21"/>
        <v>57331.279999999992</v>
      </c>
      <c r="F1415" t="s">
        <v>1551</v>
      </c>
    </row>
    <row r="1416" spans="1:6" hidden="1" outlineLevel="1">
      <c r="A1416" s="753" t="s">
        <v>1552</v>
      </c>
      <c r="B1416" s="152">
        <v>0</v>
      </c>
      <c r="C1416" s="167">
        <v>1678.13</v>
      </c>
      <c r="D1416" s="168">
        <v>35684.000000000007</v>
      </c>
      <c r="E1416" s="135">
        <f t="shared" si="21"/>
        <v>37362.130000000005</v>
      </c>
      <c r="F1416" t="s">
        <v>1553</v>
      </c>
    </row>
    <row r="1417" spans="1:6" hidden="1" outlineLevel="1">
      <c r="A1417" s="753" t="s">
        <v>1554</v>
      </c>
      <c r="B1417" s="152">
        <v>0</v>
      </c>
      <c r="C1417" s="167">
        <v>1182.4100000000001</v>
      </c>
      <c r="D1417" s="168">
        <v>85283.390000000014</v>
      </c>
      <c r="E1417" s="135">
        <f t="shared" si="21"/>
        <v>86465.800000000017</v>
      </c>
      <c r="F1417" t="s">
        <v>1555</v>
      </c>
    </row>
    <row r="1418" spans="1:6" hidden="1" outlineLevel="1">
      <c r="A1418" s="753" t="s">
        <v>1556</v>
      </c>
      <c r="B1418" s="152">
        <v>0</v>
      </c>
      <c r="C1418" s="167">
        <v>19486.43</v>
      </c>
      <c r="D1418" s="168">
        <v>93452.56</v>
      </c>
      <c r="E1418" s="135">
        <f t="shared" si="21"/>
        <v>112938.98999999999</v>
      </c>
      <c r="F1418" t="s">
        <v>1557</v>
      </c>
    </row>
    <row r="1419" spans="1:6" hidden="1" outlineLevel="1">
      <c r="A1419" s="753" t="s">
        <v>1558</v>
      </c>
      <c r="B1419" s="152">
        <v>0</v>
      </c>
      <c r="C1419" s="167">
        <v>14640.619999999999</v>
      </c>
      <c r="D1419" s="168">
        <v>226796.73999999996</v>
      </c>
      <c r="E1419" s="135">
        <f t="shared" si="21"/>
        <v>241437.35999999996</v>
      </c>
      <c r="F1419" t="s">
        <v>1559</v>
      </c>
    </row>
    <row r="1420" spans="1:6" hidden="1" outlineLevel="1">
      <c r="A1420" s="753" t="s">
        <v>1560</v>
      </c>
      <c r="B1420" s="152">
        <v>0</v>
      </c>
      <c r="C1420" s="167">
        <v>6954.28</v>
      </c>
      <c r="D1420" s="168">
        <v>0</v>
      </c>
      <c r="E1420" s="135">
        <f t="shared" si="21"/>
        <v>6954.28</v>
      </c>
      <c r="F1420" t="s">
        <v>1561</v>
      </c>
    </row>
    <row r="1421" spans="1:6" hidden="1" outlineLevel="1">
      <c r="A1421" s="753" t="s">
        <v>1562</v>
      </c>
      <c r="B1421" s="152">
        <v>0</v>
      </c>
      <c r="C1421" s="167">
        <v>0</v>
      </c>
      <c r="D1421" s="168">
        <v>3080</v>
      </c>
      <c r="E1421" s="135">
        <f t="shared" si="21"/>
        <v>3080</v>
      </c>
      <c r="F1421" t="s">
        <v>1563</v>
      </c>
    </row>
    <row r="1422" spans="1:6" hidden="1" outlineLevel="1">
      <c r="A1422" s="753" t="s">
        <v>1564</v>
      </c>
      <c r="B1422" s="152">
        <v>0</v>
      </c>
      <c r="C1422" s="167">
        <v>0</v>
      </c>
      <c r="D1422" s="168">
        <v>14787.919999999998</v>
      </c>
      <c r="E1422" s="135">
        <f t="shared" si="21"/>
        <v>14787.919999999998</v>
      </c>
      <c r="F1422" t="s">
        <v>1565</v>
      </c>
    </row>
    <row r="1423" spans="1:6" hidden="1" outlineLevel="1">
      <c r="A1423" s="753" t="s">
        <v>1566</v>
      </c>
      <c r="B1423" s="152">
        <v>0</v>
      </c>
      <c r="C1423" s="167">
        <v>39672.019999999997</v>
      </c>
      <c r="D1423" s="168">
        <v>1465786.46</v>
      </c>
      <c r="E1423" s="135">
        <f t="shared" si="21"/>
        <v>1505458.48</v>
      </c>
      <c r="F1423" t="s">
        <v>1567</v>
      </c>
    </row>
    <row r="1424" spans="1:6" hidden="1" outlineLevel="1">
      <c r="A1424" s="753" t="s">
        <v>1568</v>
      </c>
      <c r="B1424" s="152">
        <v>0</v>
      </c>
      <c r="C1424" s="167">
        <v>49.77</v>
      </c>
      <c r="D1424" s="168">
        <v>0</v>
      </c>
      <c r="E1424" s="135">
        <f t="shared" si="21"/>
        <v>49.77</v>
      </c>
      <c r="F1424" t="s">
        <v>1569</v>
      </c>
    </row>
    <row r="1425" spans="1:6" hidden="1" outlineLevel="1">
      <c r="A1425" s="753" t="s">
        <v>1570</v>
      </c>
      <c r="B1425" s="152">
        <v>0</v>
      </c>
      <c r="C1425" s="167">
        <v>1758.85</v>
      </c>
      <c r="D1425" s="168">
        <v>145363.68999999997</v>
      </c>
      <c r="E1425" s="135">
        <f t="shared" si="21"/>
        <v>147122.53999999998</v>
      </c>
      <c r="F1425" t="s">
        <v>1571</v>
      </c>
    </row>
    <row r="1426" spans="1:6" hidden="1" outlineLevel="1">
      <c r="A1426" s="753" t="s">
        <v>1572</v>
      </c>
      <c r="B1426" s="152">
        <v>0</v>
      </c>
      <c r="C1426" s="167">
        <v>6710.99</v>
      </c>
      <c r="D1426" s="168">
        <v>150306.47</v>
      </c>
      <c r="E1426" s="135">
        <f t="shared" si="21"/>
        <v>157017.46</v>
      </c>
      <c r="F1426" t="s">
        <v>1573</v>
      </c>
    </row>
    <row r="1427" spans="1:6" hidden="1" outlineLevel="1">
      <c r="A1427" s="753" t="s">
        <v>1574</v>
      </c>
      <c r="B1427" s="152">
        <v>0</v>
      </c>
      <c r="C1427" s="167">
        <v>1429.97</v>
      </c>
      <c r="D1427" s="168">
        <v>6844.08</v>
      </c>
      <c r="E1427" s="135">
        <f t="shared" si="21"/>
        <v>8274.0499999999993</v>
      </c>
      <c r="F1427" t="s">
        <v>1575</v>
      </c>
    </row>
    <row r="1428" spans="1:6" hidden="1" outlineLevel="1">
      <c r="A1428" s="753" t="s">
        <v>1576</v>
      </c>
      <c r="B1428" s="152">
        <v>0</v>
      </c>
      <c r="C1428" s="167">
        <v>0</v>
      </c>
      <c r="D1428" s="168">
        <v>84798.93</v>
      </c>
      <c r="E1428" s="135">
        <f t="shared" si="21"/>
        <v>84798.93</v>
      </c>
      <c r="F1428" t="s">
        <v>1577</v>
      </c>
    </row>
    <row r="1429" spans="1:6" hidden="1" outlineLevel="1">
      <c r="A1429" s="753" t="s">
        <v>1578</v>
      </c>
      <c r="B1429" s="152">
        <v>0</v>
      </c>
      <c r="C1429" s="167">
        <v>8253.2800000000007</v>
      </c>
      <c r="D1429" s="168">
        <v>102804.57</v>
      </c>
      <c r="E1429" s="135">
        <f t="shared" si="21"/>
        <v>111057.85</v>
      </c>
      <c r="F1429" t="s">
        <v>1579</v>
      </c>
    </row>
    <row r="1430" spans="1:6" hidden="1" outlineLevel="1">
      <c r="A1430" s="753" t="s">
        <v>1580</v>
      </c>
      <c r="B1430" s="152">
        <v>0</v>
      </c>
      <c r="C1430" s="167">
        <v>0</v>
      </c>
      <c r="D1430" s="168">
        <v>2849.28</v>
      </c>
      <c r="E1430" s="135">
        <f t="shared" si="21"/>
        <v>2849.28</v>
      </c>
      <c r="F1430" t="s">
        <v>1581</v>
      </c>
    </row>
    <row r="1431" spans="1:6" hidden="1" outlineLevel="1">
      <c r="A1431" s="753" t="s">
        <v>1582</v>
      </c>
      <c r="B1431" s="152">
        <v>0</v>
      </c>
      <c r="C1431" s="167">
        <v>0</v>
      </c>
      <c r="D1431" s="168">
        <v>62349.57</v>
      </c>
      <c r="E1431" s="135">
        <f t="shared" si="21"/>
        <v>62349.57</v>
      </c>
      <c r="F1431" t="s">
        <v>1583</v>
      </c>
    </row>
    <row r="1432" spans="1:6" hidden="1" outlineLevel="1">
      <c r="A1432" s="753" t="s">
        <v>1584</v>
      </c>
      <c r="B1432" s="152">
        <v>0</v>
      </c>
      <c r="C1432" s="167">
        <v>2284.75</v>
      </c>
      <c r="D1432" s="168">
        <v>416862.93999999994</v>
      </c>
      <c r="E1432" s="135">
        <f t="shared" si="21"/>
        <v>419147.68999999994</v>
      </c>
      <c r="F1432" t="s">
        <v>1585</v>
      </c>
    </row>
    <row r="1433" spans="1:6" hidden="1" outlineLevel="1">
      <c r="A1433" s="753" t="s">
        <v>1030</v>
      </c>
      <c r="B1433" s="152">
        <v>0</v>
      </c>
      <c r="C1433" s="167">
        <v>841.09</v>
      </c>
      <c r="D1433" s="168">
        <v>11295.52</v>
      </c>
      <c r="E1433" s="135">
        <f t="shared" si="21"/>
        <v>12136.61</v>
      </c>
      <c r="F1433" t="s">
        <v>1031</v>
      </c>
    </row>
    <row r="1434" spans="1:6" hidden="1" outlineLevel="1">
      <c r="A1434" s="753" t="s">
        <v>1586</v>
      </c>
      <c r="B1434" s="152">
        <v>0</v>
      </c>
      <c r="C1434" s="167">
        <v>3468.51</v>
      </c>
      <c r="D1434" s="168">
        <v>25308.959999999999</v>
      </c>
      <c r="E1434" s="135">
        <f t="shared" si="21"/>
        <v>28777.47</v>
      </c>
      <c r="F1434" t="s">
        <v>1587</v>
      </c>
    </row>
    <row r="1435" spans="1:6" hidden="1" outlineLevel="1">
      <c r="A1435" s="753" t="s">
        <v>1588</v>
      </c>
      <c r="B1435" s="152">
        <v>0</v>
      </c>
      <c r="C1435" s="167">
        <v>9441.0399999999991</v>
      </c>
      <c r="D1435" s="168">
        <v>142365.42999999996</v>
      </c>
      <c r="E1435" s="135">
        <f t="shared" ref="E1435:E1498" si="22">SUM(B1435:D1435)</f>
        <v>151806.46999999997</v>
      </c>
      <c r="F1435" t="s">
        <v>1589</v>
      </c>
    </row>
    <row r="1436" spans="1:6" hidden="1" outlineLevel="1">
      <c r="A1436" s="753" t="s">
        <v>1590</v>
      </c>
      <c r="B1436" s="152">
        <v>0</v>
      </c>
      <c r="C1436" s="167">
        <v>0</v>
      </c>
      <c r="D1436" s="168">
        <v>200.68</v>
      </c>
      <c r="E1436" s="135">
        <f t="shared" si="22"/>
        <v>200.68</v>
      </c>
      <c r="F1436" t="s">
        <v>1591</v>
      </c>
    </row>
    <row r="1437" spans="1:6" hidden="1" outlineLevel="1">
      <c r="A1437" s="753" t="s">
        <v>1592</v>
      </c>
      <c r="B1437" s="152">
        <v>0</v>
      </c>
      <c r="C1437" s="167">
        <v>0.05</v>
      </c>
      <c r="D1437" s="168">
        <v>125230</v>
      </c>
      <c r="E1437" s="135">
        <f t="shared" si="22"/>
        <v>125230.05</v>
      </c>
      <c r="F1437" t="s">
        <v>1593</v>
      </c>
    </row>
    <row r="1438" spans="1:6" hidden="1" outlineLevel="1">
      <c r="A1438" s="753" t="s">
        <v>1594</v>
      </c>
      <c r="B1438" s="152">
        <v>0</v>
      </c>
      <c r="C1438" s="167">
        <v>411.11</v>
      </c>
      <c r="D1438" s="168">
        <v>1857.1100000000001</v>
      </c>
      <c r="E1438" s="135">
        <f t="shared" si="22"/>
        <v>2268.2200000000003</v>
      </c>
      <c r="F1438" t="s">
        <v>1595</v>
      </c>
    </row>
    <row r="1439" spans="1:6" hidden="1" outlineLevel="1">
      <c r="A1439" s="753" t="s">
        <v>1596</v>
      </c>
      <c r="B1439" s="152">
        <v>0</v>
      </c>
      <c r="C1439" s="167">
        <v>553.66</v>
      </c>
      <c r="D1439" s="168">
        <v>46513.78</v>
      </c>
      <c r="E1439" s="135">
        <f t="shared" si="22"/>
        <v>47067.44</v>
      </c>
      <c r="F1439" t="s">
        <v>1597</v>
      </c>
    </row>
    <row r="1440" spans="1:6" hidden="1" outlineLevel="1">
      <c r="A1440" s="753" t="s">
        <v>1598</v>
      </c>
      <c r="B1440" s="152">
        <v>0</v>
      </c>
      <c r="C1440" s="167">
        <v>51742.960000000006</v>
      </c>
      <c r="D1440" s="168">
        <v>71273.8</v>
      </c>
      <c r="E1440" s="135">
        <f t="shared" si="22"/>
        <v>123016.76000000001</v>
      </c>
      <c r="F1440" t="s">
        <v>1599</v>
      </c>
    </row>
    <row r="1441" spans="1:6" hidden="1" outlineLevel="1">
      <c r="A1441" s="753" t="s">
        <v>1600</v>
      </c>
      <c r="B1441" s="152">
        <v>0</v>
      </c>
      <c r="C1441" s="167">
        <v>49549.36</v>
      </c>
      <c r="D1441" s="168">
        <v>53659.45</v>
      </c>
      <c r="E1441" s="135">
        <f t="shared" si="22"/>
        <v>103208.81</v>
      </c>
      <c r="F1441" t="s">
        <v>1601</v>
      </c>
    </row>
    <row r="1442" spans="1:6" hidden="1" outlineLevel="1">
      <c r="A1442" s="753" t="s">
        <v>1602</v>
      </c>
      <c r="B1442" s="152">
        <v>0</v>
      </c>
      <c r="C1442" s="167">
        <v>0</v>
      </c>
      <c r="D1442" s="168">
        <v>99512.299999999988</v>
      </c>
      <c r="E1442" s="135">
        <f t="shared" si="22"/>
        <v>99512.299999999988</v>
      </c>
      <c r="F1442" t="s">
        <v>1603</v>
      </c>
    </row>
    <row r="1443" spans="1:6" hidden="1" outlineLevel="1">
      <c r="A1443" s="753" t="s">
        <v>1604</v>
      </c>
      <c r="B1443" s="152">
        <v>0</v>
      </c>
      <c r="C1443" s="167">
        <v>0</v>
      </c>
      <c r="D1443" s="168">
        <v>49707.76</v>
      </c>
      <c r="E1443" s="135">
        <f t="shared" si="22"/>
        <v>49707.76</v>
      </c>
      <c r="F1443" t="s">
        <v>1605</v>
      </c>
    </row>
    <row r="1444" spans="1:6" hidden="1" outlineLevel="1">
      <c r="A1444" s="753" t="s">
        <v>1606</v>
      </c>
      <c r="B1444" s="152">
        <v>0</v>
      </c>
      <c r="C1444" s="167">
        <v>6884.01</v>
      </c>
      <c r="D1444" s="168">
        <v>11731.84</v>
      </c>
      <c r="E1444" s="135">
        <f t="shared" si="22"/>
        <v>18615.849999999999</v>
      </c>
      <c r="F1444" t="s">
        <v>1607</v>
      </c>
    </row>
    <row r="1445" spans="1:6" hidden="1" outlineLevel="1">
      <c r="A1445" s="753" t="s">
        <v>1608</v>
      </c>
      <c r="B1445" s="152">
        <v>0</v>
      </c>
      <c r="C1445" s="167">
        <v>16935.669999999998</v>
      </c>
      <c r="D1445" s="168">
        <v>67988.95</v>
      </c>
      <c r="E1445" s="135">
        <f t="shared" si="22"/>
        <v>84924.62</v>
      </c>
      <c r="F1445" t="s">
        <v>1609</v>
      </c>
    </row>
    <row r="1446" spans="1:6" hidden="1" outlineLevel="1">
      <c r="A1446" s="753" t="s">
        <v>1610</v>
      </c>
      <c r="B1446" s="152">
        <v>0</v>
      </c>
      <c r="C1446" s="167">
        <v>0</v>
      </c>
      <c r="D1446" s="168">
        <v>65731.020000000019</v>
      </c>
      <c r="E1446" s="135">
        <f t="shared" si="22"/>
        <v>65731.020000000019</v>
      </c>
      <c r="F1446" t="s">
        <v>1611</v>
      </c>
    </row>
    <row r="1447" spans="1:6" hidden="1" outlineLevel="1">
      <c r="A1447" s="753" t="s">
        <v>1612</v>
      </c>
      <c r="B1447" s="152">
        <v>0</v>
      </c>
      <c r="C1447" s="167">
        <v>0</v>
      </c>
      <c r="D1447" s="168">
        <v>22520.280000000002</v>
      </c>
      <c r="E1447" s="135">
        <f t="shared" si="22"/>
        <v>22520.280000000002</v>
      </c>
      <c r="F1447" t="s">
        <v>1613</v>
      </c>
    </row>
    <row r="1448" spans="1:6" hidden="1" outlineLevel="1">
      <c r="A1448" s="753" t="s">
        <v>1614</v>
      </c>
      <c r="B1448" s="152">
        <v>0</v>
      </c>
      <c r="C1448" s="167">
        <v>7777.9699999999993</v>
      </c>
      <c r="D1448" s="168">
        <v>82166.23</v>
      </c>
      <c r="E1448" s="135">
        <f t="shared" si="22"/>
        <v>89944.2</v>
      </c>
      <c r="F1448" t="s">
        <v>1615</v>
      </c>
    </row>
    <row r="1449" spans="1:6" hidden="1" outlineLevel="1">
      <c r="A1449" s="753" t="s">
        <v>1616</v>
      </c>
      <c r="B1449" s="152">
        <v>0</v>
      </c>
      <c r="C1449" s="167">
        <v>13588.84</v>
      </c>
      <c r="D1449" s="168">
        <v>26092.679999999997</v>
      </c>
      <c r="E1449" s="135">
        <f t="shared" si="22"/>
        <v>39681.519999999997</v>
      </c>
      <c r="F1449" t="s">
        <v>1617</v>
      </c>
    </row>
    <row r="1450" spans="1:6" hidden="1" outlineLevel="1">
      <c r="A1450" s="753" t="s">
        <v>1618</v>
      </c>
      <c r="B1450" s="152">
        <v>0</v>
      </c>
      <c r="C1450" s="167">
        <v>2253.3200000000002</v>
      </c>
      <c r="D1450" s="168">
        <v>15883</v>
      </c>
      <c r="E1450" s="135">
        <f t="shared" si="22"/>
        <v>18136.32</v>
      </c>
      <c r="F1450" t="s">
        <v>1619</v>
      </c>
    </row>
    <row r="1451" spans="1:6" hidden="1" outlineLevel="1">
      <c r="A1451" s="753" t="s">
        <v>1620</v>
      </c>
      <c r="B1451" s="152">
        <v>0</v>
      </c>
      <c r="C1451" s="167">
        <v>24446.98</v>
      </c>
      <c r="D1451" s="168">
        <v>38135.360000000001</v>
      </c>
      <c r="E1451" s="135">
        <f t="shared" si="22"/>
        <v>62582.34</v>
      </c>
      <c r="F1451" t="s">
        <v>1621</v>
      </c>
    </row>
    <row r="1452" spans="1:6" hidden="1" outlineLevel="1">
      <c r="A1452" s="753" t="s">
        <v>1622</v>
      </c>
      <c r="B1452" s="152">
        <v>0</v>
      </c>
      <c r="C1452" s="167">
        <v>0</v>
      </c>
      <c r="D1452" s="168">
        <v>63851.76</v>
      </c>
      <c r="E1452" s="135">
        <f t="shared" si="22"/>
        <v>63851.76</v>
      </c>
      <c r="F1452" t="s">
        <v>1623</v>
      </c>
    </row>
    <row r="1453" spans="1:6" hidden="1" outlineLevel="1">
      <c r="A1453" s="753" t="s">
        <v>1624</v>
      </c>
      <c r="B1453" s="152">
        <v>0</v>
      </c>
      <c r="C1453" s="167">
        <v>0</v>
      </c>
      <c r="D1453" s="168">
        <v>14752.939999999999</v>
      </c>
      <c r="E1453" s="135">
        <f t="shared" si="22"/>
        <v>14752.939999999999</v>
      </c>
      <c r="F1453" t="s">
        <v>1625</v>
      </c>
    </row>
    <row r="1454" spans="1:6" hidden="1" outlineLevel="1">
      <c r="A1454" s="753" t="s">
        <v>1626</v>
      </c>
      <c r="B1454" s="152">
        <v>0</v>
      </c>
      <c r="C1454" s="167">
        <v>8206.59</v>
      </c>
      <c r="D1454" s="168">
        <v>0</v>
      </c>
      <c r="E1454" s="135">
        <f t="shared" si="22"/>
        <v>8206.59</v>
      </c>
      <c r="F1454" t="s">
        <v>1627</v>
      </c>
    </row>
    <row r="1455" spans="1:6" hidden="1" outlineLevel="1">
      <c r="A1455" s="753" t="s">
        <v>1628</v>
      </c>
      <c r="B1455" s="152">
        <v>0</v>
      </c>
      <c r="C1455" s="167">
        <v>0</v>
      </c>
      <c r="D1455" s="168">
        <v>2298872.5699999998</v>
      </c>
      <c r="E1455" s="135">
        <f t="shared" si="22"/>
        <v>2298872.5699999998</v>
      </c>
      <c r="F1455" t="s">
        <v>1629</v>
      </c>
    </row>
    <row r="1456" spans="1:6" hidden="1" outlineLevel="1">
      <c r="A1456" s="753" t="s">
        <v>1630</v>
      </c>
      <c r="B1456" s="152">
        <v>0</v>
      </c>
      <c r="C1456" s="167">
        <v>0</v>
      </c>
      <c r="D1456" s="168">
        <v>24112.649999999998</v>
      </c>
      <c r="E1456" s="135">
        <f t="shared" si="22"/>
        <v>24112.649999999998</v>
      </c>
      <c r="F1456" t="s">
        <v>1631</v>
      </c>
    </row>
    <row r="1457" spans="1:6" hidden="1" outlineLevel="1">
      <c r="A1457" s="753" t="s">
        <v>1632</v>
      </c>
      <c r="B1457" s="152">
        <v>132839.35</v>
      </c>
      <c r="C1457" s="167">
        <v>0</v>
      </c>
      <c r="D1457" s="168">
        <v>625290.84</v>
      </c>
      <c r="E1457" s="135">
        <f t="shared" si="22"/>
        <v>758130.19</v>
      </c>
      <c r="F1457" t="s">
        <v>1633</v>
      </c>
    </row>
    <row r="1458" spans="1:6" hidden="1" outlineLevel="1">
      <c r="A1458" s="753" t="s">
        <v>1634</v>
      </c>
      <c r="B1458" s="152">
        <v>0</v>
      </c>
      <c r="C1458" s="167">
        <v>17904.419999999998</v>
      </c>
      <c r="D1458" s="168">
        <v>978653.07999999984</v>
      </c>
      <c r="E1458" s="135">
        <f t="shared" si="22"/>
        <v>996557.49999999988</v>
      </c>
      <c r="F1458" t="s">
        <v>1635</v>
      </c>
    </row>
    <row r="1459" spans="1:6" hidden="1" outlineLevel="1">
      <c r="A1459" s="753" t="s">
        <v>1636</v>
      </c>
      <c r="B1459" s="152">
        <v>0</v>
      </c>
      <c r="C1459" s="167">
        <v>0</v>
      </c>
      <c r="D1459" s="168">
        <v>1751379.58</v>
      </c>
      <c r="E1459" s="135">
        <f t="shared" si="22"/>
        <v>1751379.58</v>
      </c>
      <c r="F1459" t="s">
        <v>1637</v>
      </c>
    </row>
    <row r="1460" spans="1:6" hidden="1" outlineLevel="1">
      <c r="A1460" s="753" t="s">
        <v>1638</v>
      </c>
      <c r="B1460" s="152">
        <v>0</v>
      </c>
      <c r="C1460" s="167">
        <v>0</v>
      </c>
      <c r="D1460" s="168">
        <v>22050.33</v>
      </c>
      <c r="E1460" s="135">
        <f t="shared" si="22"/>
        <v>22050.33</v>
      </c>
      <c r="F1460" t="s">
        <v>1639</v>
      </c>
    </row>
    <row r="1461" spans="1:6" hidden="1" outlineLevel="1">
      <c r="A1461" s="753" t="s">
        <v>1640</v>
      </c>
      <c r="B1461" s="152">
        <v>0</v>
      </c>
      <c r="C1461" s="167">
        <v>181745.37</v>
      </c>
      <c r="D1461" s="168">
        <v>2544758.1900000004</v>
      </c>
      <c r="E1461" s="135">
        <f t="shared" si="22"/>
        <v>2726503.5600000005</v>
      </c>
      <c r="F1461" t="s">
        <v>1641</v>
      </c>
    </row>
    <row r="1462" spans="1:6" hidden="1" outlineLevel="1">
      <c r="A1462" s="753" t="s">
        <v>1642</v>
      </c>
      <c r="B1462" s="152">
        <v>0</v>
      </c>
      <c r="C1462" s="167">
        <v>579.30999999999995</v>
      </c>
      <c r="D1462" s="168">
        <v>22468.87</v>
      </c>
      <c r="E1462" s="135">
        <f t="shared" si="22"/>
        <v>23048.18</v>
      </c>
      <c r="F1462" t="s">
        <v>1643</v>
      </c>
    </row>
    <row r="1463" spans="1:6" hidden="1" outlineLevel="1">
      <c r="A1463" s="753" t="s">
        <v>1644</v>
      </c>
      <c r="B1463" s="152">
        <v>0</v>
      </c>
      <c r="C1463" s="167">
        <v>0</v>
      </c>
      <c r="D1463" s="168">
        <v>29850.359999999997</v>
      </c>
      <c r="E1463" s="135">
        <f t="shared" si="22"/>
        <v>29850.359999999997</v>
      </c>
      <c r="F1463" t="s">
        <v>1645</v>
      </c>
    </row>
    <row r="1464" spans="1:6" hidden="1" outlineLevel="1">
      <c r="A1464" s="753" t="s">
        <v>1646</v>
      </c>
      <c r="B1464" s="152">
        <v>0</v>
      </c>
      <c r="C1464" s="167">
        <v>11531.18</v>
      </c>
      <c r="D1464" s="168">
        <v>285481.15000000002</v>
      </c>
      <c r="E1464" s="135">
        <f t="shared" si="22"/>
        <v>297012.33</v>
      </c>
      <c r="F1464" t="s">
        <v>1647</v>
      </c>
    </row>
    <row r="1465" spans="1:6" hidden="1" outlineLevel="1">
      <c r="A1465" s="753" t="s">
        <v>1648</v>
      </c>
      <c r="B1465" s="152">
        <v>0</v>
      </c>
      <c r="C1465" s="167">
        <v>1336.32</v>
      </c>
      <c r="D1465" s="168">
        <v>90063.859999999986</v>
      </c>
      <c r="E1465" s="135">
        <f t="shared" si="22"/>
        <v>91400.18</v>
      </c>
      <c r="F1465" t="s">
        <v>1649</v>
      </c>
    </row>
    <row r="1466" spans="1:6" hidden="1" outlineLevel="1">
      <c r="A1466" s="753" t="s">
        <v>1650</v>
      </c>
      <c r="B1466" s="152">
        <v>0</v>
      </c>
      <c r="C1466" s="167">
        <v>297864.92</v>
      </c>
      <c r="D1466" s="168">
        <v>53344886.100000039</v>
      </c>
      <c r="E1466" s="135">
        <f t="shared" si="22"/>
        <v>53642751.020000041</v>
      </c>
      <c r="F1466" t="s">
        <v>1651</v>
      </c>
    </row>
    <row r="1467" spans="1:6" hidden="1" outlineLevel="1">
      <c r="A1467" s="753" t="s">
        <v>1652</v>
      </c>
      <c r="B1467" s="152">
        <v>0</v>
      </c>
      <c r="C1467" s="167">
        <v>7540.08</v>
      </c>
      <c r="D1467" s="168">
        <v>101821.82000000002</v>
      </c>
      <c r="E1467" s="135">
        <f t="shared" si="22"/>
        <v>109361.90000000002</v>
      </c>
      <c r="F1467" t="s">
        <v>1653</v>
      </c>
    </row>
    <row r="1468" spans="1:6" hidden="1" outlineLevel="1">
      <c r="A1468" s="753" t="s">
        <v>1654</v>
      </c>
      <c r="B1468" s="152">
        <v>0</v>
      </c>
      <c r="C1468" s="167">
        <v>52273.369999999988</v>
      </c>
      <c r="D1468" s="168">
        <v>576168.10000000021</v>
      </c>
      <c r="E1468" s="135">
        <f t="shared" si="22"/>
        <v>628441.4700000002</v>
      </c>
      <c r="F1468" t="s">
        <v>1655</v>
      </c>
    </row>
    <row r="1469" spans="1:6" hidden="1" outlineLevel="1">
      <c r="A1469" s="753" t="s">
        <v>1656</v>
      </c>
      <c r="B1469" s="152">
        <v>818537.48</v>
      </c>
      <c r="C1469" s="167">
        <v>0</v>
      </c>
      <c r="D1469" s="168">
        <v>0</v>
      </c>
      <c r="E1469" s="135">
        <f t="shared" si="22"/>
        <v>818537.48</v>
      </c>
      <c r="F1469" t="s">
        <v>1657</v>
      </c>
    </row>
    <row r="1470" spans="1:6" hidden="1" outlineLevel="1">
      <c r="A1470" s="753" t="s">
        <v>1658</v>
      </c>
      <c r="B1470" s="152">
        <v>0</v>
      </c>
      <c r="C1470" s="167">
        <v>1151.19</v>
      </c>
      <c r="D1470" s="168">
        <v>25885.180000000004</v>
      </c>
      <c r="E1470" s="135">
        <f t="shared" si="22"/>
        <v>27036.370000000003</v>
      </c>
      <c r="F1470" t="s">
        <v>1659</v>
      </c>
    </row>
    <row r="1471" spans="1:6" hidden="1" outlineLevel="1">
      <c r="A1471" s="753" t="s">
        <v>1660</v>
      </c>
      <c r="B1471" s="152">
        <v>0</v>
      </c>
      <c r="C1471" s="167">
        <v>0</v>
      </c>
      <c r="D1471" s="168">
        <v>61450.32</v>
      </c>
      <c r="E1471" s="135">
        <f t="shared" si="22"/>
        <v>61450.32</v>
      </c>
      <c r="F1471" t="s">
        <v>1661</v>
      </c>
    </row>
    <row r="1472" spans="1:6" hidden="1" outlineLevel="1">
      <c r="A1472" s="753" t="s">
        <v>1662</v>
      </c>
      <c r="B1472" s="152">
        <v>0</v>
      </c>
      <c r="C1472" s="167">
        <v>0</v>
      </c>
      <c r="D1472" s="168">
        <v>11689.6</v>
      </c>
      <c r="E1472" s="135">
        <f t="shared" si="22"/>
        <v>11689.6</v>
      </c>
      <c r="F1472" t="s">
        <v>1663</v>
      </c>
    </row>
    <row r="1473" spans="1:6" hidden="1" outlineLevel="1">
      <c r="A1473" s="753" t="s">
        <v>1090</v>
      </c>
      <c r="B1473" s="152">
        <v>29579.090000000004</v>
      </c>
      <c r="C1473" s="167">
        <v>55311.920000000006</v>
      </c>
      <c r="D1473" s="168">
        <v>928861.31999999972</v>
      </c>
      <c r="E1473" s="135">
        <f t="shared" si="22"/>
        <v>1013752.3299999997</v>
      </c>
      <c r="F1473" t="s">
        <v>1091</v>
      </c>
    </row>
    <row r="1474" spans="1:6" hidden="1" outlineLevel="1">
      <c r="A1474" s="753" t="s">
        <v>1664</v>
      </c>
      <c r="B1474" s="152">
        <v>0</v>
      </c>
      <c r="C1474" s="167">
        <v>7385.68</v>
      </c>
      <c r="D1474" s="168">
        <v>265526.42</v>
      </c>
      <c r="E1474" s="135">
        <f t="shared" si="22"/>
        <v>272912.09999999998</v>
      </c>
      <c r="F1474" t="s">
        <v>1665</v>
      </c>
    </row>
    <row r="1475" spans="1:6" hidden="1" outlineLevel="1">
      <c r="A1475" s="753" t="s">
        <v>1666</v>
      </c>
      <c r="B1475" s="152">
        <v>0</v>
      </c>
      <c r="C1475" s="167">
        <v>1732259.86</v>
      </c>
      <c r="D1475" s="168">
        <v>1196149.0299999998</v>
      </c>
      <c r="E1475" s="135">
        <f t="shared" si="22"/>
        <v>2928408.8899999997</v>
      </c>
      <c r="F1475" t="s">
        <v>1667</v>
      </c>
    </row>
    <row r="1476" spans="1:6" hidden="1" outlineLevel="1">
      <c r="A1476" s="753" t="s">
        <v>692</v>
      </c>
      <c r="B1476" s="152">
        <v>0</v>
      </c>
      <c r="C1476" s="167">
        <v>13905.060000000001</v>
      </c>
      <c r="D1476" s="168">
        <v>41679.57</v>
      </c>
      <c r="E1476" s="135">
        <f t="shared" si="22"/>
        <v>55584.630000000005</v>
      </c>
      <c r="F1476" t="s">
        <v>1668</v>
      </c>
    </row>
    <row r="1477" spans="1:6" hidden="1" outlineLevel="1">
      <c r="A1477" s="753" t="s">
        <v>1669</v>
      </c>
      <c r="B1477" s="152">
        <v>0</v>
      </c>
      <c r="C1477" s="167">
        <v>0</v>
      </c>
      <c r="D1477" s="168">
        <v>28579.87</v>
      </c>
      <c r="E1477" s="135">
        <f t="shared" si="22"/>
        <v>28579.87</v>
      </c>
      <c r="F1477" t="s">
        <v>1670</v>
      </c>
    </row>
    <row r="1478" spans="1:6" hidden="1" outlineLevel="1">
      <c r="A1478" s="753" t="s">
        <v>1671</v>
      </c>
      <c r="B1478" s="152">
        <v>0</v>
      </c>
      <c r="C1478" s="167">
        <v>0</v>
      </c>
      <c r="D1478" s="168">
        <v>91003.579999999987</v>
      </c>
      <c r="E1478" s="135">
        <f t="shared" si="22"/>
        <v>91003.579999999987</v>
      </c>
      <c r="F1478" t="s">
        <v>1672</v>
      </c>
    </row>
    <row r="1479" spans="1:6" hidden="1" outlineLevel="1">
      <c r="A1479" s="753" t="s">
        <v>1673</v>
      </c>
      <c r="B1479" s="152">
        <v>0</v>
      </c>
      <c r="C1479" s="167">
        <v>0.43</v>
      </c>
      <c r="D1479" s="168">
        <v>54632.06</v>
      </c>
      <c r="E1479" s="135">
        <f t="shared" si="22"/>
        <v>54632.49</v>
      </c>
      <c r="F1479" t="s">
        <v>1674</v>
      </c>
    </row>
    <row r="1480" spans="1:6" hidden="1" outlineLevel="1">
      <c r="A1480" s="753" t="s">
        <v>1675</v>
      </c>
      <c r="B1480" s="152">
        <v>0</v>
      </c>
      <c r="C1480" s="167">
        <v>43398.59</v>
      </c>
      <c r="D1480" s="168">
        <v>879901.94000000006</v>
      </c>
      <c r="E1480" s="135">
        <f t="shared" si="22"/>
        <v>923300.53</v>
      </c>
      <c r="F1480" t="s">
        <v>1676</v>
      </c>
    </row>
    <row r="1481" spans="1:6" hidden="1" outlineLevel="1">
      <c r="A1481" s="753" t="s">
        <v>1677</v>
      </c>
      <c r="B1481" s="152">
        <v>0</v>
      </c>
      <c r="C1481" s="167">
        <v>11515.73</v>
      </c>
      <c r="D1481" s="168">
        <v>24924.389999999996</v>
      </c>
      <c r="E1481" s="135">
        <f t="shared" si="22"/>
        <v>36440.119999999995</v>
      </c>
      <c r="F1481" t="s">
        <v>1678</v>
      </c>
    </row>
    <row r="1482" spans="1:6" hidden="1" outlineLevel="1">
      <c r="A1482" s="753" t="s">
        <v>1679</v>
      </c>
      <c r="B1482" s="152">
        <v>0</v>
      </c>
      <c r="C1482" s="167">
        <v>2842.25</v>
      </c>
      <c r="D1482" s="168">
        <v>5901.71</v>
      </c>
      <c r="E1482" s="135">
        <f t="shared" si="22"/>
        <v>8743.9599999999991</v>
      </c>
      <c r="F1482" t="s">
        <v>1680</v>
      </c>
    </row>
    <row r="1483" spans="1:6" hidden="1" outlineLevel="1">
      <c r="A1483" s="753" t="s">
        <v>1681</v>
      </c>
      <c r="B1483" s="152">
        <v>0</v>
      </c>
      <c r="C1483" s="167">
        <v>842040.61</v>
      </c>
      <c r="D1483" s="168">
        <v>25618486.489999991</v>
      </c>
      <c r="E1483" s="135">
        <f t="shared" si="22"/>
        <v>26460527.09999999</v>
      </c>
      <c r="F1483" t="s">
        <v>1682</v>
      </c>
    </row>
    <row r="1484" spans="1:6" hidden="1" outlineLevel="1">
      <c r="A1484" s="753" t="s">
        <v>1683</v>
      </c>
      <c r="B1484" s="152">
        <v>0</v>
      </c>
      <c r="C1484" s="167">
        <v>110397.26</v>
      </c>
      <c r="D1484" s="168">
        <v>7032761.0199999968</v>
      </c>
      <c r="E1484" s="135">
        <f t="shared" si="22"/>
        <v>7143158.2799999965</v>
      </c>
      <c r="F1484" t="s">
        <v>1684</v>
      </c>
    </row>
    <row r="1485" spans="1:6" hidden="1" outlineLevel="1">
      <c r="A1485" s="753" t="s">
        <v>1685</v>
      </c>
      <c r="B1485" s="152">
        <v>0</v>
      </c>
      <c r="C1485" s="167">
        <v>0</v>
      </c>
      <c r="D1485" s="168">
        <v>97118.560000000012</v>
      </c>
      <c r="E1485" s="135">
        <f t="shared" si="22"/>
        <v>97118.560000000012</v>
      </c>
      <c r="F1485" t="s">
        <v>1686</v>
      </c>
    </row>
    <row r="1486" spans="1:6" hidden="1" outlineLevel="1">
      <c r="A1486" s="753" t="s">
        <v>1687</v>
      </c>
      <c r="B1486" s="152">
        <v>0</v>
      </c>
      <c r="C1486" s="167">
        <v>0</v>
      </c>
      <c r="D1486" s="168">
        <v>7857763.8799999999</v>
      </c>
      <c r="E1486" s="135">
        <f t="shared" si="22"/>
        <v>7857763.8799999999</v>
      </c>
      <c r="F1486" t="s">
        <v>1688</v>
      </c>
    </row>
    <row r="1487" spans="1:6" hidden="1" outlineLevel="1">
      <c r="A1487" s="753" t="s">
        <v>1114</v>
      </c>
      <c r="B1487" s="152">
        <v>0</v>
      </c>
      <c r="C1487" s="167">
        <v>40435.019999999997</v>
      </c>
      <c r="D1487" s="168">
        <v>9827.8799999999992</v>
      </c>
      <c r="E1487" s="135">
        <f t="shared" si="22"/>
        <v>50262.899999999994</v>
      </c>
      <c r="F1487" t="s">
        <v>1689</v>
      </c>
    </row>
    <row r="1488" spans="1:6" hidden="1" outlineLevel="1">
      <c r="A1488" s="753" t="s">
        <v>1690</v>
      </c>
      <c r="B1488" s="152">
        <v>0</v>
      </c>
      <c r="C1488" s="167">
        <v>4720.87</v>
      </c>
      <c r="D1488" s="168">
        <v>464134.18000000005</v>
      </c>
      <c r="E1488" s="135">
        <f t="shared" si="22"/>
        <v>468855.05000000005</v>
      </c>
      <c r="F1488" t="s">
        <v>1691</v>
      </c>
    </row>
    <row r="1489" spans="1:6" hidden="1" outlineLevel="1">
      <c r="A1489" s="753" t="s">
        <v>1692</v>
      </c>
      <c r="B1489" s="152">
        <v>0</v>
      </c>
      <c r="C1489" s="167">
        <v>11257.880000000001</v>
      </c>
      <c r="D1489" s="168">
        <v>304.08</v>
      </c>
      <c r="E1489" s="135">
        <f t="shared" si="22"/>
        <v>11561.960000000001</v>
      </c>
      <c r="F1489" t="s">
        <v>1693</v>
      </c>
    </row>
    <row r="1490" spans="1:6" hidden="1" outlineLevel="1">
      <c r="A1490" s="753" t="s">
        <v>1694</v>
      </c>
      <c r="B1490" s="152">
        <v>0</v>
      </c>
      <c r="C1490" s="167">
        <v>17852.259999999998</v>
      </c>
      <c r="D1490" s="168">
        <v>67782.739999999991</v>
      </c>
      <c r="E1490" s="135">
        <f t="shared" si="22"/>
        <v>85634.999999999985</v>
      </c>
      <c r="F1490" t="s">
        <v>1695</v>
      </c>
    </row>
    <row r="1491" spans="1:6" hidden="1" outlineLevel="1">
      <c r="A1491" s="753" t="s">
        <v>1696</v>
      </c>
      <c r="B1491" s="152">
        <v>0</v>
      </c>
      <c r="C1491" s="167">
        <v>0</v>
      </c>
      <c r="D1491" s="168">
        <v>4265.92</v>
      </c>
      <c r="E1491" s="135">
        <f t="shared" si="22"/>
        <v>4265.92</v>
      </c>
      <c r="F1491" t="s">
        <v>1697</v>
      </c>
    </row>
    <row r="1492" spans="1:6" hidden="1" outlineLevel="1">
      <c r="A1492" s="753" t="s">
        <v>1698</v>
      </c>
      <c r="B1492" s="152">
        <v>0</v>
      </c>
      <c r="C1492" s="167">
        <v>5007.9799999999996</v>
      </c>
      <c r="D1492" s="168">
        <v>305409.91999999998</v>
      </c>
      <c r="E1492" s="135">
        <f t="shared" si="22"/>
        <v>310417.89999999997</v>
      </c>
      <c r="F1492" t="s">
        <v>1699</v>
      </c>
    </row>
    <row r="1493" spans="1:6" hidden="1" outlineLevel="1">
      <c r="A1493" s="753" t="s">
        <v>1700</v>
      </c>
      <c r="B1493" s="152">
        <v>0</v>
      </c>
      <c r="C1493" s="167">
        <v>7342.51</v>
      </c>
      <c r="D1493" s="168">
        <v>16726.560000000001</v>
      </c>
      <c r="E1493" s="135">
        <f t="shared" si="22"/>
        <v>24069.07</v>
      </c>
      <c r="F1493" t="s">
        <v>1701</v>
      </c>
    </row>
    <row r="1494" spans="1:6" hidden="1" outlineLevel="1">
      <c r="A1494" s="753" t="s">
        <v>1702</v>
      </c>
      <c r="B1494" s="152">
        <v>0</v>
      </c>
      <c r="C1494" s="167">
        <v>0</v>
      </c>
      <c r="D1494" s="168">
        <v>5816.18</v>
      </c>
      <c r="E1494" s="135">
        <f t="shared" si="22"/>
        <v>5816.18</v>
      </c>
      <c r="F1494" t="s">
        <v>1703</v>
      </c>
    </row>
    <row r="1495" spans="1:6" hidden="1" outlineLevel="1">
      <c r="A1495" s="753" t="s">
        <v>1704</v>
      </c>
      <c r="B1495" s="152">
        <v>0</v>
      </c>
      <c r="C1495" s="167">
        <v>309.77999999999997</v>
      </c>
      <c r="D1495" s="168">
        <v>98290.860000000015</v>
      </c>
      <c r="E1495" s="135">
        <f t="shared" si="22"/>
        <v>98600.640000000014</v>
      </c>
      <c r="F1495" t="s">
        <v>1705</v>
      </c>
    </row>
    <row r="1496" spans="1:6" hidden="1" outlineLevel="1">
      <c r="A1496" s="753" t="s">
        <v>1706</v>
      </c>
      <c r="B1496" s="152">
        <v>31963.82</v>
      </c>
      <c r="C1496" s="167">
        <v>8214.7599999999984</v>
      </c>
      <c r="D1496" s="168">
        <v>600677.32999999996</v>
      </c>
      <c r="E1496" s="135">
        <f t="shared" si="22"/>
        <v>640855.90999999992</v>
      </c>
      <c r="F1496" t="s">
        <v>1707</v>
      </c>
    </row>
    <row r="1497" spans="1:6" hidden="1" outlineLevel="1">
      <c r="A1497" s="753" t="s">
        <v>1708</v>
      </c>
      <c r="B1497" s="152">
        <v>0</v>
      </c>
      <c r="C1497" s="167">
        <v>0</v>
      </c>
      <c r="D1497" s="168">
        <v>4817.88</v>
      </c>
      <c r="E1497" s="135">
        <f t="shared" si="22"/>
        <v>4817.88</v>
      </c>
      <c r="F1497" t="s">
        <v>1709</v>
      </c>
    </row>
    <row r="1498" spans="1:6" hidden="1" outlineLevel="1">
      <c r="A1498" s="753" t="s">
        <v>1710</v>
      </c>
      <c r="B1498" s="152">
        <v>0</v>
      </c>
      <c r="C1498" s="167">
        <v>4835.7300000000005</v>
      </c>
      <c r="D1498" s="168">
        <v>67691.37999999999</v>
      </c>
      <c r="E1498" s="135">
        <f t="shared" si="22"/>
        <v>72527.109999999986</v>
      </c>
      <c r="F1498" t="s">
        <v>1711</v>
      </c>
    </row>
    <row r="1499" spans="1:6" hidden="1" outlineLevel="1">
      <c r="A1499" s="753" t="s">
        <v>1712</v>
      </c>
      <c r="B1499" s="152">
        <v>0</v>
      </c>
      <c r="C1499" s="167">
        <v>0</v>
      </c>
      <c r="D1499" s="168">
        <v>462.6</v>
      </c>
      <c r="E1499" s="135">
        <f t="shared" ref="E1499:E1557" si="23">SUM(B1499:D1499)</f>
        <v>462.6</v>
      </c>
      <c r="F1499" t="s">
        <v>1713</v>
      </c>
    </row>
    <row r="1500" spans="1:6" hidden="1" outlineLevel="1">
      <c r="A1500" s="753" t="s">
        <v>1714</v>
      </c>
      <c r="B1500" s="152">
        <v>0</v>
      </c>
      <c r="C1500" s="167">
        <v>5279.5599999999995</v>
      </c>
      <c r="D1500" s="168">
        <v>267818.12</v>
      </c>
      <c r="E1500" s="135">
        <f t="shared" si="23"/>
        <v>273097.68</v>
      </c>
      <c r="F1500" t="s">
        <v>1715</v>
      </c>
    </row>
    <row r="1501" spans="1:6" hidden="1" outlineLevel="1">
      <c r="A1501" s="753" t="s">
        <v>1716</v>
      </c>
      <c r="B1501" s="152">
        <v>0</v>
      </c>
      <c r="C1501" s="167">
        <v>0</v>
      </c>
      <c r="D1501" s="168">
        <v>6748.12</v>
      </c>
      <c r="E1501" s="135">
        <f t="shared" si="23"/>
        <v>6748.12</v>
      </c>
      <c r="F1501" t="s">
        <v>1717</v>
      </c>
    </row>
    <row r="1502" spans="1:6" hidden="1" outlineLevel="1">
      <c r="A1502" s="753" t="s">
        <v>1718</v>
      </c>
      <c r="B1502" s="152">
        <v>0</v>
      </c>
      <c r="C1502" s="167">
        <v>0</v>
      </c>
      <c r="D1502" s="168">
        <v>15158817.010000002</v>
      </c>
      <c r="E1502" s="135">
        <f t="shared" si="23"/>
        <v>15158817.010000002</v>
      </c>
      <c r="F1502" t="s">
        <v>1719</v>
      </c>
    </row>
    <row r="1503" spans="1:6" hidden="1" outlineLevel="1">
      <c r="A1503" s="753" t="s">
        <v>1720</v>
      </c>
      <c r="B1503" s="152">
        <v>0</v>
      </c>
      <c r="C1503" s="167">
        <v>28781.399999999998</v>
      </c>
      <c r="D1503" s="168">
        <v>190869.47999999998</v>
      </c>
      <c r="E1503" s="135">
        <f t="shared" si="23"/>
        <v>219650.87999999998</v>
      </c>
      <c r="F1503" t="s">
        <v>1721</v>
      </c>
    </row>
    <row r="1504" spans="1:6" hidden="1" outlineLevel="1">
      <c r="A1504" s="753" t="s">
        <v>1722</v>
      </c>
      <c r="B1504" s="152">
        <v>0</v>
      </c>
      <c r="C1504" s="167">
        <v>3118.44</v>
      </c>
      <c r="D1504" s="168">
        <v>21080.559999999998</v>
      </c>
      <c r="E1504" s="135">
        <f t="shared" si="23"/>
        <v>24198.999999999996</v>
      </c>
      <c r="F1504" t="s">
        <v>1723</v>
      </c>
    </row>
    <row r="1505" spans="1:6" hidden="1" outlineLevel="1">
      <c r="A1505" s="753" t="s">
        <v>1724</v>
      </c>
      <c r="B1505" s="152">
        <v>0</v>
      </c>
      <c r="C1505" s="167">
        <v>21009.29</v>
      </c>
      <c r="D1505" s="168">
        <v>465094.34</v>
      </c>
      <c r="E1505" s="135">
        <f t="shared" si="23"/>
        <v>486103.63</v>
      </c>
      <c r="F1505" t="s">
        <v>1725</v>
      </c>
    </row>
    <row r="1506" spans="1:6" hidden="1" outlineLevel="1">
      <c r="A1506" s="753" t="s">
        <v>1726</v>
      </c>
      <c r="B1506" s="152">
        <v>0</v>
      </c>
      <c r="C1506" s="167">
        <v>0</v>
      </c>
      <c r="D1506" s="168">
        <v>21434.71</v>
      </c>
      <c r="E1506" s="135">
        <f t="shared" si="23"/>
        <v>21434.71</v>
      </c>
      <c r="F1506" t="s">
        <v>1727</v>
      </c>
    </row>
    <row r="1507" spans="1:6" hidden="1" outlineLevel="1">
      <c r="A1507" s="753" t="s">
        <v>1728</v>
      </c>
      <c r="B1507" s="152">
        <v>0</v>
      </c>
      <c r="C1507" s="167">
        <v>0</v>
      </c>
      <c r="D1507" s="168">
        <v>2033.5399999999997</v>
      </c>
      <c r="E1507" s="135">
        <f t="shared" si="23"/>
        <v>2033.5399999999997</v>
      </c>
      <c r="F1507" t="s">
        <v>1729</v>
      </c>
    </row>
    <row r="1508" spans="1:6" hidden="1" outlineLevel="1">
      <c r="A1508" s="753" t="s">
        <v>1730</v>
      </c>
      <c r="B1508" s="152">
        <v>0</v>
      </c>
      <c r="C1508" s="167">
        <v>0</v>
      </c>
      <c r="D1508" s="168">
        <v>10568.250000000002</v>
      </c>
      <c r="E1508" s="135">
        <f t="shared" si="23"/>
        <v>10568.250000000002</v>
      </c>
      <c r="F1508" t="s">
        <v>1731</v>
      </c>
    </row>
    <row r="1509" spans="1:6" hidden="1" outlineLevel="1">
      <c r="A1509" s="753" t="s">
        <v>1732</v>
      </c>
      <c r="B1509" s="152">
        <v>0</v>
      </c>
      <c r="C1509" s="167">
        <v>9152.59</v>
      </c>
      <c r="D1509" s="168">
        <v>303361.24999999994</v>
      </c>
      <c r="E1509" s="135">
        <f t="shared" si="23"/>
        <v>312513.83999999997</v>
      </c>
      <c r="F1509" t="s">
        <v>1733</v>
      </c>
    </row>
    <row r="1510" spans="1:6" hidden="1" outlineLevel="1">
      <c r="A1510" s="753" t="s">
        <v>1734</v>
      </c>
      <c r="B1510" s="152">
        <v>0</v>
      </c>
      <c r="C1510" s="167">
        <v>15883.499999999998</v>
      </c>
      <c r="D1510" s="168">
        <v>18588.68</v>
      </c>
      <c r="E1510" s="135">
        <f t="shared" si="23"/>
        <v>34472.18</v>
      </c>
      <c r="F1510" t="s">
        <v>1735</v>
      </c>
    </row>
    <row r="1511" spans="1:6" hidden="1" outlineLevel="1">
      <c r="A1511" s="753" t="s">
        <v>1736</v>
      </c>
      <c r="B1511" s="152">
        <v>0</v>
      </c>
      <c r="C1511" s="167">
        <v>4867.7700000000004</v>
      </c>
      <c r="D1511" s="168">
        <v>37160.42</v>
      </c>
      <c r="E1511" s="135">
        <f t="shared" si="23"/>
        <v>42028.19</v>
      </c>
      <c r="F1511" t="s">
        <v>1737</v>
      </c>
    </row>
    <row r="1512" spans="1:6" hidden="1" outlineLevel="1">
      <c r="A1512" s="753" t="s">
        <v>1738</v>
      </c>
      <c r="B1512" s="152">
        <v>0</v>
      </c>
      <c r="C1512" s="167">
        <v>0</v>
      </c>
      <c r="D1512" s="168">
        <v>6628.8399999999992</v>
      </c>
      <c r="E1512" s="135">
        <f t="shared" si="23"/>
        <v>6628.8399999999992</v>
      </c>
      <c r="F1512" t="s">
        <v>1739</v>
      </c>
    </row>
    <row r="1513" spans="1:6" hidden="1" outlineLevel="1">
      <c r="A1513" s="753" t="s">
        <v>1740</v>
      </c>
      <c r="B1513" s="152">
        <v>0</v>
      </c>
      <c r="C1513" s="167">
        <v>0</v>
      </c>
      <c r="D1513" s="168">
        <v>7468.92</v>
      </c>
      <c r="E1513" s="135">
        <f t="shared" si="23"/>
        <v>7468.92</v>
      </c>
      <c r="F1513" t="s">
        <v>1741</v>
      </c>
    </row>
    <row r="1514" spans="1:6" hidden="1" outlineLevel="1">
      <c r="A1514" s="753" t="s">
        <v>1742</v>
      </c>
      <c r="B1514" s="152">
        <v>0</v>
      </c>
      <c r="C1514" s="167">
        <v>0</v>
      </c>
      <c r="D1514" s="168">
        <v>13929.4</v>
      </c>
      <c r="E1514" s="135">
        <f t="shared" si="23"/>
        <v>13929.4</v>
      </c>
      <c r="F1514" t="s">
        <v>1743</v>
      </c>
    </row>
    <row r="1515" spans="1:6" hidden="1" outlineLevel="1">
      <c r="A1515" s="753" t="s">
        <v>1744</v>
      </c>
      <c r="B1515" s="152">
        <v>0</v>
      </c>
      <c r="C1515" s="167">
        <v>48214.96</v>
      </c>
      <c r="D1515" s="168">
        <v>165387.39000000001</v>
      </c>
      <c r="E1515" s="135">
        <f t="shared" si="23"/>
        <v>213602.35</v>
      </c>
      <c r="F1515" t="s">
        <v>1745</v>
      </c>
    </row>
    <row r="1516" spans="1:6" hidden="1" outlineLevel="1">
      <c r="A1516" s="753" t="s">
        <v>1746</v>
      </c>
      <c r="B1516" s="152">
        <v>0</v>
      </c>
      <c r="C1516" s="167">
        <v>5911.55</v>
      </c>
      <c r="D1516" s="168">
        <v>53684.06</v>
      </c>
      <c r="E1516" s="135">
        <f t="shared" si="23"/>
        <v>59595.61</v>
      </c>
      <c r="F1516" t="s">
        <v>1747</v>
      </c>
    </row>
    <row r="1517" spans="1:6" hidden="1" outlineLevel="1">
      <c r="A1517" s="753" t="s">
        <v>1748</v>
      </c>
      <c r="B1517" s="152">
        <v>0</v>
      </c>
      <c r="C1517" s="167">
        <v>0</v>
      </c>
      <c r="D1517" s="168">
        <v>31214.6</v>
      </c>
      <c r="E1517" s="135">
        <f t="shared" si="23"/>
        <v>31214.6</v>
      </c>
      <c r="F1517" t="s">
        <v>1749</v>
      </c>
    </row>
    <row r="1518" spans="1:6" hidden="1" outlineLevel="1">
      <c r="A1518" s="753" t="s">
        <v>1750</v>
      </c>
      <c r="B1518" s="152">
        <v>8071.01</v>
      </c>
      <c r="C1518" s="167">
        <v>24817.200000000001</v>
      </c>
      <c r="D1518" s="168">
        <v>72923.94</v>
      </c>
      <c r="E1518" s="135">
        <f t="shared" si="23"/>
        <v>105812.15</v>
      </c>
      <c r="F1518" t="s">
        <v>1751</v>
      </c>
    </row>
    <row r="1519" spans="1:6" hidden="1" outlineLevel="1">
      <c r="A1519" s="753" t="s">
        <v>1752</v>
      </c>
      <c r="B1519" s="152">
        <v>0</v>
      </c>
      <c r="C1519" s="167">
        <v>0</v>
      </c>
      <c r="D1519" s="168">
        <v>9726.18</v>
      </c>
      <c r="E1519" s="135">
        <f t="shared" si="23"/>
        <v>9726.18</v>
      </c>
      <c r="F1519" t="s">
        <v>1753</v>
      </c>
    </row>
    <row r="1520" spans="1:6" hidden="1" outlineLevel="1">
      <c r="A1520" s="753" t="s">
        <v>1754</v>
      </c>
      <c r="B1520" s="152">
        <v>0</v>
      </c>
      <c r="C1520" s="167">
        <v>0</v>
      </c>
      <c r="D1520" s="168">
        <v>10687.2</v>
      </c>
      <c r="E1520" s="135">
        <f t="shared" si="23"/>
        <v>10687.2</v>
      </c>
      <c r="F1520" t="s">
        <v>1755</v>
      </c>
    </row>
    <row r="1521" spans="1:6" hidden="1" outlineLevel="1">
      <c r="A1521" s="753" t="s">
        <v>1756</v>
      </c>
      <c r="B1521" s="152">
        <v>0</v>
      </c>
      <c r="C1521" s="167">
        <v>37321.69</v>
      </c>
      <c r="D1521" s="168">
        <v>1479639.3000000005</v>
      </c>
      <c r="E1521" s="135">
        <f t="shared" si="23"/>
        <v>1516960.9900000005</v>
      </c>
      <c r="F1521" t="s">
        <v>1757</v>
      </c>
    </row>
    <row r="1522" spans="1:6" hidden="1" outlineLevel="1">
      <c r="A1522" s="753" t="s">
        <v>1758</v>
      </c>
      <c r="B1522" s="152">
        <v>0</v>
      </c>
      <c r="C1522" s="167">
        <v>3742.3599999999997</v>
      </c>
      <c r="D1522" s="168">
        <v>31453.45</v>
      </c>
      <c r="E1522" s="135">
        <f t="shared" si="23"/>
        <v>35195.81</v>
      </c>
      <c r="F1522" t="s">
        <v>1759</v>
      </c>
    </row>
    <row r="1523" spans="1:6" hidden="1" outlineLevel="1">
      <c r="A1523" s="753" t="s">
        <v>1760</v>
      </c>
      <c r="B1523" s="152">
        <v>0</v>
      </c>
      <c r="C1523" s="167">
        <v>425.39</v>
      </c>
      <c r="D1523" s="168">
        <v>19813.84</v>
      </c>
      <c r="E1523" s="135">
        <f t="shared" si="23"/>
        <v>20239.23</v>
      </c>
      <c r="F1523" t="s">
        <v>1761</v>
      </c>
    </row>
    <row r="1524" spans="1:6" hidden="1" outlineLevel="1">
      <c r="A1524" s="753" t="s">
        <v>1762</v>
      </c>
      <c r="B1524" s="152">
        <v>0</v>
      </c>
      <c r="C1524" s="167">
        <v>0</v>
      </c>
      <c r="D1524" s="168">
        <v>29042.700000000004</v>
      </c>
      <c r="E1524" s="135">
        <f t="shared" si="23"/>
        <v>29042.700000000004</v>
      </c>
      <c r="F1524" t="s">
        <v>1763</v>
      </c>
    </row>
    <row r="1525" spans="1:6" hidden="1" outlineLevel="1">
      <c r="A1525" s="753" t="s">
        <v>1764</v>
      </c>
      <c r="B1525" s="152">
        <v>0</v>
      </c>
      <c r="C1525" s="167">
        <v>0</v>
      </c>
      <c r="D1525" s="168">
        <v>16050.8</v>
      </c>
      <c r="E1525" s="135">
        <f t="shared" si="23"/>
        <v>16050.8</v>
      </c>
      <c r="F1525" t="s">
        <v>1765</v>
      </c>
    </row>
    <row r="1526" spans="1:6" hidden="1" outlineLevel="1">
      <c r="A1526" s="753" t="s">
        <v>1766</v>
      </c>
      <c r="B1526" s="152">
        <v>1170.9099999999999</v>
      </c>
      <c r="C1526" s="167">
        <v>1428.19</v>
      </c>
      <c r="D1526" s="168">
        <v>8329.3700000000008</v>
      </c>
      <c r="E1526" s="135">
        <f t="shared" si="23"/>
        <v>10928.470000000001</v>
      </c>
      <c r="F1526" t="s">
        <v>1767</v>
      </c>
    </row>
    <row r="1527" spans="1:6" hidden="1" outlineLevel="1">
      <c r="A1527" s="753" t="s">
        <v>1768</v>
      </c>
      <c r="B1527" s="152">
        <v>0</v>
      </c>
      <c r="C1527" s="167">
        <v>100000.13999999998</v>
      </c>
      <c r="D1527" s="168">
        <v>328392.10000000003</v>
      </c>
      <c r="E1527" s="135">
        <f t="shared" si="23"/>
        <v>428392.24</v>
      </c>
      <c r="F1527" t="s">
        <v>1769</v>
      </c>
    </row>
    <row r="1528" spans="1:6" hidden="1" outlineLevel="1">
      <c r="A1528" s="753" t="s">
        <v>1770</v>
      </c>
      <c r="B1528" s="152">
        <v>0</v>
      </c>
      <c r="C1528" s="167">
        <v>3170.1499999999996</v>
      </c>
      <c r="D1528" s="168">
        <v>63112.739999999991</v>
      </c>
      <c r="E1528" s="135">
        <f t="shared" si="23"/>
        <v>66282.889999999985</v>
      </c>
      <c r="F1528" t="s">
        <v>1771</v>
      </c>
    </row>
    <row r="1529" spans="1:6" hidden="1" outlineLevel="1">
      <c r="A1529" s="753" t="s">
        <v>1772</v>
      </c>
      <c r="B1529" s="152">
        <v>0</v>
      </c>
      <c r="C1529" s="167">
        <v>0</v>
      </c>
      <c r="D1529" s="168">
        <v>10679.92</v>
      </c>
      <c r="E1529" s="135">
        <f t="shared" si="23"/>
        <v>10679.92</v>
      </c>
      <c r="F1529" t="s">
        <v>1773</v>
      </c>
    </row>
    <row r="1530" spans="1:6" hidden="1" outlineLevel="1">
      <c r="A1530" s="753" t="s">
        <v>1774</v>
      </c>
      <c r="B1530" s="152">
        <v>0</v>
      </c>
      <c r="C1530" s="167">
        <v>5263.4400000000005</v>
      </c>
      <c r="D1530" s="168">
        <v>433038.86999999994</v>
      </c>
      <c r="E1530" s="135">
        <f t="shared" si="23"/>
        <v>438302.30999999994</v>
      </c>
      <c r="F1530" t="s">
        <v>1775</v>
      </c>
    </row>
    <row r="1531" spans="1:6" hidden="1" outlineLevel="1">
      <c r="A1531" s="753" t="s">
        <v>1776</v>
      </c>
      <c r="B1531" s="152">
        <v>0</v>
      </c>
      <c r="C1531" s="167">
        <v>44157.320000000007</v>
      </c>
      <c r="D1531" s="168">
        <v>217226.23999999993</v>
      </c>
      <c r="E1531" s="135">
        <f t="shared" si="23"/>
        <v>261383.55999999994</v>
      </c>
      <c r="F1531" t="s">
        <v>1777</v>
      </c>
    </row>
    <row r="1532" spans="1:6" hidden="1" outlineLevel="1">
      <c r="A1532" s="753" t="s">
        <v>1778</v>
      </c>
      <c r="B1532" s="152">
        <v>0</v>
      </c>
      <c r="C1532" s="167">
        <v>18849.03</v>
      </c>
      <c r="D1532" s="168">
        <v>486048.06999999995</v>
      </c>
      <c r="E1532" s="135">
        <f t="shared" si="23"/>
        <v>504897.1</v>
      </c>
      <c r="F1532" t="s">
        <v>1779</v>
      </c>
    </row>
    <row r="1533" spans="1:6" hidden="1" outlineLevel="1">
      <c r="A1533" s="753" t="s">
        <v>1780</v>
      </c>
      <c r="B1533" s="152">
        <v>0</v>
      </c>
      <c r="C1533" s="167">
        <v>8855.6999999999989</v>
      </c>
      <c r="D1533" s="168">
        <v>1677359.27</v>
      </c>
      <c r="E1533" s="135">
        <f t="shared" si="23"/>
        <v>1686214.97</v>
      </c>
      <c r="F1533" t="s">
        <v>1781</v>
      </c>
    </row>
    <row r="1534" spans="1:6" hidden="1" outlineLevel="1">
      <c r="A1534" s="753" t="s">
        <v>1782</v>
      </c>
      <c r="B1534" s="152">
        <v>0</v>
      </c>
      <c r="C1534" s="167">
        <v>0</v>
      </c>
      <c r="D1534" s="168">
        <v>104764.74</v>
      </c>
      <c r="E1534" s="135">
        <f t="shared" si="23"/>
        <v>104764.74</v>
      </c>
      <c r="F1534" t="s">
        <v>1783</v>
      </c>
    </row>
    <row r="1535" spans="1:6" hidden="1" outlineLevel="1">
      <c r="A1535" s="753" t="s">
        <v>1784</v>
      </c>
      <c r="B1535" s="152">
        <v>0</v>
      </c>
      <c r="C1535" s="167">
        <v>5991.28</v>
      </c>
      <c r="D1535" s="168">
        <v>3969.68</v>
      </c>
      <c r="E1535" s="135">
        <f t="shared" si="23"/>
        <v>9960.9599999999991</v>
      </c>
      <c r="F1535" t="s">
        <v>1785</v>
      </c>
    </row>
    <row r="1536" spans="1:6" hidden="1" outlineLevel="1">
      <c r="A1536" s="753" t="s">
        <v>1786</v>
      </c>
      <c r="B1536" s="152">
        <v>0</v>
      </c>
      <c r="C1536" s="167">
        <v>0</v>
      </c>
      <c r="D1536" s="168">
        <v>2217.64</v>
      </c>
      <c r="E1536" s="135">
        <f t="shared" si="23"/>
        <v>2217.64</v>
      </c>
      <c r="F1536" t="s">
        <v>1787</v>
      </c>
    </row>
    <row r="1537" spans="1:6" hidden="1" outlineLevel="1">
      <c r="A1537" s="753" t="s">
        <v>1788</v>
      </c>
      <c r="B1537" s="152">
        <v>0</v>
      </c>
      <c r="C1537" s="167">
        <v>20191.96</v>
      </c>
      <c r="D1537" s="168">
        <v>1844.8400000000001</v>
      </c>
      <c r="E1537" s="135">
        <f t="shared" si="23"/>
        <v>22036.799999999999</v>
      </c>
      <c r="F1537" t="s">
        <v>1789</v>
      </c>
    </row>
    <row r="1538" spans="1:6" hidden="1" outlineLevel="1">
      <c r="A1538" s="753" t="s">
        <v>1790</v>
      </c>
      <c r="B1538" s="152">
        <v>0</v>
      </c>
      <c r="C1538" s="167">
        <v>0</v>
      </c>
      <c r="D1538" s="168">
        <v>20305.009999999998</v>
      </c>
      <c r="E1538" s="135">
        <f t="shared" si="23"/>
        <v>20305.009999999998</v>
      </c>
      <c r="F1538" t="s">
        <v>1791</v>
      </c>
    </row>
    <row r="1539" spans="1:6" hidden="1" outlineLevel="1">
      <c r="A1539" s="753" t="s">
        <v>1792</v>
      </c>
      <c r="B1539" s="152">
        <v>0</v>
      </c>
      <c r="C1539" s="167">
        <v>468.29</v>
      </c>
      <c r="D1539" s="168">
        <v>27454.370000000003</v>
      </c>
      <c r="E1539" s="135">
        <f t="shared" si="23"/>
        <v>27922.660000000003</v>
      </c>
      <c r="F1539" t="s">
        <v>1793</v>
      </c>
    </row>
    <row r="1540" spans="1:6" hidden="1" outlineLevel="1">
      <c r="A1540" s="753" t="s">
        <v>1794</v>
      </c>
      <c r="B1540" s="152">
        <v>0</v>
      </c>
      <c r="C1540" s="167">
        <v>33506.06</v>
      </c>
      <c r="D1540" s="168">
        <v>4790398.08</v>
      </c>
      <c r="E1540" s="135">
        <f t="shared" si="23"/>
        <v>4823904.1399999997</v>
      </c>
      <c r="F1540" t="s">
        <v>1795</v>
      </c>
    </row>
    <row r="1541" spans="1:6" hidden="1" outlineLevel="1">
      <c r="A1541" s="753" t="s">
        <v>1796</v>
      </c>
      <c r="B1541" s="152">
        <v>0</v>
      </c>
      <c r="C1541" s="167">
        <v>2188.73</v>
      </c>
      <c r="D1541" s="168">
        <v>14008.57</v>
      </c>
      <c r="E1541" s="135">
        <f t="shared" si="23"/>
        <v>16197.3</v>
      </c>
      <c r="F1541" t="s">
        <v>1797</v>
      </c>
    </row>
    <row r="1542" spans="1:6" hidden="1" outlineLevel="1">
      <c r="A1542" s="753" t="s">
        <v>1798</v>
      </c>
      <c r="B1542" s="152">
        <v>0</v>
      </c>
      <c r="C1542" s="167">
        <v>64217.53</v>
      </c>
      <c r="D1542" s="168">
        <v>234892.93999999994</v>
      </c>
      <c r="E1542" s="135">
        <f t="shared" si="23"/>
        <v>299110.46999999997</v>
      </c>
      <c r="F1542" t="s">
        <v>1799</v>
      </c>
    </row>
    <row r="1543" spans="1:6" hidden="1" outlineLevel="1">
      <c r="A1543" s="753" t="s">
        <v>1800</v>
      </c>
      <c r="B1543" s="152">
        <v>0</v>
      </c>
      <c r="C1543" s="167">
        <v>0</v>
      </c>
      <c r="D1543" s="168">
        <v>2642.12</v>
      </c>
      <c r="E1543" s="135">
        <f t="shared" si="23"/>
        <v>2642.12</v>
      </c>
      <c r="F1543" t="s">
        <v>1801</v>
      </c>
    </row>
    <row r="1544" spans="1:6" hidden="1" outlineLevel="1">
      <c r="A1544" s="753" t="s">
        <v>1802</v>
      </c>
      <c r="B1544" s="152">
        <v>0</v>
      </c>
      <c r="C1544" s="167">
        <v>0</v>
      </c>
      <c r="D1544" s="168">
        <v>8003.39</v>
      </c>
      <c r="E1544" s="135">
        <f t="shared" si="23"/>
        <v>8003.39</v>
      </c>
      <c r="F1544" t="s">
        <v>1803</v>
      </c>
    </row>
    <row r="1545" spans="1:6" hidden="1" outlineLevel="1">
      <c r="A1545" s="753" t="s">
        <v>758</v>
      </c>
      <c r="B1545" s="152">
        <v>2883.05</v>
      </c>
      <c r="C1545" s="167">
        <v>255939.06000000003</v>
      </c>
      <c r="D1545" s="168">
        <v>2241609.5599999996</v>
      </c>
      <c r="E1545" s="135">
        <f t="shared" si="23"/>
        <v>2500431.6699999995</v>
      </c>
      <c r="F1545" t="s">
        <v>759</v>
      </c>
    </row>
    <row r="1546" spans="1:6" hidden="1" outlineLevel="1">
      <c r="A1546" s="753" t="s">
        <v>1804</v>
      </c>
      <c r="B1546" s="152">
        <v>0</v>
      </c>
      <c r="C1546" s="167">
        <v>5922.23</v>
      </c>
      <c r="D1546" s="168">
        <v>36812.590000000004</v>
      </c>
      <c r="E1546" s="135">
        <f t="shared" si="23"/>
        <v>42734.820000000007</v>
      </c>
      <c r="F1546" t="s">
        <v>1805</v>
      </c>
    </row>
    <row r="1547" spans="1:6" hidden="1" outlineLevel="1">
      <c r="A1547" s="753" t="s">
        <v>1806</v>
      </c>
      <c r="B1547" s="152">
        <v>0</v>
      </c>
      <c r="C1547" s="167">
        <v>2467.61</v>
      </c>
      <c r="D1547" s="168">
        <v>77198.39999999998</v>
      </c>
      <c r="E1547" s="135">
        <f t="shared" si="23"/>
        <v>79666.00999999998</v>
      </c>
      <c r="F1547" t="s">
        <v>1807</v>
      </c>
    </row>
    <row r="1548" spans="1:6" hidden="1" outlineLevel="1">
      <c r="A1548" s="753" t="s">
        <v>1808</v>
      </c>
      <c r="B1548" s="152">
        <v>0</v>
      </c>
      <c r="C1548" s="167">
        <v>956206.24999999977</v>
      </c>
      <c r="D1548" s="168">
        <v>2053660.3599999987</v>
      </c>
      <c r="E1548" s="135">
        <f t="shared" si="23"/>
        <v>3009866.6099999985</v>
      </c>
      <c r="F1548" t="s">
        <v>1809</v>
      </c>
    </row>
    <row r="1549" spans="1:6" hidden="1" outlineLevel="1">
      <c r="A1549" s="753" t="s">
        <v>1810</v>
      </c>
      <c r="B1549" s="152">
        <v>0</v>
      </c>
      <c r="C1549" s="167">
        <v>12114.24</v>
      </c>
      <c r="D1549" s="168">
        <v>16211.960000000001</v>
      </c>
      <c r="E1549" s="135">
        <f t="shared" si="23"/>
        <v>28326.2</v>
      </c>
      <c r="F1549" t="s">
        <v>1811</v>
      </c>
    </row>
    <row r="1550" spans="1:6" hidden="1" outlineLevel="1">
      <c r="A1550" s="753" t="s">
        <v>1812</v>
      </c>
      <c r="B1550" s="152">
        <v>0</v>
      </c>
      <c r="C1550" s="167">
        <v>0</v>
      </c>
      <c r="D1550" s="168">
        <v>2405.44</v>
      </c>
      <c r="E1550" s="135">
        <f t="shared" si="23"/>
        <v>2405.44</v>
      </c>
      <c r="F1550" t="s">
        <v>1813</v>
      </c>
    </row>
    <row r="1551" spans="1:6" hidden="1" outlineLevel="1">
      <c r="A1551" s="753" t="s">
        <v>1814</v>
      </c>
      <c r="B1551" s="152">
        <v>0</v>
      </c>
      <c r="C1551" s="167">
        <v>935.12</v>
      </c>
      <c r="D1551" s="168">
        <v>104509.37999999999</v>
      </c>
      <c r="E1551" s="135">
        <f t="shared" si="23"/>
        <v>105444.49999999999</v>
      </c>
      <c r="F1551" t="s">
        <v>1815</v>
      </c>
    </row>
    <row r="1552" spans="1:6" hidden="1" outlineLevel="1">
      <c r="A1552" s="753" t="s">
        <v>1816</v>
      </c>
      <c r="B1552" s="152">
        <v>0</v>
      </c>
      <c r="C1552" s="167">
        <v>0</v>
      </c>
      <c r="D1552" s="168">
        <v>24356.840000000004</v>
      </c>
      <c r="E1552" s="135">
        <f t="shared" si="23"/>
        <v>24356.840000000004</v>
      </c>
      <c r="F1552" t="s">
        <v>1817</v>
      </c>
    </row>
    <row r="1553" spans="1:6" hidden="1" outlineLevel="1">
      <c r="A1553" s="753" t="s">
        <v>1818</v>
      </c>
      <c r="B1553" s="152">
        <v>0</v>
      </c>
      <c r="C1553" s="167">
        <v>9662.6999999999989</v>
      </c>
      <c r="D1553" s="168">
        <v>557197.35999999964</v>
      </c>
      <c r="E1553" s="135">
        <f t="shared" si="23"/>
        <v>566860.05999999959</v>
      </c>
      <c r="F1553" t="s">
        <v>1819</v>
      </c>
    </row>
    <row r="1554" spans="1:6" hidden="1" outlineLevel="1">
      <c r="A1554" s="753" t="s">
        <v>1820</v>
      </c>
      <c r="B1554" s="152">
        <v>0</v>
      </c>
      <c r="C1554" s="167">
        <v>52492.340000000004</v>
      </c>
      <c r="D1554" s="168">
        <v>150893.62</v>
      </c>
      <c r="E1554" s="135">
        <f t="shared" si="23"/>
        <v>203385.96</v>
      </c>
      <c r="F1554" t="s">
        <v>1821</v>
      </c>
    </row>
    <row r="1555" spans="1:6" hidden="1" outlineLevel="1">
      <c r="A1555" s="753" t="s">
        <v>1822</v>
      </c>
      <c r="B1555" s="152">
        <v>0</v>
      </c>
      <c r="C1555" s="167">
        <v>0</v>
      </c>
      <c r="D1555" s="168">
        <v>29540.84</v>
      </c>
      <c r="E1555" s="135">
        <f t="shared" si="23"/>
        <v>29540.84</v>
      </c>
      <c r="F1555" t="s">
        <v>1823</v>
      </c>
    </row>
    <row r="1556" spans="1:6" hidden="1" outlineLevel="1">
      <c r="A1556" s="753" t="s">
        <v>1824</v>
      </c>
      <c r="B1556" s="152">
        <v>0</v>
      </c>
      <c r="C1556" s="167">
        <v>0</v>
      </c>
      <c r="D1556" s="168">
        <v>2219.29</v>
      </c>
      <c r="E1556" s="135">
        <f t="shared" si="23"/>
        <v>2219.29</v>
      </c>
      <c r="F1556" t="s">
        <v>1825</v>
      </c>
    </row>
    <row r="1557" spans="1:6" hidden="1" outlineLevel="1">
      <c r="A1557" s="753" t="s">
        <v>1826</v>
      </c>
      <c r="B1557" s="152">
        <v>0</v>
      </c>
      <c r="C1557" s="167">
        <v>5131</v>
      </c>
      <c r="D1557" s="168">
        <v>295290.71000000014</v>
      </c>
      <c r="E1557" s="135">
        <f t="shared" si="23"/>
        <v>300421.71000000014</v>
      </c>
      <c r="F1557" t="s">
        <v>1827</v>
      </c>
    </row>
    <row r="1558" spans="1:6" ht="13.5" collapsed="1" thickBot="1">
      <c r="A1558" s="933" t="s">
        <v>1828</v>
      </c>
      <c r="B1558" s="169">
        <f>SUM(B1559:B1677)</f>
        <v>86681.34</v>
      </c>
      <c r="C1558" s="170">
        <f>SUM(C1559:C1677)</f>
        <v>21949714.429999996</v>
      </c>
      <c r="D1558" s="171">
        <f>SUM(D1559:D1677)</f>
        <v>60781458.519999973</v>
      </c>
      <c r="E1558" s="172">
        <f>SUM(B1558:D1558)</f>
        <v>82817854.289999962</v>
      </c>
      <c r="F1558" s="104"/>
    </row>
    <row r="1559" spans="1:6" hidden="1" outlineLevel="1">
      <c r="A1559" s="753" t="s">
        <v>1829</v>
      </c>
      <c r="B1559" s="152">
        <v>0</v>
      </c>
      <c r="C1559" s="167">
        <v>5991.58</v>
      </c>
      <c r="D1559" s="168">
        <v>347511.21</v>
      </c>
      <c r="E1559" s="134">
        <f t="shared" si="14"/>
        <v>353502.79000000004</v>
      </c>
      <c r="F1559" s="8" t="s">
        <v>1830</v>
      </c>
    </row>
    <row r="1560" spans="1:6" hidden="1" outlineLevel="1">
      <c r="A1560" s="753" t="s">
        <v>1831</v>
      </c>
      <c r="B1560" s="152">
        <v>0</v>
      </c>
      <c r="C1560" s="167">
        <v>36718.97</v>
      </c>
      <c r="D1560" s="168">
        <v>382738.9</v>
      </c>
      <c r="E1560" s="669">
        <f t="shared" ref="E1560:E1623" si="24">SUM(B1560:D1560)</f>
        <v>419457.87</v>
      </c>
      <c r="F1560" s="8" t="s">
        <v>1832</v>
      </c>
    </row>
    <row r="1561" spans="1:6" hidden="1" outlineLevel="1">
      <c r="A1561" s="753" t="s">
        <v>1833</v>
      </c>
      <c r="B1561" s="152">
        <v>0</v>
      </c>
      <c r="C1561" s="167">
        <v>92353.27</v>
      </c>
      <c r="D1561" s="168">
        <v>2839714.89</v>
      </c>
      <c r="E1561" s="669">
        <f t="shared" si="24"/>
        <v>2932068.16</v>
      </c>
      <c r="F1561" s="8" t="s">
        <v>1834</v>
      </c>
    </row>
    <row r="1562" spans="1:6" hidden="1" outlineLevel="1">
      <c r="A1562" s="753" t="s">
        <v>1835</v>
      </c>
      <c r="B1562" s="152">
        <v>0</v>
      </c>
      <c r="C1562" s="167">
        <v>79057.78</v>
      </c>
      <c r="D1562" s="168">
        <v>232353.48</v>
      </c>
      <c r="E1562" s="669">
        <f t="shared" si="24"/>
        <v>311411.26</v>
      </c>
      <c r="F1562" s="8" t="s">
        <v>1836</v>
      </c>
    </row>
    <row r="1563" spans="1:6" hidden="1" outlineLevel="1">
      <c r="A1563" s="753" t="s">
        <v>1837</v>
      </c>
      <c r="B1563" s="152">
        <v>0</v>
      </c>
      <c r="C1563" s="167">
        <v>10948.65</v>
      </c>
      <c r="D1563" s="168">
        <v>340608.42</v>
      </c>
      <c r="E1563" s="669">
        <f t="shared" si="24"/>
        <v>351557.07</v>
      </c>
      <c r="F1563" s="8" t="s">
        <v>1838</v>
      </c>
    </row>
    <row r="1564" spans="1:6" hidden="1" outlineLevel="1">
      <c r="A1564" s="753" t="s">
        <v>1839</v>
      </c>
      <c r="B1564" s="152">
        <v>0</v>
      </c>
      <c r="C1564" s="167">
        <v>12208.31</v>
      </c>
      <c r="D1564" s="168">
        <v>64595.28</v>
      </c>
      <c r="E1564" s="669">
        <f t="shared" si="24"/>
        <v>76803.59</v>
      </c>
      <c r="F1564" s="8" t="s">
        <v>1840</v>
      </c>
    </row>
    <row r="1565" spans="1:6" hidden="1" outlineLevel="1">
      <c r="A1565" s="753" t="s">
        <v>1841</v>
      </c>
      <c r="B1565" s="152">
        <v>0</v>
      </c>
      <c r="C1565" s="167">
        <v>0</v>
      </c>
      <c r="D1565" s="168">
        <v>6888.12</v>
      </c>
      <c r="E1565" s="669">
        <f t="shared" si="24"/>
        <v>6888.12</v>
      </c>
      <c r="F1565" s="8" t="s">
        <v>1842</v>
      </c>
    </row>
    <row r="1566" spans="1:6" hidden="1" outlineLevel="1">
      <c r="A1566" s="753" t="s">
        <v>1843</v>
      </c>
      <c r="B1566" s="152">
        <v>0.56000000000000005</v>
      </c>
      <c r="C1566" s="167">
        <v>0</v>
      </c>
      <c r="D1566" s="168">
        <v>0</v>
      </c>
      <c r="E1566" s="669">
        <f t="shared" si="24"/>
        <v>0.56000000000000005</v>
      </c>
      <c r="F1566" s="8" t="s">
        <v>1844</v>
      </c>
    </row>
    <row r="1567" spans="1:6" hidden="1" outlineLevel="1">
      <c r="A1567" s="753" t="s">
        <v>1845</v>
      </c>
      <c r="B1567" s="152">
        <v>0</v>
      </c>
      <c r="C1567" s="167">
        <v>1623.86</v>
      </c>
      <c r="D1567" s="168">
        <v>49920.9</v>
      </c>
      <c r="E1567" s="669">
        <f t="shared" si="24"/>
        <v>51544.76</v>
      </c>
      <c r="F1567" s="8" t="s">
        <v>1846</v>
      </c>
    </row>
    <row r="1568" spans="1:6" hidden="1" outlineLevel="1">
      <c r="A1568" s="753" t="s">
        <v>1847</v>
      </c>
      <c r="B1568" s="152">
        <v>0</v>
      </c>
      <c r="C1568" s="167">
        <v>14792.02</v>
      </c>
      <c r="D1568" s="168">
        <v>61820.01</v>
      </c>
      <c r="E1568" s="669">
        <f t="shared" si="24"/>
        <v>76612.03</v>
      </c>
      <c r="F1568" s="8" t="s">
        <v>1848</v>
      </c>
    </row>
    <row r="1569" spans="1:6" hidden="1" outlineLevel="1">
      <c r="A1569" s="753" t="s">
        <v>1849</v>
      </c>
      <c r="B1569" s="152">
        <v>0</v>
      </c>
      <c r="C1569" s="167">
        <v>2316.7199999999998</v>
      </c>
      <c r="D1569" s="168">
        <v>16858.919999999998</v>
      </c>
      <c r="E1569" s="669">
        <f t="shared" si="24"/>
        <v>19175.64</v>
      </c>
      <c r="F1569" s="8" t="s">
        <v>1850</v>
      </c>
    </row>
    <row r="1570" spans="1:6" hidden="1" outlineLevel="1">
      <c r="A1570" s="753" t="s">
        <v>1851</v>
      </c>
      <c r="B1570" s="152">
        <v>0</v>
      </c>
      <c r="C1570" s="167">
        <v>0</v>
      </c>
      <c r="D1570" s="168">
        <v>66944</v>
      </c>
      <c r="E1570" s="669">
        <f t="shared" si="24"/>
        <v>66944</v>
      </c>
      <c r="F1570" s="8" t="s">
        <v>1852</v>
      </c>
    </row>
    <row r="1571" spans="1:6" hidden="1" outlineLevel="1">
      <c r="A1571" s="753" t="s">
        <v>1853</v>
      </c>
      <c r="B1571" s="152">
        <v>0</v>
      </c>
      <c r="C1571" s="167">
        <v>3629.14</v>
      </c>
      <c r="D1571" s="168">
        <v>391.6</v>
      </c>
      <c r="E1571" s="669">
        <f t="shared" si="24"/>
        <v>4020.74</v>
      </c>
      <c r="F1571" s="8" t="s">
        <v>1854</v>
      </c>
    </row>
    <row r="1572" spans="1:6" hidden="1" outlineLevel="1">
      <c r="A1572" s="753" t="s">
        <v>1855</v>
      </c>
      <c r="B1572" s="152">
        <v>0</v>
      </c>
      <c r="C1572" s="167">
        <v>7394.17</v>
      </c>
      <c r="D1572" s="168">
        <v>189385.16</v>
      </c>
      <c r="E1572" s="669">
        <f t="shared" si="24"/>
        <v>196779.33000000002</v>
      </c>
      <c r="F1572" s="8" t="s">
        <v>1856</v>
      </c>
    </row>
    <row r="1573" spans="1:6" hidden="1" outlineLevel="1">
      <c r="A1573" s="753" t="s">
        <v>1857</v>
      </c>
      <c r="B1573" s="152">
        <v>0</v>
      </c>
      <c r="C1573" s="167">
        <v>8560.56</v>
      </c>
      <c r="D1573" s="168">
        <v>126528.36</v>
      </c>
      <c r="E1573" s="669">
        <f t="shared" si="24"/>
        <v>135088.92000000001</v>
      </c>
      <c r="F1573" s="8" t="s">
        <v>1858</v>
      </c>
    </row>
    <row r="1574" spans="1:6" hidden="1" outlineLevel="1">
      <c r="A1574" s="753" t="s">
        <v>1859</v>
      </c>
      <c r="B1574" s="152">
        <v>0</v>
      </c>
      <c r="C1574" s="167">
        <v>23074.94</v>
      </c>
      <c r="D1574" s="168">
        <v>290477.5</v>
      </c>
      <c r="E1574" s="669">
        <f t="shared" si="24"/>
        <v>313552.44</v>
      </c>
      <c r="F1574" s="8" t="s">
        <v>1860</v>
      </c>
    </row>
    <row r="1575" spans="1:6" hidden="1" outlineLevel="1">
      <c r="A1575" s="753" t="s">
        <v>1861</v>
      </c>
      <c r="B1575" s="152">
        <v>0</v>
      </c>
      <c r="C1575" s="167">
        <v>0</v>
      </c>
      <c r="D1575" s="168">
        <v>2994.48</v>
      </c>
      <c r="E1575" s="669">
        <f t="shared" si="24"/>
        <v>2994.48</v>
      </c>
      <c r="F1575" s="8" t="s">
        <v>1862</v>
      </c>
    </row>
    <row r="1576" spans="1:6" hidden="1" outlineLevel="1">
      <c r="A1576" s="753" t="s">
        <v>1863</v>
      </c>
      <c r="B1576" s="152">
        <v>0</v>
      </c>
      <c r="C1576" s="167">
        <v>32767.46</v>
      </c>
      <c r="D1576" s="168">
        <v>178310.08</v>
      </c>
      <c r="E1576" s="669">
        <f t="shared" si="24"/>
        <v>211077.53999999998</v>
      </c>
      <c r="F1576" s="8" t="s">
        <v>1864</v>
      </c>
    </row>
    <row r="1577" spans="1:6" hidden="1" outlineLevel="1">
      <c r="A1577" s="753" t="s">
        <v>1865</v>
      </c>
      <c r="B1577" s="152">
        <v>0</v>
      </c>
      <c r="C1577" s="167">
        <v>208.66</v>
      </c>
      <c r="D1577" s="168">
        <v>61197.68</v>
      </c>
      <c r="E1577" s="669">
        <f t="shared" si="24"/>
        <v>61406.340000000004</v>
      </c>
      <c r="F1577" s="8" t="s">
        <v>1866</v>
      </c>
    </row>
    <row r="1578" spans="1:6" hidden="1" outlineLevel="1">
      <c r="A1578" s="753" t="s">
        <v>1867</v>
      </c>
      <c r="B1578" s="152">
        <v>0</v>
      </c>
      <c r="C1578" s="167">
        <v>45.07</v>
      </c>
      <c r="D1578" s="168">
        <v>25200</v>
      </c>
      <c r="E1578" s="669">
        <f t="shared" si="24"/>
        <v>25245.07</v>
      </c>
      <c r="F1578" s="8" t="s">
        <v>1868</v>
      </c>
    </row>
    <row r="1579" spans="1:6" hidden="1" outlineLevel="1">
      <c r="A1579" s="753" t="s">
        <v>1869</v>
      </c>
      <c r="B1579" s="152">
        <v>0</v>
      </c>
      <c r="C1579" s="167">
        <v>658.72</v>
      </c>
      <c r="D1579" s="168">
        <v>331922.84000000003</v>
      </c>
      <c r="E1579" s="669">
        <f t="shared" si="24"/>
        <v>332581.56</v>
      </c>
      <c r="F1579" s="8" t="s">
        <v>1870</v>
      </c>
    </row>
    <row r="1580" spans="1:6" hidden="1" outlineLevel="1">
      <c r="A1580" s="753" t="s">
        <v>1871</v>
      </c>
      <c r="B1580" s="152">
        <v>0</v>
      </c>
      <c r="C1580" s="167">
        <v>42.36</v>
      </c>
      <c r="D1580" s="168">
        <v>28758.720000000001</v>
      </c>
      <c r="E1580" s="669">
        <f t="shared" si="24"/>
        <v>28801.08</v>
      </c>
      <c r="F1580" s="8" t="s">
        <v>1872</v>
      </c>
    </row>
    <row r="1581" spans="1:6" hidden="1" outlineLevel="1">
      <c r="A1581" s="753" t="s">
        <v>1873</v>
      </c>
      <c r="B1581" s="152">
        <v>0</v>
      </c>
      <c r="C1581" s="167">
        <v>113297.91</v>
      </c>
      <c r="D1581" s="168">
        <v>745044.95</v>
      </c>
      <c r="E1581" s="669">
        <f t="shared" si="24"/>
        <v>858342.86</v>
      </c>
      <c r="F1581" s="8" t="s">
        <v>1874</v>
      </c>
    </row>
    <row r="1582" spans="1:6" hidden="1" outlineLevel="1">
      <c r="A1582" s="753" t="s">
        <v>799</v>
      </c>
      <c r="B1582" s="152">
        <v>0</v>
      </c>
      <c r="C1582" s="167">
        <v>0</v>
      </c>
      <c r="D1582" s="168">
        <v>56000</v>
      </c>
      <c r="E1582" s="669">
        <f t="shared" si="24"/>
        <v>56000</v>
      </c>
      <c r="F1582" s="8" t="s">
        <v>800</v>
      </c>
    </row>
    <row r="1583" spans="1:6" hidden="1" outlineLevel="1">
      <c r="A1583" s="753" t="s">
        <v>1875</v>
      </c>
      <c r="B1583" s="152">
        <v>0</v>
      </c>
      <c r="C1583" s="167">
        <v>0</v>
      </c>
      <c r="D1583" s="168">
        <v>27339.599999999999</v>
      </c>
      <c r="E1583" s="669">
        <f t="shared" si="24"/>
        <v>27339.599999999999</v>
      </c>
      <c r="F1583" s="8" t="s">
        <v>1876</v>
      </c>
    </row>
    <row r="1584" spans="1:6" hidden="1" outlineLevel="1">
      <c r="A1584" s="753" t="s">
        <v>1877</v>
      </c>
      <c r="B1584" s="152">
        <v>0</v>
      </c>
      <c r="C1584" s="167">
        <v>1077.3399999999999</v>
      </c>
      <c r="D1584" s="168">
        <v>18336.759999999998</v>
      </c>
      <c r="E1584" s="669">
        <f t="shared" si="24"/>
        <v>19414.099999999999</v>
      </c>
      <c r="F1584" s="8" t="s">
        <v>1878</v>
      </c>
    </row>
    <row r="1585" spans="1:6" hidden="1" outlineLevel="1">
      <c r="A1585" s="753" t="s">
        <v>1879</v>
      </c>
      <c r="B1585" s="152">
        <v>0</v>
      </c>
      <c r="C1585" s="167">
        <v>14819.39</v>
      </c>
      <c r="D1585" s="168">
        <v>203950.56</v>
      </c>
      <c r="E1585" s="669">
        <f t="shared" si="24"/>
        <v>218769.95</v>
      </c>
      <c r="F1585" s="8" t="s">
        <v>1880</v>
      </c>
    </row>
    <row r="1586" spans="1:6" hidden="1" outlineLevel="1">
      <c r="A1586" s="753" t="s">
        <v>1881</v>
      </c>
      <c r="B1586" s="152">
        <v>0</v>
      </c>
      <c r="C1586" s="167">
        <v>2628.07</v>
      </c>
      <c r="D1586" s="168">
        <v>54950.52</v>
      </c>
      <c r="E1586" s="669">
        <f t="shared" si="24"/>
        <v>57578.59</v>
      </c>
      <c r="F1586" s="8" t="s">
        <v>1882</v>
      </c>
    </row>
    <row r="1587" spans="1:6" hidden="1" outlineLevel="1">
      <c r="A1587" s="753" t="s">
        <v>1883</v>
      </c>
      <c r="B1587" s="152">
        <v>0</v>
      </c>
      <c r="C1587" s="167">
        <v>1461.02</v>
      </c>
      <c r="D1587" s="168">
        <v>107870.3</v>
      </c>
      <c r="E1587" s="669">
        <f t="shared" si="24"/>
        <v>109331.32</v>
      </c>
      <c r="F1587" s="8" t="s">
        <v>1884</v>
      </c>
    </row>
    <row r="1588" spans="1:6" hidden="1" outlineLevel="1">
      <c r="A1588" s="753" t="s">
        <v>1885</v>
      </c>
      <c r="B1588" s="152">
        <v>0</v>
      </c>
      <c r="C1588" s="167">
        <v>0</v>
      </c>
      <c r="D1588" s="168">
        <v>11765.32</v>
      </c>
      <c r="E1588" s="669">
        <f t="shared" si="24"/>
        <v>11765.32</v>
      </c>
      <c r="F1588" s="8" t="s">
        <v>1886</v>
      </c>
    </row>
    <row r="1589" spans="1:6" hidden="1" outlineLevel="1">
      <c r="A1589" s="753" t="s">
        <v>456</v>
      </c>
      <c r="B1589" s="152">
        <v>0</v>
      </c>
      <c r="C1589" s="167">
        <v>0</v>
      </c>
      <c r="D1589" s="168">
        <v>18524.96</v>
      </c>
      <c r="E1589" s="669">
        <f t="shared" si="24"/>
        <v>18524.96</v>
      </c>
      <c r="F1589" s="8" t="s">
        <v>457</v>
      </c>
    </row>
    <row r="1590" spans="1:6" hidden="1" outlineLevel="1">
      <c r="A1590" s="753" t="s">
        <v>1887</v>
      </c>
      <c r="B1590" s="152">
        <v>0</v>
      </c>
      <c r="C1590" s="167">
        <v>935183.4</v>
      </c>
      <c r="D1590" s="168">
        <v>70438.52</v>
      </c>
      <c r="E1590" s="669">
        <f t="shared" si="24"/>
        <v>1005621.92</v>
      </c>
      <c r="F1590" s="8" t="s">
        <v>1888</v>
      </c>
    </row>
    <row r="1591" spans="1:6" hidden="1" outlineLevel="1">
      <c r="A1591" s="753" t="s">
        <v>1889</v>
      </c>
      <c r="B1591" s="152">
        <v>0</v>
      </c>
      <c r="C1591" s="167">
        <v>254694.46</v>
      </c>
      <c r="D1591" s="168">
        <v>0</v>
      </c>
      <c r="E1591" s="669">
        <f t="shared" si="24"/>
        <v>254694.46</v>
      </c>
      <c r="F1591" s="8" t="s">
        <v>1890</v>
      </c>
    </row>
    <row r="1592" spans="1:6" hidden="1" outlineLevel="1">
      <c r="A1592" s="753" t="s">
        <v>1891</v>
      </c>
      <c r="B1592" s="152">
        <v>0</v>
      </c>
      <c r="C1592" s="167">
        <v>0</v>
      </c>
      <c r="D1592" s="168">
        <v>1654.88</v>
      </c>
      <c r="E1592" s="669">
        <f t="shared" si="24"/>
        <v>1654.88</v>
      </c>
      <c r="F1592" s="8" t="s">
        <v>1892</v>
      </c>
    </row>
    <row r="1593" spans="1:6" hidden="1" outlineLevel="1">
      <c r="A1593" s="753" t="s">
        <v>1893</v>
      </c>
      <c r="B1593" s="152">
        <v>66537.16</v>
      </c>
      <c r="C1593" s="167">
        <v>515948.79999999999</v>
      </c>
      <c r="D1593" s="168">
        <v>636905.07999999996</v>
      </c>
      <c r="E1593" s="669">
        <f t="shared" si="24"/>
        <v>1219391.04</v>
      </c>
      <c r="F1593" s="8" t="s">
        <v>1894</v>
      </c>
    </row>
    <row r="1594" spans="1:6" hidden="1" outlineLevel="1">
      <c r="A1594" s="753" t="s">
        <v>1895</v>
      </c>
      <c r="B1594" s="152">
        <v>0</v>
      </c>
      <c r="C1594" s="167">
        <v>330583.37</v>
      </c>
      <c r="D1594" s="168">
        <v>1551464.28</v>
      </c>
      <c r="E1594" s="669">
        <f t="shared" si="24"/>
        <v>1882047.65</v>
      </c>
      <c r="F1594" s="8" t="s">
        <v>1896</v>
      </c>
    </row>
    <row r="1595" spans="1:6" hidden="1" outlineLevel="1">
      <c r="A1595" s="753" t="s">
        <v>1683</v>
      </c>
      <c r="B1595" s="152">
        <v>0</v>
      </c>
      <c r="C1595" s="167">
        <v>5905.93</v>
      </c>
      <c r="D1595" s="168">
        <v>81053.759999999995</v>
      </c>
      <c r="E1595" s="669">
        <f t="shared" si="24"/>
        <v>86959.69</v>
      </c>
      <c r="F1595" s="8" t="s">
        <v>1684</v>
      </c>
    </row>
    <row r="1596" spans="1:6" hidden="1" outlineLevel="1">
      <c r="A1596" s="753" t="s">
        <v>1897</v>
      </c>
      <c r="B1596" s="152">
        <v>0</v>
      </c>
      <c r="C1596" s="167">
        <v>986.51</v>
      </c>
      <c r="D1596" s="168">
        <v>3916.4</v>
      </c>
      <c r="E1596" s="669">
        <f t="shared" si="24"/>
        <v>4902.91</v>
      </c>
      <c r="F1596" s="8" t="s">
        <v>1898</v>
      </c>
    </row>
    <row r="1597" spans="1:6" hidden="1" outlineLevel="1">
      <c r="A1597" s="753" t="s">
        <v>977</v>
      </c>
      <c r="B1597" s="152">
        <v>0</v>
      </c>
      <c r="C1597" s="167">
        <v>778575.42</v>
      </c>
      <c r="D1597" s="168">
        <v>17214637.52</v>
      </c>
      <c r="E1597" s="669">
        <f t="shared" si="24"/>
        <v>17993212.940000001</v>
      </c>
      <c r="F1597" s="8" t="s">
        <v>978</v>
      </c>
    </row>
    <row r="1598" spans="1:6" hidden="1" outlineLevel="1">
      <c r="A1598" s="753" t="s">
        <v>1899</v>
      </c>
      <c r="B1598" s="152">
        <v>0</v>
      </c>
      <c r="C1598" s="167">
        <v>20732.310000000001</v>
      </c>
      <c r="D1598" s="168">
        <v>180140.04</v>
      </c>
      <c r="E1598" s="669">
        <f t="shared" si="24"/>
        <v>200872.35</v>
      </c>
      <c r="F1598" s="8" t="s">
        <v>1900</v>
      </c>
    </row>
    <row r="1599" spans="1:6" hidden="1" outlineLevel="1">
      <c r="A1599" s="753" t="s">
        <v>1901</v>
      </c>
      <c r="B1599" s="152">
        <v>0</v>
      </c>
      <c r="C1599" s="167">
        <v>176.96</v>
      </c>
      <c r="D1599" s="168">
        <v>35033.599999999999</v>
      </c>
      <c r="E1599" s="669">
        <f t="shared" si="24"/>
        <v>35210.559999999998</v>
      </c>
      <c r="F1599" s="8" t="s">
        <v>1902</v>
      </c>
    </row>
    <row r="1600" spans="1:6" hidden="1" outlineLevel="1">
      <c r="A1600" s="753" t="s">
        <v>1903</v>
      </c>
      <c r="B1600" s="152">
        <v>0</v>
      </c>
      <c r="C1600" s="167">
        <v>103373.91</v>
      </c>
      <c r="D1600" s="168">
        <v>941375.05</v>
      </c>
      <c r="E1600" s="669">
        <f t="shared" si="24"/>
        <v>1044748.9600000001</v>
      </c>
      <c r="F1600" s="8" t="s">
        <v>1904</v>
      </c>
    </row>
    <row r="1601" spans="1:6" hidden="1" outlineLevel="1">
      <c r="A1601" s="753" t="s">
        <v>1905</v>
      </c>
      <c r="B1601" s="152">
        <v>0</v>
      </c>
      <c r="C1601" s="167">
        <v>18625.28</v>
      </c>
      <c r="D1601" s="168">
        <v>228744.38</v>
      </c>
      <c r="E1601" s="669">
        <f t="shared" si="24"/>
        <v>247369.66</v>
      </c>
      <c r="F1601" s="8" t="s">
        <v>1906</v>
      </c>
    </row>
    <row r="1602" spans="1:6" hidden="1" outlineLevel="1">
      <c r="A1602" s="753" t="s">
        <v>1907</v>
      </c>
      <c r="B1602" s="152">
        <v>0</v>
      </c>
      <c r="C1602" s="167">
        <v>0</v>
      </c>
      <c r="D1602" s="168">
        <v>10259.84</v>
      </c>
      <c r="E1602" s="669">
        <f t="shared" si="24"/>
        <v>10259.84</v>
      </c>
      <c r="F1602" s="8" t="s">
        <v>1908</v>
      </c>
    </row>
    <row r="1603" spans="1:6" hidden="1" outlineLevel="1">
      <c r="A1603" s="753" t="s">
        <v>1909</v>
      </c>
      <c r="B1603" s="152">
        <v>0</v>
      </c>
      <c r="C1603" s="167">
        <v>0</v>
      </c>
      <c r="D1603" s="168">
        <v>56909.9</v>
      </c>
      <c r="E1603" s="669">
        <f t="shared" si="24"/>
        <v>56909.9</v>
      </c>
      <c r="F1603" s="8" t="s">
        <v>1910</v>
      </c>
    </row>
    <row r="1604" spans="1:6" hidden="1" outlineLevel="1">
      <c r="A1604" s="753" t="s">
        <v>1911</v>
      </c>
      <c r="B1604" s="152">
        <v>0</v>
      </c>
      <c r="C1604" s="167">
        <v>4751.82</v>
      </c>
      <c r="D1604" s="168">
        <v>108012.68</v>
      </c>
      <c r="E1604" s="669">
        <f t="shared" si="24"/>
        <v>112764.5</v>
      </c>
      <c r="F1604" s="8" t="s">
        <v>1912</v>
      </c>
    </row>
    <row r="1605" spans="1:6" hidden="1" outlineLevel="1">
      <c r="A1605" s="753" t="s">
        <v>1913</v>
      </c>
      <c r="B1605" s="152">
        <v>0</v>
      </c>
      <c r="C1605" s="167">
        <v>12546.44</v>
      </c>
      <c r="D1605" s="168">
        <v>191103.16</v>
      </c>
      <c r="E1605" s="669">
        <f t="shared" si="24"/>
        <v>203649.6</v>
      </c>
      <c r="F1605" s="8" t="s">
        <v>1914</v>
      </c>
    </row>
    <row r="1606" spans="1:6" hidden="1" outlineLevel="1">
      <c r="A1606" s="753" t="s">
        <v>1915</v>
      </c>
      <c r="B1606" s="152">
        <v>0</v>
      </c>
      <c r="C1606" s="167">
        <v>11586.82</v>
      </c>
      <c r="D1606" s="168">
        <v>653088.69999999995</v>
      </c>
      <c r="E1606" s="669">
        <f t="shared" si="24"/>
        <v>664675.5199999999</v>
      </c>
      <c r="F1606" s="8" t="s">
        <v>1916</v>
      </c>
    </row>
    <row r="1607" spans="1:6" hidden="1" outlineLevel="1">
      <c r="A1607" s="753" t="s">
        <v>1917</v>
      </c>
      <c r="B1607" s="152">
        <v>0</v>
      </c>
      <c r="C1607" s="167">
        <v>7875.72</v>
      </c>
      <c r="D1607" s="168">
        <v>148877.68</v>
      </c>
      <c r="E1607" s="669">
        <f t="shared" si="24"/>
        <v>156753.4</v>
      </c>
      <c r="F1607" s="8" t="s">
        <v>1918</v>
      </c>
    </row>
    <row r="1608" spans="1:6" hidden="1" outlineLevel="1">
      <c r="A1608" s="753" t="s">
        <v>1919</v>
      </c>
      <c r="B1608" s="152">
        <v>0</v>
      </c>
      <c r="C1608" s="167">
        <v>707.57</v>
      </c>
      <c r="D1608" s="168">
        <v>227677.32</v>
      </c>
      <c r="E1608" s="669">
        <f t="shared" si="24"/>
        <v>228384.89</v>
      </c>
      <c r="F1608" s="8" t="s">
        <v>1920</v>
      </c>
    </row>
    <row r="1609" spans="1:6" hidden="1" outlineLevel="1">
      <c r="A1609" s="753" t="s">
        <v>1921</v>
      </c>
      <c r="B1609" s="152">
        <v>0</v>
      </c>
      <c r="C1609" s="167">
        <v>19049.89</v>
      </c>
      <c r="D1609" s="168">
        <v>408913.74</v>
      </c>
      <c r="E1609" s="669">
        <f t="shared" si="24"/>
        <v>427963.63</v>
      </c>
      <c r="F1609" s="8" t="s">
        <v>1922</v>
      </c>
    </row>
    <row r="1610" spans="1:6" hidden="1" outlineLevel="1">
      <c r="A1610" s="753" t="s">
        <v>1923</v>
      </c>
      <c r="B1610" s="152">
        <v>0</v>
      </c>
      <c r="C1610" s="167">
        <v>13298.31</v>
      </c>
      <c r="D1610" s="168">
        <v>33467.4</v>
      </c>
      <c r="E1610" s="669">
        <f t="shared" si="24"/>
        <v>46765.71</v>
      </c>
      <c r="F1610" s="8" t="s">
        <v>1924</v>
      </c>
    </row>
    <row r="1611" spans="1:6" hidden="1" outlineLevel="1">
      <c r="A1611" s="753" t="s">
        <v>1925</v>
      </c>
      <c r="B1611" s="152">
        <v>0</v>
      </c>
      <c r="C1611" s="167">
        <v>1237.05</v>
      </c>
      <c r="D1611" s="168">
        <v>3183</v>
      </c>
      <c r="E1611" s="669">
        <f t="shared" si="24"/>
        <v>4420.05</v>
      </c>
      <c r="F1611" s="8" t="s">
        <v>1926</v>
      </c>
    </row>
    <row r="1612" spans="1:6" hidden="1" outlineLevel="1">
      <c r="A1612" s="753" t="s">
        <v>1927</v>
      </c>
      <c r="B1612" s="152">
        <v>0</v>
      </c>
      <c r="C1612" s="167">
        <v>20176.490000000002</v>
      </c>
      <c r="D1612" s="168">
        <v>64180.74</v>
      </c>
      <c r="E1612" s="669">
        <f t="shared" si="24"/>
        <v>84357.23</v>
      </c>
      <c r="F1612" s="8" t="s">
        <v>1928</v>
      </c>
    </row>
    <row r="1613" spans="1:6" hidden="1" outlineLevel="1">
      <c r="A1613" s="753" t="s">
        <v>1929</v>
      </c>
      <c r="B1613" s="152">
        <v>0</v>
      </c>
      <c r="C1613" s="167">
        <v>0</v>
      </c>
      <c r="D1613" s="168">
        <v>37630.6</v>
      </c>
      <c r="E1613" s="669">
        <f t="shared" si="24"/>
        <v>37630.6</v>
      </c>
      <c r="F1613" s="8" t="s">
        <v>1930</v>
      </c>
    </row>
    <row r="1614" spans="1:6" hidden="1" outlineLevel="1">
      <c r="A1614" s="753" t="s">
        <v>1931</v>
      </c>
      <c r="B1614" s="152">
        <v>0</v>
      </c>
      <c r="C1614" s="167">
        <v>10525.27</v>
      </c>
      <c r="D1614" s="168">
        <v>136054.96</v>
      </c>
      <c r="E1614" s="669">
        <f t="shared" si="24"/>
        <v>146580.22999999998</v>
      </c>
      <c r="F1614" s="8" t="s">
        <v>1932</v>
      </c>
    </row>
    <row r="1615" spans="1:6" hidden="1" outlineLevel="1">
      <c r="A1615" s="753" t="s">
        <v>1933</v>
      </c>
      <c r="B1615" s="152">
        <v>0</v>
      </c>
      <c r="C1615" s="167">
        <v>3750.17</v>
      </c>
      <c r="D1615" s="168">
        <v>251128.48</v>
      </c>
      <c r="E1615" s="669">
        <f t="shared" si="24"/>
        <v>254878.65000000002</v>
      </c>
      <c r="F1615" s="8" t="s">
        <v>1934</v>
      </c>
    </row>
    <row r="1616" spans="1:6" hidden="1" outlineLevel="1">
      <c r="A1616" s="753" t="s">
        <v>1935</v>
      </c>
      <c r="B1616" s="152">
        <v>0</v>
      </c>
      <c r="C1616" s="167">
        <v>1429.06</v>
      </c>
      <c r="D1616" s="168">
        <v>1010843.81</v>
      </c>
      <c r="E1616" s="669">
        <f t="shared" si="24"/>
        <v>1012272.8700000001</v>
      </c>
      <c r="F1616" s="8" t="s">
        <v>1936</v>
      </c>
    </row>
    <row r="1617" spans="1:6" hidden="1" outlineLevel="1">
      <c r="A1617" s="753" t="s">
        <v>1937</v>
      </c>
      <c r="B1617" s="152">
        <v>0</v>
      </c>
      <c r="C1617" s="167">
        <v>330.66</v>
      </c>
      <c r="D1617" s="168">
        <v>119910.52</v>
      </c>
      <c r="E1617" s="669">
        <f t="shared" si="24"/>
        <v>120241.18000000001</v>
      </c>
      <c r="F1617" s="8" t="s">
        <v>1938</v>
      </c>
    </row>
    <row r="1618" spans="1:6" hidden="1" outlineLevel="1">
      <c r="A1618" s="753" t="s">
        <v>1939</v>
      </c>
      <c r="B1618" s="152">
        <v>0</v>
      </c>
      <c r="C1618" s="167">
        <v>74.66</v>
      </c>
      <c r="D1618" s="168">
        <v>28431.33</v>
      </c>
      <c r="E1618" s="669">
        <f t="shared" si="24"/>
        <v>28505.99</v>
      </c>
      <c r="F1618" s="8" t="s">
        <v>1940</v>
      </c>
    </row>
    <row r="1619" spans="1:6" hidden="1" outlineLevel="1">
      <c r="A1619" s="753" t="s">
        <v>1941</v>
      </c>
      <c r="B1619" s="152">
        <v>0</v>
      </c>
      <c r="C1619" s="167">
        <v>0</v>
      </c>
      <c r="D1619" s="168">
        <v>48055.44</v>
      </c>
      <c r="E1619" s="669">
        <f t="shared" si="24"/>
        <v>48055.44</v>
      </c>
      <c r="F1619" s="8" t="s">
        <v>1942</v>
      </c>
    </row>
    <row r="1620" spans="1:6" hidden="1" outlineLevel="1">
      <c r="A1620" s="753" t="s">
        <v>1943</v>
      </c>
      <c r="B1620" s="152">
        <v>0</v>
      </c>
      <c r="C1620" s="167">
        <v>18023.849999999999</v>
      </c>
      <c r="D1620" s="168">
        <v>506607.09</v>
      </c>
      <c r="E1620" s="669">
        <f t="shared" si="24"/>
        <v>524630.94000000006</v>
      </c>
      <c r="F1620" s="8" t="s">
        <v>1944</v>
      </c>
    </row>
    <row r="1621" spans="1:6" hidden="1" outlineLevel="1">
      <c r="A1621" s="753" t="s">
        <v>1945</v>
      </c>
      <c r="B1621" s="152">
        <v>0</v>
      </c>
      <c r="C1621" s="167">
        <v>1309.92</v>
      </c>
      <c r="D1621" s="168">
        <v>121086.52</v>
      </c>
      <c r="E1621" s="669">
        <f t="shared" si="24"/>
        <v>122396.44</v>
      </c>
      <c r="F1621" s="8" t="s">
        <v>1946</v>
      </c>
    </row>
    <row r="1622" spans="1:6" hidden="1" outlineLevel="1">
      <c r="A1622" s="753" t="s">
        <v>1947</v>
      </c>
      <c r="B1622" s="152">
        <v>0</v>
      </c>
      <c r="C1622" s="167">
        <v>0</v>
      </c>
      <c r="D1622" s="168">
        <v>21729.09</v>
      </c>
      <c r="E1622" s="669">
        <f t="shared" si="24"/>
        <v>21729.09</v>
      </c>
      <c r="F1622" s="8" t="s">
        <v>1948</v>
      </c>
    </row>
    <row r="1623" spans="1:6" hidden="1" outlineLevel="1">
      <c r="A1623" s="753" t="s">
        <v>1949</v>
      </c>
      <c r="B1623" s="152">
        <v>0</v>
      </c>
      <c r="C1623" s="167">
        <v>7479.45</v>
      </c>
      <c r="D1623" s="168">
        <v>291345.36</v>
      </c>
      <c r="E1623" s="669">
        <f t="shared" si="24"/>
        <v>298824.81</v>
      </c>
      <c r="F1623" s="8" t="s">
        <v>1950</v>
      </c>
    </row>
    <row r="1624" spans="1:6" hidden="1" outlineLevel="1">
      <c r="A1624" s="753" t="s">
        <v>1951</v>
      </c>
      <c r="B1624" s="152">
        <v>0</v>
      </c>
      <c r="C1624" s="167">
        <v>2058.13</v>
      </c>
      <c r="D1624" s="168">
        <v>29891.52</v>
      </c>
      <c r="E1624" s="669">
        <f t="shared" ref="E1624:E1677" si="25">SUM(B1624:D1624)</f>
        <v>31949.65</v>
      </c>
      <c r="F1624" s="8" t="s">
        <v>1952</v>
      </c>
    </row>
    <row r="1625" spans="1:6" hidden="1" outlineLevel="1">
      <c r="A1625" s="753" t="s">
        <v>1953</v>
      </c>
      <c r="B1625" s="152">
        <v>0</v>
      </c>
      <c r="C1625" s="167">
        <v>2835.81</v>
      </c>
      <c r="D1625" s="168">
        <v>873408.86</v>
      </c>
      <c r="E1625" s="669">
        <f t="shared" si="25"/>
        <v>876244.67</v>
      </c>
      <c r="F1625" s="8" t="s">
        <v>1954</v>
      </c>
    </row>
    <row r="1626" spans="1:6" hidden="1" outlineLevel="1">
      <c r="A1626" s="753" t="s">
        <v>1955</v>
      </c>
      <c r="B1626" s="152">
        <v>0</v>
      </c>
      <c r="C1626" s="167">
        <v>22772.43</v>
      </c>
      <c r="D1626" s="168">
        <v>222360.36</v>
      </c>
      <c r="E1626" s="669">
        <f t="shared" si="25"/>
        <v>245132.78999999998</v>
      </c>
      <c r="F1626" s="8" t="s">
        <v>1956</v>
      </c>
    </row>
    <row r="1627" spans="1:6" hidden="1" outlineLevel="1">
      <c r="A1627" s="753" t="s">
        <v>1957</v>
      </c>
      <c r="B1627" s="152">
        <v>0</v>
      </c>
      <c r="C1627" s="167">
        <v>11633.33</v>
      </c>
      <c r="D1627" s="168">
        <v>96545.81</v>
      </c>
      <c r="E1627" s="669">
        <f t="shared" si="25"/>
        <v>108179.14</v>
      </c>
      <c r="F1627" s="8" t="s">
        <v>1958</v>
      </c>
    </row>
    <row r="1628" spans="1:6" hidden="1" outlineLevel="1">
      <c r="A1628" s="753" t="s">
        <v>1959</v>
      </c>
      <c r="B1628" s="152">
        <v>0</v>
      </c>
      <c r="C1628" s="167">
        <v>6230.8</v>
      </c>
      <c r="D1628" s="168">
        <v>30487.48</v>
      </c>
      <c r="E1628" s="669">
        <f t="shared" si="25"/>
        <v>36718.28</v>
      </c>
      <c r="F1628" s="8" t="s">
        <v>1960</v>
      </c>
    </row>
    <row r="1629" spans="1:6" hidden="1" outlineLevel="1">
      <c r="A1629" s="753" t="s">
        <v>1961</v>
      </c>
      <c r="B1629" s="152">
        <v>0</v>
      </c>
      <c r="C1629" s="167">
        <v>377.02</v>
      </c>
      <c r="D1629" s="168">
        <v>49039.18</v>
      </c>
      <c r="E1629" s="669">
        <f t="shared" si="25"/>
        <v>49416.2</v>
      </c>
      <c r="F1629" s="8" t="s">
        <v>1962</v>
      </c>
    </row>
    <row r="1630" spans="1:6" hidden="1" outlineLevel="1">
      <c r="A1630" s="753" t="s">
        <v>1963</v>
      </c>
      <c r="B1630" s="152">
        <v>0</v>
      </c>
      <c r="C1630" s="167">
        <v>17730.79</v>
      </c>
      <c r="D1630" s="168">
        <v>2644960.2000000002</v>
      </c>
      <c r="E1630" s="669">
        <f t="shared" si="25"/>
        <v>2662690.9900000002</v>
      </c>
      <c r="F1630" s="8" t="s">
        <v>1964</v>
      </c>
    </row>
    <row r="1631" spans="1:6" hidden="1" outlineLevel="1">
      <c r="A1631" s="753" t="s">
        <v>1965</v>
      </c>
      <c r="B1631" s="152">
        <v>0</v>
      </c>
      <c r="C1631" s="167">
        <v>0</v>
      </c>
      <c r="D1631" s="168">
        <v>77037.899999999994</v>
      </c>
      <c r="E1631" s="669">
        <f t="shared" si="25"/>
        <v>77037.899999999994</v>
      </c>
      <c r="F1631" s="8" t="s">
        <v>1966</v>
      </c>
    </row>
    <row r="1632" spans="1:6" hidden="1" outlineLevel="1">
      <c r="A1632" s="753" t="s">
        <v>1967</v>
      </c>
      <c r="B1632" s="152">
        <v>0</v>
      </c>
      <c r="C1632" s="167">
        <v>8348.82</v>
      </c>
      <c r="D1632" s="168">
        <v>1389893.68</v>
      </c>
      <c r="E1632" s="669">
        <f t="shared" si="25"/>
        <v>1398242.5</v>
      </c>
      <c r="F1632" s="8" t="s">
        <v>1968</v>
      </c>
    </row>
    <row r="1633" spans="1:6" hidden="1" outlineLevel="1">
      <c r="A1633" s="753" t="s">
        <v>1969</v>
      </c>
      <c r="B1633" s="152">
        <v>0</v>
      </c>
      <c r="C1633" s="167">
        <v>84819.87</v>
      </c>
      <c r="D1633" s="168">
        <v>734087.89</v>
      </c>
      <c r="E1633" s="669">
        <f t="shared" si="25"/>
        <v>818907.76</v>
      </c>
      <c r="F1633" s="8" t="s">
        <v>1970</v>
      </c>
    </row>
    <row r="1634" spans="1:6" hidden="1" outlineLevel="1">
      <c r="A1634" s="753" t="s">
        <v>1971</v>
      </c>
      <c r="B1634" s="152">
        <v>0</v>
      </c>
      <c r="C1634" s="167">
        <v>2688.82</v>
      </c>
      <c r="D1634" s="168">
        <v>13825.23</v>
      </c>
      <c r="E1634" s="669">
        <f t="shared" si="25"/>
        <v>16514.05</v>
      </c>
      <c r="F1634" s="8" t="s">
        <v>1972</v>
      </c>
    </row>
    <row r="1635" spans="1:6" hidden="1" outlineLevel="1">
      <c r="A1635" s="753" t="s">
        <v>1132</v>
      </c>
      <c r="B1635" s="152">
        <v>0</v>
      </c>
      <c r="C1635" s="167">
        <v>21516.91</v>
      </c>
      <c r="D1635" s="168">
        <v>484282.84</v>
      </c>
      <c r="E1635" s="669">
        <f t="shared" si="25"/>
        <v>505799.75</v>
      </c>
      <c r="F1635" s="8" t="s">
        <v>1133</v>
      </c>
    </row>
    <row r="1636" spans="1:6" hidden="1" outlineLevel="1">
      <c r="A1636" s="753" t="s">
        <v>1973</v>
      </c>
      <c r="B1636" s="152">
        <v>0</v>
      </c>
      <c r="C1636" s="167">
        <v>0</v>
      </c>
      <c r="D1636" s="168">
        <v>58449.919999999998</v>
      </c>
      <c r="E1636" s="669">
        <f t="shared" si="25"/>
        <v>58449.919999999998</v>
      </c>
      <c r="F1636" s="8" t="s">
        <v>1974</v>
      </c>
    </row>
    <row r="1637" spans="1:6" hidden="1" outlineLevel="1">
      <c r="A1637" s="753" t="s">
        <v>1975</v>
      </c>
      <c r="B1637" s="152">
        <v>0</v>
      </c>
      <c r="C1637" s="167">
        <v>1934.89</v>
      </c>
      <c r="D1637" s="168">
        <v>166639.96</v>
      </c>
      <c r="E1637" s="669">
        <f t="shared" si="25"/>
        <v>168574.85</v>
      </c>
      <c r="F1637" s="8" t="s">
        <v>1976</v>
      </c>
    </row>
    <row r="1638" spans="1:6" hidden="1" outlineLevel="1">
      <c r="A1638" s="753" t="s">
        <v>1977</v>
      </c>
      <c r="B1638" s="152">
        <v>0</v>
      </c>
      <c r="C1638" s="167">
        <v>5017.07</v>
      </c>
      <c r="D1638" s="168">
        <v>139442.72</v>
      </c>
      <c r="E1638" s="669">
        <f t="shared" si="25"/>
        <v>144459.79</v>
      </c>
      <c r="F1638" s="8" t="s">
        <v>1978</v>
      </c>
    </row>
    <row r="1639" spans="1:6" hidden="1" outlineLevel="1">
      <c r="A1639" s="753" t="s">
        <v>1979</v>
      </c>
      <c r="B1639" s="152">
        <v>0</v>
      </c>
      <c r="C1639" s="167">
        <v>0</v>
      </c>
      <c r="D1639" s="168">
        <v>112084.98</v>
      </c>
      <c r="E1639" s="669">
        <f t="shared" si="25"/>
        <v>112084.98</v>
      </c>
      <c r="F1639" s="8" t="s">
        <v>1980</v>
      </c>
    </row>
    <row r="1640" spans="1:6" hidden="1" outlineLevel="1">
      <c r="A1640" s="753" t="s">
        <v>1981</v>
      </c>
      <c r="B1640" s="152">
        <v>0</v>
      </c>
      <c r="C1640" s="167">
        <v>640.54999999999995</v>
      </c>
      <c r="D1640" s="168">
        <v>44233.48</v>
      </c>
      <c r="E1640" s="669">
        <f t="shared" si="25"/>
        <v>44874.030000000006</v>
      </c>
      <c r="F1640" s="8" t="s">
        <v>1982</v>
      </c>
    </row>
    <row r="1641" spans="1:6" hidden="1" outlineLevel="1">
      <c r="A1641" s="753" t="s">
        <v>1983</v>
      </c>
      <c r="B1641" s="152">
        <v>0</v>
      </c>
      <c r="C1641" s="167">
        <v>619.66</v>
      </c>
      <c r="D1641" s="168">
        <v>28203.4</v>
      </c>
      <c r="E1641" s="669">
        <f t="shared" si="25"/>
        <v>28823.06</v>
      </c>
      <c r="F1641" s="8" t="s">
        <v>1984</v>
      </c>
    </row>
    <row r="1642" spans="1:6" hidden="1" outlineLevel="1">
      <c r="A1642" s="753" t="s">
        <v>1985</v>
      </c>
      <c r="B1642" s="152">
        <v>0</v>
      </c>
      <c r="C1642" s="167">
        <v>8973.08</v>
      </c>
      <c r="D1642" s="168">
        <v>208120.66</v>
      </c>
      <c r="E1642" s="669">
        <f t="shared" si="25"/>
        <v>217093.74</v>
      </c>
      <c r="F1642" s="8" t="s">
        <v>1986</v>
      </c>
    </row>
    <row r="1643" spans="1:6" hidden="1" outlineLevel="1">
      <c r="A1643" s="753" t="s">
        <v>1987</v>
      </c>
      <c r="B1643" s="152">
        <v>0</v>
      </c>
      <c r="C1643" s="167">
        <v>3891.25</v>
      </c>
      <c r="D1643" s="168">
        <v>114922.25</v>
      </c>
      <c r="E1643" s="669">
        <f t="shared" si="25"/>
        <v>118813.5</v>
      </c>
      <c r="F1643" s="8" t="s">
        <v>1988</v>
      </c>
    </row>
    <row r="1644" spans="1:6" hidden="1" outlineLevel="1">
      <c r="A1644" s="753" t="s">
        <v>1989</v>
      </c>
      <c r="B1644" s="152">
        <v>0</v>
      </c>
      <c r="C1644" s="167">
        <v>3747.89</v>
      </c>
      <c r="D1644" s="168">
        <v>132530.56</v>
      </c>
      <c r="E1644" s="669">
        <f t="shared" si="25"/>
        <v>136278.45000000001</v>
      </c>
      <c r="F1644" s="8" t="s">
        <v>1990</v>
      </c>
    </row>
    <row r="1645" spans="1:6" hidden="1" outlineLevel="1">
      <c r="A1645" s="753" t="s">
        <v>1991</v>
      </c>
      <c r="B1645" s="152">
        <v>0</v>
      </c>
      <c r="C1645" s="167">
        <v>54018.11</v>
      </c>
      <c r="D1645" s="168">
        <v>506438.88</v>
      </c>
      <c r="E1645" s="669">
        <f t="shared" si="25"/>
        <v>560456.99</v>
      </c>
      <c r="F1645" s="8" t="s">
        <v>1992</v>
      </c>
    </row>
    <row r="1646" spans="1:6" hidden="1" outlineLevel="1">
      <c r="A1646" s="753" t="s">
        <v>1993</v>
      </c>
      <c r="B1646" s="152">
        <v>0</v>
      </c>
      <c r="C1646" s="167">
        <v>0</v>
      </c>
      <c r="D1646" s="168">
        <v>13975.28</v>
      </c>
      <c r="E1646" s="669">
        <f t="shared" si="25"/>
        <v>13975.28</v>
      </c>
      <c r="F1646" s="8" t="s">
        <v>1994</v>
      </c>
    </row>
    <row r="1647" spans="1:6" hidden="1" outlineLevel="1">
      <c r="A1647" s="753" t="s">
        <v>1995</v>
      </c>
      <c r="B1647" s="152">
        <v>0</v>
      </c>
      <c r="C1647" s="167">
        <v>11664.23</v>
      </c>
      <c r="D1647" s="168">
        <v>49536.55</v>
      </c>
      <c r="E1647" s="669">
        <f t="shared" si="25"/>
        <v>61200.78</v>
      </c>
      <c r="F1647" s="8" t="s">
        <v>1996</v>
      </c>
    </row>
    <row r="1648" spans="1:6" hidden="1" outlineLevel="1">
      <c r="A1648" s="753" t="s">
        <v>1154</v>
      </c>
      <c r="B1648" s="152">
        <v>0</v>
      </c>
      <c r="C1648" s="167">
        <v>4178.79</v>
      </c>
      <c r="D1648" s="168">
        <v>1621043.49</v>
      </c>
      <c r="E1648" s="669">
        <f t="shared" si="25"/>
        <v>1625222.28</v>
      </c>
      <c r="F1648" s="8" t="s">
        <v>1155</v>
      </c>
    </row>
    <row r="1649" spans="1:6" hidden="1" outlineLevel="1">
      <c r="A1649" s="753" t="s">
        <v>1997</v>
      </c>
      <c r="B1649" s="152">
        <v>0</v>
      </c>
      <c r="C1649" s="167">
        <v>0</v>
      </c>
      <c r="D1649" s="168">
        <v>205222.51</v>
      </c>
      <c r="E1649" s="669">
        <f t="shared" si="25"/>
        <v>205222.51</v>
      </c>
      <c r="F1649" s="8" t="s">
        <v>1998</v>
      </c>
    </row>
    <row r="1650" spans="1:6" hidden="1" outlineLevel="1">
      <c r="A1650" s="753" t="s">
        <v>1999</v>
      </c>
      <c r="B1650" s="152">
        <v>0</v>
      </c>
      <c r="C1650" s="167">
        <v>5238.5600000000004</v>
      </c>
      <c r="D1650" s="168">
        <v>590271.16</v>
      </c>
      <c r="E1650" s="669">
        <f t="shared" si="25"/>
        <v>595509.72000000009</v>
      </c>
      <c r="F1650" s="8" t="s">
        <v>2000</v>
      </c>
    </row>
    <row r="1651" spans="1:6" hidden="1" outlineLevel="1">
      <c r="A1651" s="753" t="s">
        <v>2001</v>
      </c>
      <c r="B1651" s="152">
        <v>0</v>
      </c>
      <c r="C1651" s="167">
        <v>2968.9</v>
      </c>
      <c r="D1651" s="168">
        <v>3112.12</v>
      </c>
      <c r="E1651" s="669">
        <f t="shared" si="25"/>
        <v>6081.02</v>
      </c>
      <c r="F1651" s="8" t="s">
        <v>2002</v>
      </c>
    </row>
    <row r="1652" spans="1:6" hidden="1" outlineLevel="1">
      <c r="A1652" s="753" t="s">
        <v>2003</v>
      </c>
      <c r="B1652" s="152">
        <v>0</v>
      </c>
      <c r="C1652" s="167">
        <v>22000.41</v>
      </c>
      <c r="D1652" s="168">
        <v>1056904.04</v>
      </c>
      <c r="E1652" s="669">
        <f t="shared" si="25"/>
        <v>1078904.45</v>
      </c>
      <c r="F1652" s="8" t="s">
        <v>2004</v>
      </c>
    </row>
    <row r="1653" spans="1:6" hidden="1" outlineLevel="1">
      <c r="A1653" s="753" t="s">
        <v>2005</v>
      </c>
      <c r="B1653" s="152">
        <v>0</v>
      </c>
      <c r="C1653" s="167">
        <v>2153.61</v>
      </c>
      <c r="D1653" s="168">
        <v>208161.76</v>
      </c>
      <c r="E1653" s="669">
        <f t="shared" si="25"/>
        <v>210315.37</v>
      </c>
      <c r="F1653" s="8" t="s">
        <v>2006</v>
      </c>
    </row>
    <row r="1654" spans="1:6" hidden="1" outlineLevel="1">
      <c r="A1654" s="753" t="s">
        <v>911</v>
      </c>
      <c r="B1654" s="152">
        <v>0</v>
      </c>
      <c r="C1654" s="167">
        <v>128186.39</v>
      </c>
      <c r="D1654" s="168">
        <v>3193727.6</v>
      </c>
      <c r="E1654" s="669">
        <f t="shared" si="25"/>
        <v>3321913.99</v>
      </c>
      <c r="F1654" s="8" t="s">
        <v>912</v>
      </c>
    </row>
    <row r="1655" spans="1:6" hidden="1" outlineLevel="1">
      <c r="A1655" s="753" t="s">
        <v>2007</v>
      </c>
      <c r="B1655" s="152">
        <v>0</v>
      </c>
      <c r="C1655" s="167">
        <v>163.76</v>
      </c>
      <c r="D1655" s="168">
        <v>76660.33</v>
      </c>
      <c r="E1655" s="669">
        <f t="shared" si="25"/>
        <v>76824.09</v>
      </c>
      <c r="F1655" s="8" t="s">
        <v>2008</v>
      </c>
    </row>
    <row r="1656" spans="1:6" hidden="1" outlineLevel="1">
      <c r="A1656" s="753" t="s">
        <v>2009</v>
      </c>
      <c r="B1656" s="152">
        <v>0</v>
      </c>
      <c r="C1656" s="167">
        <v>33602.01</v>
      </c>
      <c r="D1656" s="168">
        <v>779345.95</v>
      </c>
      <c r="E1656" s="669">
        <f t="shared" si="25"/>
        <v>812947.96</v>
      </c>
      <c r="F1656" s="8" t="s">
        <v>2010</v>
      </c>
    </row>
    <row r="1657" spans="1:6" hidden="1" outlineLevel="1">
      <c r="A1657" s="753" t="s">
        <v>2011</v>
      </c>
      <c r="B1657" s="152">
        <v>0</v>
      </c>
      <c r="C1657" s="167">
        <v>10980.05</v>
      </c>
      <c r="D1657" s="168">
        <v>158839.09</v>
      </c>
      <c r="E1657" s="669">
        <f t="shared" si="25"/>
        <v>169819.13999999998</v>
      </c>
      <c r="F1657" s="8" t="s">
        <v>2012</v>
      </c>
    </row>
    <row r="1658" spans="1:6" hidden="1" outlineLevel="1">
      <c r="A1658" s="753" t="s">
        <v>2013</v>
      </c>
      <c r="B1658" s="152">
        <v>19564.5</v>
      </c>
      <c r="C1658" s="167">
        <v>15988.16</v>
      </c>
      <c r="D1658" s="168">
        <v>122302.6</v>
      </c>
      <c r="E1658" s="669">
        <f t="shared" si="25"/>
        <v>157855.26</v>
      </c>
      <c r="F1658" s="8" t="s">
        <v>2014</v>
      </c>
    </row>
    <row r="1659" spans="1:6" hidden="1" outlineLevel="1">
      <c r="A1659" s="753" t="s">
        <v>2015</v>
      </c>
      <c r="B1659" s="152">
        <v>0</v>
      </c>
      <c r="C1659" s="167">
        <v>16915.009999999998</v>
      </c>
      <c r="D1659" s="168">
        <v>56696.6</v>
      </c>
      <c r="E1659" s="669">
        <f t="shared" si="25"/>
        <v>73611.61</v>
      </c>
      <c r="F1659" s="8" t="s">
        <v>2016</v>
      </c>
    </row>
    <row r="1660" spans="1:6" hidden="1" outlineLevel="1">
      <c r="A1660" s="753" t="s">
        <v>2017</v>
      </c>
      <c r="B1660" s="152">
        <v>0</v>
      </c>
      <c r="C1660" s="167">
        <v>0</v>
      </c>
      <c r="D1660" s="168">
        <v>18687.8</v>
      </c>
      <c r="E1660" s="669">
        <f t="shared" si="25"/>
        <v>18687.8</v>
      </c>
      <c r="F1660" s="8" t="s">
        <v>2018</v>
      </c>
    </row>
    <row r="1661" spans="1:6" hidden="1" outlineLevel="1">
      <c r="A1661" s="753" t="s">
        <v>2019</v>
      </c>
      <c r="B1661" s="152">
        <v>0</v>
      </c>
      <c r="C1661" s="167">
        <v>0</v>
      </c>
      <c r="D1661" s="168">
        <v>60967.92</v>
      </c>
      <c r="E1661" s="669">
        <f t="shared" si="25"/>
        <v>60967.92</v>
      </c>
      <c r="F1661" s="8" t="s">
        <v>2020</v>
      </c>
    </row>
    <row r="1662" spans="1:6" hidden="1" outlineLevel="1">
      <c r="A1662" s="753" t="s">
        <v>1314</v>
      </c>
      <c r="B1662" s="152">
        <v>0</v>
      </c>
      <c r="C1662" s="167">
        <v>0</v>
      </c>
      <c r="D1662" s="168">
        <v>284423.08</v>
      </c>
      <c r="E1662" s="669">
        <f t="shared" si="25"/>
        <v>284423.08</v>
      </c>
      <c r="F1662" s="8" t="s">
        <v>1315</v>
      </c>
    </row>
    <row r="1663" spans="1:6" hidden="1" outlineLevel="1">
      <c r="A1663" s="753" t="s">
        <v>2021</v>
      </c>
      <c r="B1663" s="152">
        <v>0</v>
      </c>
      <c r="C1663" s="167">
        <v>11744.4</v>
      </c>
      <c r="D1663" s="168">
        <v>85727.12</v>
      </c>
      <c r="E1663" s="669">
        <f t="shared" si="25"/>
        <v>97471.51999999999</v>
      </c>
      <c r="F1663" s="8" t="s">
        <v>2022</v>
      </c>
    </row>
    <row r="1664" spans="1:6" hidden="1" outlineLevel="1">
      <c r="A1664" s="753" t="s">
        <v>2023</v>
      </c>
      <c r="B1664" s="152">
        <v>0</v>
      </c>
      <c r="C1664" s="167">
        <v>3743.91</v>
      </c>
      <c r="D1664" s="168">
        <v>127746.16</v>
      </c>
      <c r="E1664" s="669">
        <f t="shared" si="25"/>
        <v>131490.07</v>
      </c>
      <c r="F1664" s="8" t="s">
        <v>2024</v>
      </c>
    </row>
    <row r="1665" spans="1:7" hidden="1" outlineLevel="1">
      <c r="A1665" s="753" t="s">
        <v>2025</v>
      </c>
      <c r="B1665" s="152">
        <v>0</v>
      </c>
      <c r="C1665" s="167">
        <v>37708.04</v>
      </c>
      <c r="D1665" s="168">
        <v>67901.960000000006</v>
      </c>
      <c r="E1665" s="669">
        <f t="shared" si="25"/>
        <v>105610</v>
      </c>
      <c r="F1665" s="8" t="s">
        <v>2026</v>
      </c>
    </row>
    <row r="1666" spans="1:7" hidden="1" outlineLevel="1">
      <c r="A1666" s="753" t="s">
        <v>2027</v>
      </c>
      <c r="B1666" s="152">
        <v>0</v>
      </c>
      <c r="C1666" s="167">
        <v>228146.17</v>
      </c>
      <c r="D1666" s="168">
        <v>3937039.06</v>
      </c>
      <c r="E1666" s="669">
        <f t="shared" si="25"/>
        <v>4165185.23</v>
      </c>
      <c r="F1666" s="8" t="s">
        <v>2028</v>
      </c>
    </row>
    <row r="1667" spans="1:7" hidden="1" outlineLevel="1">
      <c r="A1667" s="753" t="s">
        <v>2029</v>
      </c>
      <c r="B1667" s="152">
        <v>0</v>
      </c>
      <c r="C1667" s="167">
        <v>3602.57</v>
      </c>
      <c r="D1667" s="168">
        <v>342000.37</v>
      </c>
      <c r="E1667" s="669">
        <f t="shared" si="25"/>
        <v>345602.94</v>
      </c>
      <c r="F1667" s="8" t="s">
        <v>2030</v>
      </c>
    </row>
    <row r="1668" spans="1:7" hidden="1" outlineLevel="1">
      <c r="A1668" s="753" t="s">
        <v>2031</v>
      </c>
      <c r="B1668" s="152">
        <v>0</v>
      </c>
      <c r="C1668" s="167">
        <v>7706.2</v>
      </c>
      <c r="D1668" s="168">
        <v>5168034.5199999996</v>
      </c>
      <c r="E1668" s="669">
        <f t="shared" si="25"/>
        <v>5175740.72</v>
      </c>
      <c r="F1668" s="8" t="s">
        <v>2032</v>
      </c>
    </row>
    <row r="1669" spans="1:7" hidden="1" outlineLevel="1">
      <c r="A1669" s="753" t="s">
        <v>819</v>
      </c>
      <c r="B1669" s="152">
        <v>0</v>
      </c>
      <c r="C1669" s="167">
        <v>16077.44</v>
      </c>
      <c r="D1669" s="168">
        <v>34167.279999999999</v>
      </c>
      <c r="E1669" s="669">
        <f t="shared" si="25"/>
        <v>50244.72</v>
      </c>
      <c r="F1669" s="8" t="s">
        <v>820</v>
      </c>
    </row>
    <row r="1670" spans="1:7" hidden="1" outlineLevel="1">
      <c r="A1670" s="753" t="s">
        <v>2033</v>
      </c>
      <c r="B1670" s="152">
        <v>0</v>
      </c>
      <c r="C1670" s="167">
        <v>0</v>
      </c>
      <c r="D1670" s="168">
        <v>5173.6400000000003</v>
      </c>
      <c r="E1670" s="669">
        <f t="shared" si="25"/>
        <v>5173.6400000000003</v>
      </c>
      <c r="F1670" s="8" t="s">
        <v>2034</v>
      </c>
    </row>
    <row r="1671" spans="1:7" hidden="1" outlineLevel="1">
      <c r="A1671" s="753" t="s">
        <v>1202</v>
      </c>
      <c r="B1671" s="152">
        <v>0</v>
      </c>
      <c r="C1671" s="167">
        <v>0</v>
      </c>
      <c r="D1671" s="168">
        <v>67608.28</v>
      </c>
      <c r="E1671" s="669">
        <f t="shared" si="25"/>
        <v>67608.28</v>
      </c>
      <c r="F1671" s="8" t="s">
        <v>1203</v>
      </c>
    </row>
    <row r="1672" spans="1:7" hidden="1" outlineLevel="1">
      <c r="A1672" s="753" t="s">
        <v>2035</v>
      </c>
      <c r="B1672" s="152">
        <v>0</v>
      </c>
      <c r="C1672" s="167">
        <v>17462694.129999999</v>
      </c>
      <c r="D1672" s="168">
        <v>0</v>
      </c>
      <c r="E1672" s="669">
        <f t="shared" si="25"/>
        <v>17462694.129999999</v>
      </c>
      <c r="F1672" s="8" t="s">
        <v>2036</v>
      </c>
    </row>
    <row r="1673" spans="1:7" hidden="1" outlineLevel="1">
      <c r="A1673" s="753" t="s">
        <v>2037</v>
      </c>
      <c r="B1673" s="152">
        <v>0</v>
      </c>
      <c r="C1673" s="167">
        <v>43645.13</v>
      </c>
      <c r="D1673" s="168">
        <v>211187.45</v>
      </c>
      <c r="E1673" s="669">
        <f t="shared" si="25"/>
        <v>254832.58000000002</v>
      </c>
      <c r="F1673" s="8" t="s">
        <v>2038</v>
      </c>
    </row>
    <row r="1674" spans="1:7" hidden="1" outlineLevel="1">
      <c r="A1674" s="753" t="s">
        <v>2039</v>
      </c>
      <c r="B1674" s="152">
        <v>0</v>
      </c>
      <c r="C1674" s="167">
        <v>4328.54</v>
      </c>
      <c r="D1674" s="168">
        <v>0</v>
      </c>
      <c r="E1674" s="669">
        <f t="shared" si="25"/>
        <v>4328.54</v>
      </c>
      <c r="F1674" s="8" t="s">
        <v>2040</v>
      </c>
    </row>
    <row r="1675" spans="1:7" hidden="1" outlineLevel="1">
      <c r="A1675" s="753" t="s">
        <v>2041</v>
      </c>
      <c r="B1675" s="152">
        <v>579.12</v>
      </c>
      <c r="C1675" s="167">
        <v>24506.53</v>
      </c>
      <c r="D1675" s="168">
        <v>1730132.3</v>
      </c>
      <c r="E1675" s="669">
        <f t="shared" si="25"/>
        <v>1755217.95</v>
      </c>
      <c r="F1675" s="8" t="s">
        <v>2042</v>
      </c>
    </row>
    <row r="1676" spans="1:7" hidden="1" outlineLevel="1">
      <c r="A1676" s="753" t="s">
        <v>2043</v>
      </c>
      <c r="B1676" s="152">
        <v>0</v>
      </c>
      <c r="C1676" s="167">
        <v>0</v>
      </c>
      <c r="D1676" s="168">
        <v>22148.32</v>
      </c>
      <c r="E1676" s="669">
        <f t="shared" si="25"/>
        <v>22148.32</v>
      </c>
      <c r="F1676" s="8" t="s">
        <v>2044</v>
      </c>
    </row>
    <row r="1677" spans="1:7" ht="13.5" hidden="1" outlineLevel="1" thickBot="1">
      <c r="A1677" s="753" t="s">
        <v>2045</v>
      </c>
      <c r="B1677" s="152">
        <v>0</v>
      </c>
      <c r="C1677" s="167">
        <v>27300.79</v>
      </c>
      <c r="D1677" s="168">
        <v>13062.03</v>
      </c>
      <c r="E1677" s="669">
        <f t="shared" si="25"/>
        <v>40362.82</v>
      </c>
      <c r="F1677" s="8" t="s">
        <v>2046</v>
      </c>
    </row>
    <row r="1678" spans="1:7" ht="13.5" collapsed="1" thickBot="1">
      <c r="A1678" s="935" t="s">
        <v>2047</v>
      </c>
      <c r="B1678" s="318">
        <f>B1558+B1242+B1007+B847</f>
        <v>4093177.28</v>
      </c>
      <c r="C1678" s="440">
        <f>C1558+C1242+C1007+C847</f>
        <v>50431943.419999987</v>
      </c>
      <c r="D1678" s="440">
        <f>D1558+D1242+D1007+D847</f>
        <v>876213733.10999978</v>
      </c>
      <c r="E1678" s="441">
        <f>E1558+E1242+E1007+E847</f>
        <v>930738853.80999982</v>
      </c>
      <c r="F1678" s="104"/>
    </row>
    <row r="1679" spans="1:7">
      <c r="A1679" s="936" t="s">
        <v>2048</v>
      </c>
      <c r="B1679" s="937">
        <f>B1678/$E1678</f>
        <v>4.397772010101963E-3</v>
      </c>
      <c r="C1679" s="937">
        <f>C1678/$E1678</f>
        <v>5.4184848105949084E-2</v>
      </c>
      <c r="D1679" s="937">
        <f>D1678/$E1678</f>
        <v>0.94141737988394891</v>
      </c>
      <c r="E1679" s="107">
        <f>SUM(B1679:D1679)</f>
        <v>1</v>
      </c>
      <c r="F1679" s="104"/>
    </row>
    <row r="1680" spans="1:7">
      <c r="B1680" s="97"/>
      <c r="C1680" s="97"/>
      <c r="D1680" s="97"/>
      <c r="E1680" s="243"/>
      <c r="F1680" s="104"/>
      <c r="G1680" s="4"/>
    </row>
    <row r="1681" spans="2:6">
      <c r="C1681" s="91"/>
      <c r="D1681" s="91"/>
      <c r="F1681" s="104"/>
    </row>
    <row r="1682" spans="2:6" ht="27" customHeight="1">
      <c r="B1682" s="96"/>
      <c r="C1682" s="96"/>
      <c r="D1682" s="96"/>
      <c r="E1682" s="244"/>
      <c r="F1682" s="104"/>
    </row>
    <row r="1683" spans="2:6">
      <c r="F1683" s="104"/>
    </row>
    <row r="1684" spans="2:6">
      <c r="F1684" s="104"/>
    </row>
    <row r="1685" spans="2:6">
      <c r="F1685" s="104"/>
    </row>
    <row r="1686" spans="2:6">
      <c r="C1686" s="89"/>
      <c r="D1686" s="119"/>
      <c r="F1686" s="104"/>
    </row>
    <row r="1687" spans="2:6">
      <c r="C1687" s="89"/>
      <c r="F1687" s="104"/>
    </row>
    <row r="1688" spans="2:6">
      <c r="D1688" s="119"/>
      <c r="F1688" s="104"/>
    </row>
    <row r="1689" spans="2:6">
      <c r="F1689" s="104"/>
    </row>
    <row r="1690" spans="2:6">
      <c r="F1690" s="104"/>
    </row>
    <row r="1691" spans="2:6">
      <c r="F1691" s="104"/>
    </row>
    <row r="1692" spans="2:6">
      <c r="F1692" s="104"/>
    </row>
    <row r="1693" spans="2:6">
      <c r="F1693" s="104"/>
    </row>
    <row r="1694" spans="2:6">
      <c r="F1694" s="104"/>
    </row>
    <row r="1695" spans="2:6">
      <c r="F1695" s="104"/>
    </row>
    <row r="1696" spans="2:6">
      <c r="F1696" s="104"/>
    </row>
    <row r="1697" spans="6:6">
      <c r="F1697" s="104"/>
    </row>
    <row r="1698" spans="6:6">
      <c r="F1698" s="104"/>
    </row>
    <row r="1699" spans="6:6">
      <c r="F1699" s="104"/>
    </row>
    <row r="1700" spans="6:6">
      <c r="F1700" s="104"/>
    </row>
    <row r="1701" spans="6:6">
      <c r="F1701" s="104"/>
    </row>
    <row r="1702" spans="6:6">
      <c r="F1702" s="104"/>
    </row>
    <row r="1703" spans="6:6">
      <c r="F1703" s="104"/>
    </row>
    <row r="1704" spans="6:6">
      <c r="F1704" s="104"/>
    </row>
    <row r="1705" spans="6:6">
      <c r="F1705" s="104"/>
    </row>
    <row r="1706" spans="6:6">
      <c r="F1706" s="104"/>
    </row>
    <row r="1707" spans="6:6">
      <c r="F1707" s="104"/>
    </row>
    <row r="1708" spans="6:6">
      <c r="F1708" s="104"/>
    </row>
    <row r="1709" spans="6:6">
      <c r="F1709" s="104"/>
    </row>
    <row r="1710" spans="6:6">
      <c r="F1710" s="104"/>
    </row>
    <row r="1711" spans="6:6">
      <c r="F1711" s="104"/>
    </row>
    <row r="1712" spans="6:6">
      <c r="F1712" s="104"/>
    </row>
    <row r="1713" spans="6:6">
      <c r="F1713" s="104"/>
    </row>
    <row r="1714" spans="6:6">
      <c r="F1714" s="104"/>
    </row>
    <row r="1715" spans="6:6">
      <c r="F1715" s="104"/>
    </row>
    <row r="1716" spans="6:6">
      <c r="F1716" s="104"/>
    </row>
    <row r="1717" spans="6:6">
      <c r="F1717" s="104"/>
    </row>
    <row r="1718" spans="6:6">
      <c r="F1718" s="104"/>
    </row>
    <row r="1719" spans="6:6">
      <c r="F1719" s="104"/>
    </row>
    <row r="1720" spans="6:6">
      <c r="F1720" s="104"/>
    </row>
    <row r="1721" spans="6:6">
      <c r="F1721" s="104"/>
    </row>
    <row r="1722" spans="6:6">
      <c r="F1722" s="104"/>
    </row>
    <row r="1723" spans="6:6">
      <c r="F1723" s="104"/>
    </row>
    <row r="1724" spans="6:6">
      <c r="F1724" s="104"/>
    </row>
    <row r="1725" spans="6:6">
      <c r="F1725" s="104"/>
    </row>
    <row r="1726" spans="6:6">
      <c r="F1726" s="104"/>
    </row>
  </sheetData>
  <sortState xmlns:xlrd2="http://schemas.microsoft.com/office/spreadsheetml/2017/richdata2" ref="A1008:F1241">
    <sortCondition ref="A1008:A1241"/>
  </sortState>
  <pageMargins left="0.23622047244094491" right="0.23622047244094491" top="0.78740157480314965" bottom="0.74803149606299213" header="0.31496062992125984" footer="0.31496062992125984"/>
  <pageSetup paperSize="9" scale="63" orientation="landscape" r:id="rId1"/>
  <headerFooter scaleWithDoc="0">
    <oddHeader>&amp;L&amp;G</oddHeader>
    <oddFooter>&amp;R&amp;UAnlage 1a&amp;U
Seite &amp;P</oddFooter>
  </headerFooter>
  <customProperties>
    <customPr name="EpmWorksheetKeyString_GUID" r:id="rId2"/>
  </customProperties>
  <ignoredErrors>
    <ignoredError sqref="E1678 E839" formula="1"/>
  </ignoredError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I113"/>
  <sheetViews>
    <sheetView view="pageLayout" zoomScaleNormal="100" workbookViewId="0">
      <selection activeCell="E928" sqref="E928"/>
    </sheetView>
  </sheetViews>
  <sheetFormatPr baseColWidth="10" defaultColWidth="8.140625" defaultRowHeight="12.75" outlineLevelRow="1"/>
  <cols>
    <col min="1" max="1" width="30" customWidth="1"/>
    <col min="2" max="4" width="35.85546875" customWidth="1"/>
    <col min="7" max="7" width="12" customWidth="1"/>
    <col min="9" max="9" width="10.42578125" bestFit="1" customWidth="1"/>
  </cols>
  <sheetData>
    <row r="1" spans="1:9">
      <c r="A1" s="1733" t="str">
        <f>'Anlage 1a_Zuschlagszahlungen_NB'!A1</f>
        <v>Förderwirksame KWK-Strommengen und Zuschlagszahlungen für das Kalenderjahr 2025 auf Basis der Prüfungsvermerke der ÜNB:</v>
      </c>
      <c r="D1" s="29"/>
      <c r="G1" s="29"/>
      <c r="I1" s="21"/>
    </row>
    <row r="3" spans="1:9" s="8" customFormat="1">
      <c r="A3" s="1733" t="s">
        <v>2055</v>
      </c>
      <c r="D3" s="523">
        <f>'Anlage 1a_Zuschlagszahlungen_NB'!E1</f>
        <v>46280</v>
      </c>
    </row>
    <row r="4" spans="1:9">
      <c r="A4" s="45" t="s">
        <v>2056</v>
      </c>
    </row>
    <row r="5" spans="1:9" ht="13.5" thickBot="1">
      <c r="A5" s="45"/>
    </row>
    <row r="6" spans="1:9" ht="25.5">
      <c r="A6" s="490"/>
      <c r="B6" s="248" t="s">
        <v>2057</v>
      </c>
      <c r="C6" s="110" t="s">
        <v>2058</v>
      </c>
      <c r="D6" s="248" t="s">
        <v>2059</v>
      </c>
    </row>
    <row r="7" spans="1:9" ht="94.5" customHeight="1">
      <c r="A7" s="1742"/>
      <c r="B7" s="439" t="s">
        <v>2060</v>
      </c>
      <c r="C7" s="439" t="s">
        <v>2061</v>
      </c>
      <c r="D7" s="439" t="s">
        <v>2062</v>
      </c>
    </row>
    <row r="8" spans="1:9" s="8" customFormat="1" ht="13.5" thickBot="1">
      <c r="A8" s="1743"/>
      <c r="B8" s="482" t="s">
        <v>2054</v>
      </c>
      <c r="C8" s="482" t="s">
        <v>2054</v>
      </c>
      <c r="D8" s="482" t="s">
        <v>2054</v>
      </c>
      <c r="E8" s="23"/>
      <c r="F8" s="23"/>
      <c r="G8" s="23"/>
      <c r="H8" s="23"/>
      <c r="I8" s="23"/>
    </row>
    <row r="9" spans="1:9">
      <c r="A9" s="374" t="s">
        <v>455</v>
      </c>
      <c r="B9" s="149">
        <f>SUM(B10:B24)</f>
        <v>-49160.77</v>
      </c>
      <c r="C9" s="149">
        <f>SUM(C10:C24)</f>
        <v>3300</v>
      </c>
      <c r="D9" s="149">
        <f>SUM(D10:D24)</f>
        <v>22501200</v>
      </c>
      <c r="E9" s="24"/>
      <c r="F9" s="24"/>
      <c r="G9" s="24"/>
      <c r="H9" s="24"/>
      <c r="I9" s="24"/>
    </row>
    <row r="10" spans="1:9" hidden="1" outlineLevel="1">
      <c r="A10" s="374" t="s">
        <v>484</v>
      </c>
      <c r="B10" s="146">
        <v>-1904.5500000000002</v>
      </c>
      <c r="C10" s="146">
        <v>0</v>
      </c>
      <c r="D10" s="431">
        <v>0</v>
      </c>
      <c r="E10" s="24" t="s">
        <v>485</v>
      </c>
      <c r="F10" s="24"/>
      <c r="G10" s="24"/>
      <c r="H10" s="24"/>
      <c r="I10" s="24"/>
    </row>
    <row r="11" spans="1:9" hidden="1" outlineLevel="1">
      <c r="A11" s="374" t="s">
        <v>486</v>
      </c>
      <c r="B11" s="146">
        <v>0</v>
      </c>
      <c r="C11" s="146">
        <v>0</v>
      </c>
      <c r="D11" s="431">
        <v>16038900</v>
      </c>
      <c r="E11" s="24" t="s">
        <v>487</v>
      </c>
      <c r="F11" s="24"/>
      <c r="G11" s="24"/>
      <c r="H11" s="24"/>
      <c r="I11" s="24"/>
    </row>
    <row r="12" spans="1:9" hidden="1" outlineLevel="1">
      <c r="A12" s="249" t="s">
        <v>490</v>
      </c>
      <c r="B12" s="147">
        <v>-8</v>
      </c>
      <c r="C12" s="147">
        <v>0</v>
      </c>
      <c r="D12" s="432">
        <v>0</v>
      </c>
      <c r="E12" s="24" t="s">
        <v>491</v>
      </c>
      <c r="F12" s="24"/>
      <c r="G12" s="24"/>
      <c r="H12" s="24"/>
      <c r="I12" s="24"/>
    </row>
    <row r="13" spans="1:9" hidden="1" outlineLevel="1">
      <c r="A13" s="249" t="s">
        <v>500</v>
      </c>
      <c r="B13" s="147">
        <v>-1.78</v>
      </c>
      <c r="C13" s="147">
        <v>0</v>
      </c>
      <c r="D13" s="432">
        <v>0</v>
      </c>
      <c r="E13" s="24" t="s">
        <v>501</v>
      </c>
      <c r="F13" s="24"/>
      <c r="G13" s="24"/>
      <c r="H13" s="24"/>
      <c r="I13" s="24"/>
    </row>
    <row r="14" spans="1:9" hidden="1" outlineLevel="1">
      <c r="A14" s="249" t="s">
        <v>516</v>
      </c>
      <c r="B14" s="147">
        <v>-5950.91</v>
      </c>
      <c r="C14" s="147">
        <v>0</v>
      </c>
      <c r="D14" s="432">
        <v>0</v>
      </c>
      <c r="E14" s="24" t="s">
        <v>517</v>
      </c>
      <c r="F14" s="24"/>
      <c r="G14" s="24"/>
      <c r="H14" s="24"/>
      <c r="I14" s="24"/>
    </row>
    <row r="15" spans="1:9" hidden="1" outlineLevel="1">
      <c r="A15" s="249" t="s">
        <v>558</v>
      </c>
      <c r="B15" s="147">
        <v>-112.7</v>
      </c>
      <c r="C15" s="147">
        <v>0</v>
      </c>
      <c r="D15" s="432">
        <v>0</v>
      </c>
      <c r="E15" s="24" t="s">
        <v>559</v>
      </c>
      <c r="F15" s="24"/>
      <c r="G15" s="24"/>
      <c r="H15" s="24"/>
      <c r="I15" s="24"/>
    </row>
    <row r="16" spans="1:9" hidden="1" outlineLevel="1">
      <c r="A16" s="374" t="s">
        <v>566</v>
      </c>
      <c r="B16" s="146">
        <v>-1447.61</v>
      </c>
      <c r="C16" s="146">
        <v>0</v>
      </c>
      <c r="D16" s="431">
        <v>0</v>
      </c>
      <c r="E16" s="24" t="s">
        <v>567</v>
      </c>
      <c r="F16" s="24"/>
      <c r="G16" s="24"/>
      <c r="H16" s="24"/>
      <c r="I16" s="24"/>
    </row>
    <row r="17" spans="1:9" hidden="1" outlineLevel="1">
      <c r="A17" s="374" t="s">
        <v>598</v>
      </c>
      <c r="B17" s="146">
        <v>-1703.89</v>
      </c>
      <c r="C17" s="146">
        <v>-6000</v>
      </c>
      <c r="D17" s="431">
        <v>0</v>
      </c>
      <c r="E17" s="24" t="s">
        <v>599</v>
      </c>
      <c r="F17" s="24"/>
      <c r="G17" s="24"/>
      <c r="H17" s="24"/>
      <c r="I17" s="24"/>
    </row>
    <row r="18" spans="1:9" hidden="1" outlineLevel="1">
      <c r="A18" s="249" t="s">
        <v>618</v>
      </c>
      <c r="B18" s="147">
        <v>-2167</v>
      </c>
      <c r="C18" s="147">
        <v>0</v>
      </c>
      <c r="D18" s="432">
        <v>0</v>
      </c>
      <c r="E18" s="24" t="s">
        <v>619</v>
      </c>
      <c r="F18" s="24"/>
      <c r="G18" s="24"/>
      <c r="H18" s="24"/>
      <c r="I18" s="24"/>
    </row>
    <row r="19" spans="1:9" hidden="1" outlineLevel="1">
      <c r="A19" s="249" t="s">
        <v>636</v>
      </c>
      <c r="B19" s="147">
        <v>0</v>
      </c>
      <c r="C19" s="147">
        <v>0</v>
      </c>
      <c r="D19" s="432">
        <v>6462300</v>
      </c>
      <c r="E19" s="24" t="s">
        <v>637</v>
      </c>
      <c r="F19" s="24"/>
      <c r="G19" s="24"/>
      <c r="H19" s="24"/>
      <c r="I19" s="24"/>
    </row>
    <row r="20" spans="1:9" hidden="1" outlineLevel="1">
      <c r="A20" s="249" t="s">
        <v>682</v>
      </c>
      <c r="B20" s="147">
        <v>-394.32</v>
      </c>
      <c r="C20" s="147">
        <v>0</v>
      </c>
      <c r="D20" s="432">
        <v>0</v>
      </c>
      <c r="E20" s="24" t="s">
        <v>683</v>
      </c>
      <c r="F20" s="24"/>
      <c r="G20" s="24"/>
      <c r="H20" s="24"/>
      <c r="I20" s="24"/>
    </row>
    <row r="21" spans="1:9" hidden="1" outlineLevel="1">
      <c r="A21" s="249" t="s">
        <v>686</v>
      </c>
      <c r="B21" s="147">
        <v>-203.35999999999999</v>
      </c>
      <c r="C21" s="147">
        <v>0</v>
      </c>
      <c r="D21" s="432">
        <v>0</v>
      </c>
      <c r="E21" s="24" t="s">
        <v>687</v>
      </c>
      <c r="F21" s="24"/>
      <c r="G21" s="24"/>
      <c r="H21" s="24"/>
      <c r="I21" s="24"/>
    </row>
    <row r="22" spans="1:9" hidden="1" outlineLevel="1">
      <c r="A22" s="249" t="s">
        <v>696</v>
      </c>
      <c r="B22" s="147">
        <v>-29548.16</v>
      </c>
      <c r="C22" s="147">
        <v>0</v>
      </c>
      <c r="D22" s="432">
        <v>0</v>
      </c>
      <c r="E22" s="24" t="s">
        <v>697</v>
      </c>
      <c r="F22" s="24"/>
      <c r="G22" s="24"/>
      <c r="H22" s="24"/>
      <c r="I22" s="24"/>
    </row>
    <row r="23" spans="1:9" hidden="1" outlineLevel="1">
      <c r="A23" s="1511" t="s">
        <v>722</v>
      </c>
      <c r="B23" s="153">
        <v>-5718.4900000000007</v>
      </c>
      <c r="C23" s="153">
        <v>0</v>
      </c>
      <c r="D23" s="433">
        <v>0</v>
      </c>
      <c r="E23" s="98" t="s">
        <v>723</v>
      </c>
      <c r="F23" s="98"/>
      <c r="G23" s="98"/>
      <c r="H23" s="98"/>
      <c r="I23" s="98"/>
    </row>
    <row r="24" spans="1:9" hidden="1" outlineLevel="1">
      <c r="A24" s="1511" t="s">
        <v>758</v>
      </c>
      <c r="B24" s="153">
        <v>0</v>
      </c>
      <c r="C24" s="153">
        <v>9300</v>
      </c>
      <c r="D24" s="433">
        <v>0</v>
      </c>
      <c r="E24" s="98" t="s">
        <v>759</v>
      </c>
      <c r="F24" s="98"/>
      <c r="G24" s="98"/>
      <c r="H24" s="98"/>
      <c r="I24" s="98"/>
    </row>
    <row r="25" spans="1:9" collapsed="1">
      <c r="A25" s="249" t="s">
        <v>774</v>
      </c>
      <c r="B25" s="428">
        <f>SUM(B26:B46)</f>
        <v>-172489.42999999996</v>
      </c>
      <c r="C25" s="149">
        <f>SUM(C26:C46)</f>
        <v>-14700</v>
      </c>
      <c r="D25" s="149">
        <f>SUM(D26:D46)</f>
        <v>0</v>
      </c>
      <c r="E25" s="24"/>
      <c r="F25" s="24"/>
      <c r="G25" s="24"/>
      <c r="H25" s="24"/>
      <c r="I25" s="24"/>
    </row>
    <row r="26" spans="1:9" hidden="1" outlineLevel="1">
      <c r="A26" s="249" t="s">
        <v>781</v>
      </c>
      <c r="B26" s="147">
        <v>-195.91</v>
      </c>
      <c r="C26" s="147">
        <v>0</v>
      </c>
      <c r="D26" s="432">
        <v>0</v>
      </c>
      <c r="E26" s="85" t="s">
        <v>782</v>
      </c>
      <c r="F26" s="24"/>
      <c r="G26" s="24"/>
      <c r="H26" s="24"/>
      <c r="I26" s="24"/>
    </row>
    <row r="27" spans="1:9" hidden="1" outlineLevel="1">
      <c r="A27" s="249" t="s">
        <v>783</v>
      </c>
      <c r="B27" s="147">
        <v>-98.26</v>
      </c>
      <c r="C27" s="147">
        <v>0</v>
      </c>
      <c r="D27" s="432">
        <v>0</v>
      </c>
      <c r="E27" s="85" t="s">
        <v>784</v>
      </c>
      <c r="F27" s="24"/>
      <c r="G27" s="24"/>
      <c r="H27" s="24"/>
      <c r="I27" s="24"/>
    </row>
    <row r="28" spans="1:9" hidden="1" outlineLevel="1">
      <c r="A28" s="249" t="s">
        <v>789</v>
      </c>
      <c r="B28" s="147">
        <v>-56316.23</v>
      </c>
      <c r="C28" s="147">
        <v>0</v>
      </c>
      <c r="D28" s="432">
        <v>0</v>
      </c>
      <c r="E28" s="85" t="s">
        <v>790</v>
      </c>
      <c r="F28" s="24"/>
      <c r="G28" s="24"/>
      <c r="H28" s="24"/>
      <c r="I28" s="24"/>
    </row>
    <row r="29" spans="1:9" hidden="1" outlineLevel="1">
      <c r="A29" s="249" t="s">
        <v>819</v>
      </c>
      <c r="B29" s="147">
        <v>-4282.68</v>
      </c>
      <c r="C29" s="147">
        <v>0</v>
      </c>
      <c r="D29" s="432">
        <v>0</v>
      </c>
      <c r="E29" s="85" t="s">
        <v>820</v>
      </c>
      <c r="F29" s="24"/>
      <c r="G29" s="24"/>
      <c r="H29" s="24"/>
      <c r="I29" s="24"/>
    </row>
    <row r="30" spans="1:9" hidden="1" outlineLevel="1">
      <c r="A30" s="249" t="s">
        <v>823</v>
      </c>
      <c r="B30" s="147">
        <v>0</v>
      </c>
      <c r="C30" s="147">
        <v>-1200</v>
      </c>
      <c r="D30" s="432">
        <v>0</v>
      </c>
      <c r="E30" s="85" t="s">
        <v>824</v>
      </c>
      <c r="F30" s="24"/>
      <c r="G30" s="24"/>
      <c r="H30" s="24"/>
      <c r="I30" s="24"/>
    </row>
    <row r="31" spans="1:9" hidden="1" outlineLevel="1">
      <c r="A31" s="249" t="s">
        <v>839</v>
      </c>
      <c r="B31" s="147">
        <v>-1461.6</v>
      </c>
      <c r="C31" s="147">
        <v>0</v>
      </c>
      <c r="D31" s="432">
        <v>0</v>
      </c>
      <c r="E31" s="85" t="s">
        <v>840</v>
      </c>
      <c r="F31" s="24"/>
      <c r="G31" s="24"/>
      <c r="H31" s="24"/>
      <c r="I31" s="24"/>
    </row>
    <row r="32" spans="1:9" hidden="1" outlineLevel="1">
      <c r="A32" s="249" t="s">
        <v>873</v>
      </c>
      <c r="B32" s="147">
        <v>-2345.16</v>
      </c>
      <c r="C32" s="147">
        <v>0</v>
      </c>
      <c r="D32" s="432">
        <v>0</v>
      </c>
      <c r="E32" s="85" t="s">
        <v>874</v>
      </c>
      <c r="F32" s="24"/>
      <c r="G32" s="24"/>
      <c r="H32" s="24"/>
      <c r="I32" s="24"/>
    </row>
    <row r="33" spans="1:9" hidden="1" outlineLevel="1">
      <c r="A33" s="249" t="s">
        <v>875</v>
      </c>
      <c r="B33" s="147">
        <v>-24.32</v>
      </c>
      <c r="C33" s="147">
        <v>0</v>
      </c>
      <c r="D33" s="432">
        <v>0</v>
      </c>
      <c r="E33" s="85" t="s">
        <v>876</v>
      </c>
      <c r="F33" s="24"/>
      <c r="G33" s="24"/>
      <c r="H33" s="24"/>
      <c r="I33" s="24"/>
    </row>
    <row r="34" spans="1:9" hidden="1" outlineLevel="1">
      <c r="A34" s="249" t="s">
        <v>929</v>
      </c>
      <c r="B34" s="147">
        <v>-82.08</v>
      </c>
      <c r="C34" s="147">
        <v>0</v>
      </c>
      <c r="D34" s="432">
        <v>0</v>
      </c>
      <c r="E34" s="85" t="s">
        <v>930</v>
      </c>
      <c r="F34" s="24"/>
      <c r="G34" s="24"/>
      <c r="H34" s="24"/>
      <c r="I34" s="24"/>
    </row>
    <row r="35" spans="1:9" hidden="1" outlineLevel="1">
      <c r="A35" s="249" t="s">
        <v>939</v>
      </c>
      <c r="B35" s="147">
        <v>-388.68</v>
      </c>
      <c r="C35" s="147">
        <v>0</v>
      </c>
      <c r="D35" s="432">
        <v>0</v>
      </c>
      <c r="E35" s="85" t="s">
        <v>940</v>
      </c>
      <c r="F35" s="24"/>
      <c r="G35" s="24"/>
      <c r="H35" s="24"/>
      <c r="I35" s="24"/>
    </row>
    <row r="36" spans="1:9" hidden="1" outlineLevel="1">
      <c r="A36" s="249" t="s">
        <v>955</v>
      </c>
      <c r="B36" s="147">
        <v>-2491</v>
      </c>
      <c r="C36" s="147">
        <v>0</v>
      </c>
      <c r="D36" s="432">
        <v>0</v>
      </c>
      <c r="E36" s="85" t="s">
        <v>956</v>
      </c>
      <c r="F36" s="24"/>
      <c r="G36" s="24"/>
      <c r="H36" s="24"/>
      <c r="I36" s="24"/>
    </row>
    <row r="37" spans="1:9" hidden="1" outlineLevel="1">
      <c r="A37" s="249" t="s">
        <v>1028</v>
      </c>
      <c r="B37" s="147">
        <v>-69822.179999999993</v>
      </c>
      <c r="C37" s="147">
        <v>0</v>
      </c>
      <c r="D37" s="432">
        <v>0</v>
      </c>
      <c r="E37" s="85" t="s">
        <v>1029</v>
      </c>
      <c r="F37" s="24"/>
      <c r="G37" s="24"/>
      <c r="H37" s="24"/>
      <c r="I37" s="24"/>
    </row>
    <row r="38" spans="1:9" hidden="1" outlineLevel="1">
      <c r="A38" s="249" t="s">
        <v>1042</v>
      </c>
      <c r="B38" s="147">
        <v>-310.70999999999998</v>
      </c>
      <c r="C38" s="147">
        <v>0</v>
      </c>
      <c r="D38" s="432">
        <v>0</v>
      </c>
      <c r="E38" s="85" t="s">
        <v>1043</v>
      </c>
      <c r="F38" s="24"/>
      <c r="G38" s="24"/>
      <c r="H38" s="24"/>
      <c r="I38" s="24"/>
    </row>
    <row r="39" spans="1:9" hidden="1" outlineLevel="1">
      <c r="A39" s="249" t="s">
        <v>1064</v>
      </c>
      <c r="B39" s="147">
        <v>-657.63</v>
      </c>
      <c r="C39" s="147">
        <v>-3000</v>
      </c>
      <c r="D39" s="432">
        <v>0</v>
      </c>
      <c r="E39" s="85" t="s">
        <v>1065</v>
      </c>
      <c r="F39" s="24"/>
      <c r="G39" s="24"/>
      <c r="H39" s="24"/>
      <c r="I39" s="24"/>
    </row>
    <row r="40" spans="1:9" hidden="1" outlineLevel="1">
      <c r="A40" s="249" t="s">
        <v>1066</v>
      </c>
      <c r="B40" s="147">
        <v>-464.08</v>
      </c>
      <c r="C40" s="147">
        <v>0</v>
      </c>
      <c r="D40" s="432">
        <v>0</v>
      </c>
      <c r="E40" s="85" t="s">
        <v>1067</v>
      </c>
      <c r="F40" s="24"/>
      <c r="G40" s="24"/>
      <c r="H40" s="24"/>
      <c r="I40" s="24"/>
    </row>
    <row r="41" spans="1:9" hidden="1" outlineLevel="1">
      <c r="A41" s="249" t="s">
        <v>1078</v>
      </c>
      <c r="B41" s="147">
        <v>0</v>
      </c>
      <c r="C41" s="147">
        <v>-820</v>
      </c>
      <c r="D41" s="432">
        <v>0</v>
      </c>
      <c r="E41" s="85" t="s">
        <v>1079</v>
      </c>
      <c r="F41" s="24"/>
      <c r="G41" s="24"/>
      <c r="H41" s="24"/>
      <c r="I41" s="24"/>
    </row>
    <row r="42" spans="1:9" hidden="1" outlineLevel="1">
      <c r="A42" s="249" t="s">
        <v>1100</v>
      </c>
      <c r="B42" s="147">
        <v>-10749.83</v>
      </c>
      <c r="C42" s="147">
        <v>0</v>
      </c>
      <c r="D42" s="432">
        <v>0</v>
      </c>
      <c r="E42" s="85" t="s">
        <v>1101</v>
      </c>
      <c r="F42" s="24"/>
      <c r="G42" s="24"/>
      <c r="H42" s="24"/>
      <c r="I42" s="24"/>
    </row>
    <row r="43" spans="1:9" hidden="1" outlineLevel="1">
      <c r="A43" s="249" t="s">
        <v>1138</v>
      </c>
      <c r="B43" s="147">
        <v>0</v>
      </c>
      <c r="C43" s="147">
        <v>-9680</v>
      </c>
      <c r="D43" s="432">
        <v>0</v>
      </c>
      <c r="E43" s="85" t="s">
        <v>1139</v>
      </c>
      <c r="F43" s="24"/>
      <c r="G43" s="24"/>
      <c r="H43" s="24"/>
      <c r="I43" s="24"/>
    </row>
    <row r="44" spans="1:9" hidden="1" outlineLevel="1">
      <c r="A44" s="249" t="s">
        <v>1142</v>
      </c>
      <c r="B44" s="147">
        <v>-11.34</v>
      </c>
      <c r="C44" s="147">
        <v>0</v>
      </c>
      <c r="D44" s="432">
        <v>0</v>
      </c>
      <c r="E44" s="85" t="s">
        <v>1143</v>
      </c>
      <c r="F44" s="24"/>
      <c r="G44" s="24"/>
      <c r="H44" s="24"/>
      <c r="I44" s="24"/>
    </row>
    <row r="45" spans="1:9" hidden="1" outlineLevel="1">
      <c r="A45" s="249" t="s">
        <v>1152</v>
      </c>
      <c r="B45" s="147">
        <v>-21318.26</v>
      </c>
      <c r="C45" s="147">
        <v>0</v>
      </c>
      <c r="D45" s="432">
        <v>0</v>
      </c>
      <c r="E45" s="85" t="s">
        <v>1153</v>
      </c>
      <c r="F45" s="24"/>
      <c r="G45" s="24"/>
      <c r="H45" s="24"/>
      <c r="I45" s="24"/>
    </row>
    <row r="46" spans="1:9" hidden="1" outlineLevel="1">
      <c r="A46" s="249" t="s">
        <v>1176</v>
      </c>
      <c r="B46" s="147">
        <v>-1469.48</v>
      </c>
      <c r="C46" s="147">
        <v>0</v>
      </c>
      <c r="D46" s="432">
        <v>0</v>
      </c>
      <c r="E46" s="85" t="s">
        <v>1177</v>
      </c>
      <c r="F46" s="24"/>
      <c r="G46" s="24"/>
      <c r="H46" s="24"/>
      <c r="I46" s="24"/>
    </row>
    <row r="47" spans="1:9" collapsed="1">
      <c r="A47" s="374" t="s">
        <v>1220</v>
      </c>
      <c r="B47" s="429">
        <f>SUM(B48:B66)</f>
        <v>-145370.97000000003</v>
      </c>
      <c r="C47" s="151">
        <f>SUM(C48:C66)</f>
        <v>7275.2000000000007</v>
      </c>
      <c r="D47" s="151">
        <f>SUM(D48:D66)</f>
        <v>34875927.68</v>
      </c>
      <c r="E47" s="24"/>
      <c r="F47" s="24"/>
      <c r="G47" s="24"/>
      <c r="H47" s="24"/>
      <c r="I47" s="24"/>
    </row>
    <row r="48" spans="1:9" hidden="1" outlineLevel="1">
      <c r="A48" s="389" t="s">
        <v>1236</v>
      </c>
      <c r="B48" s="153">
        <v>-276.10000000000002</v>
      </c>
      <c r="C48" s="968">
        <v>0</v>
      </c>
      <c r="D48" s="433">
        <v>0</v>
      </c>
      <c r="E48" t="s">
        <v>1237</v>
      </c>
      <c r="F48" s="98"/>
      <c r="G48" s="98"/>
      <c r="H48" s="98"/>
      <c r="I48" s="98"/>
    </row>
    <row r="49" spans="1:9" hidden="1" outlineLevel="1">
      <c r="A49" s="389" t="s">
        <v>1303</v>
      </c>
      <c r="B49" s="153">
        <v>-127614.84</v>
      </c>
      <c r="C49" s="968">
        <v>0</v>
      </c>
      <c r="D49" s="433">
        <v>0</v>
      </c>
      <c r="E49" t="s">
        <v>1304</v>
      </c>
      <c r="F49" s="98"/>
      <c r="G49" s="98"/>
      <c r="H49" s="98"/>
      <c r="I49" s="98"/>
    </row>
    <row r="50" spans="1:9" hidden="1" outlineLevel="1">
      <c r="A50" s="389" t="s">
        <v>1344</v>
      </c>
      <c r="B50" s="153">
        <v>-1495.1899999999998</v>
      </c>
      <c r="C50" s="968">
        <v>0</v>
      </c>
      <c r="D50" s="433">
        <v>0</v>
      </c>
      <c r="E50" t="s">
        <v>1345</v>
      </c>
      <c r="F50" s="98"/>
      <c r="G50" s="98"/>
      <c r="H50" s="98"/>
      <c r="I50" s="98"/>
    </row>
    <row r="51" spans="1:9" hidden="1" outlineLevel="1">
      <c r="A51" s="389" t="s">
        <v>1354</v>
      </c>
      <c r="B51" s="153">
        <v>-367.5</v>
      </c>
      <c r="C51" s="968">
        <v>0</v>
      </c>
      <c r="D51" s="433">
        <v>0</v>
      </c>
      <c r="E51" t="s">
        <v>1355</v>
      </c>
      <c r="F51" s="98"/>
      <c r="G51" s="98"/>
      <c r="H51" s="98"/>
      <c r="I51" s="98"/>
    </row>
    <row r="52" spans="1:9" hidden="1" outlineLevel="1">
      <c r="A52" s="389" t="s">
        <v>1384</v>
      </c>
      <c r="B52" s="153">
        <v>-1089.48</v>
      </c>
      <c r="C52" s="968">
        <v>0</v>
      </c>
      <c r="D52" s="433">
        <v>0</v>
      </c>
      <c r="E52" t="s">
        <v>1385</v>
      </c>
      <c r="F52" s="98"/>
      <c r="G52" s="98"/>
      <c r="H52" s="98"/>
      <c r="I52" s="98"/>
    </row>
    <row r="53" spans="1:9" hidden="1" outlineLevel="1">
      <c r="A53" s="389" t="s">
        <v>1408</v>
      </c>
      <c r="B53" s="153">
        <v>-4879.9500000000007</v>
      </c>
      <c r="C53" s="968">
        <v>0</v>
      </c>
      <c r="D53" s="433">
        <v>0</v>
      </c>
      <c r="E53" t="s">
        <v>1409</v>
      </c>
      <c r="F53" s="98"/>
      <c r="G53" s="98"/>
      <c r="H53" s="98"/>
      <c r="I53" s="98"/>
    </row>
    <row r="54" spans="1:9" hidden="1" outlineLevel="1">
      <c r="A54" s="389" t="s">
        <v>1430</v>
      </c>
      <c r="B54" s="153">
        <v>-3242.94</v>
      </c>
      <c r="C54" s="968">
        <v>-3884.8</v>
      </c>
      <c r="D54" s="433">
        <v>0</v>
      </c>
      <c r="E54" t="s">
        <v>1431</v>
      </c>
      <c r="F54" s="98"/>
      <c r="G54" s="98"/>
      <c r="H54" s="98"/>
      <c r="I54" s="98"/>
    </row>
    <row r="55" spans="1:9" hidden="1" outlineLevel="1">
      <c r="A55" s="389" t="s">
        <v>1444</v>
      </c>
      <c r="B55" s="153">
        <v>-630.66999999999996</v>
      </c>
      <c r="C55" s="968">
        <v>0</v>
      </c>
      <c r="D55" s="433">
        <v>0</v>
      </c>
      <c r="E55" t="s">
        <v>1445</v>
      </c>
      <c r="F55" s="98"/>
      <c r="G55" s="98"/>
      <c r="H55" s="98"/>
      <c r="I55" s="98"/>
    </row>
    <row r="56" spans="1:9" hidden="1" outlineLevel="1">
      <c r="A56" s="389" t="s">
        <v>1516</v>
      </c>
      <c r="B56" s="153">
        <v>-2874.27</v>
      </c>
      <c r="C56" s="968">
        <v>0</v>
      </c>
      <c r="D56" s="433">
        <v>0</v>
      </c>
      <c r="E56" t="s">
        <v>1517</v>
      </c>
      <c r="F56" s="98"/>
      <c r="G56" s="98"/>
      <c r="H56" s="98"/>
      <c r="I56" s="98"/>
    </row>
    <row r="57" spans="1:9" hidden="1" outlineLevel="1">
      <c r="A57" s="389" t="s">
        <v>1534</v>
      </c>
      <c r="B57" s="153">
        <v>-1622.1599999999999</v>
      </c>
      <c r="C57" s="968">
        <v>0</v>
      </c>
      <c r="D57" s="433">
        <v>0</v>
      </c>
      <c r="E57" t="s">
        <v>1535</v>
      </c>
      <c r="F57" s="98"/>
      <c r="G57" s="98"/>
      <c r="H57" s="98"/>
      <c r="I57" s="98"/>
    </row>
    <row r="58" spans="1:9" hidden="1" outlineLevel="1">
      <c r="A58" s="389" t="s">
        <v>1538</v>
      </c>
      <c r="B58" s="153">
        <v>-222.32</v>
      </c>
      <c r="C58" s="968">
        <v>0</v>
      </c>
      <c r="D58" s="433">
        <v>0</v>
      </c>
      <c r="E58" t="s">
        <v>1539</v>
      </c>
      <c r="F58" s="98"/>
      <c r="G58" s="98"/>
      <c r="H58" s="98"/>
      <c r="I58" s="98"/>
    </row>
    <row r="59" spans="1:9" hidden="1" outlineLevel="1">
      <c r="A59" s="389" t="s">
        <v>1558</v>
      </c>
      <c r="B59" s="153">
        <v>-148.29999999999998</v>
      </c>
      <c r="C59" s="968">
        <v>-1680</v>
      </c>
      <c r="D59" s="433">
        <v>0</v>
      </c>
      <c r="E59" t="s">
        <v>1559</v>
      </c>
      <c r="F59" s="98"/>
      <c r="G59" s="98"/>
      <c r="H59" s="98"/>
      <c r="I59" s="98"/>
    </row>
    <row r="60" spans="1:9" hidden="1" outlineLevel="1">
      <c r="A60" s="389" t="s">
        <v>1090</v>
      </c>
      <c r="B60" s="153">
        <v>-410.41</v>
      </c>
      <c r="C60" s="968">
        <v>0</v>
      </c>
      <c r="D60" s="433">
        <v>0</v>
      </c>
      <c r="E60" t="s">
        <v>1091</v>
      </c>
      <c r="F60" s="98"/>
      <c r="G60" s="98"/>
      <c r="H60" s="98"/>
      <c r="I60" s="98"/>
    </row>
    <row r="61" spans="1:9" hidden="1" outlineLevel="1">
      <c r="A61" s="389" t="s">
        <v>1762</v>
      </c>
      <c r="B61" s="153">
        <v>-34.89</v>
      </c>
      <c r="C61" s="968">
        <v>0</v>
      </c>
      <c r="D61" s="433">
        <v>0</v>
      </c>
      <c r="E61" t="s">
        <v>1763</v>
      </c>
      <c r="F61" s="98"/>
      <c r="G61" s="98"/>
      <c r="H61" s="98"/>
      <c r="I61" s="98"/>
    </row>
    <row r="62" spans="1:9" hidden="1" outlineLevel="1">
      <c r="A62" s="389" t="s">
        <v>1808</v>
      </c>
      <c r="B62" s="153">
        <v>-461.95</v>
      </c>
      <c r="C62" s="968">
        <v>20900</v>
      </c>
      <c r="D62" s="433">
        <v>0</v>
      </c>
      <c r="E62" t="s">
        <v>1809</v>
      </c>
      <c r="F62" s="98"/>
      <c r="G62" s="98"/>
      <c r="H62" s="98"/>
      <c r="I62" s="98"/>
    </row>
    <row r="63" spans="1:9" hidden="1" outlineLevel="1">
      <c r="A63" s="389" t="s">
        <v>1446</v>
      </c>
      <c r="B63" s="153">
        <v>0</v>
      </c>
      <c r="C63" s="968">
        <v>0</v>
      </c>
      <c r="D63" s="433">
        <v>14895000</v>
      </c>
      <c r="E63" t="s">
        <v>1447</v>
      </c>
      <c r="F63" s="98"/>
      <c r="G63" s="98"/>
      <c r="H63" s="98"/>
      <c r="I63" s="98"/>
    </row>
    <row r="64" spans="1:9" hidden="1" outlineLevel="1">
      <c r="A64" s="389" t="s">
        <v>1650</v>
      </c>
      <c r="B64" s="153">
        <v>0</v>
      </c>
      <c r="C64" s="968">
        <v>0</v>
      </c>
      <c r="D64" s="433">
        <v>19980927.68</v>
      </c>
      <c r="E64" t="s">
        <v>1651</v>
      </c>
      <c r="F64" s="98"/>
      <c r="G64" s="98"/>
      <c r="H64" s="98"/>
      <c r="I64" s="98"/>
    </row>
    <row r="65" spans="1:9" hidden="1" outlineLevel="1">
      <c r="A65" s="389" t="s">
        <v>1588</v>
      </c>
      <c r="B65" s="153">
        <v>0</v>
      </c>
      <c r="C65" s="968">
        <v>-5600</v>
      </c>
      <c r="D65" s="433">
        <v>0</v>
      </c>
      <c r="E65" t="s">
        <v>1589</v>
      </c>
      <c r="F65" s="98"/>
      <c r="G65" s="98"/>
      <c r="H65" s="98"/>
      <c r="I65" s="98"/>
    </row>
    <row r="66" spans="1:9" hidden="1" outlineLevel="1">
      <c r="A66" s="389" t="s">
        <v>758</v>
      </c>
      <c r="B66" s="153">
        <v>0</v>
      </c>
      <c r="C66" s="968">
        <v>-2460</v>
      </c>
      <c r="D66" s="433">
        <v>0</v>
      </c>
      <c r="E66" t="s">
        <v>759</v>
      </c>
      <c r="F66" s="98"/>
      <c r="G66" s="98"/>
      <c r="H66" s="98"/>
      <c r="I66" s="98"/>
    </row>
    <row r="67" spans="1:9" ht="13.5" collapsed="1" thickBot="1">
      <c r="A67" s="249" t="s">
        <v>1828</v>
      </c>
      <c r="B67" s="430">
        <f>SUM(B68:B85)</f>
        <v>-75065.220000000016</v>
      </c>
      <c r="C67" s="430">
        <f>SUM(C68:C85)</f>
        <v>-2484</v>
      </c>
      <c r="D67" s="434">
        <f>SUM(D68:D85)</f>
        <v>0</v>
      </c>
      <c r="E67" s="24"/>
      <c r="F67" s="24"/>
      <c r="G67" s="24"/>
      <c r="H67" s="24"/>
      <c r="I67" s="24"/>
    </row>
    <row r="68" spans="1:9" hidden="1" outlineLevel="1">
      <c r="A68" s="389" t="s">
        <v>1847</v>
      </c>
      <c r="B68" s="153">
        <v>-176.51</v>
      </c>
      <c r="C68" s="153">
        <v>0</v>
      </c>
      <c r="D68" s="154">
        <v>0</v>
      </c>
      <c r="E68" s="24" t="s">
        <v>1848</v>
      </c>
      <c r="F68" s="24"/>
      <c r="G68" s="24"/>
      <c r="H68" s="24"/>
      <c r="I68" s="24"/>
    </row>
    <row r="69" spans="1:9" hidden="1" outlineLevel="1">
      <c r="A69" s="389" t="s">
        <v>1871</v>
      </c>
      <c r="B69" s="153">
        <v>-55697.64</v>
      </c>
      <c r="C69" s="153">
        <v>0</v>
      </c>
      <c r="D69" s="154">
        <v>0</v>
      </c>
      <c r="E69" s="24" t="s">
        <v>1872</v>
      </c>
      <c r="F69" s="24"/>
      <c r="G69" s="24"/>
      <c r="H69" s="24"/>
      <c r="I69" s="24"/>
    </row>
    <row r="70" spans="1:9" hidden="1" outlineLevel="1">
      <c r="A70" s="389" t="s">
        <v>1877</v>
      </c>
      <c r="B70" s="153">
        <v>-285.51</v>
      </c>
      <c r="C70" s="153">
        <v>0</v>
      </c>
      <c r="D70" s="154">
        <v>0</v>
      </c>
      <c r="E70" s="24" t="s">
        <v>1878</v>
      </c>
      <c r="F70" s="24"/>
      <c r="G70" s="24"/>
      <c r="H70" s="24"/>
      <c r="I70" s="24"/>
    </row>
    <row r="71" spans="1:9" hidden="1" outlineLevel="1">
      <c r="A71" s="389" t="s">
        <v>1893</v>
      </c>
      <c r="B71" s="153">
        <v>-138.97999999999999</v>
      </c>
      <c r="C71" s="153">
        <v>0</v>
      </c>
      <c r="D71" s="154">
        <v>0</v>
      </c>
      <c r="E71" s="24" t="s">
        <v>1894</v>
      </c>
      <c r="F71" s="24"/>
      <c r="G71" s="24"/>
      <c r="H71" s="24"/>
      <c r="I71" s="24"/>
    </row>
    <row r="72" spans="1:9" hidden="1" outlineLevel="1">
      <c r="A72" s="389" t="s">
        <v>977</v>
      </c>
      <c r="B72" s="153">
        <v>-2070.0700000000002</v>
      </c>
      <c r="C72" s="153">
        <v>-1624</v>
      </c>
      <c r="D72" s="154">
        <v>0</v>
      </c>
      <c r="E72" s="24" t="s">
        <v>978</v>
      </c>
      <c r="F72" s="24"/>
      <c r="G72" s="24"/>
      <c r="H72" s="24"/>
      <c r="I72" s="24"/>
    </row>
    <row r="73" spans="1:9" hidden="1" outlineLevel="1">
      <c r="A73" s="389" t="s">
        <v>1903</v>
      </c>
      <c r="B73" s="153">
        <v>-67.75</v>
      </c>
      <c r="C73" s="153">
        <v>0</v>
      </c>
      <c r="D73" s="154">
        <v>0</v>
      </c>
      <c r="E73" s="24" t="s">
        <v>1904</v>
      </c>
      <c r="F73" s="24"/>
      <c r="G73" s="24"/>
      <c r="H73" s="24"/>
      <c r="I73" s="24"/>
    </row>
    <row r="74" spans="1:9" hidden="1" outlineLevel="1">
      <c r="A74" s="389" t="s">
        <v>1925</v>
      </c>
      <c r="B74" s="153">
        <v>-314.8</v>
      </c>
      <c r="C74" s="153">
        <v>0</v>
      </c>
      <c r="D74" s="154">
        <v>0</v>
      </c>
      <c r="E74" s="24" t="s">
        <v>1926</v>
      </c>
      <c r="F74" s="24"/>
      <c r="G74" s="24"/>
      <c r="H74" s="24"/>
      <c r="I74" s="24"/>
    </row>
    <row r="75" spans="1:9" hidden="1" outlineLevel="1">
      <c r="A75" s="389" t="s">
        <v>1929</v>
      </c>
      <c r="B75" s="153">
        <v>-129.22999999999999</v>
      </c>
      <c r="C75" s="153">
        <v>0</v>
      </c>
      <c r="D75" s="154">
        <v>0</v>
      </c>
      <c r="E75" s="24" t="s">
        <v>1930</v>
      </c>
      <c r="F75" s="24"/>
      <c r="G75" s="24"/>
      <c r="H75" s="24"/>
      <c r="I75" s="24"/>
    </row>
    <row r="76" spans="1:9" hidden="1" outlineLevel="1">
      <c r="A76" s="389" t="s">
        <v>1949</v>
      </c>
      <c r="B76" s="153">
        <v>0</v>
      </c>
      <c r="C76" s="153">
        <v>-60</v>
      </c>
      <c r="D76" s="154">
        <v>0</v>
      </c>
      <c r="E76" s="24" t="s">
        <v>1950</v>
      </c>
      <c r="F76" s="24"/>
      <c r="G76" s="24"/>
      <c r="H76" s="24"/>
      <c r="I76" s="24"/>
    </row>
    <row r="77" spans="1:9" hidden="1" outlineLevel="1">
      <c r="A77" s="389" t="s">
        <v>1953</v>
      </c>
      <c r="B77" s="153">
        <v>-297.72000000000003</v>
      </c>
      <c r="C77" s="153">
        <v>0</v>
      </c>
      <c r="D77" s="154">
        <v>0</v>
      </c>
      <c r="E77" s="24" t="s">
        <v>1954</v>
      </c>
      <c r="F77" s="24"/>
      <c r="G77" s="24"/>
      <c r="H77" s="24"/>
      <c r="I77" s="24"/>
    </row>
    <row r="78" spans="1:9" hidden="1" outlineLevel="1">
      <c r="A78" s="389" t="s">
        <v>1981</v>
      </c>
      <c r="B78" s="153">
        <v>-66.92</v>
      </c>
      <c r="C78" s="153">
        <v>0</v>
      </c>
      <c r="D78" s="154">
        <v>0</v>
      </c>
      <c r="E78" s="24" t="s">
        <v>1982</v>
      </c>
      <c r="F78" s="24"/>
      <c r="G78" s="24"/>
      <c r="H78" s="24"/>
      <c r="I78" s="24"/>
    </row>
    <row r="79" spans="1:9" hidden="1" outlineLevel="1">
      <c r="A79" s="389" t="s">
        <v>1995</v>
      </c>
      <c r="B79" s="153">
        <v>-15359.24</v>
      </c>
      <c r="C79" s="153">
        <v>0</v>
      </c>
      <c r="D79" s="154">
        <v>0</v>
      </c>
      <c r="E79" s="24" t="s">
        <v>1996</v>
      </c>
      <c r="F79" s="24"/>
      <c r="G79" s="24"/>
      <c r="H79" s="24"/>
      <c r="I79" s="24"/>
    </row>
    <row r="80" spans="1:9" hidden="1" outlineLevel="1">
      <c r="A80" s="389" t="s">
        <v>2017</v>
      </c>
      <c r="B80" s="153">
        <v>-186.91</v>
      </c>
      <c r="C80" s="153">
        <v>0</v>
      </c>
      <c r="D80" s="154">
        <v>0</v>
      </c>
      <c r="E80" s="24" t="s">
        <v>2018</v>
      </c>
      <c r="F80" s="24"/>
      <c r="G80" s="24"/>
      <c r="H80" s="24"/>
      <c r="I80" s="24"/>
    </row>
    <row r="81" spans="1:9" hidden="1" outlineLevel="1">
      <c r="A81" s="389" t="s">
        <v>2023</v>
      </c>
      <c r="B81" s="153">
        <v>-29.38</v>
      </c>
      <c r="C81" s="153">
        <v>0</v>
      </c>
      <c r="D81" s="154">
        <v>0</v>
      </c>
      <c r="E81" s="24" t="s">
        <v>2024</v>
      </c>
      <c r="F81" s="24"/>
      <c r="G81" s="24"/>
      <c r="H81" s="24"/>
      <c r="I81" s="24"/>
    </row>
    <row r="82" spans="1:9" hidden="1" outlineLevel="1">
      <c r="A82" s="389" t="s">
        <v>2027</v>
      </c>
      <c r="B82" s="153">
        <v>0</v>
      </c>
      <c r="C82" s="153">
        <v>-800</v>
      </c>
      <c r="D82" s="154">
        <v>0</v>
      </c>
      <c r="E82" s="24" t="s">
        <v>2028</v>
      </c>
      <c r="F82" s="24"/>
      <c r="G82" s="24"/>
      <c r="H82" s="24"/>
      <c r="I82" s="24"/>
    </row>
    <row r="83" spans="1:9" hidden="1" outlineLevel="1">
      <c r="A83" s="389" t="s">
        <v>2031</v>
      </c>
      <c r="B83" s="153">
        <v>-24.29</v>
      </c>
      <c r="C83" s="153">
        <v>0</v>
      </c>
      <c r="D83" s="154">
        <v>0</v>
      </c>
      <c r="E83" s="24" t="s">
        <v>2032</v>
      </c>
      <c r="F83" s="24"/>
      <c r="G83" s="24"/>
      <c r="H83" s="24"/>
      <c r="I83" s="24"/>
    </row>
    <row r="84" spans="1:9" hidden="1" outlineLevel="1">
      <c r="A84" s="389" t="s">
        <v>2033</v>
      </c>
      <c r="B84" s="153">
        <v>-96.39</v>
      </c>
      <c r="C84" s="153">
        <v>0</v>
      </c>
      <c r="D84" s="154">
        <v>0</v>
      </c>
      <c r="E84" s="24" t="s">
        <v>2034</v>
      </c>
      <c r="F84" s="24"/>
      <c r="G84" s="24"/>
      <c r="H84" s="24"/>
      <c r="I84" s="24"/>
    </row>
    <row r="85" spans="1:9" ht="13.5" hidden="1" outlineLevel="1" thickBot="1">
      <c r="A85" s="389" t="s">
        <v>2037</v>
      </c>
      <c r="B85" s="153">
        <v>-123.88</v>
      </c>
      <c r="C85" s="153">
        <v>0</v>
      </c>
      <c r="D85" s="154">
        <v>0</v>
      </c>
      <c r="E85" s="24" t="s">
        <v>2038</v>
      </c>
      <c r="F85" s="24"/>
      <c r="G85" s="24"/>
      <c r="H85" s="24"/>
      <c r="I85" s="24"/>
    </row>
    <row r="86" spans="1:9" ht="13.5" collapsed="1" thickBot="1">
      <c r="A86" s="414" t="s">
        <v>2047</v>
      </c>
      <c r="B86" s="319">
        <f>B9+B25+B47+B67</f>
        <v>-442086.39</v>
      </c>
      <c r="C86" s="319">
        <f>C9+C25+C47+C67</f>
        <v>-6608.7999999999993</v>
      </c>
      <c r="D86" s="320">
        <f>D9+D25+D47+D67</f>
        <v>57377127.68</v>
      </c>
      <c r="E86" s="24"/>
      <c r="F86" s="24"/>
      <c r="G86" s="24"/>
      <c r="H86" s="24"/>
      <c r="I86" s="24"/>
    </row>
    <row r="87" spans="1:9">
      <c r="A87" s="22"/>
      <c r="B87" s="23"/>
      <c r="E87" s="23"/>
      <c r="F87" s="23"/>
      <c r="G87" s="24"/>
      <c r="H87" s="23"/>
      <c r="I87" s="24"/>
    </row>
    <row r="88" spans="1:9">
      <c r="A88" s="22"/>
      <c r="B88" s="23"/>
      <c r="C88" s="23"/>
      <c r="D88" s="23"/>
      <c r="E88" s="23"/>
      <c r="F88" s="23"/>
      <c r="G88" s="24"/>
    </row>
    <row r="89" spans="1:9">
      <c r="A89" s="13"/>
      <c r="E89" s="23"/>
      <c r="F89" s="23"/>
      <c r="G89" s="23"/>
      <c r="H89" s="23"/>
      <c r="I89" s="23"/>
    </row>
    <row r="90" spans="1:9">
      <c r="A90" s="13"/>
      <c r="E90" s="23"/>
      <c r="F90" s="23"/>
      <c r="G90" s="23"/>
      <c r="H90" s="23"/>
      <c r="I90" s="23"/>
    </row>
    <row r="91" spans="1:9">
      <c r="E91" s="23"/>
      <c r="F91" s="23"/>
      <c r="G91" s="23"/>
      <c r="H91" s="23"/>
      <c r="I91" s="23"/>
    </row>
    <row r="92" spans="1:9">
      <c r="A92" s="19"/>
      <c r="E92" s="23"/>
      <c r="F92" s="23"/>
      <c r="G92" s="23"/>
      <c r="H92" s="23"/>
      <c r="I92" s="23"/>
    </row>
    <row r="93" spans="1:9">
      <c r="A93" s="19"/>
      <c r="E93" s="23"/>
      <c r="F93" s="23"/>
      <c r="G93" s="23"/>
      <c r="H93" s="23"/>
      <c r="I93" s="23"/>
    </row>
    <row r="94" spans="1:9">
      <c r="A94" s="19"/>
      <c r="E94" s="23"/>
      <c r="F94" s="23"/>
      <c r="G94" s="23"/>
      <c r="H94" s="23"/>
      <c r="I94" s="23"/>
    </row>
    <row r="95" spans="1:9">
      <c r="A95" s="8"/>
      <c r="E95" s="23"/>
      <c r="F95" s="23"/>
      <c r="G95" s="23"/>
      <c r="H95" s="23"/>
      <c r="I95" s="23"/>
    </row>
    <row r="96" spans="1:9">
      <c r="A96" s="16"/>
      <c r="E96" s="23"/>
      <c r="F96" s="23"/>
      <c r="G96" s="23"/>
      <c r="H96" s="23"/>
      <c r="I96" s="23"/>
    </row>
    <row r="97" spans="1:9">
      <c r="A97" s="8"/>
      <c r="E97" s="23"/>
      <c r="F97" s="23"/>
      <c r="G97" s="23"/>
      <c r="H97" s="23"/>
      <c r="I97" s="23"/>
    </row>
    <row r="98" spans="1:9">
      <c r="A98" s="2"/>
      <c r="E98" s="23"/>
      <c r="F98" s="23"/>
      <c r="G98" s="23"/>
      <c r="H98" s="23"/>
      <c r="I98" s="23"/>
    </row>
    <row r="99" spans="1:9">
      <c r="A99" s="22"/>
      <c r="B99" s="23"/>
      <c r="E99" s="23"/>
      <c r="F99" s="23"/>
      <c r="G99" s="23"/>
      <c r="H99" s="23"/>
      <c r="I99" s="23"/>
    </row>
    <row r="100" spans="1:9">
      <c r="A100" s="22"/>
      <c r="B100" s="23"/>
      <c r="C100" s="23"/>
      <c r="D100" s="23"/>
      <c r="E100" s="23"/>
      <c r="F100" s="23"/>
      <c r="G100" s="24"/>
    </row>
    <row r="101" spans="1:9">
      <c r="A101" s="13"/>
      <c r="C101" s="23"/>
      <c r="D101" s="23"/>
      <c r="E101" s="23"/>
      <c r="F101" s="23"/>
      <c r="G101" s="24"/>
    </row>
    <row r="102" spans="1:9">
      <c r="A102" s="45"/>
      <c r="C102" s="25"/>
      <c r="D102" s="25"/>
      <c r="E102" s="25"/>
      <c r="F102" s="25"/>
      <c r="G102" s="25"/>
    </row>
    <row r="103" spans="1:9">
      <c r="C103" s="51"/>
      <c r="D103" s="23"/>
      <c r="E103" s="23"/>
      <c r="F103" s="23"/>
      <c r="G103" s="24"/>
    </row>
    <row r="104" spans="1:9">
      <c r="A104" s="19"/>
      <c r="C104" s="52"/>
      <c r="D104" s="23"/>
      <c r="E104" s="23"/>
      <c r="F104" s="23"/>
      <c r="G104" s="24"/>
    </row>
    <row r="105" spans="1:9">
      <c r="A105" s="19"/>
      <c r="C105" s="52"/>
      <c r="D105" s="23"/>
      <c r="E105" s="23"/>
      <c r="F105" s="23"/>
      <c r="G105" s="24"/>
    </row>
    <row r="106" spans="1:9">
      <c r="A106" s="19"/>
      <c r="C106" s="52"/>
      <c r="D106" s="23"/>
      <c r="E106" s="23"/>
      <c r="F106" s="23"/>
      <c r="G106" s="24"/>
    </row>
    <row r="107" spans="1:9">
      <c r="A107" s="8"/>
      <c r="C107" s="52"/>
      <c r="D107" s="3"/>
      <c r="E107" s="3"/>
      <c r="F107" s="3"/>
      <c r="G107" s="3"/>
    </row>
    <row r="108" spans="1:9">
      <c r="A108" s="16"/>
      <c r="C108" s="52"/>
      <c r="D108" s="25"/>
      <c r="E108" s="25"/>
      <c r="F108" s="25"/>
      <c r="G108" s="25"/>
    </row>
    <row r="109" spans="1:9">
      <c r="A109" s="8"/>
      <c r="C109" s="52"/>
      <c r="D109" s="25"/>
      <c r="E109" s="25"/>
      <c r="F109" s="25"/>
      <c r="G109" s="25"/>
    </row>
    <row r="110" spans="1:9">
      <c r="A110" s="2"/>
      <c r="C110" s="53"/>
      <c r="D110" s="26"/>
      <c r="E110" s="26"/>
      <c r="F110" s="26"/>
      <c r="G110" s="25"/>
    </row>
    <row r="111" spans="1:9">
      <c r="B111" s="25"/>
      <c r="C111" s="25"/>
      <c r="D111" s="25"/>
      <c r="E111" s="25"/>
      <c r="F111" s="25"/>
      <c r="G111" s="25"/>
    </row>
    <row r="112" spans="1:9">
      <c r="A112" s="2"/>
      <c r="B112" s="2"/>
      <c r="C112" s="2"/>
      <c r="D112" s="2"/>
      <c r="E112" s="2"/>
      <c r="F112" s="2"/>
      <c r="G112" s="2"/>
    </row>
    <row r="113" spans="1:7">
      <c r="A113" s="22"/>
      <c r="B113" s="23"/>
      <c r="C113" s="23"/>
      <c r="D113" s="23"/>
      <c r="E113" s="23"/>
      <c r="F113" s="23"/>
      <c r="G113" s="24"/>
    </row>
  </sheetData>
  <sortState xmlns:xlrd2="http://schemas.microsoft.com/office/spreadsheetml/2017/richdata2" ref="A26:E46">
    <sortCondition ref="A26:A46"/>
  </sortState>
  <pageMargins left="0.98425196850393704" right="0.78740157480314965" top="1.1023622047244095" bottom="0.74803149606299213" header="0.31496062992125984" footer="0.31496062992125984"/>
  <pageSetup paperSize="9" scale="91" orientation="landscape" r:id="rId1"/>
  <headerFooter scaleWithDoc="0">
    <oddHeader>&amp;L&amp;G</oddHeader>
    <oddFooter>&amp;R&amp;UAnlage 1b&amp;U
Seite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8649-FDE4-470D-BC27-12B9031A845C}">
  <sheetPr codeName="Tabelle3">
    <pageSetUpPr fitToPage="1"/>
  </sheetPr>
  <dimension ref="A2:Q658"/>
  <sheetViews>
    <sheetView view="pageLayout" zoomScaleNormal="100" workbookViewId="0">
      <selection activeCell="E928" sqref="E928"/>
    </sheetView>
  </sheetViews>
  <sheetFormatPr baseColWidth="10" defaultColWidth="8.85546875" defaultRowHeight="12.75" outlineLevelRow="1"/>
  <cols>
    <col min="1" max="1" width="20" customWidth="1"/>
    <col min="2" max="2" width="7.140625" customWidth="1"/>
    <col min="3" max="3" width="8.5703125" customWidth="1"/>
    <col min="4" max="4" width="14.42578125" style="174" customWidth="1"/>
    <col min="5" max="7" width="13.140625" style="174" customWidth="1"/>
    <col min="8" max="8" width="17.85546875" style="174" customWidth="1"/>
    <col min="9" max="9" width="13.140625" style="174" customWidth="1"/>
    <col min="10" max="10" width="10.85546875" style="174" customWidth="1"/>
    <col min="11" max="11" width="12.42578125" style="174" customWidth="1"/>
    <col min="12" max="12" width="15" style="174" bestFit="1" customWidth="1"/>
    <col min="13" max="13" width="11.140625" customWidth="1"/>
    <col min="14" max="14" width="69.42578125" customWidth="1"/>
    <col min="15" max="15" width="25.5703125" customWidth="1"/>
  </cols>
  <sheetData>
    <row r="2" spans="1:15" s="8" customFormat="1">
      <c r="A2" s="1734" t="str">
        <f>"Nachträgliche Korrekturen nach § 20 Abs. 1 EnFG auf Basis der Prüfungsvermerke der ÜNB für die Abrechnung des Kalenderjahres "&amp;Hinweise!$B$3</f>
        <v>Nachträgliche Korrekturen nach § 20 Abs. 1 EnFG auf Basis der Prüfungsvermerke der ÜNB für die Abrechnung des Kalenderjahres 2025</v>
      </c>
      <c r="B2" s="1735"/>
      <c r="C2" s="1735"/>
      <c r="D2" s="1736"/>
      <c r="E2" s="1736"/>
      <c r="F2" s="1736"/>
      <c r="G2" s="1736"/>
      <c r="H2" s="1736"/>
      <c r="I2" s="1736"/>
      <c r="J2" s="1736"/>
      <c r="K2" s="1736"/>
      <c r="L2" s="1737">
        <f>'Anlage 1a_Zuschlagszahlungen_NB'!E1</f>
        <v>46280</v>
      </c>
    </row>
    <row r="3" spans="1:15" s="8" customFormat="1">
      <c r="A3" s="1771" t="s">
        <v>2063</v>
      </c>
      <c r="B3" s="1771"/>
      <c r="C3" s="1771"/>
      <c r="D3" s="1771"/>
      <c r="E3" s="1771"/>
      <c r="F3" s="1771"/>
      <c r="G3" s="1771"/>
      <c r="H3" s="1771"/>
      <c r="I3" s="1771"/>
      <c r="J3" s="1771"/>
      <c r="K3" s="1771"/>
      <c r="L3" s="1771"/>
    </row>
    <row r="4" spans="1:15">
      <c r="A4" s="1738" t="s">
        <v>2064</v>
      </c>
      <c r="B4" s="1735"/>
      <c r="C4" s="1735"/>
      <c r="D4" s="1736"/>
      <c r="E4" s="1736"/>
      <c r="F4" s="1736"/>
      <c r="G4" s="1736"/>
      <c r="H4" s="1736"/>
      <c r="I4" s="1736"/>
      <c r="J4" s="1736"/>
      <c r="K4" s="1736"/>
      <c r="L4" s="1736"/>
    </row>
    <row r="5" spans="1:15">
      <c r="A5" s="16"/>
      <c r="B5" s="2"/>
      <c r="C5" s="2"/>
      <c r="D5" s="176"/>
      <c r="E5" s="176"/>
      <c r="F5" s="176"/>
      <c r="G5" s="176"/>
      <c r="H5" s="176"/>
      <c r="I5" s="176"/>
      <c r="J5" s="176"/>
      <c r="K5" s="176"/>
      <c r="L5" s="175"/>
    </row>
    <row r="6" spans="1:15">
      <c r="A6" s="16"/>
      <c r="B6" s="2"/>
      <c r="C6" s="2"/>
      <c r="D6" s="176"/>
      <c r="E6" s="176"/>
      <c r="F6" s="176"/>
      <c r="G6" s="176"/>
      <c r="H6" s="176"/>
      <c r="I6" s="176"/>
      <c r="J6" s="176"/>
      <c r="K6" s="176"/>
      <c r="L6" s="175"/>
    </row>
    <row r="7" spans="1:15" ht="13.5" thickBot="1">
      <c r="A7" s="11"/>
      <c r="B7" s="2"/>
      <c r="C7" s="2"/>
      <c r="D7" s="176"/>
      <c r="E7" s="176"/>
      <c r="F7" s="176"/>
      <c r="G7" s="176"/>
      <c r="H7" s="176"/>
      <c r="I7" s="176"/>
      <c r="J7" s="176"/>
      <c r="K7" s="176"/>
      <c r="L7" s="175"/>
    </row>
    <row r="8" spans="1:15" ht="43.5" customHeight="1" thickBot="1">
      <c r="A8" s="8"/>
      <c r="B8" s="2"/>
      <c r="C8" s="2"/>
      <c r="D8" s="1772" t="s">
        <v>2065</v>
      </c>
      <c r="E8" s="1773"/>
      <c r="F8" s="1774" t="s">
        <v>2066</v>
      </c>
      <c r="G8" s="1773"/>
      <c r="H8" s="1772" t="s">
        <v>2067</v>
      </c>
      <c r="I8" s="1773"/>
      <c r="J8" s="1777" t="s">
        <v>2068</v>
      </c>
      <c r="K8" s="1777" t="s">
        <v>2069</v>
      </c>
      <c r="L8" s="1775" t="s">
        <v>2047</v>
      </c>
    </row>
    <row r="9" spans="1:15" ht="51">
      <c r="A9" s="947"/>
      <c r="B9" s="948" t="s">
        <v>2070</v>
      </c>
      <c r="C9" s="949" t="s">
        <v>2071</v>
      </c>
      <c r="D9" s="447" t="s">
        <v>2072</v>
      </c>
      <c r="E9" s="448" t="s">
        <v>2073</v>
      </c>
      <c r="F9" s="449" t="s">
        <v>2072</v>
      </c>
      <c r="G9" s="450" t="s">
        <v>2073</v>
      </c>
      <c r="H9" s="449" t="s">
        <v>2072</v>
      </c>
      <c r="I9" s="450" t="s">
        <v>2073</v>
      </c>
      <c r="J9" s="1778"/>
      <c r="K9" s="1778"/>
      <c r="L9" s="1776"/>
    </row>
    <row r="10" spans="1:15" s="542" customFormat="1" ht="19.5" customHeight="1" thickBot="1">
      <c r="A10" s="950"/>
      <c r="B10" s="582"/>
      <c r="C10" s="951"/>
      <c r="D10" s="480" t="s">
        <v>454</v>
      </c>
      <c r="E10" s="568" t="s">
        <v>2054</v>
      </c>
      <c r="F10" s="480" t="s">
        <v>454</v>
      </c>
      <c r="G10" s="568" t="s">
        <v>2054</v>
      </c>
      <c r="H10" s="480" t="s">
        <v>454</v>
      </c>
      <c r="I10" s="568" t="s">
        <v>2054</v>
      </c>
      <c r="J10" s="569" t="s">
        <v>2054</v>
      </c>
      <c r="K10" s="569" t="s">
        <v>2054</v>
      </c>
      <c r="L10" s="569" t="s">
        <v>2054</v>
      </c>
    </row>
    <row r="11" spans="1:15" ht="25.5">
      <c r="A11" s="129" t="s">
        <v>455</v>
      </c>
      <c r="B11" s="67"/>
      <c r="C11" s="952"/>
      <c r="D11" s="1589">
        <f t="shared" ref="D11:K11" si="0">SUM(D12:D103)</f>
        <v>694886</v>
      </c>
      <c r="E11" s="177">
        <f t="shared" si="0"/>
        <v>29905.100000000002</v>
      </c>
      <c r="F11" s="1589">
        <f t="shared" si="0"/>
        <v>34891038</v>
      </c>
      <c r="G11" s="177">
        <f t="shared" si="0"/>
        <v>1504511.89</v>
      </c>
      <c r="H11" s="1589">
        <f t="shared" si="0"/>
        <v>471008279</v>
      </c>
      <c r="I11" s="177">
        <f t="shared" si="0"/>
        <v>27843157.340000004</v>
      </c>
      <c r="J11" s="190">
        <f t="shared" si="0"/>
        <v>3093284.3499999982</v>
      </c>
      <c r="K11" s="190">
        <f t="shared" si="0"/>
        <v>0</v>
      </c>
      <c r="L11" s="180">
        <f t="shared" ref="L11:L22" si="1">E11+G11+I11+J11+K11</f>
        <v>32470858.68</v>
      </c>
      <c r="M11" s="5"/>
      <c r="N11" s="44"/>
    </row>
    <row r="12" spans="1:15" hidden="1" outlineLevel="1">
      <c r="A12" s="1583" t="s">
        <v>536</v>
      </c>
      <c r="B12" s="1584">
        <v>5</v>
      </c>
      <c r="C12" s="1585">
        <v>2022</v>
      </c>
      <c r="D12" s="1586">
        <v>0</v>
      </c>
      <c r="E12" s="1587">
        <v>0</v>
      </c>
      <c r="F12" s="1586">
        <v>0</v>
      </c>
      <c r="G12" s="1587">
        <v>0</v>
      </c>
      <c r="H12" s="1586">
        <v>272148</v>
      </c>
      <c r="I12" s="1587">
        <v>11130.52</v>
      </c>
      <c r="J12" s="1588">
        <v>0</v>
      </c>
      <c r="K12" s="1588">
        <v>0</v>
      </c>
      <c r="L12" s="191">
        <f t="shared" si="1"/>
        <v>11130.52</v>
      </c>
      <c r="M12" s="5" t="s">
        <v>537</v>
      </c>
      <c r="O12" t="str">
        <f t="shared" ref="O12:O23" si="2">$A$11</f>
        <v>Regelzone 50Hertz (gesamt)</v>
      </c>
    </row>
    <row r="13" spans="1:15" hidden="1" outlineLevel="1">
      <c r="A13" s="1583" t="s">
        <v>470</v>
      </c>
      <c r="B13" s="1584">
        <v>7</v>
      </c>
      <c r="C13" s="1585">
        <v>2024</v>
      </c>
      <c r="D13" s="1586">
        <v>0</v>
      </c>
      <c r="E13" s="1587">
        <v>0</v>
      </c>
      <c r="F13" s="1586">
        <v>21245</v>
      </c>
      <c r="G13" s="1587">
        <v>1149.3499999999999</v>
      </c>
      <c r="H13" s="1586">
        <v>2814</v>
      </c>
      <c r="I13" s="1587">
        <v>309.12</v>
      </c>
      <c r="J13" s="1588">
        <v>0</v>
      </c>
      <c r="K13" s="1588">
        <v>0</v>
      </c>
      <c r="L13" s="191">
        <f t="shared" si="1"/>
        <v>1458.4699999999998</v>
      </c>
      <c r="M13" s="5" t="s">
        <v>471</v>
      </c>
      <c r="O13" t="str">
        <f t="shared" si="2"/>
        <v>Regelzone 50Hertz (gesamt)</v>
      </c>
    </row>
    <row r="14" spans="1:15" hidden="1" outlineLevel="1">
      <c r="A14" s="1583" t="s">
        <v>472</v>
      </c>
      <c r="B14" s="1584">
        <v>7</v>
      </c>
      <c r="C14" s="1585">
        <v>2023</v>
      </c>
      <c r="D14" s="1586">
        <v>0</v>
      </c>
      <c r="E14" s="1587">
        <v>0</v>
      </c>
      <c r="F14" s="1586">
        <v>0</v>
      </c>
      <c r="G14" s="1587">
        <v>0</v>
      </c>
      <c r="H14" s="1586">
        <v>3034</v>
      </c>
      <c r="I14" s="1587">
        <v>5261.44</v>
      </c>
      <c r="J14" s="1588">
        <v>0</v>
      </c>
      <c r="K14" s="1588">
        <v>0</v>
      </c>
      <c r="L14" s="191">
        <f t="shared" si="1"/>
        <v>5261.44</v>
      </c>
      <c r="M14" s="5" t="s">
        <v>473</v>
      </c>
      <c r="O14" t="str">
        <f t="shared" si="2"/>
        <v>Regelzone 50Hertz (gesamt)</v>
      </c>
    </row>
    <row r="15" spans="1:15" hidden="1" outlineLevel="1">
      <c r="A15" s="1583" t="s">
        <v>484</v>
      </c>
      <c r="B15" s="1584">
        <v>7</v>
      </c>
      <c r="C15" s="1585">
        <v>2022</v>
      </c>
      <c r="D15" s="1586">
        <v>2783</v>
      </c>
      <c r="E15" s="1587">
        <v>142.21</v>
      </c>
      <c r="F15" s="1586">
        <v>1031620</v>
      </c>
      <c r="G15" s="1587">
        <v>43348.649999999994</v>
      </c>
      <c r="H15" s="1586">
        <v>17861201</v>
      </c>
      <c r="I15" s="1587">
        <v>815848.08000000019</v>
      </c>
      <c r="J15" s="1588">
        <v>3779834.58</v>
      </c>
      <c r="K15" s="1588">
        <v>0</v>
      </c>
      <c r="L15" s="191">
        <f t="shared" si="1"/>
        <v>4639173.5200000005</v>
      </c>
      <c r="M15" s="5" t="s">
        <v>485</v>
      </c>
      <c r="O15" t="str">
        <f t="shared" si="2"/>
        <v>Regelzone 50Hertz (gesamt)</v>
      </c>
    </row>
    <row r="16" spans="1:15" hidden="1" outlineLevel="1">
      <c r="A16" s="1583" t="s">
        <v>484</v>
      </c>
      <c r="B16" s="1584">
        <v>7</v>
      </c>
      <c r="C16" s="1585">
        <v>2021</v>
      </c>
      <c r="D16" s="1586">
        <v>781994</v>
      </c>
      <c r="E16" s="1587">
        <v>34356.320000000007</v>
      </c>
      <c r="F16" s="1586">
        <v>4641061</v>
      </c>
      <c r="G16" s="1587">
        <v>242560.94000000003</v>
      </c>
      <c r="H16" s="1586">
        <v>14780764</v>
      </c>
      <c r="I16" s="1587">
        <v>1066970.7100000004</v>
      </c>
      <c r="J16" s="1588">
        <v>-3092.9300000000003</v>
      </c>
      <c r="K16" s="1588">
        <v>0</v>
      </c>
      <c r="L16" s="191">
        <f t="shared" si="1"/>
        <v>1340795.0400000005</v>
      </c>
      <c r="M16" s="5" t="s">
        <v>485</v>
      </c>
      <c r="O16" t="str">
        <f t="shared" si="2"/>
        <v>Regelzone 50Hertz (gesamt)</v>
      </c>
    </row>
    <row r="17" spans="1:15" hidden="1" outlineLevel="1">
      <c r="A17" s="1583" t="s">
        <v>484</v>
      </c>
      <c r="B17" s="1584">
        <v>1</v>
      </c>
      <c r="C17" s="1585">
        <v>2021</v>
      </c>
      <c r="D17" s="1586">
        <v>-254228</v>
      </c>
      <c r="E17" s="1587">
        <v>-12991.050000000001</v>
      </c>
      <c r="F17" s="1586">
        <v>-935926</v>
      </c>
      <c r="G17" s="1587">
        <v>-47954.460000000006</v>
      </c>
      <c r="H17" s="1586">
        <v>-239714</v>
      </c>
      <c r="I17" s="1587">
        <v>-9681.6800000000021</v>
      </c>
      <c r="J17" s="1588">
        <v>-623720.97</v>
      </c>
      <c r="K17" s="1588">
        <v>0</v>
      </c>
      <c r="L17" s="191">
        <f t="shared" si="1"/>
        <v>-694348.16</v>
      </c>
      <c r="M17" s="5" t="s">
        <v>485</v>
      </c>
      <c r="O17" t="str">
        <f t="shared" si="2"/>
        <v>Regelzone 50Hertz (gesamt)</v>
      </c>
    </row>
    <row r="18" spans="1:15" hidden="1" outlineLevel="1">
      <c r="A18" s="1583" t="s">
        <v>484</v>
      </c>
      <c r="B18" s="1584">
        <v>1</v>
      </c>
      <c r="C18" s="1585">
        <v>2022</v>
      </c>
      <c r="D18" s="1586">
        <v>0</v>
      </c>
      <c r="E18" s="1587">
        <v>0</v>
      </c>
      <c r="F18" s="1586">
        <v>0</v>
      </c>
      <c r="G18" s="1587">
        <v>0</v>
      </c>
      <c r="H18" s="1586">
        <v>-111442</v>
      </c>
      <c r="I18" s="1587">
        <v>-7309.0199999999995</v>
      </c>
      <c r="J18" s="1588">
        <v>0</v>
      </c>
      <c r="K18" s="1588">
        <v>0</v>
      </c>
      <c r="L18" s="191">
        <f t="shared" si="1"/>
        <v>-7309.0199999999995</v>
      </c>
      <c r="M18" s="5" t="s">
        <v>485</v>
      </c>
      <c r="O18" t="str">
        <f t="shared" si="2"/>
        <v>Regelzone 50Hertz (gesamt)</v>
      </c>
    </row>
    <row r="19" spans="1:15" hidden="1" outlineLevel="1">
      <c r="A19" s="1583" t="s">
        <v>486</v>
      </c>
      <c r="B19" s="1584">
        <v>7</v>
      </c>
      <c r="C19" s="1585">
        <v>2022</v>
      </c>
      <c r="D19" s="1586">
        <v>0</v>
      </c>
      <c r="E19" s="1587">
        <v>0</v>
      </c>
      <c r="F19" s="1586">
        <v>0</v>
      </c>
      <c r="G19" s="1587">
        <v>0</v>
      </c>
      <c r="H19" s="1586">
        <v>188546</v>
      </c>
      <c r="I19" s="1587">
        <v>8621.2400000000016</v>
      </c>
      <c r="J19" s="1588">
        <v>0</v>
      </c>
      <c r="K19" s="1588">
        <v>0</v>
      </c>
      <c r="L19" s="191">
        <f t="shared" si="1"/>
        <v>8621.2400000000016</v>
      </c>
      <c r="M19" s="5" t="s">
        <v>487</v>
      </c>
      <c r="O19" t="str">
        <f t="shared" si="2"/>
        <v>Regelzone 50Hertz (gesamt)</v>
      </c>
    </row>
    <row r="20" spans="1:15" hidden="1" outlineLevel="1">
      <c r="A20" s="1583" t="s">
        <v>486</v>
      </c>
      <c r="B20" s="1584">
        <v>7</v>
      </c>
      <c r="C20" s="1585">
        <v>2023</v>
      </c>
      <c r="D20" s="1586">
        <v>0</v>
      </c>
      <c r="E20" s="1587">
        <v>0</v>
      </c>
      <c r="F20" s="1586">
        <v>794</v>
      </c>
      <c r="G20" s="1587">
        <v>42.96</v>
      </c>
      <c r="H20" s="1586">
        <v>53280204</v>
      </c>
      <c r="I20" s="1587">
        <v>2086342.4</v>
      </c>
      <c r="J20" s="1588">
        <v>0</v>
      </c>
      <c r="K20" s="1588">
        <v>0</v>
      </c>
      <c r="L20" s="191">
        <f t="shared" si="1"/>
        <v>2086385.3599999999</v>
      </c>
      <c r="M20" s="5" t="s">
        <v>487</v>
      </c>
      <c r="O20" t="str">
        <f t="shared" si="2"/>
        <v>Regelzone 50Hertz (gesamt)</v>
      </c>
    </row>
    <row r="21" spans="1:15" hidden="1" outlineLevel="1">
      <c r="A21" s="1583" t="s">
        <v>488</v>
      </c>
      <c r="B21" s="1584">
        <v>7</v>
      </c>
      <c r="C21" s="1585">
        <v>2023</v>
      </c>
      <c r="D21" s="1586">
        <v>0</v>
      </c>
      <c r="E21" s="1587">
        <v>0</v>
      </c>
      <c r="F21" s="1586">
        <v>0</v>
      </c>
      <c r="G21" s="1587">
        <v>0</v>
      </c>
      <c r="H21" s="1586">
        <v>37461561</v>
      </c>
      <c r="I21" s="1587">
        <v>3941643.2800000003</v>
      </c>
      <c r="J21" s="1588">
        <v>0</v>
      </c>
      <c r="K21" s="1588">
        <v>0</v>
      </c>
      <c r="L21" s="191">
        <f t="shared" si="1"/>
        <v>3941643.2800000003</v>
      </c>
      <c r="M21" s="5" t="s">
        <v>489</v>
      </c>
      <c r="O21" t="str">
        <f t="shared" si="2"/>
        <v>Regelzone 50Hertz (gesamt)</v>
      </c>
    </row>
    <row r="22" spans="1:15" hidden="1" outlineLevel="1">
      <c r="A22" s="1583" t="s">
        <v>488</v>
      </c>
      <c r="B22" s="1584">
        <v>7</v>
      </c>
      <c r="C22" s="1585">
        <v>2024</v>
      </c>
      <c r="D22" s="1586">
        <v>0</v>
      </c>
      <c r="E22" s="1587">
        <v>0</v>
      </c>
      <c r="F22" s="1586">
        <v>0</v>
      </c>
      <c r="G22" s="1587">
        <v>0</v>
      </c>
      <c r="H22" s="1586">
        <v>59071689</v>
      </c>
      <c r="I22" s="1587">
        <v>6167879.8799999999</v>
      </c>
      <c r="J22" s="1588">
        <v>0</v>
      </c>
      <c r="K22" s="1588">
        <v>0</v>
      </c>
      <c r="L22" s="191">
        <f t="shared" si="1"/>
        <v>6167879.8799999999</v>
      </c>
      <c r="M22" s="5" t="s">
        <v>489</v>
      </c>
      <c r="O22" t="str">
        <f t="shared" si="2"/>
        <v>Regelzone 50Hertz (gesamt)</v>
      </c>
    </row>
    <row r="23" spans="1:15" hidden="1" outlineLevel="1">
      <c r="A23" s="130" t="s">
        <v>496</v>
      </c>
      <c r="B23" s="14">
        <v>7</v>
      </c>
      <c r="C23" s="131">
        <v>2022</v>
      </c>
      <c r="D23" s="182">
        <v>0</v>
      </c>
      <c r="E23" s="181">
        <v>0</v>
      </c>
      <c r="F23" s="182">
        <v>0</v>
      </c>
      <c r="G23" s="181">
        <v>0</v>
      </c>
      <c r="H23" s="182">
        <v>62257</v>
      </c>
      <c r="I23" s="181">
        <v>2713.24</v>
      </c>
      <c r="J23" s="183">
        <v>0</v>
      </c>
      <c r="K23" s="184">
        <v>0</v>
      </c>
      <c r="L23" s="185">
        <f t="shared" ref="L23:L71" si="3">E23+G23+I23+J23+K23</f>
        <v>2713.24</v>
      </c>
      <c r="M23" s="5" t="s">
        <v>497</v>
      </c>
      <c r="O23" t="str">
        <f t="shared" si="2"/>
        <v>Regelzone 50Hertz (gesamt)</v>
      </c>
    </row>
    <row r="24" spans="1:15" hidden="1" outlineLevel="1">
      <c r="A24" s="130" t="s">
        <v>496</v>
      </c>
      <c r="B24" s="14">
        <v>7</v>
      </c>
      <c r="C24" s="131">
        <v>2023</v>
      </c>
      <c r="D24" s="182">
        <v>0</v>
      </c>
      <c r="E24" s="181">
        <v>0</v>
      </c>
      <c r="F24" s="182">
        <v>0</v>
      </c>
      <c r="G24" s="181">
        <v>0</v>
      </c>
      <c r="H24" s="182">
        <v>63521</v>
      </c>
      <c r="I24" s="181">
        <v>2878.2000000000003</v>
      </c>
      <c r="J24" s="183">
        <v>0</v>
      </c>
      <c r="K24" s="184">
        <v>0</v>
      </c>
      <c r="L24" s="185">
        <f t="shared" ref="L24:L56" si="4">E24+G24+I24+J24+K24</f>
        <v>2878.2000000000003</v>
      </c>
      <c r="M24" s="5" t="s">
        <v>497</v>
      </c>
      <c r="O24" t="str">
        <f t="shared" ref="O24:O103" si="5">$A$11</f>
        <v>Regelzone 50Hertz (gesamt)</v>
      </c>
    </row>
    <row r="25" spans="1:15" hidden="1" outlineLevel="1">
      <c r="A25" s="130" t="s">
        <v>496</v>
      </c>
      <c r="B25" s="14">
        <v>7</v>
      </c>
      <c r="C25" s="131">
        <v>2024</v>
      </c>
      <c r="D25" s="182">
        <v>0</v>
      </c>
      <c r="E25" s="181">
        <v>0</v>
      </c>
      <c r="F25" s="182">
        <v>0</v>
      </c>
      <c r="G25" s="181">
        <v>0</v>
      </c>
      <c r="H25" s="182">
        <v>70385</v>
      </c>
      <c r="I25" s="181">
        <v>3258.2</v>
      </c>
      <c r="J25" s="183">
        <v>0</v>
      </c>
      <c r="K25" s="184">
        <v>0</v>
      </c>
      <c r="L25" s="185">
        <f t="shared" si="4"/>
        <v>3258.2</v>
      </c>
      <c r="M25" s="5" t="s">
        <v>497</v>
      </c>
      <c r="O25" t="str">
        <f t="shared" si="5"/>
        <v>Regelzone 50Hertz (gesamt)</v>
      </c>
    </row>
    <row r="26" spans="1:15" hidden="1" outlineLevel="1">
      <c r="A26" s="130" t="s">
        <v>506</v>
      </c>
      <c r="B26" s="14">
        <v>7</v>
      </c>
      <c r="C26" s="131">
        <v>2023</v>
      </c>
      <c r="D26" s="182">
        <v>0</v>
      </c>
      <c r="E26" s="181">
        <v>0</v>
      </c>
      <c r="F26" s="182">
        <v>54379</v>
      </c>
      <c r="G26" s="181">
        <v>2941.9</v>
      </c>
      <c r="H26" s="182">
        <v>-757427</v>
      </c>
      <c r="I26" s="181">
        <v>805.28999999999542</v>
      </c>
      <c r="J26" s="183">
        <v>-881.64</v>
      </c>
      <c r="K26" s="184">
        <v>0</v>
      </c>
      <c r="L26" s="185">
        <f t="shared" si="4"/>
        <v>2865.5499999999956</v>
      </c>
      <c r="M26" s="5" t="s">
        <v>507</v>
      </c>
      <c r="O26" t="str">
        <f t="shared" si="5"/>
        <v>Regelzone 50Hertz (gesamt)</v>
      </c>
    </row>
    <row r="27" spans="1:15" hidden="1" outlineLevel="1">
      <c r="A27" s="130" t="s">
        <v>514</v>
      </c>
      <c r="B27" s="14">
        <v>7</v>
      </c>
      <c r="C27" s="131">
        <v>2023</v>
      </c>
      <c r="D27" s="182">
        <v>0</v>
      </c>
      <c r="E27" s="181">
        <v>0</v>
      </c>
      <c r="F27" s="182">
        <v>-3427</v>
      </c>
      <c r="G27" s="181">
        <v>-185.39999999999998</v>
      </c>
      <c r="H27" s="182">
        <v>0</v>
      </c>
      <c r="I27" s="181">
        <v>0</v>
      </c>
      <c r="J27" s="183">
        <v>-12.04</v>
      </c>
      <c r="K27" s="184">
        <v>0</v>
      </c>
      <c r="L27" s="185">
        <f t="shared" ref="L27:L29" si="6">E27+G27+I27+J27+K27</f>
        <v>-197.43999999999997</v>
      </c>
      <c r="M27" s="5" t="s">
        <v>515</v>
      </c>
      <c r="O27" t="str">
        <f t="shared" si="5"/>
        <v>Regelzone 50Hertz (gesamt)</v>
      </c>
    </row>
    <row r="28" spans="1:15" hidden="1" outlineLevel="1">
      <c r="A28" s="130" t="s">
        <v>514</v>
      </c>
      <c r="B28" s="14">
        <v>7</v>
      </c>
      <c r="C28" s="131">
        <v>2024</v>
      </c>
      <c r="D28" s="182">
        <v>0</v>
      </c>
      <c r="E28" s="181">
        <v>0</v>
      </c>
      <c r="F28" s="182">
        <v>-10988</v>
      </c>
      <c r="G28" s="181">
        <v>-594.45000000000005</v>
      </c>
      <c r="H28" s="182">
        <v>0</v>
      </c>
      <c r="I28" s="181">
        <v>0</v>
      </c>
      <c r="J28" s="183">
        <v>30.53</v>
      </c>
      <c r="K28" s="184">
        <v>0</v>
      </c>
      <c r="L28" s="185">
        <f t="shared" si="6"/>
        <v>-563.92000000000007</v>
      </c>
      <c r="M28" s="5" t="s">
        <v>515</v>
      </c>
      <c r="O28" t="str">
        <f t="shared" si="5"/>
        <v>Regelzone 50Hertz (gesamt)</v>
      </c>
    </row>
    <row r="29" spans="1:15" hidden="1" outlineLevel="1">
      <c r="A29" s="130" t="s">
        <v>518</v>
      </c>
      <c r="B29" s="14">
        <v>7</v>
      </c>
      <c r="C29" s="131">
        <v>2024</v>
      </c>
      <c r="D29" s="182">
        <v>0</v>
      </c>
      <c r="E29" s="181">
        <v>0</v>
      </c>
      <c r="F29" s="182">
        <v>0</v>
      </c>
      <c r="G29" s="181">
        <v>0</v>
      </c>
      <c r="H29" s="182">
        <v>34461</v>
      </c>
      <c r="I29" s="181">
        <v>1687.96</v>
      </c>
      <c r="J29" s="183">
        <v>0</v>
      </c>
      <c r="K29" s="184">
        <v>0</v>
      </c>
      <c r="L29" s="185">
        <f t="shared" si="6"/>
        <v>1687.96</v>
      </c>
      <c r="M29" s="5" t="s">
        <v>519</v>
      </c>
      <c r="O29" t="str">
        <f t="shared" si="5"/>
        <v>Regelzone 50Hertz (gesamt)</v>
      </c>
    </row>
    <row r="30" spans="1:15" hidden="1" outlineLevel="1">
      <c r="A30" s="130" t="s">
        <v>536</v>
      </c>
      <c r="B30" s="14">
        <v>7</v>
      </c>
      <c r="C30" s="131">
        <v>2024</v>
      </c>
      <c r="D30" s="182">
        <v>0</v>
      </c>
      <c r="E30" s="181">
        <v>0</v>
      </c>
      <c r="F30" s="182">
        <v>-20345</v>
      </c>
      <c r="G30" s="181">
        <v>-1100.6600000000001</v>
      </c>
      <c r="H30" s="182">
        <v>-15959</v>
      </c>
      <c r="I30" s="181">
        <v>-1235.1999999999996</v>
      </c>
      <c r="J30" s="183">
        <v>0</v>
      </c>
      <c r="K30" s="184">
        <v>0</v>
      </c>
      <c r="L30" s="185">
        <f t="shared" si="4"/>
        <v>-2335.8599999999997</v>
      </c>
      <c r="M30" s="5" t="s">
        <v>537</v>
      </c>
      <c r="O30" t="str">
        <f t="shared" si="5"/>
        <v>Regelzone 50Hertz (gesamt)</v>
      </c>
    </row>
    <row r="31" spans="1:15" hidden="1" outlineLevel="1">
      <c r="A31" s="130" t="s">
        <v>538</v>
      </c>
      <c r="B31" s="14">
        <v>7</v>
      </c>
      <c r="C31" s="131">
        <v>2023</v>
      </c>
      <c r="D31" s="182">
        <v>0</v>
      </c>
      <c r="E31" s="181">
        <v>0</v>
      </c>
      <c r="F31" s="182">
        <v>0</v>
      </c>
      <c r="G31" s="181">
        <v>0</v>
      </c>
      <c r="H31" s="182">
        <v>92079</v>
      </c>
      <c r="I31" s="181">
        <v>14732.64</v>
      </c>
      <c r="J31" s="183">
        <v>0</v>
      </c>
      <c r="K31" s="184">
        <v>0</v>
      </c>
      <c r="L31" s="185">
        <f t="shared" si="4"/>
        <v>14732.64</v>
      </c>
      <c r="M31" s="5" t="s">
        <v>539</v>
      </c>
      <c r="O31" t="str">
        <f t="shared" si="5"/>
        <v>Regelzone 50Hertz (gesamt)</v>
      </c>
    </row>
    <row r="32" spans="1:15" hidden="1" outlineLevel="1">
      <c r="A32" s="130" t="s">
        <v>538</v>
      </c>
      <c r="B32" s="14">
        <v>7</v>
      </c>
      <c r="C32" s="131">
        <v>2024</v>
      </c>
      <c r="D32" s="182">
        <v>0</v>
      </c>
      <c r="E32" s="181">
        <v>0</v>
      </c>
      <c r="F32" s="182">
        <v>0</v>
      </c>
      <c r="G32" s="181">
        <v>0</v>
      </c>
      <c r="H32" s="182">
        <v>223161</v>
      </c>
      <c r="I32" s="181">
        <v>36735.839999999997</v>
      </c>
      <c r="J32" s="183">
        <v>0</v>
      </c>
      <c r="K32" s="184">
        <v>0</v>
      </c>
      <c r="L32" s="185">
        <f t="shared" si="4"/>
        <v>36735.839999999997</v>
      </c>
      <c r="M32" s="5" t="s">
        <v>539</v>
      </c>
      <c r="O32" t="str">
        <f t="shared" si="5"/>
        <v>Regelzone 50Hertz (gesamt)</v>
      </c>
    </row>
    <row r="33" spans="1:15" hidden="1" outlineLevel="1">
      <c r="A33" s="130" t="s">
        <v>548</v>
      </c>
      <c r="B33" s="14">
        <v>7</v>
      </c>
      <c r="C33" s="131">
        <v>2024</v>
      </c>
      <c r="D33" s="182">
        <v>0</v>
      </c>
      <c r="E33" s="181">
        <v>0</v>
      </c>
      <c r="F33" s="182">
        <v>0</v>
      </c>
      <c r="G33" s="181">
        <v>0</v>
      </c>
      <c r="H33" s="182">
        <v>0</v>
      </c>
      <c r="I33" s="181">
        <v>-1178.48</v>
      </c>
      <c r="J33" s="183">
        <v>0</v>
      </c>
      <c r="K33" s="184">
        <v>0</v>
      </c>
      <c r="L33" s="185">
        <f t="shared" si="4"/>
        <v>-1178.48</v>
      </c>
      <c r="M33" s="5" t="s">
        <v>549</v>
      </c>
      <c r="O33" t="str">
        <f t="shared" si="5"/>
        <v>Regelzone 50Hertz (gesamt)</v>
      </c>
    </row>
    <row r="34" spans="1:15" hidden="1" outlineLevel="1">
      <c r="A34" s="130" t="s">
        <v>558</v>
      </c>
      <c r="B34" s="14">
        <v>7</v>
      </c>
      <c r="C34" s="131">
        <v>2024</v>
      </c>
      <c r="D34" s="182">
        <v>0</v>
      </c>
      <c r="E34" s="181">
        <v>0</v>
      </c>
      <c r="F34" s="182">
        <v>0</v>
      </c>
      <c r="G34" s="181">
        <v>0</v>
      </c>
      <c r="H34" s="182">
        <v>19926</v>
      </c>
      <c r="I34" s="181">
        <v>1697.36</v>
      </c>
      <c r="J34" s="183">
        <v>-339.47</v>
      </c>
      <c r="K34" s="184">
        <v>0</v>
      </c>
      <c r="L34" s="185">
        <f t="shared" si="4"/>
        <v>1357.8899999999999</v>
      </c>
      <c r="M34" s="5" t="s">
        <v>559</v>
      </c>
      <c r="O34" t="str">
        <f t="shared" si="5"/>
        <v>Regelzone 50Hertz (gesamt)</v>
      </c>
    </row>
    <row r="35" spans="1:15" hidden="1" outlineLevel="1">
      <c r="A35" s="130" t="s">
        <v>560</v>
      </c>
      <c r="B35" s="14">
        <v>7</v>
      </c>
      <c r="C35" s="131">
        <v>2024</v>
      </c>
      <c r="D35" s="182">
        <v>0</v>
      </c>
      <c r="E35" s="181">
        <v>0</v>
      </c>
      <c r="F35" s="182">
        <v>10101</v>
      </c>
      <c r="G35" s="181">
        <v>546.46</v>
      </c>
      <c r="H35" s="182">
        <v>0</v>
      </c>
      <c r="I35" s="181">
        <v>609.44000000000005</v>
      </c>
      <c r="J35" s="183">
        <v>0</v>
      </c>
      <c r="K35" s="184">
        <v>0</v>
      </c>
      <c r="L35" s="185">
        <f t="shared" si="4"/>
        <v>1155.9000000000001</v>
      </c>
      <c r="M35" s="5" t="s">
        <v>561</v>
      </c>
      <c r="O35" t="str">
        <f t="shared" si="5"/>
        <v>Regelzone 50Hertz (gesamt)</v>
      </c>
    </row>
    <row r="36" spans="1:15" hidden="1" outlineLevel="1">
      <c r="A36" s="130" t="s">
        <v>560</v>
      </c>
      <c r="B36" s="14">
        <v>7</v>
      </c>
      <c r="C36" s="131">
        <v>2023</v>
      </c>
      <c r="D36" s="182">
        <v>0</v>
      </c>
      <c r="E36" s="181">
        <v>0</v>
      </c>
      <c r="F36" s="182">
        <v>18072</v>
      </c>
      <c r="G36" s="181">
        <v>977.7</v>
      </c>
      <c r="H36" s="182">
        <v>-783</v>
      </c>
      <c r="I36" s="181">
        <v>-31.32</v>
      </c>
      <c r="J36" s="183">
        <v>0</v>
      </c>
      <c r="K36" s="184">
        <v>0</v>
      </c>
      <c r="L36" s="185">
        <f t="shared" si="4"/>
        <v>946.38</v>
      </c>
      <c r="M36" s="5" t="s">
        <v>561</v>
      </c>
      <c r="O36" t="str">
        <f t="shared" si="5"/>
        <v>Regelzone 50Hertz (gesamt)</v>
      </c>
    </row>
    <row r="37" spans="1:15" hidden="1" outlineLevel="1">
      <c r="A37" s="130" t="s">
        <v>568</v>
      </c>
      <c r="B37" s="14">
        <v>7</v>
      </c>
      <c r="C37" s="131">
        <v>2024</v>
      </c>
      <c r="D37" s="182">
        <v>0</v>
      </c>
      <c r="E37" s="181">
        <v>0</v>
      </c>
      <c r="F37" s="182">
        <v>0</v>
      </c>
      <c r="G37" s="181">
        <v>0</v>
      </c>
      <c r="H37" s="182">
        <v>6331</v>
      </c>
      <c r="I37" s="181">
        <v>506.48</v>
      </c>
      <c r="J37" s="183">
        <v>0</v>
      </c>
      <c r="K37" s="184">
        <v>0</v>
      </c>
      <c r="L37" s="185">
        <f t="shared" si="4"/>
        <v>506.48</v>
      </c>
      <c r="M37" s="5" t="s">
        <v>569</v>
      </c>
      <c r="O37" t="str">
        <f t="shared" si="5"/>
        <v>Regelzone 50Hertz (gesamt)</v>
      </c>
    </row>
    <row r="38" spans="1:15" hidden="1" outlineLevel="1">
      <c r="A38" s="130" t="s">
        <v>586</v>
      </c>
      <c r="B38" s="14">
        <v>7</v>
      </c>
      <c r="C38" s="131">
        <v>2024</v>
      </c>
      <c r="D38" s="182">
        <v>0</v>
      </c>
      <c r="E38" s="181">
        <v>0</v>
      </c>
      <c r="F38" s="182">
        <v>0</v>
      </c>
      <c r="G38" s="181">
        <v>0</v>
      </c>
      <c r="H38" s="182">
        <v>240000</v>
      </c>
      <c r="I38" s="181">
        <v>21177.920000000002</v>
      </c>
      <c r="J38" s="183">
        <v>0</v>
      </c>
      <c r="K38" s="184">
        <v>0</v>
      </c>
      <c r="L38" s="185">
        <f t="shared" si="4"/>
        <v>21177.920000000002</v>
      </c>
      <c r="M38" s="5" t="s">
        <v>587</v>
      </c>
      <c r="O38" t="str">
        <f t="shared" si="5"/>
        <v>Regelzone 50Hertz (gesamt)</v>
      </c>
    </row>
    <row r="39" spans="1:15" hidden="1" outlineLevel="1">
      <c r="A39" s="130" t="s">
        <v>598</v>
      </c>
      <c r="B39" s="14">
        <v>7</v>
      </c>
      <c r="C39" s="131">
        <v>2022</v>
      </c>
      <c r="D39" s="182">
        <v>25234</v>
      </c>
      <c r="E39" s="181">
        <v>1289.46</v>
      </c>
      <c r="F39" s="182">
        <v>11481469</v>
      </c>
      <c r="G39" s="181">
        <v>350040.14</v>
      </c>
      <c r="H39" s="182">
        <v>7365547</v>
      </c>
      <c r="I39" s="181">
        <v>808460.51</v>
      </c>
      <c r="J39" s="183">
        <v>-5508.5199999999995</v>
      </c>
      <c r="K39" s="184">
        <v>0</v>
      </c>
      <c r="L39" s="185">
        <f t="shared" si="4"/>
        <v>1154281.5900000001</v>
      </c>
      <c r="M39" s="5" t="s">
        <v>599</v>
      </c>
      <c r="O39" t="str">
        <f t="shared" si="5"/>
        <v>Regelzone 50Hertz (gesamt)</v>
      </c>
    </row>
    <row r="40" spans="1:15" hidden="1" outlineLevel="1">
      <c r="A40" s="130" t="s">
        <v>598</v>
      </c>
      <c r="B40" s="14">
        <v>1</v>
      </c>
      <c r="C40" s="131">
        <v>2022</v>
      </c>
      <c r="D40" s="182">
        <v>0</v>
      </c>
      <c r="E40" s="181">
        <v>0</v>
      </c>
      <c r="F40" s="182">
        <v>-83322</v>
      </c>
      <c r="G40" s="181">
        <v>-4507.7199999999993</v>
      </c>
      <c r="H40" s="182">
        <v>-6399102</v>
      </c>
      <c r="I40" s="181">
        <v>-306195.67000000016</v>
      </c>
      <c r="J40" s="183">
        <v>-29244.95</v>
      </c>
      <c r="K40" s="184">
        <v>0</v>
      </c>
      <c r="L40" s="185">
        <f t="shared" si="4"/>
        <v>-339948.34000000014</v>
      </c>
      <c r="M40" s="5" t="s">
        <v>599</v>
      </c>
      <c r="O40" t="str">
        <f t="shared" si="5"/>
        <v>Regelzone 50Hertz (gesamt)</v>
      </c>
    </row>
    <row r="41" spans="1:15" hidden="1" outlineLevel="1">
      <c r="A41" s="130" t="s">
        <v>598</v>
      </c>
      <c r="B41" s="14">
        <v>7</v>
      </c>
      <c r="C41" s="131">
        <v>2023</v>
      </c>
      <c r="D41" s="182">
        <v>0</v>
      </c>
      <c r="E41" s="181">
        <v>0</v>
      </c>
      <c r="F41" s="182">
        <v>0</v>
      </c>
      <c r="G41" s="181">
        <v>0</v>
      </c>
      <c r="H41" s="182">
        <v>60622454</v>
      </c>
      <c r="I41" s="181">
        <v>1771547.65</v>
      </c>
      <c r="J41" s="183">
        <v>0</v>
      </c>
      <c r="K41" s="184">
        <v>0</v>
      </c>
      <c r="L41" s="185">
        <f t="shared" si="4"/>
        <v>1771547.65</v>
      </c>
      <c r="M41" s="5" t="s">
        <v>599</v>
      </c>
      <c r="O41" t="str">
        <f t="shared" si="5"/>
        <v>Regelzone 50Hertz (gesamt)</v>
      </c>
    </row>
    <row r="42" spans="1:15" hidden="1" outlineLevel="1">
      <c r="A42" s="130" t="s">
        <v>598</v>
      </c>
      <c r="B42" s="14">
        <v>7</v>
      </c>
      <c r="C42" s="131">
        <v>2024</v>
      </c>
      <c r="D42" s="182">
        <v>0</v>
      </c>
      <c r="E42" s="181">
        <v>0</v>
      </c>
      <c r="F42" s="182">
        <v>0</v>
      </c>
      <c r="G42" s="181">
        <v>0</v>
      </c>
      <c r="H42" s="182">
        <v>132621223</v>
      </c>
      <c r="I42" s="181">
        <v>3780653.1900000004</v>
      </c>
      <c r="J42" s="183">
        <v>0</v>
      </c>
      <c r="K42" s="184">
        <v>0</v>
      </c>
      <c r="L42" s="185">
        <f t="shared" si="4"/>
        <v>3780653.1900000004</v>
      </c>
      <c r="M42" s="5" t="s">
        <v>599</v>
      </c>
      <c r="O42" t="str">
        <f t="shared" si="5"/>
        <v>Regelzone 50Hertz (gesamt)</v>
      </c>
    </row>
    <row r="43" spans="1:15" hidden="1" outlineLevel="1">
      <c r="A43" s="130" t="s">
        <v>602</v>
      </c>
      <c r="B43" s="14">
        <v>7</v>
      </c>
      <c r="C43" s="131">
        <v>2023</v>
      </c>
      <c r="D43" s="182">
        <v>0</v>
      </c>
      <c r="E43" s="181">
        <v>0</v>
      </c>
      <c r="F43" s="182">
        <v>0</v>
      </c>
      <c r="G43" s="181">
        <v>0</v>
      </c>
      <c r="H43" s="182">
        <v>-4136</v>
      </c>
      <c r="I43" s="181">
        <v>-661.76</v>
      </c>
      <c r="J43" s="183">
        <v>0</v>
      </c>
      <c r="K43" s="184">
        <v>0</v>
      </c>
      <c r="L43" s="185">
        <f t="shared" si="4"/>
        <v>-661.76</v>
      </c>
      <c r="M43" s="5" t="s">
        <v>603</v>
      </c>
      <c r="O43" t="str">
        <f t="shared" si="5"/>
        <v>Regelzone 50Hertz (gesamt)</v>
      </c>
    </row>
    <row r="44" spans="1:15" hidden="1" outlineLevel="1">
      <c r="A44" s="130" t="s">
        <v>602</v>
      </c>
      <c r="B44" s="14">
        <v>7</v>
      </c>
      <c r="C44" s="131">
        <v>2024</v>
      </c>
      <c r="D44" s="182">
        <v>0</v>
      </c>
      <c r="E44" s="181">
        <v>0</v>
      </c>
      <c r="F44" s="182">
        <v>0</v>
      </c>
      <c r="G44" s="181">
        <v>0</v>
      </c>
      <c r="H44" s="182">
        <v>-3088</v>
      </c>
      <c r="I44" s="181">
        <v>-494.08000000000004</v>
      </c>
      <c r="J44" s="183">
        <v>0</v>
      </c>
      <c r="K44" s="184">
        <v>0</v>
      </c>
      <c r="L44" s="185">
        <f t="shared" si="4"/>
        <v>-494.08000000000004</v>
      </c>
      <c r="M44" s="5" t="s">
        <v>603</v>
      </c>
      <c r="O44" t="str">
        <f t="shared" si="5"/>
        <v>Regelzone 50Hertz (gesamt)</v>
      </c>
    </row>
    <row r="45" spans="1:15" hidden="1" outlineLevel="1">
      <c r="A45" s="130" t="s">
        <v>602</v>
      </c>
      <c r="B45" s="14">
        <v>7</v>
      </c>
      <c r="C45" s="131">
        <v>2022</v>
      </c>
      <c r="D45" s="182">
        <v>0</v>
      </c>
      <c r="E45" s="181">
        <v>0</v>
      </c>
      <c r="F45" s="182">
        <v>0</v>
      </c>
      <c r="G45" s="181">
        <v>0</v>
      </c>
      <c r="H45" s="182">
        <v>-1548</v>
      </c>
      <c r="I45" s="181">
        <v>-247.68</v>
      </c>
      <c r="J45" s="183">
        <v>0</v>
      </c>
      <c r="K45" s="184">
        <v>0</v>
      </c>
      <c r="L45" s="185">
        <f t="shared" si="4"/>
        <v>-247.68</v>
      </c>
      <c r="M45" s="5" t="s">
        <v>603</v>
      </c>
      <c r="O45" t="str">
        <f t="shared" si="5"/>
        <v>Regelzone 50Hertz (gesamt)</v>
      </c>
    </row>
    <row r="46" spans="1:15" hidden="1" outlineLevel="1">
      <c r="A46" s="130" t="s">
        <v>608</v>
      </c>
      <c r="B46" s="14">
        <v>7</v>
      </c>
      <c r="C46" s="131">
        <v>2023</v>
      </c>
      <c r="D46" s="182">
        <v>0</v>
      </c>
      <c r="E46" s="181">
        <v>0</v>
      </c>
      <c r="F46" s="182">
        <v>41350</v>
      </c>
      <c r="G46" s="181">
        <v>2237.0299999999997</v>
      </c>
      <c r="H46" s="182">
        <v>0</v>
      </c>
      <c r="I46" s="181">
        <v>0</v>
      </c>
      <c r="J46" s="183">
        <v>0</v>
      </c>
      <c r="K46" s="184">
        <v>0</v>
      </c>
      <c r="L46" s="185">
        <f t="shared" si="4"/>
        <v>2237.0299999999997</v>
      </c>
      <c r="M46" s="5" t="s">
        <v>609</v>
      </c>
      <c r="O46" t="str">
        <f t="shared" si="5"/>
        <v>Regelzone 50Hertz (gesamt)</v>
      </c>
    </row>
    <row r="47" spans="1:15" hidden="1" outlineLevel="1">
      <c r="A47" s="130" t="s">
        <v>608</v>
      </c>
      <c r="B47" s="14">
        <v>7</v>
      </c>
      <c r="C47" s="131">
        <v>2024</v>
      </c>
      <c r="D47" s="182">
        <v>0</v>
      </c>
      <c r="E47" s="181">
        <v>0</v>
      </c>
      <c r="F47" s="182">
        <v>38497</v>
      </c>
      <c r="G47" s="181">
        <v>2082.6999999999998</v>
      </c>
      <c r="H47" s="182">
        <v>140179</v>
      </c>
      <c r="I47" s="181">
        <v>10286.92</v>
      </c>
      <c r="J47" s="183">
        <v>0</v>
      </c>
      <c r="K47" s="184">
        <v>0</v>
      </c>
      <c r="L47" s="185">
        <f t="shared" si="4"/>
        <v>12369.619999999999</v>
      </c>
      <c r="M47" s="5" t="s">
        <v>609</v>
      </c>
      <c r="O47" t="str">
        <f t="shared" si="5"/>
        <v>Regelzone 50Hertz (gesamt)</v>
      </c>
    </row>
    <row r="48" spans="1:15" hidden="1" outlineLevel="1">
      <c r="A48" s="130" t="s">
        <v>610</v>
      </c>
      <c r="B48" s="14">
        <v>7</v>
      </c>
      <c r="C48" s="131">
        <v>2024</v>
      </c>
      <c r="D48" s="182">
        <v>0</v>
      </c>
      <c r="E48" s="181">
        <v>0</v>
      </c>
      <c r="F48" s="182">
        <v>0</v>
      </c>
      <c r="G48" s="181">
        <v>0</v>
      </c>
      <c r="H48" s="182">
        <v>10301</v>
      </c>
      <c r="I48" s="181">
        <v>1026.24</v>
      </c>
      <c r="J48" s="183">
        <v>0</v>
      </c>
      <c r="K48" s="184">
        <v>0</v>
      </c>
      <c r="L48" s="185">
        <f t="shared" si="4"/>
        <v>1026.24</v>
      </c>
      <c r="M48" s="5" t="s">
        <v>611</v>
      </c>
      <c r="O48" t="str">
        <f t="shared" si="5"/>
        <v>Regelzone 50Hertz (gesamt)</v>
      </c>
    </row>
    <row r="49" spans="1:15" hidden="1" outlineLevel="1">
      <c r="A49" s="130" t="s">
        <v>620</v>
      </c>
      <c r="B49" s="14">
        <v>7</v>
      </c>
      <c r="C49" s="131">
        <v>2023</v>
      </c>
      <c r="D49" s="182">
        <v>0</v>
      </c>
      <c r="E49" s="181">
        <v>0</v>
      </c>
      <c r="F49" s="182">
        <v>3465213</v>
      </c>
      <c r="G49" s="181">
        <v>134610.54</v>
      </c>
      <c r="H49" s="182">
        <v>859838</v>
      </c>
      <c r="I49" s="181">
        <v>76353.990000000005</v>
      </c>
      <c r="J49" s="183">
        <v>0</v>
      </c>
      <c r="K49" s="184">
        <v>0</v>
      </c>
      <c r="L49" s="185">
        <f t="shared" si="4"/>
        <v>210964.53000000003</v>
      </c>
      <c r="M49" s="5" t="s">
        <v>621</v>
      </c>
      <c r="O49" t="str">
        <f t="shared" si="5"/>
        <v>Regelzone 50Hertz (gesamt)</v>
      </c>
    </row>
    <row r="50" spans="1:15" hidden="1" outlineLevel="1">
      <c r="A50" s="130" t="s">
        <v>620</v>
      </c>
      <c r="B50" s="14">
        <v>7</v>
      </c>
      <c r="C50" s="131">
        <v>2024</v>
      </c>
      <c r="D50" s="182">
        <v>0</v>
      </c>
      <c r="E50" s="181">
        <v>0</v>
      </c>
      <c r="F50" s="182">
        <v>538464</v>
      </c>
      <c r="G50" s="181">
        <v>24679.41</v>
      </c>
      <c r="H50" s="182">
        <v>1251029</v>
      </c>
      <c r="I50" s="181">
        <v>101569.53</v>
      </c>
      <c r="J50" s="183">
        <v>0</v>
      </c>
      <c r="K50" s="184">
        <v>0</v>
      </c>
      <c r="L50" s="185">
        <f t="shared" si="4"/>
        <v>126248.94</v>
      </c>
      <c r="M50" s="5" t="s">
        <v>621</v>
      </c>
      <c r="O50" t="str">
        <f t="shared" si="5"/>
        <v>Regelzone 50Hertz (gesamt)</v>
      </c>
    </row>
    <row r="51" spans="1:15" hidden="1" outlineLevel="1">
      <c r="A51" s="130" t="s">
        <v>622</v>
      </c>
      <c r="B51" s="14">
        <v>7</v>
      </c>
      <c r="C51" s="131">
        <v>2021</v>
      </c>
      <c r="D51" s="182">
        <v>0</v>
      </c>
      <c r="E51" s="181">
        <v>0</v>
      </c>
      <c r="F51" s="182">
        <v>37950</v>
      </c>
      <c r="G51" s="181">
        <v>2053.1</v>
      </c>
      <c r="H51" s="182">
        <v>-77761</v>
      </c>
      <c r="I51" s="181">
        <v>-4628.4400000000005</v>
      </c>
      <c r="J51" s="183">
        <v>0</v>
      </c>
      <c r="K51" s="184">
        <v>0</v>
      </c>
      <c r="L51" s="185">
        <f t="shared" si="4"/>
        <v>-2575.3400000000006</v>
      </c>
      <c r="M51" s="5" t="s">
        <v>623</v>
      </c>
      <c r="O51" t="str">
        <f t="shared" si="5"/>
        <v>Regelzone 50Hertz (gesamt)</v>
      </c>
    </row>
    <row r="52" spans="1:15" hidden="1" outlineLevel="1">
      <c r="A52" s="130" t="s">
        <v>622</v>
      </c>
      <c r="B52" s="14">
        <v>7</v>
      </c>
      <c r="C52" s="131">
        <v>2024</v>
      </c>
      <c r="D52" s="182">
        <v>0</v>
      </c>
      <c r="E52" s="181">
        <v>0</v>
      </c>
      <c r="F52" s="182">
        <v>62955</v>
      </c>
      <c r="G52" s="181">
        <v>3405.87</v>
      </c>
      <c r="H52" s="182">
        <v>550885</v>
      </c>
      <c r="I52" s="181">
        <v>43978.44</v>
      </c>
      <c r="J52" s="183">
        <v>0</v>
      </c>
      <c r="K52" s="184">
        <v>0</v>
      </c>
      <c r="L52" s="185">
        <f t="shared" si="4"/>
        <v>47384.310000000005</v>
      </c>
      <c r="M52" s="5" t="s">
        <v>623</v>
      </c>
      <c r="O52" t="str">
        <f t="shared" si="5"/>
        <v>Regelzone 50Hertz (gesamt)</v>
      </c>
    </row>
    <row r="53" spans="1:15" hidden="1" outlineLevel="1">
      <c r="A53" s="130" t="s">
        <v>622</v>
      </c>
      <c r="B53" s="14">
        <v>7</v>
      </c>
      <c r="C53" s="131">
        <v>2022</v>
      </c>
      <c r="D53" s="182">
        <v>0</v>
      </c>
      <c r="E53" s="181">
        <v>0</v>
      </c>
      <c r="F53" s="182">
        <v>18738</v>
      </c>
      <c r="G53" s="181">
        <v>1013.73</v>
      </c>
      <c r="H53" s="182">
        <v>472945</v>
      </c>
      <c r="I53" s="181">
        <v>41146.839999999997</v>
      </c>
      <c r="J53" s="183">
        <v>0</v>
      </c>
      <c r="K53" s="184">
        <v>0</v>
      </c>
      <c r="L53" s="185">
        <f t="shared" si="4"/>
        <v>42160.57</v>
      </c>
      <c r="M53" s="5" t="s">
        <v>623</v>
      </c>
      <c r="O53" t="str">
        <f t="shared" si="5"/>
        <v>Regelzone 50Hertz (gesamt)</v>
      </c>
    </row>
    <row r="54" spans="1:15" hidden="1" outlineLevel="1">
      <c r="A54" s="130" t="s">
        <v>622</v>
      </c>
      <c r="B54" s="14">
        <v>7</v>
      </c>
      <c r="C54" s="131">
        <v>2023</v>
      </c>
      <c r="D54" s="182">
        <v>0</v>
      </c>
      <c r="E54" s="181">
        <v>0</v>
      </c>
      <c r="F54" s="182">
        <v>18252</v>
      </c>
      <c r="G54" s="181">
        <v>987.43</v>
      </c>
      <c r="H54" s="182">
        <v>571487</v>
      </c>
      <c r="I54" s="181">
        <v>46915.6</v>
      </c>
      <c r="J54" s="183">
        <v>0</v>
      </c>
      <c r="K54" s="184">
        <v>0</v>
      </c>
      <c r="L54" s="185">
        <f t="shared" si="4"/>
        <v>47903.03</v>
      </c>
      <c r="M54" s="5" t="s">
        <v>623</v>
      </c>
      <c r="O54" t="str">
        <f t="shared" si="5"/>
        <v>Regelzone 50Hertz (gesamt)</v>
      </c>
    </row>
    <row r="55" spans="1:15" hidden="1" outlineLevel="1">
      <c r="A55" s="130" t="s">
        <v>624</v>
      </c>
      <c r="B55" s="14">
        <v>7</v>
      </c>
      <c r="C55" s="131">
        <v>2024</v>
      </c>
      <c r="D55" s="182">
        <v>0</v>
      </c>
      <c r="E55" s="181">
        <v>0</v>
      </c>
      <c r="F55" s="182">
        <v>0</v>
      </c>
      <c r="G55" s="181">
        <v>0</v>
      </c>
      <c r="H55" s="182">
        <v>25154</v>
      </c>
      <c r="I55" s="181">
        <v>4024.64</v>
      </c>
      <c r="J55" s="183">
        <v>0</v>
      </c>
      <c r="K55" s="184">
        <v>0</v>
      </c>
      <c r="L55" s="185">
        <f t="shared" si="4"/>
        <v>4024.64</v>
      </c>
      <c r="M55" s="5" t="s">
        <v>625</v>
      </c>
      <c r="O55" t="str">
        <f t="shared" si="5"/>
        <v>Regelzone 50Hertz (gesamt)</v>
      </c>
    </row>
    <row r="56" spans="1:15" hidden="1" outlineLevel="1">
      <c r="A56" s="130" t="s">
        <v>634</v>
      </c>
      <c r="B56" s="14">
        <v>7</v>
      </c>
      <c r="C56" s="131">
        <v>2024</v>
      </c>
      <c r="D56" s="182">
        <v>0</v>
      </c>
      <c r="E56" s="181">
        <v>0</v>
      </c>
      <c r="F56" s="182">
        <v>0</v>
      </c>
      <c r="G56" s="181">
        <v>0</v>
      </c>
      <c r="H56" s="182">
        <v>0</v>
      </c>
      <c r="I56" s="181">
        <v>166.40000000000003</v>
      </c>
      <c r="J56" s="183">
        <v>0</v>
      </c>
      <c r="K56" s="184">
        <v>0</v>
      </c>
      <c r="L56" s="185">
        <f t="shared" si="4"/>
        <v>166.40000000000003</v>
      </c>
      <c r="M56" s="5" t="s">
        <v>635</v>
      </c>
      <c r="O56" t="str">
        <f t="shared" si="5"/>
        <v>Regelzone 50Hertz (gesamt)</v>
      </c>
    </row>
    <row r="57" spans="1:15" hidden="1" outlineLevel="1">
      <c r="A57" s="130" t="s">
        <v>666</v>
      </c>
      <c r="B57" s="14">
        <v>7</v>
      </c>
      <c r="C57" s="131">
        <v>2023</v>
      </c>
      <c r="D57" s="182">
        <v>0</v>
      </c>
      <c r="E57" s="181">
        <v>0</v>
      </c>
      <c r="F57" s="182">
        <v>-1537</v>
      </c>
      <c r="G57" s="181">
        <v>-76.959999999999994</v>
      </c>
      <c r="H57" s="182">
        <v>-205312</v>
      </c>
      <c r="I57" s="181">
        <v>-13897.489999999998</v>
      </c>
      <c r="J57" s="183">
        <v>0</v>
      </c>
      <c r="K57" s="184">
        <v>0</v>
      </c>
      <c r="L57" s="185">
        <f t="shared" si="3"/>
        <v>-13974.449999999997</v>
      </c>
      <c r="M57" s="5" t="s">
        <v>667</v>
      </c>
      <c r="O57" t="str">
        <f t="shared" si="5"/>
        <v>Regelzone 50Hertz (gesamt)</v>
      </c>
    </row>
    <row r="58" spans="1:15" hidden="1" outlineLevel="1">
      <c r="A58" s="130" t="s">
        <v>666</v>
      </c>
      <c r="B58" s="14">
        <v>7</v>
      </c>
      <c r="C58" s="131">
        <v>2024</v>
      </c>
      <c r="D58" s="182">
        <v>0</v>
      </c>
      <c r="E58" s="181">
        <v>0</v>
      </c>
      <c r="F58" s="182">
        <v>1128</v>
      </c>
      <c r="G58" s="181">
        <v>56.480000000000004</v>
      </c>
      <c r="H58" s="182">
        <v>-441937</v>
      </c>
      <c r="I58" s="181">
        <v>-20584.589999999993</v>
      </c>
      <c r="J58" s="183">
        <v>0</v>
      </c>
      <c r="K58" s="184">
        <v>0</v>
      </c>
      <c r="L58" s="185">
        <f t="shared" si="3"/>
        <v>-20528.109999999993</v>
      </c>
      <c r="M58" s="5" t="s">
        <v>667</v>
      </c>
      <c r="O58" t="str">
        <f t="shared" si="5"/>
        <v>Regelzone 50Hertz (gesamt)</v>
      </c>
    </row>
    <row r="59" spans="1:15" hidden="1" outlineLevel="1">
      <c r="A59" s="130" t="s">
        <v>668</v>
      </c>
      <c r="B59" s="14">
        <v>7</v>
      </c>
      <c r="C59" s="131">
        <v>2024</v>
      </c>
      <c r="D59" s="182">
        <v>0</v>
      </c>
      <c r="E59" s="181">
        <v>0</v>
      </c>
      <c r="F59" s="182">
        <v>61086</v>
      </c>
      <c r="G59" s="181">
        <v>3304.75</v>
      </c>
      <c r="H59" s="182">
        <v>42335</v>
      </c>
      <c r="I59" s="181">
        <v>1857.92</v>
      </c>
      <c r="J59" s="183">
        <v>0</v>
      </c>
      <c r="K59" s="184">
        <v>0</v>
      </c>
      <c r="L59" s="185">
        <f t="shared" si="3"/>
        <v>5162.67</v>
      </c>
      <c r="M59" s="5" t="s">
        <v>669</v>
      </c>
      <c r="O59" t="str">
        <f t="shared" si="5"/>
        <v>Regelzone 50Hertz (gesamt)</v>
      </c>
    </row>
    <row r="60" spans="1:15" hidden="1" outlineLevel="1">
      <c r="A60" s="130" t="s">
        <v>670</v>
      </c>
      <c r="B60" s="14">
        <v>7</v>
      </c>
      <c r="C60" s="131">
        <v>2024</v>
      </c>
      <c r="D60" s="182">
        <v>0</v>
      </c>
      <c r="E60" s="181">
        <v>0</v>
      </c>
      <c r="F60" s="182">
        <v>47627</v>
      </c>
      <c r="G60" s="181">
        <v>2576.62</v>
      </c>
      <c r="H60" s="182">
        <v>360029</v>
      </c>
      <c r="I60" s="181">
        <v>40946.120000000003</v>
      </c>
      <c r="J60" s="183">
        <v>0</v>
      </c>
      <c r="K60" s="184">
        <v>0</v>
      </c>
      <c r="L60" s="185">
        <f t="shared" si="3"/>
        <v>43522.740000000005</v>
      </c>
      <c r="M60" s="5" t="s">
        <v>671</v>
      </c>
      <c r="O60" t="str">
        <f t="shared" si="5"/>
        <v>Regelzone 50Hertz (gesamt)</v>
      </c>
    </row>
    <row r="61" spans="1:15" hidden="1" outlineLevel="1">
      <c r="A61" s="130" t="s">
        <v>670</v>
      </c>
      <c r="B61" s="14">
        <v>7</v>
      </c>
      <c r="C61" s="131">
        <v>2023</v>
      </c>
      <c r="D61" s="182">
        <v>0</v>
      </c>
      <c r="E61" s="181">
        <v>0</v>
      </c>
      <c r="F61" s="182">
        <v>13962</v>
      </c>
      <c r="G61" s="181">
        <v>755.34</v>
      </c>
      <c r="H61" s="182">
        <v>24000</v>
      </c>
      <c r="I61" s="181">
        <v>1143.4000000000001</v>
      </c>
      <c r="J61" s="183">
        <v>0</v>
      </c>
      <c r="K61" s="184">
        <v>0</v>
      </c>
      <c r="L61" s="185">
        <f t="shared" si="3"/>
        <v>1898.7400000000002</v>
      </c>
      <c r="M61" s="5" t="s">
        <v>671</v>
      </c>
      <c r="O61" t="str">
        <f t="shared" si="5"/>
        <v>Regelzone 50Hertz (gesamt)</v>
      </c>
    </row>
    <row r="62" spans="1:15" hidden="1" outlineLevel="1">
      <c r="A62" s="130" t="s">
        <v>680</v>
      </c>
      <c r="B62" s="14">
        <v>7</v>
      </c>
      <c r="C62" s="131">
        <v>2023</v>
      </c>
      <c r="D62" s="182">
        <v>0</v>
      </c>
      <c r="E62" s="181">
        <v>0</v>
      </c>
      <c r="F62" s="182">
        <v>653928</v>
      </c>
      <c r="G62" s="181">
        <v>35377.520000000004</v>
      </c>
      <c r="H62" s="182">
        <v>20186521</v>
      </c>
      <c r="I62" s="181">
        <v>1140320.6800000006</v>
      </c>
      <c r="J62" s="183">
        <v>-3195.44</v>
      </c>
      <c r="K62" s="184">
        <v>0</v>
      </c>
      <c r="L62" s="185">
        <f t="shared" si="3"/>
        <v>1172502.7600000007</v>
      </c>
      <c r="M62" s="5" t="s">
        <v>681</v>
      </c>
      <c r="O62" t="str">
        <f t="shared" si="5"/>
        <v>Regelzone 50Hertz (gesamt)</v>
      </c>
    </row>
    <row r="63" spans="1:15" hidden="1" outlineLevel="1">
      <c r="A63" s="130" t="s">
        <v>680</v>
      </c>
      <c r="B63" s="14">
        <v>7</v>
      </c>
      <c r="C63" s="131">
        <v>2024</v>
      </c>
      <c r="D63" s="182">
        <v>0</v>
      </c>
      <c r="E63" s="181">
        <v>0</v>
      </c>
      <c r="F63" s="182">
        <v>4665140</v>
      </c>
      <c r="G63" s="181">
        <v>252384.07999999993</v>
      </c>
      <c r="H63" s="182">
        <v>15147318</v>
      </c>
      <c r="I63" s="181">
        <v>1398804.469999999</v>
      </c>
      <c r="J63" s="183">
        <v>-3896.19</v>
      </c>
      <c r="K63" s="184">
        <v>0</v>
      </c>
      <c r="L63" s="185">
        <f t="shared" si="3"/>
        <v>1647292.3599999989</v>
      </c>
      <c r="M63" s="5" t="s">
        <v>681</v>
      </c>
      <c r="O63" t="str">
        <f t="shared" si="5"/>
        <v>Regelzone 50Hertz (gesamt)</v>
      </c>
    </row>
    <row r="64" spans="1:15" hidden="1" outlineLevel="1">
      <c r="A64" s="130" t="s">
        <v>680</v>
      </c>
      <c r="B64" s="14">
        <v>7</v>
      </c>
      <c r="C64" s="131">
        <v>2022</v>
      </c>
      <c r="D64" s="182">
        <v>0</v>
      </c>
      <c r="E64" s="181">
        <v>0</v>
      </c>
      <c r="F64" s="182">
        <v>42980</v>
      </c>
      <c r="G64" s="181">
        <v>2325.2200000000003</v>
      </c>
      <c r="H64" s="182">
        <v>2641159</v>
      </c>
      <c r="I64" s="181">
        <v>138970.19</v>
      </c>
      <c r="J64" s="183">
        <v>-2201.2199999999998</v>
      </c>
      <c r="K64" s="184">
        <v>0</v>
      </c>
      <c r="L64" s="185">
        <f t="shared" si="3"/>
        <v>139094.19</v>
      </c>
      <c r="M64" s="5" t="s">
        <v>681</v>
      </c>
      <c r="O64" t="str">
        <f t="shared" si="5"/>
        <v>Regelzone 50Hertz (gesamt)</v>
      </c>
    </row>
    <row r="65" spans="1:15" hidden="1" outlineLevel="1">
      <c r="A65" s="130" t="s">
        <v>680</v>
      </c>
      <c r="B65" s="14">
        <v>1</v>
      </c>
      <c r="C65" s="131">
        <v>2023</v>
      </c>
      <c r="D65" s="182">
        <v>0</v>
      </c>
      <c r="E65" s="181">
        <v>0</v>
      </c>
      <c r="F65" s="182">
        <v>-55586</v>
      </c>
      <c r="G65" s="181">
        <v>-3007.2</v>
      </c>
      <c r="H65" s="182">
        <v>-239966</v>
      </c>
      <c r="I65" s="181">
        <v>-38094.82</v>
      </c>
      <c r="J65" s="183">
        <v>3507.84</v>
      </c>
      <c r="K65" s="184">
        <v>0</v>
      </c>
      <c r="L65" s="185">
        <f t="shared" si="3"/>
        <v>-37594.179999999993</v>
      </c>
      <c r="M65" s="5" t="s">
        <v>681</v>
      </c>
      <c r="O65" t="str">
        <f t="shared" si="5"/>
        <v>Regelzone 50Hertz (gesamt)</v>
      </c>
    </row>
    <row r="66" spans="1:15" hidden="1" outlineLevel="1">
      <c r="A66" s="130" t="s">
        <v>680</v>
      </c>
      <c r="B66" s="14">
        <v>1</v>
      </c>
      <c r="C66" s="131">
        <v>2024</v>
      </c>
      <c r="D66" s="182">
        <v>0</v>
      </c>
      <c r="E66" s="181">
        <v>0</v>
      </c>
      <c r="F66" s="182">
        <v>-42906</v>
      </c>
      <c r="G66" s="181">
        <v>-2321.21</v>
      </c>
      <c r="H66" s="182">
        <v>-102339</v>
      </c>
      <c r="I66" s="181">
        <v>-34426.620000000003</v>
      </c>
      <c r="J66" s="183">
        <v>0</v>
      </c>
      <c r="K66" s="184">
        <v>0</v>
      </c>
      <c r="L66" s="185">
        <f t="shared" si="3"/>
        <v>-36747.83</v>
      </c>
      <c r="M66" s="5" t="s">
        <v>681</v>
      </c>
      <c r="O66" t="str">
        <f t="shared" si="5"/>
        <v>Regelzone 50Hertz (gesamt)</v>
      </c>
    </row>
    <row r="67" spans="1:15" hidden="1" outlineLevel="1">
      <c r="A67" s="130" t="s">
        <v>680</v>
      </c>
      <c r="B67" s="14">
        <v>1</v>
      </c>
      <c r="C67" s="131">
        <v>2022</v>
      </c>
      <c r="D67" s="182">
        <v>0</v>
      </c>
      <c r="E67" s="181">
        <v>0</v>
      </c>
      <c r="F67" s="182">
        <v>-28903</v>
      </c>
      <c r="G67" s="181">
        <v>-1563.65</v>
      </c>
      <c r="H67" s="182">
        <v>-582835</v>
      </c>
      <c r="I67" s="181">
        <v>-27098.209999999995</v>
      </c>
      <c r="J67" s="183">
        <v>3.75</v>
      </c>
      <c r="K67" s="184">
        <v>0</v>
      </c>
      <c r="L67" s="185">
        <f t="shared" si="3"/>
        <v>-28658.109999999997</v>
      </c>
      <c r="M67" s="5" t="s">
        <v>681</v>
      </c>
      <c r="O67" t="str">
        <f t="shared" si="5"/>
        <v>Regelzone 50Hertz (gesamt)</v>
      </c>
    </row>
    <row r="68" spans="1:15" hidden="1" outlineLevel="1">
      <c r="A68" s="130" t="s">
        <v>682</v>
      </c>
      <c r="B68" s="14">
        <v>7</v>
      </c>
      <c r="C68" s="131">
        <v>2023</v>
      </c>
      <c r="D68" s="182">
        <v>0</v>
      </c>
      <c r="E68" s="181">
        <v>0</v>
      </c>
      <c r="F68" s="182">
        <v>734348</v>
      </c>
      <c r="G68" s="181">
        <v>39728.199999999997</v>
      </c>
      <c r="H68" s="182">
        <v>1751668</v>
      </c>
      <c r="I68" s="181">
        <v>177012.02999999991</v>
      </c>
      <c r="J68" s="183">
        <v>-776.97</v>
      </c>
      <c r="K68" s="184">
        <v>0</v>
      </c>
      <c r="L68" s="185">
        <f t="shared" si="3"/>
        <v>215963.25999999992</v>
      </c>
      <c r="M68" s="5" t="s">
        <v>683</v>
      </c>
      <c r="O68" t="str">
        <f t="shared" si="5"/>
        <v>Regelzone 50Hertz (gesamt)</v>
      </c>
    </row>
    <row r="69" spans="1:15" hidden="1" outlineLevel="1">
      <c r="A69" s="130" t="s">
        <v>686</v>
      </c>
      <c r="B69" s="14">
        <v>7</v>
      </c>
      <c r="C69" s="131">
        <v>2022</v>
      </c>
      <c r="D69" s="182">
        <v>65098</v>
      </c>
      <c r="E69" s="181">
        <v>3326.51</v>
      </c>
      <c r="F69" s="182">
        <v>355476</v>
      </c>
      <c r="G69" s="181">
        <v>15845.429999999998</v>
      </c>
      <c r="H69" s="182">
        <v>3085564</v>
      </c>
      <c r="I69" s="181">
        <v>213746.2</v>
      </c>
      <c r="J69" s="183">
        <v>0</v>
      </c>
      <c r="K69" s="184">
        <v>0</v>
      </c>
      <c r="L69" s="185">
        <f t="shared" si="3"/>
        <v>232918.14</v>
      </c>
      <c r="M69" s="5" t="s">
        <v>687</v>
      </c>
      <c r="O69" t="str">
        <f t="shared" si="5"/>
        <v>Regelzone 50Hertz (gesamt)</v>
      </c>
    </row>
    <row r="70" spans="1:15" hidden="1" outlineLevel="1">
      <c r="A70" s="130" t="s">
        <v>686</v>
      </c>
      <c r="B70" s="14">
        <v>7</v>
      </c>
      <c r="C70" s="131">
        <v>2023</v>
      </c>
      <c r="D70" s="182">
        <v>0</v>
      </c>
      <c r="E70" s="181">
        <v>0</v>
      </c>
      <c r="F70" s="182">
        <v>2907166</v>
      </c>
      <c r="G70" s="181">
        <v>116768.41000000002</v>
      </c>
      <c r="H70" s="182">
        <v>1031168</v>
      </c>
      <c r="I70" s="181">
        <v>86871.239999999947</v>
      </c>
      <c r="J70" s="183">
        <v>0</v>
      </c>
      <c r="K70" s="184">
        <v>0</v>
      </c>
      <c r="L70" s="185">
        <f t="shared" si="3"/>
        <v>203639.64999999997</v>
      </c>
      <c r="M70" s="5" t="s">
        <v>687</v>
      </c>
      <c r="O70" t="str">
        <f t="shared" si="5"/>
        <v>Regelzone 50Hertz (gesamt)</v>
      </c>
    </row>
    <row r="71" spans="1:15" hidden="1" outlineLevel="1">
      <c r="A71" s="130" t="s">
        <v>686</v>
      </c>
      <c r="B71" s="14">
        <v>7</v>
      </c>
      <c r="C71" s="131">
        <v>2024</v>
      </c>
      <c r="D71" s="182">
        <v>0</v>
      </c>
      <c r="E71" s="181">
        <v>0</v>
      </c>
      <c r="F71" s="182">
        <v>663284</v>
      </c>
      <c r="G71" s="181">
        <v>33420.39</v>
      </c>
      <c r="H71" s="182">
        <v>2038521</v>
      </c>
      <c r="I71" s="181">
        <v>167763.23000000001</v>
      </c>
      <c r="J71" s="183">
        <v>-442.47</v>
      </c>
      <c r="K71" s="184">
        <v>0</v>
      </c>
      <c r="L71" s="185">
        <f t="shared" si="3"/>
        <v>200741.15</v>
      </c>
      <c r="M71" s="5" t="s">
        <v>687</v>
      </c>
      <c r="O71" t="str">
        <f t="shared" si="5"/>
        <v>Regelzone 50Hertz (gesamt)</v>
      </c>
    </row>
    <row r="72" spans="1:15" hidden="1" outlineLevel="1">
      <c r="A72" s="130" t="s">
        <v>686</v>
      </c>
      <c r="B72" s="14">
        <v>1</v>
      </c>
      <c r="C72" s="131">
        <v>2024</v>
      </c>
      <c r="D72" s="182">
        <v>0</v>
      </c>
      <c r="E72" s="181">
        <v>0</v>
      </c>
      <c r="F72" s="182">
        <v>-41911</v>
      </c>
      <c r="G72" s="181">
        <v>-2267.38</v>
      </c>
      <c r="H72" s="182">
        <v>-141647</v>
      </c>
      <c r="I72" s="181">
        <v>-15738.219999999998</v>
      </c>
      <c r="J72" s="183">
        <v>-222.13</v>
      </c>
      <c r="K72" s="184">
        <v>0</v>
      </c>
      <c r="L72" s="185">
        <f t="shared" ref="L72:L79" si="7">E72+G72+I72+J72+K72</f>
        <v>-18227.73</v>
      </c>
      <c r="M72" s="5" t="s">
        <v>687</v>
      </c>
      <c r="O72" t="str">
        <f t="shared" si="5"/>
        <v>Regelzone 50Hertz (gesamt)</v>
      </c>
    </row>
    <row r="73" spans="1:15" hidden="1" outlineLevel="1">
      <c r="A73" s="130" t="s">
        <v>686</v>
      </c>
      <c r="B73" s="14">
        <v>1</v>
      </c>
      <c r="C73" s="131">
        <v>2023</v>
      </c>
      <c r="D73" s="182">
        <v>0</v>
      </c>
      <c r="E73" s="181">
        <v>0</v>
      </c>
      <c r="F73" s="182">
        <v>-614484</v>
      </c>
      <c r="G73" s="181">
        <v>-27103.82</v>
      </c>
      <c r="H73" s="182">
        <v>-193070</v>
      </c>
      <c r="I73" s="181">
        <v>-21699.710000000003</v>
      </c>
      <c r="J73" s="183">
        <v>0</v>
      </c>
      <c r="K73" s="184">
        <v>0</v>
      </c>
      <c r="L73" s="185">
        <f t="shared" si="7"/>
        <v>-48803.53</v>
      </c>
      <c r="M73" s="5" t="s">
        <v>687</v>
      </c>
      <c r="O73" t="str">
        <f t="shared" si="5"/>
        <v>Regelzone 50Hertz (gesamt)</v>
      </c>
    </row>
    <row r="74" spans="1:15" hidden="1" outlineLevel="1">
      <c r="A74" s="130" t="s">
        <v>686</v>
      </c>
      <c r="B74" s="14">
        <v>1</v>
      </c>
      <c r="C74" s="131">
        <v>2022</v>
      </c>
      <c r="D74" s="182">
        <v>0</v>
      </c>
      <c r="E74" s="181">
        <v>0</v>
      </c>
      <c r="F74" s="182">
        <v>-26723</v>
      </c>
      <c r="G74" s="181">
        <v>-1431.3300000000002</v>
      </c>
      <c r="H74" s="182">
        <v>-134664</v>
      </c>
      <c r="I74" s="181">
        <v>-11942.210000000003</v>
      </c>
      <c r="J74" s="183">
        <v>0</v>
      </c>
      <c r="K74" s="184">
        <v>0</v>
      </c>
      <c r="L74" s="185">
        <f t="shared" si="7"/>
        <v>-13373.540000000003</v>
      </c>
      <c r="M74" s="5" t="s">
        <v>687</v>
      </c>
      <c r="O74" t="str">
        <f t="shared" si="5"/>
        <v>Regelzone 50Hertz (gesamt)</v>
      </c>
    </row>
    <row r="75" spans="1:15" hidden="1" outlineLevel="1">
      <c r="A75" s="130" t="s">
        <v>688</v>
      </c>
      <c r="B75" s="14">
        <v>7</v>
      </c>
      <c r="C75" s="131">
        <v>2024</v>
      </c>
      <c r="D75" s="182">
        <v>0</v>
      </c>
      <c r="E75" s="181">
        <v>0</v>
      </c>
      <c r="F75" s="182">
        <v>0</v>
      </c>
      <c r="G75" s="181">
        <v>0</v>
      </c>
      <c r="H75" s="182">
        <v>434363</v>
      </c>
      <c r="I75" s="181">
        <v>35918.31</v>
      </c>
      <c r="J75" s="183">
        <v>0</v>
      </c>
      <c r="K75" s="184">
        <v>0</v>
      </c>
      <c r="L75" s="185">
        <f t="shared" si="7"/>
        <v>35918.31</v>
      </c>
      <c r="M75" s="5" t="s">
        <v>689</v>
      </c>
      <c r="O75" t="str">
        <f t="shared" si="5"/>
        <v>Regelzone 50Hertz (gesamt)</v>
      </c>
    </row>
    <row r="76" spans="1:15" hidden="1" outlineLevel="1">
      <c r="A76" s="130" t="s">
        <v>688</v>
      </c>
      <c r="B76" s="14">
        <v>7</v>
      </c>
      <c r="C76" s="131">
        <v>2023</v>
      </c>
      <c r="D76" s="182">
        <v>0</v>
      </c>
      <c r="E76" s="181">
        <v>0</v>
      </c>
      <c r="F76" s="182">
        <v>0</v>
      </c>
      <c r="G76" s="181">
        <v>0</v>
      </c>
      <c r="H76" s="182">
        <v>237240</v>
      </c>
      <c r="I76" s="181">
        <v>23814.199999999997</v>
      </c>
      <c r="J76" s="183">
        <v>0</v>
      </c>
      <c r="K76" s="184">
        <v>0</v>
      </c>
      <c r="L76" s="185">
        <f t="shared" si="7"/>
        <v>23814.199999999997</v>
      </c>
      <c r="M76" s="5" t="s">
        <v>689</v>
      </c>
      <c r="O76" t="str">
        <f t="shared" si="5"/>
        <v>Regelzone 50Hertz (gesamt)</v>
      </c>
    </row>
    <row r="77" spans="1:15" hidden="1" outlineLevel="1">
      <c r="A77" s="130" t="s">
        <v>688</v>
      </c>
      <c r="B77" s="14">
        <v>7</v>
      </c>
      <c r="C77" s="131">
        <v>2022</v>
      </c>
      <c r="D77" s="182">
        <v>0</v>
      </c>
      <c r="E77" s="181">
        <v>0</v>
      </c>
      <c r="F77" s="182">
        <v>0</v>
      </c>
      <c r="G77" s="181">
        <v>0</v>
      </c>
      <c r="H77" s="182">
        <v>29173</v>
      </c>
      <c r="I77" s="181">
        <v>2333.84</v>
      </c>
      <c r="J77" s="183">
        <v>0</v>
      </c>
      <c r="K77" s="184">
        <v>0</v>
      </c>
      <c r="L77" s="185">
        <f t="shared" si="7"/>
        <v>2333.84</v>
      </c>
      <c r="M77" s="5" t="s">
        <v>689</v>
      </c>
      <c r="O77" t="str">
        <f t="shared" si="5"/>
        <v>Regelzone 50Hertz (gesamt)</v>
      </c>
    </row>
    <row r="78" spans="1:15" hidden="1" outlineLevel="1">
      <c r="A78" s="130" t="s">
        <v>692</v>
      </c>
      <c r="B78" s="14">
        <v>7</v>
      </c>
      <c r="C78" s="131">
        <v>2024</v>
      </c>
      <c r="D78" s="182">
        <v>0</v>
      </c>
      <c r="E78" s="181">
        <v>0</v>
      </c>
      <c r="F78" s="182">
        <v>0</v>
      </c>
      <c r="G78" s="181">
        <v>0</v>
      </c>
      <c r="H78" s="182">
        <v>-8231</v>
      </c>
      <c r="I78" s="181">
        <v>-658.48</v>
      </c>
      <c r="J78" s="183">
        <v>0</v>
      </c>
      <c r="K78" s="184">
        <v>0</v>
      </c>
      <c r="L78" s="185">
        <f t="shared" si="7"/>
        <v>-658.48</v>
      </c>
      <c r="M78" s="5" t="s">
        <v>693</v>
      </c>
      <c r="O78" t="str">
        <f t="shared" si="5"/>
        <v>Regelzone 50Hertz (gesamt)</v>
      </c>
    </row>
    <row r="79" spans="1:15" hidden="1" outlineLevel="1">
      <c r="A79" s="130" t="s">
        <v>712</v>
      </c>
      <c r="B79" s="14">
        <v>7</v>
      </c>
      <c r="C79" s="131">
        <v>2024</v>
      </c>
      <c r="D79" s="182">
        <v>0</v>
      </c>
      <c r="E79" s="181">
        <v>0</v>
      </c>
      <c r="F79" s="182">
        <v>0</v>
      </c>
      <c r="G79" s="181">
        <v>0</v>
      </c>
      <c r="H79" s="182">
        <v>199898</v>
      </c>
      <c r="I79" s="181">
        <v>15991.84</v>
      </c>
      <c r="J79" s="183">
        <v>0</v>
      </c>
      <c r="K79" s="184">
        <v>0</v>
      </c>
      <c r="L79" s="185">
        <f t="shared" si="7"/>
        <v>15991.84</v>
      </c>
      <c r="M79" s="5" t="s">
        <v>713</v>
      </c>
      <c r="O79" t="str">
        <f t="shared" si="5"/>
        <v>Regelzone 50Hertz (gesamt)</v>
      </c>
    </row>
    <row r="80" spans="1:15" hidden="1" outlineLevel="1">
      <c r="A80" s="130" t="s">
        <v>722</v>
      </c>
      <c r="B80" s="14">
        <v>7</v>
      </c>
      <c r="C80" s="131">
        <v>2022</v>
      </c>
      <c r="D80" s="182">
        <v>75818</v>
      </c>
      <c r="E80" s="181">
        <v>3874.2999999999993</v>
      </c>
      <c r="F80" s="182">
        <v>3548953</v>
      </c>
      <c r="G80" s="181">
        <v>195484.01</v>
      </c>
      <c r="H80" s="182">
        <v>36838413</v>
      </c>
      <c r="I80" s="181">
        <v>2812954.2700000014</v>
      </c>
      <c r="J80" s="183">
        <v>-11281.06</v>
      </c>
      <c r="K80" s="184">
        <v>0</v>
      </c>
      <c r="L80" s="185">
        <f t="shared" ref="L80:L98" si="8">E80+G80+I80+J80+K80</f>
        <v>3001031.5200000014</v>
      </c>
      <c r="M80" s="5" t="s">
        <v>723</v>
      </c>
      <c r="O80" t="str">
        <f t="shared" si="5"/>
        <v>Regelzone 50Hertz (gesamt)</v>
      </c>
    </row>
    <row r="81" spans="1:15" hidden="1" outlineLevel="1">
      <c r="A81" s="1583" t="s">
        <v>722</v>
      </c>
      <c r="B81" s="1584">
        <v>1</v>
      </c>
      <c r="C81" s="1585">
        <v>2022</v>
      </c>
      <c r="D81" s="1586">
        <v>-3307</v>
      </c>
      <c r="E81" s="1587">
        <v>-168.99</v>
      </c>
      <c r="F81" s="1586">
        <v>5606</v>
      </c>
      <c r="G81" s="1587">
        <v>303.27999999999975</v>
      </c>
      <c r="H81" s="1586">
        <v>-31377</v>
      </c>
      <c r="I81" s="1587">
        <v>-8631.24</v>
      </c>
      <c r="J81" s="1588">
        <v>-357.14</v>
      </c>
      <c r="K81" s="1588">
        <v>0</v>
      </c>
      <c r="L81" s="191">
        <f t="shared" ref="L81:L94" si="9">E81+G81+I81+J81+K81</f>
        <v>-8854.09</v>
      </c>
      <c r="M81" s="5" t="s">
        <v>723</v>
      </c>
      <c r="O81" t="str">
        <f t="shared" ref="O81:O94" si="10">$A$11</f>
        <v>Regelzone 50Hertz (gesamt)</v>
      </c>
    </row>
    <row r="82" spans="1:15" hidden="1" outlineLevel="1">
      <c r="A82" s="1583" t="s">
        <v>722</v>
      </c>
      <c r="B82" s="1584">
        <v>7</v>
      </c>
      <c r="C82" s="1585">
        <v>2021</v>
      </c>
      <c r="D82" s="1586">
        <v>0</v>
      </c>
      <c r="E82" s="1587">
        <v>0</v>
      </c>
      <c r="F82" s="1586">
        <v>589200</v>
      </c>
      <c r="G82" s="1587">
        <v>31875.719999999998</v>
      </c>
      <c r="H82" s="1586">
        <v>4211963</v>
      </c>
      <c r="I82" s="1587">
        <v>388325.31</v>
      </c>
      <c r="J82" s="1588">
        <v>-597.09</v>
      </c>
      <c r="K82" s="1588">
        <v>0</v>
      </c>
      <c r="L82" s="191">
        <f t="shared" si="9"/>
        <v>419603.93999999994</v>
      </c>
      <c r="M82" s="5" t="s">
        <v>723</v>
      </c>
      <c r="O82" t="str">
        <f t="shared" si="10"/>
        <v>Regelzone 50Hertz (gesamt)</v>
      </c>
    </row>
    <row r="83" spans="1:15" hidden="1" outlineLevel="1">
      <c r="A83" s="1583" t="s">
        <v>722</v>
      </c>
      <c r="B83" s="1584">
        <v>7</v>
      </c>
      <c r="C83" s="1585">
        <v>2020</v>
      </c>
      <c r="D83" s="1586">
        <v>0</v>
      </c>
      <c r="E83" s="1587">
        <v>0</v>
      </c>
      <c r="F83" s="1586">
        <v>0</v>
      </c>
      <c r="G83" s="1587">
        <v>0</v>
      </c>
      <c r="H83" s="1586">
        <v>561919</v>
      </c>
      <c r="I83" s="1587">
        <v>41457.920000000006</v>
      </c>
      <c r="J83" s="1588">
        <v>0</v>
      </c>
      <c r="K83" s="1588">
        <v>0</v>
      </c>
      <c r="L83" s="191">
        <f t="shared" si="9"/>
        <v>41457.920000000006</v>
      </c>
      <c r="M83" s="5" t="s">
        <v>723</v>
      </c>
      <c r="O83" t="str">
        <f t="shared" si="10"/>
        <v>Regelzone 50Hertz (gesamt)</v>
      </c>
    </row>
    <row r="84" spans="1:15" hidden="1" outlineLevel="1">
      <c r="A84" s="1583" t="s">
        <v>728</v>
      </c>
      <c r="B84" s="1584">
        <v>7</v>
      </c>
      <c r="C84" s="1585">
        <v>2023</v>
      </c>
      <c r="D84" s="1586">
        <v>0</v>
      </c>
      <c r="E84" s="1587">
        <v>0</v>
      </c>
      <c r="F84" s="1586">
        <v>514934</v>
      </c>
      <c r="G84" s="1587">
        <v>27857.95</v>
      </c>
      <c r="H84" s="1586">
        <v>1531145</v>
      </c>
      <c r="I84" s="1587">
        <v>131776.67000000001</v>
      </c>
      <c r="J84" s="1588">
        <v>13.06</v>
      </c>
      <c r="K84" s="1588">
        <v>0</v>
      </c>
      <c r="L84" s="191">
        <f t="shared" si="9"/>
        <v>159647.68000000002</v>
      </c>
      <c r="M84" s="5" t="s">
        <v>729</v>
      </c>
      <c r="O84" t="str">
        <f t="shared" si="10"/>
        <v>Regelzone 50Hertz (gesamt)</v>
      </c>
    </row>
    <row r="85" spans="1:15" hidden="1" outlineLevel="1">
      <c r="A85" s="1583" t="s">
        <v>740</v>
      </c>
      <c r="B85" s="1584">
        <v>7</v>
      </c>
      <c r="C85" s="1585">
        <v>2021</v>
      </c>
      <c r="D85" s="1586">
        <v>0</v>
      </c>
      <c r="E85" s="1587">
        <v>0</v>
      </c>
      <c r="F85" s="1586">
        <v>0</v>
      </c>
      <c r="G85" s="1587">
        <v>0</v>
      </c>
      <c r="H85" s="1586">
        <v>-1</v>
      </c>
      <c r="I85" s="1587">
        <v>157474.54000000004</v>
      </c>
      <c r="J85" s="1588">
        <v>0</v>
      </c>
      <c r="K85" s="1588">
        <v>0</v>
      </c>
      <c r="L85" s="191">
        <f t="shared" si="9"/>
        <v>157474.54000000004</v>
      </c>
      <c r="M85" s="5" t="s">
        <v>741</v>
      </c>
      <c r="O85" t="str">
        <f t="shared" si="10"/>
        <v>Regelzone 50Hertz (gesamt)</v>
      </c>
    </row>
    <row r="86" spans="1:15" hidden="1" outlineLevel="1">
      <c r="A86" s="1583" t="s">
        <v>740</v>
      </c>
      <c r="B86" s="1584">
        <v>7</v>
      </c>
      <c r="C86" s="1585">
        <v>2022</v>
      </c>
      <c r="D86" s="1586">
        <v>0</v>
      </c>
      <c r="E86" s="1587">
        <v>0</v>
      </c>
      <c r="F86" s="1586">
        <v>0</v>
      </c>
      <c r="G86" s="1587">
        <v>0</v>
      </c>
      <c r="H86" s="1586">
        <v>-1</v>
      </c>
      <c r="I86" s="1587">
        <v>107628.89000000003</v>
      </c>
      <c r="J86" s="1588">
        <v>0</v>
      </c>
      <c r="K86" s="1588">
        <v>0</v>
      </c>
      <c r="L86" s="191">
        <f t="shared" si="9"/>
        <v>107628.89000000003</v>
      </c>
      <c r="M86" s="5" t="s">
        <v>741</v>
      </c>
      <c r="O86" t="str">
        <f t="shared" si="10"/>
        <v>Regelzone 50Hertz (gesamt)</v>
      </c>
    </row>
    <row r="87" spans="1:15" hidden="1" outlineLevel="1">
      <c r="A87" s="1583" t="s">
        <v>740</v>
      </c>
      <c r="B87" s="1584">
        <v>7</v>
      </c>
      <c r="C87" s="1585">
        <v>2023</v>
      </c>
      <c r="D87" s="1586">
        <v>0</v>
      </c>
      <c r="E87" s="1587">
        <v>0</v>
      </c>
      <c r="F87" s="1586">
        <v>0</v>
      </c>
      <c r="G87" s="1587">
        <v>0</v>
      </c>
      <c r="H87" s="1586">
        <v>-1</v>
      </c>
      <c r="I87" s="1587">
        <v>113621.96000000002</v>
      </c>
      <c r="J87" s="1588">
        <v>0</v>
      </c>
      <c r="K87" s="1588">
        <v>0</v>
      </c>
      <c r="L87" s="191">
        <f t="shared" si="9"/>
        <v>113621.96000000002</v>
      </c>
      <c r="M87" s="5" t="s">
        <v>741</v>
      </c>
      <c r="O87" t="str">
        <f t="shared" si="10"/>
        <v>Regelzone 50Hertz (gesamt)</v>
      </c>
    </row>
    <row r="88" spans="1:15" hidden="1" outlineLevel="1">
      <c r="A88" s="1583" t="s">
        <v>740</v>
      </c>
      <c r="B88" s="1584">
        <v>7</v>
      </c>
      <c r="C88" s="1585">
        <v>2024</v>
      </c>
      <c r="D88" s="1586">
        <v>0</v>
      </c>
      <c r="E88" s="1587">
        <v>0</v>
      </c>
      <c r="F88" s="1586">
        <v>0</v>
      </c>
      <c r="G88" s="1587">
        <v>0</v>
      </c>
      <c r="H88" s="1586">
        <v>-1</v>
      </c>
      <c r="I88" s="1587">
        <v>106681.35999999999</v>
      </c>
      <c r="J88" s="1588">
        <v>0</v>
      </c>
      <c r="K88" s="1588">
        <v>0</v>
      </c>
      <c r="L88" s="191">
        <f t="shared" si="9"/>
        <v>106681.35999999999</v>
      </c>
      <c r="M88" s="5" t="s">
        <v>741</v>
      </c>
      <c r="O88" t="str">
        <f t="shared" si="10"/>
        <v>Regelzone 50Hertz (gesamt)</v>
      </c>
    </row>
    <row r="89" spans="1:15" hidden="1" outlineLevel="1">
      <c r="A89" s="1583" t="s">
        <v>748</v>
      </c>
      <c r="B89" s="1584">
        <v>7</v>
      </c>
      <c r="C89" s="1585">
        <v>2022</v>
      </c>
      <c r="D89" s="1586">
        <v>0</v>
      </c>
      <c r="E89" s="1587">
        <v>0</v>
      </c>
      <c r="F89" s="1586">
        <v>0</v>
      </c>
      <c r="G89" s="1587">
        <v>0</v>
      </c>
      <c r="H89" s="1586">
        <v>39545</v>
      </c>
      <c r="I89" s="1587">
        <v>4225.12</v>
      </c>
      <c r="J89" s="1588">
        <v>0</v>
      </c>
      <c r="K89" s="1588">
        <v>0</v>
      </c>
      <c r="L89" s="191">
        <f t="shared" si="9"/>
        <v>4225.12</v>
      </c>
      <c r="M89" s="5" t="s">
        <v>749</v>
      </c>
      <c r="O89" t="str">
        <f t="shared" si="10"/>
        <v>Regelzone 50Hertz (gesamt)</v>
      </c>
    </row>
    <row r="90" spans="1:15" hidden="1" outlineLevel="1">
      <c r="A90" s="1583" t="s">
        <v>748</v>
      </c>
      <c r="B90" s="1584">
        <v>7</v>
      </c>
      <c r="C90" s="1585">
        <v>2023</v>
      </c>
      <c r="D90" s="1586">
        <v>0</v>
      </c>
      <c r="E90" s="1587">
        <v>0</v>
      </c>
      <c r="F90" s="1586">
        <v>0</v>
      </c>
      <c r="G90" s="1587">
        <v>0</v>
      </c>
      <c r="H90" s="1586">
        <v>80000</v>
      </c>
      <c r="I90" s="1587">
        <v>9496.48</v>
      </c>
      <c r="J90" s="1588">
        <v>0</v>
      </c>
      <c r="K90" s="1588">
        <v>0</v>
      </c>
      <c r="L90" s="191">
        <f t="shared" si="9"/>
        <v>9496.48</v>
      </c>
      <c r="M90" s="5" t="s">
        <v>749</v>
      </c>
      <c r="O90" t="str">
        <f t="shared" si="10"/>
        <v>Regelzone 50Hertz (gesamt)</v>
      </c>
    </row>
    <row r="91" spans="1:15" hidden="1" outlineLevel="1">
      <c r="A91" s="1583" t="s">
        <v>748</v>
      </c>
      <c r="B91" s="1584">
        <v>7</v>
      </c>
      <c r="C91" s="1585">
        <v>2024</v>
      </c>
      <c r="D91" s="1586">
        <v>0</v>
      </c>
      <c r="E91" s="1587">
        <v>0</v>
      </c>
      <c r="F91" s="1586">
        <v>0</v>
      </c>
      <c r="G91" s="1587">
        <v>0</v>
      </c>
      <c r="H91" s="1586">
        <v>80000</v>
      </c>
      <c r="I91" s="1587">
        <v>9907.76</v>
      </c>
      <c r="J91" s="1588">
        <v>0</v>
      </c>
      <c r="K91" s="1588">
        <v>0</v>
      </c>
      <c r="L91" s="191">
        <f t="shared" si="9"/>
        <v>9907.76</v>
      </c>
      <c r="M91" s="5" t="s">
        <v>749</v>
      </c>
      <c r="O91" t="str">
        <f t="shared" si="10"/>
        <v>Regelzone 50Hertz (gesamt)</v>
      </c>
    </row>
    <row r="92" spans="1:15" hidden="1" outlineLevel="1">
      <c r="A92" s="1583" t="s">
        <v>750</v>
      </c>
      <c r="B92" s="1584">
        <v>7</v>
      </c>
      <c r="C92" s="1585">
        <v>2022</v>
      </c>
      <c r="D92" s="1586">
        <v>0</v>
      </c>
      <c r="E92" s="1587">
        <v>0</v>
      </c>
      <c r="F92" s="1586">
        <v>0</v>
      </c>
      <c r="G92" s="1587">
        <v>0</v>
      </c>
      <c r="H92" s="1586">
        <v>135519</v>
      </c>
      <c r="I92" s="1587">
        <v>16387.240000000002</v>
      </c>
      <c r="J92" s="1588">
        <v>0</v>
      </c>
      <c r="K92" s="1588">
        <v>0</v>
      </c>
      <c r="L92" s="191">
        <f t="shared" si="9"/>
        <v>16387.240000000002</v>
      </c>
      <c r="M92" s="5" t="s">
        <v>751</v>
      </c>
      <c r="O92" t="str">
        <f t="shared" si="10"/>
        <v>Regelzone 50Hertz (gesamt)</v>
      </c>
    </row>
    <row r="93" spans="1:15" hidden="1" outlineLevel="1">
      <c r="A93" s="1583" t="s">
        <v>754</v>
      </c>
      <c r="B93" s="1584">
        <v>7</v>
      </c>
      <c r="C93" s="1585">
        <v>2024</v>
      </c>
      <c r="D93" s="1586">
        <v>0</v>
      </c>
      <c r="E93" s="1587">
        <v>0</v>
      </c>
      <c r="F93" s="1586">
        <v>0</v>
      </c>
      <c r="G93" s="1587">
        <v>0</v>
      </c>
      <c r="H93" s="1586">
        <v>0</v>
      </c>
      <c r="I93" s="1587">
        <v>6140.2000000000007</v>
      </c>
      <c r="J93" s="1588">
        <v>0</v>
      </c>
      <c r="K93" s="1588">
        <v>0</v>
      </c>
      <c r="L93" s="191">
        <f t="shared" si="9"/>
        <v>6140.2000000000007</v>
      </c>
      <c r="M93" s="5" t="s">
        <v>755</v>
      </c>
      <c r="O93" t="str">
        <f t="shared" si="10"/>
        <v>Regelzone 50Hertz (gesamt)</v>
      </c>
    </row>
    <row r="94" spans="1:15" hidden="1" outlineLevel="1">
      <c r="A94" s="1583" t="s">
        <v>754</v>
      </c>
      <c r="B94" s="1584">
        <v>7</v>
      </c>
      <c r="C94" s="1585">
        <v>2020</v>
      </c>
      <c r="D94" s="1586">
        <v>0</v>
      </c>
      <c r="E94" s="1587">
        <v>0</v>
      </c>
      <c r="F94" s="1586">
        <v>0</v>
      </c>
      <c r="G94" s="1587">
        <v>0</v>
      </c>
      <c r="H94" s="1586">
        <v>0</v>
      </c>
      <c r="I94" s="1587">
        <v>1183.6799999999998</v>
      </c>
      <c r="J94" s="1588">
        <v>0</v>
      </c>
      <c r="K94" s="1588">
        <v>0</v>
      </c>
      <c r="L94" s="191">
        <f t="shared" si="9"/>
        <v>1183.6799999999998</v>
      </c>
      <c r="M94" s="5" t="s">
        <v>755</v>
      </c>
      <c r="O94" t="str">
        <f t="shared" si="10"/>
        <v>Regelzone 50Hertz (gesamt)</v>
      </c>
    </row>
    <row r="95" spans="1:15" hidden="1" outlineLevel="1">
      <c r="A95" s="130" t="s">
        <v>754</v>
      </c>
      <c r="B95" s="14">
        <v>7</v>
      </c>
      <c r="C95" s="131">
        <v>2021</v>
      </c>
      <c r="D95" s="182">
        <v>0</v>
      </c>
      <c r="E95" s="181">
        <v>0</v>
      </c>
      <c r="F95" s="182">
        <v>0</v>
      </c>
      <c r="G95" s="181">
        <v>0</v>
      </c>
      <c r="H95" s="182">
        <v>0</v>
      </c>
      <c r="I95" s="181">
        <v>6029.7999999999993</v>
      </c>
      <c r="J95" s="183">
        <v>0</v>
      </c>
      <c r="K95" s="184">
        <v>0</v>
      </c>
      <c r="L95" s="185">
        <f t="shared" ref="L95" si="11">E95+G95+I95+J95+K95</f>
        <v>6029.7999999999993</v>
      </c>
      <c r="M95" s="5" t="s">
        <v>755</v>
      </c>
      <c r="O95" t="str">
        <f t="shared" si="5"/>
        <v>Regelzone 50Hertz (gesamt)</v>
      </c>
    </row>
    <row r="96" spans="1:15" hidden="1" outlineLevel="1">
      <c r="A96" s="130" t="s">
        <v>754</v>
      </c>
      <c r="B96" s="14">
        <v>7</v>
      </c>
      <c r="C96" s="131">
        <v>2022</v>
      </c>
      <c r="D96" s="182">
        <v>0</v>
      </c>
      <c r="E96" s="181">
        <v>0</v>
      </c>
      <c r="F96" s="182">
        <v>0</v>
      </c>
      <c r="G96" s="181">
        <v>0</v>
      </c>
      <c r="H96" s="182">
        <v>0</v>
      </c>
      <c r="I96" s="181">
        <v>6038.4400000000005</v>
      </c>
      <c r="J96" s="183">
        <v>0</v>
      </c>
      <c r="K96" s="184">
        <v>0</v>
      </c>
      <c r="L96" s="185">
        <f t="shared" si="8"/>
        <v>6038.4400000000005</v>
      </c>
      <c r="M96" s="5" t="s">
        <v>755</v>
      </c>
      <c r="O96" t="str">
        <f t="shared" si="5"/>
        <v>Regelzone 50Hertz (gesamt)</v>
      </c>
    </row>
    <row r="97" spans="1:17" hidden="1" outlineLevel="1">
      <c r="A97" s="130" t="s">
        <v>754</v>
      </c>
      <c r="B97" s="14">
        <v>7</v>
      </c>
      <c r="C97" s="131">
        <v>2023</v>
      </c>
      <c r="D97" s="182">
        <v>0</v>
      </c>
      <c r="E97" s="181">
        <v>0</v>
      </c>
      <c r="F97" s="182">
        <v>0</v>
      </c>
      <c r="G97" s="181">
        <v>0</v>
      </c>
      <c r="H97" s="182">
        <v>0</v>
      </c>
      <c r="I97" s="181">
        <v>5094.76</v>
      </c>
      <c r="J97" s="183">
        <v>0</v>
      </c>
      <c r="K97" s="184">
        <v>0</v>
      </c>
      <c r="L97" s="185">
        <f t="shared" si="8"/>
        <v>5094.76</v>
      </c>
      <c r="M97" s="5" t="s">
        <v>755</v>
      </c>
      <c r="O97" t="str">
        <f t="shared" si="5"/>
        <v>Regelzone 50Hertz (gesamt)</v>
      </c>
    </row>
    <row r="98" spans="1:17" hidden="1" outlineLevel="1">
      <c r="A98" s="130" t="s">
        <v>756</v>
      </c>
      <c r="B98" s="14">
        <v>7</v>
      </c>
      <c r="C98" s="131">
        <v>2023</v>
      </c>
      <c r="D98" s="182">
        <v>0</v>
      </c>
      <c r="E98" s="181">
        <v>0</v>
      </c>
      <c r="F98" s="182">
        <v>0</v>
      </c>
      <c r="G98" s="181">
        <v>0</v>
      </c>
      <c r="H98" s="182">
        <v>-351</v>
      </c>
      <c r="I98" s="181">
        <v>-28.08</v>
      </c>
      <c r="J98" s="183">
        <v>5.62</v>
      </c>
      <c r="K98" s="184">
        <v>0</v>
      </c>
      <c r="L98" s="185">
        <f t="shared" si="8"/>
        <v>-22.459999999999997</v>
      </c>
      <c r="M98" s="5" t="s">
        <v>757</v>
      </c>
      <c r="O98" t="str">
        <f t="shared" si="5"/>
        <v>Regelzone 50Hertz (gesamt)</v>
      </c>
    </row>
    <row r="99" spans="1:17" hidden="1" outlineLevel="1">
      <c r="A99" s="130" t="s">
        <v>758</v>
      </c>
      <c r="B99" s="14">
        <v>1</v>
      </c>
      <c r="C99" s="131">
        <v>2022</v>
      </c>
      <c r="D99" s="182">
        <v>0</v>
      </c>
      <c r="E99" s="181">
        <v>0</v>
      </c>
      <c r="F99" s="182">
        <v>-218475</v>
      </c>
      <c r="G99" s="181">
        <v>-11476.25</v>
      </c>
      <c r="H99" s="182">
        <v>13920</v>
      </c>
      <c r="I99" s="181">
        <v>967.2</v>
      </c>
      <c r="J99" s="183">
        <v>-4443.16</v>
      </c>
      <c r="K99" s="184">
        <v>0</v>
      </c>
      <c r="L99" s="185">
        <f t="shared" ref="L99:L100" si="12">E99+G99+I99+J99+K99</f>
        <v>-14952.21</v>
      </c>
      <c r="M99" s="5" t="s">
        <v>759</v>
      </c>
      <c r="O99" t="str">
        <f t="shared" si="5"/>
        <v>Regelzone 50Hertz (gesamt)</v>
      </c>
    </row>
    <row r="100" spans="1:17" hidden="1" outlineLevel="1">
      <c r="A100" s="130" t="s">
        <v>758</v>
      </c>
      <c r="B100" s="14">
        <v>7</v>
      </c>
      <c r="C100" s="131">
        <v>2022</v>
      </c>
      <c r="D100" s="182">
        <v>1494</v>
      </c>
      <c r="E100" s="181">
        <v>76.34</v>
      </c>
      <c r="F100" s="182">
        <v>690593</v>
      </c>
      <c r="G100" s="181">
        <v>37361.07</v>
      </c>
      <c r="H100" s="182">
        <v>1772050</v>
      </c>
      <c r="I100" s="181">
        <v>128013.07999999999</v>
      </c>
      <c r="J100" s="183">
        <v>102.36</v>
      </c>
      <c r="K100" s="184">
        <v>0</v>
      </c>
      <c r="L100" s="185">
        <f t="shared" si="12"/>
        <v>165552.84999999998</v>
      </c>
      <c r="M100" s="5" t="s">
        <v>759</v>
      </c>
      <c r="O100" t="str">
        <f t="shared" si="5"/>
        <v>Regelzone 50Hertz (gesamt)</v>
      </c>
    </row>
    <row r="101" spans="1:17" hidden="1" outlineLevel="1">
      <c r="A101" s="130" t="s">
        <v>760</v>
      </c>
      <c r="B101" s="14">
        <v>7</v>
      </c>
      <c r="C101" s="131">
        <v>2024</v>
      </c>
      <c r="D101" s="182">
        <v>0</v>
      </c>
      <c r="E101" s="181">
        <v>0</v>
      </c>
      <c r="F101" s="182">
        <v>0</v>
      </c>
      <c r="G101" s="181">
        <v>0</v>
      </c>
      <c r="H101" s="182">
        <v>0</v>
      </c>
      <c r="I101" s="181">
        <v>-8276.8799999999992</v>
      </c>
      <c r="J101" s="183">
        <v>0</v>
      </c>
      <c r="K101" s="184">
        <v>0</v>
      </c>
      <c r="L101" s="185">
        <f t="shared" ref="L101:L104" si="13">E101+G101+I101+J101+K101</f>
        <v>-8276.8799999999992</v>
      </c>
      <c r="M101" s="5" t="s">
        <v>761</v>
      </c>
      <c r="O101" t="str">
        <f t="shared" si="5"/>
        <v>Regelzone 50Hertz (gesamt)</v>
      </c>
    </row>
    <row r="102" spans="1:17" hidden="1" outlineLevel="1">
      <c r="A102" s="130" t="s">
        <v>762</v>
      </c>
      <c r="B102" s="14">
        <v>7</v>
      </c>
      <c r="C102" s="131">
        <v>2024</v>
      </c>
      <c r="D102" s="182">
        <v>0</v>
      </c>
      <c r="E102" s="181">
        <v>0</v>
      </c>
      <c r="F102" s="182">
        <v>0</v>
      </c>
      <c r="G102" s="181">
        <v>0</v>
      </c>
      <c r="H102" s="182">
        <v>2417</v>
      </c>
      <c r="I102" s="181">
        <v>193.36</v>
      </c>
      <c r="J102" s="183">
        <v>0</v>
      </c>
      <c r="K102" s="184">
        <v>0</v>
      </c>
      <c r="L102" s="185">
        <f t="shared" si="13"/>
        <v>193.36</v>
      </c>
      <c r="M102" s="5" t="s">
        <v>763</v>
      </c>
      <c r="O102" t="str">
        <f t="shared" si="5"/>
        <v>Regelzone 50Hertz (gesamt)</v>
      </c>
    </row>
    <row r="103" spans="1:17" hidden="1" outlineLevel="1">
      <c r="A103" s="130" t="s">
        <v>764</v>
      </c>
      <c r="B103" s="14">
        <v>1</v>
      </c>
      <c r="C103" s="131">
        <v>2024</v>
      </c>
      <c r="D103" s="182">
        <v>0</v>
      </c>
      <c r="E103" s="181">
        <v>0</v>
      </c>
      <c r="F103" s="182">
        <v>0</v>
      </c>
      <c r="G103" s="181">
        <v>0</v>
      </c>
      <c r="H103" s="182">
        <v>0</v>
      </c>
      <c r="I103" s="181">
        <v>-133.68</v>
      </c>
      <c r="J103" s="183">
        <v>0</v>
      </c>
      <c r="K103" s="184">
        <v>0</v>
      </c>
      <c r="L103" s="185">
        <f t="shared" ref="L103" si="14">E103+G103+I103+J103+K103</f>
        <v>-133.68</v>
      </c>
      <c r="M103" s="5" t="s">
        <v>765</v>
      </c>
      <c r="O103" t="str">
        <f t="shared" si="5"/>
        <v>Regelzone 50Hertz (gesamt)</v>
      </c>
    </row>
    <row r="104" spans="1:17" ht="25.5" collapsed="1">
      <c r="A104" s="129" t="s">
        <v>774</v>
      </c>
      <c r="B104" s="67"/>
      <c r="C104" s="952"/>
      <c r="D104" s="178">
        <f t="shared" ref="D104:K104" si="15">SUM(D105:D295)</f>
        <v>356053</v>
      </c>
      <c r="E104" s="177">
        <f t="shared" si="15"/>
        <v>17839.48</v>
      </c>
      <c r="F104" s="178">
        <f t="shared" si="15"/>
        <v>47811109</v>
      </c>
      <c r="G104" s="177">
        <f t="shared" si="15"/>
        <v>2206581.149999999</v>
      </c>
      <c r="H104" s="1589">
        <f t="shared" si="15"/>
        <v>536900323</v>
      </c>
      <c r="I104" s="1605">
        <f t="shared" si="15"/>
        <v>26033494.109999999</v>
      </c>
      <c r="J104" s="179">
        <f t="shared" si="15"/>
        <v>-174144.51</v>
      </c>
      <c r="K104" s="180">
        <f t="shared" si="15"/>
        <v>0</v>
      </c>
      <c r="L104" s="190">
        <f t="shared" si="13"/>
        <v>28083770.229999997</v>
      </c>
      <c r="M104" s="5"/>
      <c r="Q104" s="119"/>
    </row>
    <row r="105" spans="1:17" hidden="1" outlineLevel="1">
      <c r="A105" s="129" t="s">
        <v>777</v>
      </c>
      <c r="B105" s="69">
        <v>7</v>
      </c>
      <c r="C105" s="953">
        <v>2023</v>
      </c>
      <c r="D105" s="187">
        <v>0</v>
      </c>
      <c r="E105" s="186">
        <v>0</v>
      </c>
      <c r="F105" s="187">
        <v>-1751</v>
      </c>
      <c r="G105" s="186">
        <v>-94.73</v>
      </c>
      <c r="H105" s="187">
        <v>111233</v>
      </c>
      <c r="I105" s="186">
        <v>4481.4799999999996</v>
      </c>
      <c r="J105" s="188">
        <v>0</v>
      </c>
      <c r="K105" s="189">
        <v>0</v>
      </c>
      <c r="L105" s="185">
        <f>E105+G105+I105+J105+K105</f>
        <v>4386.75</v>
      </c>
      <c r="M105" s="5" t="s">
        <v>778</v>
      </c>
      <c r="O105" t="str">
        <f>$A$104</f>
        <v>Regelzone Amprion (gesamt)</v>
      </c>
    </row>
    <row r="106" spans="1:17" hidden="1" outlineLevel="1">
      <c r="A106" s="129" t="s">
        <v>777</v>
      </c>
      <c r="B106" s="69">
        <v>7</v>
      </c>
      <c r="C106" s="953">
        <v>2024</v>
      </c>
      <c r="D106" s="187">
        <v>0</v>
      </c>
      <c r="E106" s="186">
        <v>0</v>
      </c>
      <c r="F106" s="187">
        <v>132248</v>
      </c>
      <c r="G106" s="186">
        <v>7154.62</v>
      </c>
      <c r="H106" s="187">
        <v>432837</v>
      </c>
      <c r="I106" s="186">
        <v>34025.599999999999</v>
      </c>
      <c r="J106" s="188">
        <v>0</v>
      </c>
      <c r="K106" s="189">
        <v>0</v>
      </c>
      <c r="L106" s="185">
        <f t="shared" ref="L106:L169" si="16">E106+G106+I106+J106+K106</f>
        <v>41180.22</v>
      </c>
      <c r="M106" s="5" t="s">
        <v>778</v>
      </c>
      <c r="O106" t="str">
        <f t="shared" ref="O106:O169" si="17">$A$104</f>
        <v>Regelzone Amprion (gesamt)</v>
      </c>
    </row>
    <row r="107" spans="1:17" hidden="1" outlineLevel="1">
      <c r="A107" s="129" t="s">
        <v>781</v>
      </c>
      <c r="B107" s="69">
        <v>7</v>
      </c>
      <c r="C107" s="953">
        <v>2022</v>
      </c>
      <c r="D107" s="187">
        <v>0</v>
      </c>
      <c r="E107" s="186">
        <v>0</v>
      </c>
      <c r="F107" s="187">
        <v>0</v>
      </c>
      <c r="G107" s="186">
        <v>0</v>
      </c>
      <c r="H107" s="187">
        <v>0</v>
      </c>
      <c r="I107" s="186">
        <v>1800</v>
      </c>
      <c r="J107" s="188">
        <v>-324.51</v>
      </c>
      <c r="K107" s="189">
        <v>0</v>
      </c>
      <c r="L107" s="185">
        <f t="shared" si="16"/>
        <v>1475.49</v>
      </c>
      <c r="M107" s="5" t="s">
        <v>782</v>
      </c>
      <c r="O107" t="str">
        <f t="shared" si="17"/>
        <v>Regelzone Amprion (gesamt)</v>
      </c>
    </row>
    <row r="108" spans="1:17" hidden="1" outlineLevel="1">
      <c r="A108" s="129" t="s">
        <v>781</v>
      </c>
      <c r="B108" s="69">
        <v>7</v>
      </c>
      <c r="C108" s="953">
        <v>2023</v>
      </c>
      <c r="D108" s="187">
        <v>0</v>
      </c>
      <c r="E108" s="186">
        <v>0</v>
      </c>
      <c r="F108" s="187">
        <v>0</v>
      </c>
      <c r="G108" s="186">
        <v>0</v>
      </c>
      <c r="H108" s="187">
        <v>109772</v>
      </c>
      <c r="I108" s="186">
        <v>13209.44</v>
      </c>
      <c r="J108" s="188">
        <v>-5527.77</v>
      </c>
      <c r="K108" s="189">
        <v>0</v>
      </c>
      <c r="L108" s="185">
        <f t="shared" si="16"/>
        <v>7681.67</v>
      </c>
      <c r="M108" s="5" t="s">
        <v>782</v>
      </c>
      <c r="O108" t="str">
        <f t="shared" si="17"/>
        <v>Regelzone Amprion (gesamt)</v>
      </c>
    </row>
    <row r="109" spans="1:17" hidden="1" outlineLevel="1">
      <c r="A109" s="129" t="s">
        <v>781</v>
      </c>
      <c r="B109" s="69">
        <v>7</v>
      </c>
      <c r="C109" s="953">
        <v>2024</v>
      </c>
      <c r="D109" s="187">
        <v>0</v>
      </c>
      <c r="E109" s="186">
        <v>0</v>
      </c>
      <c r="F109" s="187">
        <v>0</v>
      </c>
      <c r="G109" s="186">
        <v>0</v>
      </c>
      <c r="H109" s="187">
        <v>317200</v>
      </c>
      <c r="I109" s="186">
        <v>40127.199999999997</v>
      </c>
      <c r="J109" s="188">
        <v>0</v>
      </c>
      <c r="K109" s="189">
        <v>0</v>
      </c>
      <c r="L109" s="185">
        <f t="shared" si="16"/>
        <v>40127.199999999997</v>
      </c>
      <c r="M109" s="5" t="s">
        <v>782</v>
      </c>
      <c r="O109" t="str">
        <f t="shared" si="17"/>
        <v>Regelzone Amprion (gesamt)</v>
      </c>
    </row>
    <row r="110" spans="1:17" hidden="1" outlineLevel="1">
      <c r="A110" s="129" t="s">
        <v>783</v>
      </c>
      <c r="B110" s="69">
        <v>7</v>
      </c>
      <c r="C110" s="953">
        <v>2023</v>
      </c>
      <c r="D110" s="187">
        <v>0</v>
      </c>
      <c r="E110" s="186">
        <v>0</v>
      </c>
      <c r="F110" s="187">
        <v>0</v>
      </c>
      <c r="G110" s="186">
        <v>0</v>
      </c>
      <c r="H110" s="187">
        <v>175796</v>
      </c>
      <c r="I110" s="186">
        <v>9932.4699999999993</v>
      </c>
      <c r="J110" s="188">
        <v>0</v>
      </c>
      <c r="K110" s="189">
        <v>0</v>
      </c>
      <c r="L110" s="185">
        <f t="shared" si="16"/>
        <v>9932.4699999999993</v>
      </c>
      <c r="M110" s="5" t="s">
        <v>784</v>
      </c>
      <c r="O110" t="str">
        <f t="shared" si="17"/>
        <v>Regelzone Amprion (gesamt)</v>
      </c>
    </row>
    <row r="111" spans="1:17" hidden="1" outlineLevel="1">
      <c r="A111" s="129" t="s">
        <v>783</v>
      </c>
      <c r="B111" s="69">
        <v>7</v>
      </c>
      <c r="C111" s="953">
        <v>2024</v>
      </c>
      <c r="D111" s="187">
        <v>0</v>
      </c>
      <c r="E111" s="186">
        <v>0</v>
      </c>
      <c r="F111" s="187">
        <v>0</v>
      </c>
      <c r="G111" s="186">
        <v>0</v>
      </c>
      <c r="H111" s="187">
        <v>1038126</v>
      </c>
      <c r="I111" s="186">
        <v>59726.21</v>
      </c>
      <c r="J111" s="188">
        <v>0</v>
      </c>
      <c r="K111" s="189">
        <v>0</v>
      </c>
      <c r="L111" s="185">
        <f t="shared" si="16"/>
        <v>59726.21</v>
      </c>
      <c r="M111" s="5" t="s">
        <v>784</v>
      </c>
      <c r="O111" t="str">
        <f t="shared" si="17"/>
        <v>Regelzone Amprion (gesamt)</v>
      </c>
    </row>
    <row r="112" spans="1:17" hidden="1" outlineLevel="1">
      <c r="A112" s="129" t="s">
        <v>785</v>
      </c>
      <c r="B112" s="69">
        <v>7</v>
      </c>
      <c r="C112" s="953">
        <v>2023</v>
      </c>
      <c r="D112" s="187">
        <v>0</v>
      </c>
      <c r="E112" s="186">
        <v>0</v>
      </c>
      <c r="F112" s="187">
        <v>758541</v>
      </c>
      <c r="G112" s="186">
        <v>41037.06</v>
      </c>
      <c r="H112" s="187">
        <v>85443</v>
      </c>
      <c r="I112" s="186">
        <v>8745.4</v>
      </c>
      <c r="J112" s="188">
        <v>0</v>
      </c>
      <c r="K112" s="189">
        <v>0</v>
      </c>
      <c r="L112" s="185">
        <f t="shared" si="16"/>
        <v>49782.46</v>
      </c>
      <c r="M112" s="5" t="s">
        <v>786</v>
      </c>
      <c r="O112" t="str">
        <f t="shared" si="17"/>
        <v>Regelzone Amprion (gesamt)</v>
      </c>
    </row>
    <row r="113" spans="1:15" hidden="1" outlineLevel="1">
      <c r="A113" s="129" t="s">
        <v>785</v>
      </c>
      <c r="B113" s="69">
        <v>7</v>
      </c>
      <c r="C113" s="953">
        <v>2024</v>
      </c>
      <c r="D113" s="187">
        <v>0</v>
      </c>
      <c r="E113" s="186">
        <v>0</v>
      </c>
      <c r="F113" s="187">
        <v>389577</v>
      </c>
      <c r="G113" s="186">
        <v>21076.12</v>
      </c>
      <c r="H113" s="187">
        <v>618834</v>
      </c>
      <c r="I113" s="186">
        <v>44129.57</v>
      </c>
      <c r="J113" s="188">
        <v>0</v>
      </c>
      <c r="K113" s="189">
        <v>0</v>
      </c>
      <c r="L113" s="185">
        <f t="shared" si="16"/>
        <v>65205.69</v>
      </c>
      <c r="M113" s="5" t="s">
        <v>786</v>
      </c>
      <c r="O113" t="str">
        <f t="shared" si="17"/>
        <v>Regelzone Amprion (gesamt)</v>
      </c>
    </row>
    <row r="114" spans="1:15" hidden="1" outlineLevel="1">
      <c r="A114" s="129" t="s">
        <v>787</v>
      </c>
      <c r="B114" s="69">
        <v>7</v>
      </c>
      <c r="C114" s="953">
        <v>2021</v>
      </c>
      <c r="D114" s="187">
        <v>6674</v>
      </c>
      <c r="E114" s="186">
        <v>340.98</v>
      </c>
      <c r="F114" s="187">
        <v>3981195</v>
      </c>
      <c r="G114" s="186">
        <v>163326.42000000001</v>
      </c>
      <c r="H114" s="187">
        <v>855235</v>
      </c>
      <c r="I114" s="186">
        <v>90069.28</v>
      </c>
      <c r="J114" s="188">
        <v>-2515.86</v>
      </c>
      <c r="K114" s="189">
        <v>0</v>
      </c>
      <c r="L114" s="185">
        <f t="shared" si="16"/>
        <v>251220.82000000004</v>
      </c>
      <c r="M114" s="5" t="s">
        <v>788</v>
      </c>
      <c r="O114" t="str">
        <f t="shared" si="17"/>
        <v>Regelzone Amprion (gesamt)</v>
      </c>
    </row>
    <row r="115" spans="1:15" hidden="1" outlineLevel="1">
      <c r="A115" s="129" t="s">
        <v>787</v>
      </c>
      <c r="B115" s="69">
        <v>7</v>
      </c>
      <c r="C115" s="953">
        <v>2022</v>
      </c>
      <c r="D115" s="187">
        <v>0</v>
      </c>
      <c r="E115" s="186">
        <v>0</v>
      </c>
      <c r="F115" s="187">
        <v>299034</v>
      </c>
      <c r="G115" s="186">
        <v>16057.74</v>
      </c>
      <c r="H115" s="187">
        <v>472807</v>
      </c>
      <c r="I115" s="186">
        <v>55425.49</v>
      </c>
      <c r="J115" s="188">
        <v>-96.1</v>
      </c>
      <c r="K115" s="189">
        <v>0</v>
      </c>
      <c r="L115" s="185">
        <f t="shared" si="16"/>
        <v>71387.12999999999</v>
      </c>
      <c r="M115" s="5" t="s">
        <v>788</v>
      </c>
      <c r="O115" t="str">
        <f t="shared" si="17"/>
        <v>Regelzone Amprion (gesamt)</v>
      </c>
    </row>
    <row r="116" spans="1:15" hidden="1" outlineLevel="1">
      <c r="A116" s="129" t="s">
        <v>787</v>
      </c>
      <c r="B116" s="69">
        <v>7</v>
      </c>
      <c r="C116" s="953">
        <v>2023</v>
      </c>
      <c r="D116" s="187">
        <v>0</v>
      </c>
      <c r="E116" s="186">
        <v>0</v>
      </c>
      <c r="F116" s="187">
        <v>228367</v>
      </c>
      <c r="G116" s="186">
        <v>12252.53</v>
      </c>
      <c r="H116" s="187">
        <v>583409</v>
      </c>
      <c r="I116" s="186">
        <v>64268.87</v>
      </c>
      <c r="J116" s="188">
        <v>0</v>
      </c>
      <c r="K116" s="189">
        <v>0</v>
      </c>
      <c r="L116" s="185">
        <f t="shared" si="16"/>
        <v>76521.400000000009</v>
      </c>
      <c r="M116" s="5" t="s">
        <v>788</v>
      </c>
      <c r="O116" t="str">
        <f t="shared" si="17"/>
        <v>Regelzone Amprion (gesamt)</v>
      </c>
    </row>
    <row r="117" spans="1:15" hidden="1" outlineLevel="1">
      <c r="A117" s="129" t="s">
        <v>787</v>
      </c>
      <c r="B117" s="69">
        <v>7</v>
      </c>
      <c r="C117" s="953">
        <v>2024</v>
      </c>
      <c r="D117" s="187">
        <v>0</v>
      </c>
      <c r="E117" s="186">
        <v>0</v>
      </c>
      <c r="F117" s="187">
        <v>271799</v>
      </c>
      <c r="G117" s="186">
        <v>14704.32</v>
      </c>
      <c r="H117" s="187">
        <v>554370</v>
      </c>
      <c r="I117" s="186">
        <v>43482.73</v>
      </c>
      <c r="J117" s="188">
        <v>0</v>
      </c>
      <c r="K117" s="189">
        <v>0</v>
      </c>
      <c r="L117" s="185">
        <f t="shared" si="16"/>
        <v>58187.05</v>
      </c>
      <c r="M117" s="5" t="s">
        <v>788</v>
      </c>
      <c r="O117" t="str">
        <f t="shared" si="17"/>
        <v>Regelzone Amprion (gesamt)</v>
      </c>
    </row>
    <row r="118" spans="1:15" hidden="1" outlineLevel="1">
      <c r="A118" s="129" t="s">
        <v>789</v>
      </c>
      <c r="B118" s="69">
        <v>1</v>
      </c>
      <c r="C118" s="953">
        <v>2023</v>
      </c>
      <c r="D118" s="187">
        <v>0</v>
      </c>
      <c r="E118" s="186">
        <v>0</v>
      </c>
      <c r="F118" s="187">
        <v>-232439</v>
      </c>
      <c r="G118" s="186">
        <v>-12574.95</v>
      </c>
      <c r="H118" s="187">
        <v>-23321</v>
      </c>
      <c r="I118" s="186">
        <v>-3472.36</v>
      </c>
      <c r="J118" s="188">
        <v>-69245.63</v>
      </c>
      <c r="K118" s="189">
        <v>0</v>
      </c>
      <c r="L118" s="185">
        <f t="shared" si="16"/>
        <v>-85292.94</v>
      </c>
      <c r="M118" s="5" t="s">
        <v>790</v>
      </c>
      <c r="O118" t="str">
        <f t="shared" si="17"/>
        <v>Regelzone Amprion (gesamt)</v>
      </c>
    </row>
    <row r="119" spans="1:15" hidden="1" outlineLevel="1">
      <c r="A119" s="129" t="s">
        <v>789</v>
      </c>
      <c r="B119" s="69">
        <v>7</v>
      </c>
      <c r="C119" s="953">
        <v>2023</v>
      </c>
      <c r="D119" s="187">
        <v>0</v>
      </c>
      <c r="E119" s="186">
        <v>0</v>
      </c>
      <c r="F119" s="187">
        <v>1314629</v>
      </c>
      <c r="G119" s="186">
        <v>66580.42</v>
      </c>
      <c r="H119" s="187">
        <v>2050894</v>
      </c>
      <c r="I119" s="186">
        <v>150850</v>
      </c>
      <c r="J119" s="188">
        <v>-805.25</v>
      </c>
      <c r="K119" s="189">
        <v>0</v>
      </c>
      <c r="L119" s="185">
        <f t="shared" si="16"/>
        <v>216625.16999999998</v>
      </c>
      <c r="M119" s="5" t="s">
        <v>790</v>
      </c>
      <c r="O119" t="str">
        <f t="shared" si="17"/>
        <v>Regelzone Amprion (gesamt)</v>
      </c>
    </row>
    <row r="120" spans="1:15" hidden="1" outlineLevel="1">
      <c r="A120" s="129" t="s">
        <v>795</v>
      </c>
      <c r="B120" s="69">
        <v>7</v>
      </c>
      <c r="C120" s="953">
        <v>2024</v>
      </c>
      <c r="D120" s="187">
        <v>0</v>
      </c>
      <c r="E120" s="186">
        <v>0</v>
      </c>
      <c r="F120" s="187">
        <v>0</v>
      </c>
      <c r="G120" s="186">
        <v>0</v>
      </c>
      <c r="H120" s="187">
        <v>-6697</v>
      </c>
      <c r="I120" s="186">
        <v>12455.28</v>
      </c>
      <c r="J120" s="188">
        <v>0</v>
      </c>
      <c r="K120" s="189">
        <v>0</v>
      </c>
      <c r="L120" s="185">
        <f t="shared" si="16"/>
        <v>12455.28</v>
      </c>
      <c r="M120" s="5" t="s">
        <v>796</v>
      </c>
      <c r="O120" t="str">
        <f t="shared" si="17"/>
        <v>Regelzone Amprion (gesamt)</v>
      </c>
    </row>
    <row r="121" spans="1:15" hidden="1" outlineLevel="1">
      <c r="A121" s="129" t="s">
        <v>803</v>
      </c>
      <c r="B121" s="69">
        <v>7</v>
      </c>
      <c r="C121" s="953">
        <v>2022</v>
      </c>
      <c r="D121" s="187">
        <v>0</v>
      </c>
      <c r="E121" s="186">
        <v>0</v>
      </c>
      <c r="F121" s="187">
        <v>0</v>
      </c>
      <c r="G121" s="186">
        <v>0</v>
      </c>
      <c r="H121" s="187">
        <v>60066</v>
      </c>
      <c r="I121" s="186">
        <v>6815.68</v>
      </c>
      <c r="J121" s="188">
        <v>0</v>
      </c>
      <c r="K121" s="189">
        <v>0</v>
      </c>
      <c r="L121" s="185">
        <f t="shared" si="16"/>
        <v>6815.68</v>
      </c>
      <c r="M121" s="5" t="s">
        <v>804</v>
      </c>
      <c r="O121" t="str">
        <f t="shared" si="17"/>
        <v>Regelzone Amprion (gesamt)</v>
      </c>
    </row>
    <row r="122" spans="1:15" hidden="1" outlineLevel="1">
      <c r="A122" s="129" t="s">
        <v>803</v>
      </c>
      <c r="B122" s="69">
        <v>7</v>
      </c>
      <c r="C122" s="953">
        <v>2023</v>
      </c>
      <c r="D122" s="187">
        <v>0</v>
      </c>
      <c r="E122" s="186">
        <v>0</v>
      </c>
      <c r="F122" s="187">
        <v>0</v>
      </c>
      <c r="G122" s="186">
        <v>0</v>
      </c>
      <c r="H122" s="187">
        <v>280407</v>
      </c>
      <c r="I122" s="186">
        <v>42917.95</v>
      </c>
      <c r="J122" s="188">
        <v>0</v>
      </c>
      <c r="K122" s="189">
        <v>0</v>
      </c>
      <c r="L122" s="185">
        <f t="shared" si="16"/>
        <v>42917.95</v>
      </c>
      <c r="M122" s="5" t="s">
        <v>804</v>
      </c>
      <c r="O122" t="str">
        <f t="shared" si="17"/>
        <v>Regelzone Amprion (gesamt)</v>
      </c>
    </row>
    <row r="123" spans="1:15" hidden="1" outlineLevel="1">
      <c r="A123" s="129" t="s">
        <v>803</v>
      </c>
      <c r="B123" s="69">
        <v>7</v>
      </c>
      <c r="C123" s="953">
        <v>2024</v>
      </c>
      <c r="D123" s="187">
        <v>0</v>
      </c>
      <c r="E123" s="186">
        <v>0</v>
      </c>
      <c r="F123" s="187">
        <v>0</v>
      </c>
      <c r="G123" s="186">
        <v>0</v>
      </c>
      <c r="H123" s="187">
        <v>408778</v>
      </c>
      <c r="I123" s="186">
        <v>61316.31</v>
      </c>
      <c r="J123" s="188">
        <v>0</v>
      </c>
      <c r="K123" s="189">
        <v>0</v>
      </c>
      <c r="L123" s="185">
        <f t="shared" si="16"/>
        <v>61316.31</v>
      </c>
      <c r="M123" s="5" t="s">
        <v>804</v>
      </c>
      <c r="O123" t="str">
        <f t="shared" si="17"/>
        <v>Regelzone Amprion (gesamt)</v>
      </c>
    </row>
    <row r="124" spans="1:15" hidden="1" outlineLevel="1">
      <c r="A124" s="129" t="s">
        <v>805</v>
      </c>
      <c r="B124" s="69">
        <v>1</v>
      </c>
      <c r="C124" s="953">
        <v>2023</v>
      </c>
      <c r="D124" s="187">
        <v>0</v>
      </c>
      <c r="E124" s="186">
        <v>0</v>
      </c>
      <c r="F124" s="187">
        <v>-59545</v>
      </c>
      <c r="G124" s="186">
        <v>-3221.38</v>
      </c>
      <c r="H124" s="187">
        <v>0</v>
      </c>
      <c r="I124" s="186">
        <v>0</v>
      </c>
      <c r="J124" s="188">
        <v>0</v>
      </c>
      <c r="K124" s="189">
        <v>0</v>
      </c>
      <c r="L124" s="185">
        <f t="shared" si="16"/>
        <v>-3221.38</v>
      </c>
      <c r="M124" s="5" t="s">
        <v>806</v>
      </c>
      <c r="O124" t="str">
        <f t="shared" si="17"/>
        <v>Regelzone Amprion (gesamt)</v>
      </c>
    </row>
    <row r="125" spans="1:15" hidden="1" outlineLevel="1">
      <c r="A125" s="129" t="s">
        <v>805</v>
      </c>
      <c r="B125" s="69">
        <v>1</v>
      </c>
      <c r="C125" s="953">
        <v>2024</v>
      </c>
      <c r="D125" s="187">
        <v>0</v>
      </c>
      <c r="E125" s="186">
        <v>0</v>
      </c>
      <c r="F125" s="187">
        <v>-71021</v>
      </c>
      <c r="G125" s="186">
        <v>-3842.24</v>
      </c>
      <c r="H125" s="187">
        <v>-80000</v>
      </c>
      <c r="I125" s="186">
        <v>-6405.68</v>
      </c>
      <c r="J125" s="188">
        <v>0</v>
      </c>
      <c r="K125" s="189">
        <v>0</v>
      </c>
      <c r="L125" s="185">
        <f t="shared" si="16"/>
        <v>-10247.92</v>
      </c>
      <c r="M125" s="5" t="s">
        <v>806</v>
      </c>
      <c r="O125" t="str">
        <f t="shared" si="17"/>
        <v>Regelzone Amprion (gesamt)</v>
      </c>
    </row>
    <row r="126" spans="1:15" hidden="1" outlineLevel="1">
      <c r="A126" s="129" t="s">
        <v>805</v>
      </c>
      <c r="B126" s="69">
        <v>7</v>
      </c>
      <c r="C126" s="953">
        <v>2024</v>
      </c>
      <c r="D126" s="187">
        <v>0</v>
      </c>
      <c r="E126" s="186">
        <v>0</v>
      </c>
      <c r="F126" s="187">
        <v>0</v>
      </c>
      <c r="G126" s="186">
        <v>0</v>
      </c>
      <c r="H126" s="187">
        <v>68484</v>
      </c>
      <c r="I126" s="186">
        <v>5477.77</v>
      </c>
      <c r="J126" s="188">
        <v>0</v>
      </c>
      <c r="K126" s="189">
        <v>0</v>
      </c>
      <c r="L126" s="185">
        <f t="shared" si="16"/>
        <v>5477.77</v>
      </c>
      <c r="M126" s="5" t="s">
        <v>806</v>
      </c>
      <c r="O126" t="str">
        <f t="shared" si="17"/>
        <v>Regelzone Amprion (gesamt)</v>
      </c>
    </row>
    <row r="127" spans="1:15" hidden="1" outlineLevel="1">
      <c r="A127" s="129" t="s">
        <v>811</v>
      </c>
      <c r="B127" s="69">
        <v>7</v>
      </c>
      <c r="C127" s="953">
        <v>2022</v>
      </c>
      <c r="D127" s="187">
        <v>0</v>
      </c>
      <c r="E127" s="186">
        <v>0</v>
      </c>
      <c r="F127" s="187">
        <v>0</v>
      </c>
      <c r="G127" s="186">
        <v>0</v>
      </c>
      <c r="H127" s="187">
        <v>19907</v>
      </c>
      <c r="I127" s="186">
        <v>973.48</v>
      </c>
      <c r="J127" s="188">
        <v>0</v>
      </c>
      <c r="K127" s="189">
        <v>0</v>
      </c>
      <c r="L127" s="185">
        <f t="shared" si="16"/>
        <v>973.48</v>
      </c>
      <c r="M127" s="5" t="s">
        <v>812</v>
      </c>
      <c r="O127" t="str">
        <f t="shared" si="17"/>
        <v>Regelzone Amprion (gesamt)</v>
      </c>
    </row>
    <row r="128" spans="1:15" hidden="1" outlineLevel="1">
      <c r="A128" s="129" t="s">
        <v>811</v>
      </c>
      <c r="B128" s="69">
        <v>7</v>
      </c>
      <c r="C128" s="953">
        <v>2023</v>
      </c>
      <c r="D128" s="187">
        <v>0</v>
      </c>
      <c r="E128" s="186">
        <v>0</v>
      </c>
      <c r="F128" s="187">
        <v>80152</v>
      </c>
      <c r="G128" s="186">
        <v>4336.25</v>
      </c>
      <c r="H128" s="187">
        <v>284140</v>
      </c>
      <c r="I128" s="186">
        <v>22700.12</v>
      </c>
      <c r="J128" s="188">
        <v>0</v>
      </c>
      <c r="K128" s="189">
        <v>0</v>
      </c>
      <c r="L128" s="185">
        <f t="shared" si="16"/>
        <v>27036.37</v>
      </c>
      <c r="M128" s="5" t="s">
        <v>812</v>
      </c>
      <c r="O128" t="str">
        <f t="shared" si="17"/>
        <v>Regelzone Amprion (gesamt)</v>
      </c>
    </row>
    <row r="129" spans="1:15" hidden="1" outlineLevel="1">
      <c r="A129" s="129" t="s">
        <v>811</v>
      </c>
      <c r="B129" s="69">
        <v>7</v>
      </c>
      <c r="C129" s="953">
        <v>2024</v>
      </c>
      <c r="D129" s="187">
        <v>0</v>
      </c>
      <c r="E129" s="186">
        <v>0</v>
      </c>
      <c r="F129" s="187">
        <v>4524818</v>
      </c>
      <c r="G129" s="186">
        <v>127337.02</v>
      </c>
      <c r="H129" s="187">
        <v>95972</v>
      </c>
      <c r="I129" s="186">
        <v>9850.83</v>
      </c>
      <c r="J129" s="188">
        <v>0</v>
      </c>
      <c r="K129" s="189">
        <v>0</v>
      </c>
      <c r="L129" s="185">
        <f t="shared" si="16"/>
        <v>137187.85</v>
      </c>
      <c r="M129" s="5" t="s">
        <v>812</v>
      </c>
      <c r="O129" t="str">
        <f t="shared" si="17"/>
        <v>Regelzone Amprion (gesamt)</v>
      </c>
    </row>
    <row r="130" spans="1:15" hidden="1" outlineLevel="1">
      <c r="A130" s="129" t="s">
        <v>815</v>
      </c>
      <c r="B130" s="69">
        <v>7</v>
      </c>
      <c r="C130" s="953">
        <v>2024</v>
      </c>
      <c r="D130" s="187">
        <v>0</v>
      </c>
      <c r="E130" s="186">
        <v>0</v>
      </c>
      <c r="F130" s="187">
        <v>1047</v>
      </c>
      <c r="G130" s="186">
        <v>56.64</v>
      </c>
      <c r="H130" s="187">
        <v>0</v>
      </c>
      <c r="I130" s="186">
        <v>0</v>
      </c>
      <c r="J130" s="188">
        <v>0</v>
      </c>
      <c r="K130" s="189">
        <v>0</v>
      </c>
      <c r="L130" s="185">
        <f t="shared" si="16"/>
        <v>56.64</v>
      </c>
      <c r="M130" s="5" t="s">
        <v>816</v>
      </c>
      <c r="O130" t="str">
        <f t="shared" si="17"/>
        <v>Regelzone Amprion (gesamt)</v>
      </c>
    </row>
    <row r="131" spans="1:15" hidden="1" outlineLevel="1">
      <c r="A131" s="129" t="s">
        <v>819</v>
      </c>
      <c r="B131" s="69">
        <v>7</v>
      </c>
      <c r="C131" s="953">
        <v>2021</v>
      </c>
      <c r="D131" s="187">
        <v>0</v>
      </c>
      <c r="E131" s="186">
        <v>0</v>
      </c>
      <c r="F131" s="187">
        <v>42646</v>
      </c>
      <c r="G131" s="186">
        <v>1856.16</v>
      </c>
      <c r="H131" s="187">
        <v>24939</v>
      </c>
      <c r="I131" s="186">
        <v>1483.44</v>
      </c>
      <c r="J131" s="188">
        <v>0</v>
      </c>
      <c r="K131" s="189">
        <v>0</v>
      </c>
      <c r="L131" s="185">
        <f t="shared" si="16"/>
        <v>3339.6000000000004</v>
      </c>
      <c r="M131" s="5" t="s">
        <v>820</v>
      </c>
      <c r="O131" t="str">
        <f t="shared" si="17"/>
        <v>Regelzone Amprion (gesamt)</v>
      </c>
    </row>
    <row r="132" spans="1:15" hidden="1" outlineLevel="1">
      <c r="A132" s="129" t="s">
        <v>819</v>
      </c>
      <c r="B132" s="69">
        <v>7</v>
      </c>
      <c r="C132" s="953">
        <v>2022</v>
      </c>
      <c r="D132" s="187">
        <v>0</v>
      </c>
      <c r="E132" s="186">
        <v>0</v>
      </c>
      <c r="F132" s="187">
        <v>939068</v>
      </c>
      <c r="G132" s="186">
        <v>41648.71</v>
      </c>
      <c r="H132" s="187">
        <v>1262205</v>
      </c>
      <c r="I132" s="186">
        <v>119176.96000000001</v>
      </c>
      <c r="J132" s="188">
        <v>-8388.68</v>
      </c>
      <c r="K132" s="189">
        <v>0</v>
      </c>
      <c r="L132" s="185">
        <f t="shared" si="16"/>
        <v>152436.99000000002</v>
      </c>
      <c r="M132" s="5" t="s">
        <v>820</v>
      </c>
      <c r="O132" t="str">
        <f t="shared" si="17"/>
        <v>Regelzone Amprion (gesamt)</v>
      </c>
    </row>
    <row r="133" spans="1:15" hidden="1" outlineLevel="1">
      <c r="A133" s="129" t="s">
        <v>819</v>
      </c>
      <c r="B133" s="69">
        <v>7</v>
      </c>
      <c r="C133" s="953">
        <v>2023</v>
      </c>
      <c r="D133" s="187">
        <v>0</v>
      </c>
      <c r="E133" s="186">
        <v>0</v>
      </c>
      <c r="F133" s="187">
        <v>5028271</v>
      </c>
      <c r="G133" s="186">
        <v>248019.51</v>
      </c>
      <c r="H133" s="187">
        <v>10047637</v>
      </c>
      <c r="I133" s="186">
        <v>909489.07</v>
      </c>
      <c r="J133" s="188">
        <v>-12186.76</v>
      </c>
      <c r="K133" s="189">
        <v>0</v>
      </c>
      <c r="L133" s="185">
        <f t="shared" si="16"/>
        <v>1145321.82</v>
      </c>
      <c r="M133" s="5" t="s">
        <v>820</v>
      </c>
      <c r="O133" t="str">
        <f t="shared" si="17"/>
        <v>Regelzone Amprion (gesamt)</v>
      </c>
    </row>
    <row r="134" spans="1:15" hidden="1" outlineLevel="1">
      <c r="A134" s="129" t="s">
        <v>829</v>
      </c>
      <c r="B134" s="69">
        <v>7</v>
      </c>
      <c r="C134" s="953">
        <v>2023</v>
      </c>
      <c r="D134" s="187">
        <v>0</v>
      </c>
      <c r="E134" s="186">
        <v>0</v>
      </c>
      <c r="F134" s="187">
        <v>0</v>
      </c>
      <c r="G134" s="186">
        <v>0</v>
      </c>
      <c r="H134" s="187">
        <v>39234</v>
      </c>
      <c r="I134" s="186">
        <v>5421.76</v>
      </c>
      <c r="J134" s="188">
        <v>-1084.3599999999999</v>
      </c>
      <c r="K134" s="189">
        <v>0</v>
      </c>
      <c r="L134" s="185">
        <f t="shared" si="16"/>
        <v>4337.4000000000005</v>
      </c>
      <c r="M134" s="5" t="s">
        <v>830</v>
      </c>
      <c r="O134" t="str">
        <f t="shared" si="17"/>
        <v>Regelzone Amprion (gesamt)</v>
      </c>
    </row>
    <row r="135" spans="1:15" hidden="1" outlineLevel="1">
      <c r="A135" s="129" t="s">
        <v>829</v>
      </c>
      <c r="B135" s="69">
        <v>7</v>
      </c>
      <c r="C135" s="953">
        <v>2024</v>
      </c>
      <c r="D135" s="187">
        <v>0</v>
      </c>
      <c r="E135" s="186">
        <v>0</v>
      </c>
      <c r="F135" s="187">
        <v>0</v>
      </c>
      <c r="G135" s="186">
        <v>0</v>
      </c>
      <c r="H135" s="187">
        <v>188650</v>
      </c>
      <c r="I135" s="186">
        <v>17432.8</v>
      </c>
      <c r="J135" s="188">
        <v>-778.18</v>
      </c>
      <c r="K135" s="189">
        <v>0</v>
      </c>
      <c r="L135" s="185">
        <f t="shared" si="16"/>
        <v>16654.62</v>
      </c>
      <c r="M135" s="5" t="s">
        <v>830</v>
      </c>
      <c r="O135" t="str">
        <f t="shared" si="17"/>
        <v>Regelzone Amprion (gesamt)</v>
      </c>
    </row>
    <row r="136" spans="1:15" hidden="1" outlineLevel="1">
      <c r="A136" s="129" t="s">
        <v>833</v>
      </c>
      <c r="B136" s="69">
        <v>1</v>
      </c>
      <c r="C136" s="953">
        <v>2023</v>
      </c>
      <c r="D136" s="187">
        <v>0</v>
      </c>
      <c r="E136" s="186">
        <v>0</v>
      </c>
      <c r="F136" s="187">
        <v>0</v>
      </c>
      <c r="G136" s="186">
        <v>0</v>
      </c>
      <c r="H136" s="187">
        <v>-19902</v>
      </c>
      <c r="I136" s="186">
        <v>-1411.56</v>
      </c>
      <c r="J136" s="188">
        <v>0</v>
      </c>
      <c r="K136" s="189">
        <v>0</v>
      </c>
      <c r="L136" s="185">
        <f t="shared" si="16"/>
        <v>-1411.56</v>
      </c>
      <c r="M136" s="5" t="s">
        <v>834</v>
      </c>
      <c r="O136" t="str">
        <f t="shared" si="17"/>
        <v>Regelzone Amprion (gesamt)</v>
      </c>
    </row>
    <row r="137" spans="1:15" hidden="1" outlineLevel="1">
      <c r="A137" s="129" t="s">
        <v>833</v>
      </c>
      <c r="B137" s="69">
        <v>7</v>
      </c>
      <c r="C137" s="953">
        <v>2023</v>
      </c>
      <c r="D137" s="187">
        <v>0</v>
      </c>
      <c r="E137" s="186">
        <v>0</v>
      </c>
      <c r="F137" s="187">
        <v>350480</v>
      </c>
      <c r="G137" s="186">
        <v>18960.97</v>
      </c>
      <c r="H137" s="187">
        <v>701428</v>
      </c>
      <c r="I137" s="186">
        <v>58710.06</v>
      </c>
      <c r="J137" s="188">
        <v>0</v>
      </c>
      <c r="K137" s="189">
        <v>0</v>
      </c>
      <c r="L137" s="185">
        <f t="shared" si="16"/>
        <v>77671.03</v>
      </c>
      <c r="M137" s="5" t="s">
        <v>834</v>
      </c>
      <c r="O137" t="str">
        <f t="shared" si="17"/>
        <v>Regelzone Amprion (gesamt)</v>
      </c>
    </row>
    <row r="138" spans="1:15" hidden="1" outlineLevel="1">
      <c r="A138" s="129" t="s">
        <v>833</v>
      </c>
      <c r="B138" s="69">
        <v>1</v>
      </c>
      <c r="C138" s="953">
        <v>2024</v>
      </c>
      <c r="D138" s="187">
        <v>0</v>
      </c>
      <c r="E138" s="186">
        <v>0</v>
      </c>
      <c r="F138" s="187">
        <v>-115884</v>
      </c>
      <c r="G138" s="186">
        <v>-6269.32</v>
      </c>
      <c r="H138" s="187">
        <v>-13095</v>
      </c>
      <c r="I138" s="186">
        <v>-1865.2</v>
      </c>
      <c r="J138" s="188">
        <v>0</v>
      </c>
      <c r="K138" s="189">
        <v>0</v>
      </c>
      <c r="L138" s="185">
        <f t="shared" si="16"/>
        <v>-8134.5199999999995</v>
      </c>
      <c r="M138" s="5" t="s">
        <v>834</v>
      </c>
      <c r="O138" t="str">
        <f t="shared" si="17"/>
        <v>Regelzone Amprion (gesamt)</v>
      </c>
    </row>
    <row r="139" spans="1:15" hidden="1" outlineLevel="1">
      <c r="A139" s="129" t="s">
        <v>833</v>
      </c>
      <c r="B139" s="69">
        <v>7</v>
      </c>
      <c r="C139" s="953">
        <v>2024</v>
      </c>
      <c r="D139" s="187">
        <v>0</v>
      </c>
      <c r="E139" s="186">
        <v>0</v>
      </c>
      <c r="F139" s="187">
        <v>91642</v>
      </c>
      <c r="G139" s="186">
        <v>4957.83</v>
      </c>
      <c r="H139" s="187">
        <v>1281977</v>
      </c>
      <c r="I139" s="186">
        <v>99660.92</v>
      </c>
      <c r="J139" s="188">
        <v>0</v>
      </c>
      <c r="K139" s="189">
        <v>0</v>
      </c>
      <c r="L139" s="185">
        <f t="shared" si="16"/>
        <v>104618.75</v>
      </c>
      <c r="M139" s="5" t="s">
        <v>834</v>
      </c>
      <c r="O139" t="str">
        <f t="shared" si="17"/>
        <v>Regelzone Amprion (gesamt)</v>
      </c>
    </row>
    <row r="140" spans="1:15" hidden="1" outlineLevel="1">
      <c r="A140" s="129" t="s">
        <v>839</v>
      </c>
      <c r="B140" s="69">
        <v>1</v>
      </c>
      <c r="C140" s="953">
        <v>2022</v>
      </c>
      <c r="D140" s="187">
        <v>-1737</v>
      </c>
      <c r="E140" s="186">
        <v>-88.76</v>
      </c>
      <c r="F140" s="187">
        <v>-373786</v>
      </c>
      <c r="G140" s="186">
        <v>-20221.830000000002</v>
      </c>
      <c r="H140" s="187">
        <v>-159999</v>
      </c>
      <c r="I140" s="186">
        <v>-8932.56</v>
      </c>
      <c r="J140" s="188">
        <v>-837.57</v>
      </c>
      <c r="K140" s="189">
        <v>0</v>
      </c>
      <c r="L140" s="185">
        <f t="shared" si="16"/>
        <v>-30080.720000000001</v>
      </c>
      <c r="M140" s="5" t="s">
        <v>840</v>
      </c>
      <c r="O140" t="str">
        <f t="shared" si="17"/>
        <v>Regelzone Amprion (gesamt)</v>
      </c>
    </row>
    <row r="141" spans="1:15" hidden="1" outlineLevel="1">
      <c r="A141" s="129" t="s">
        <v>839</v>
      </c>
      <c r="B141" s="69">
        <v>7</v>
      </c>
      <c r="C141" s="953">
        <v>2022</v>
      </c>
      <c r="D141" s="187">
        <v>0</v>
      </c>
      <c r="E141" s="186">
        <v>0</v>
      </c>
      <c r="F141" s="187">
        <v>1185935</v>
      </c>
      <c r="G141" s="186">
        <v>60172.44</v>
      </c>
      <c r="H141" s="187">
        <v>783256</v>
      </c>
      <c r="I141" s="186">
        <v>96829.42</v>
      </c>
      <c r="J141" s="188">
        <v>-1973.46</v>
      </c>
      <c r="K141" s="189">
        <v>0</v>
      </c>
      <c r="L141" s="185">
        <f t="shared" si="16"/>
        <v>155028.4</v>
      </c>
      <c r="M141" s="5" t="s">
        <v>840</v>
      </c>
      <c r="O141" t="str">
        <f t="shared" si="17"/>
        <v>Regelzone Amprion (gesamt)</v>
      </c>
    </row>
    <row r="142" spans="1:15" hidden="1" outlineLevel="1">
      <c r="A142" s="129" t="s">
        <v>839</v>
      </c>
      <c r="B142" s="69">
        <v>1</v>
      </c>
      <c r="C142" s="953">
        <v>2023</v>
      </c>
      <c r="D142" s="187">
        <v>0</v>
      </c>
      <c r="E142" s="186">
        <v>0</v>
      </c>
      <c r="F142" s="187">
        <v>-759395</v>
      </c>
      <c r="G142" s="186">
        <v>-41083.269999999997</v>
      </c>
      <c r="H142" s="187">
        <v>-389093</v>
      </c>
      <c r="I142" s="186">
        <v>-21790.67</v>
      </c>
      <c r="J142" s="188">
        <v>-28.29</v>
      </c>
      <c r="K142" s="189">
        <v>0</v>
      </c>
      <c r="L142" s="185">
        <f>E142+G142+I142+J142+K142</f>
        <v>-62902.229999999996</v>
      </c>
      <c r="M142" s="5" t="s">
        <v>840</v>
      </c>
      <c r="O142" t="str">
        <f t="shared" si="17"/>
        <v>Regelzone Amprion (gesamt)</v>
      </c>
    </row>
    <row r="143" spans="1:15" hidden="1" outlineLevel="1">
      <c r="A143" s="129" t="s">
        <v>839</v>
      </c>
      <c r="B143" s="69">
        <v>7</v>
      </c>
      <c r="C143" s="953">
        <v>2023</v>
      </c>
      <c r="D143" s="187">
        <v>15472</v>
      </c>
      <c r="E143" s="186">
        <v>435.77</v>
      </c>
      <c r="F143" s="187">
        <v>3610560</v>
      </c>
      <c r="G143" s="186">
        <v>195331.27</v>
      </c>
      <c r="H143" s="187">
        <v>18285026</v>
      </c>
      <c r="I143" s="186">
        <v>1325429.31</v>
      </c>
      <c r="J143" s="188">
        <v>-3005.51</v>
      </c>
      <c r="K143" s="189">
        <v>0</v>
      </c>
      <c r="L143" s="185">
        <f t="shared" si="16"/>
        <v>1518190.84</v>
      </c>
      <c r="M143" s="5" t="s">
        <v>840</v>
      </c>
      <c r="O143" t="str">
        <f t="shared" si="17"/>
        <v>Regelzone Amprion (gesamt)</v>
      </c>
    </row>
    <row r="144" spans="1:15" hidden="1" outlineLevel="1">
      <c r="A144" s="129" t="s">
        <v>839</v>
      </c>
      <c r="B144" s="69">
        <v>1</v>
      </c>
      <c r="C144" s="953">
        <v>2024</v>
      </c>
      <c r="D144" s="187">
        <v>0</v>
      </c>
      <c r="E144" s="186">
        <v>0</v>
      </c>
      <c r="F144" s="187">
        <v>-443855</v>
      </c>
      <c r="G144" s="186">
        <v>-24012.55</v>
      </c>
      <c r="H144" s="187">
        <v>-26201</v>
      </c>
      <c r="I144" s="186">
        <v>-2420.52</v>
      </c>
      <c r="J144" s="188">
        <v>0</v>
      </c>
      <c r="K144" s="189">
        <v>0</v>
      </c>
      <c r="L144" s="185">
        <f t="shared" si="16"/>
        <v>-26433.07</v>
      </c>
      <c r="M144" s="5" t="s">
        <v>840</v>
      </c>
      <c r="O144" t="str">
        <f t="shared" si="17"/>
        <v>Regelzone Amprion (gesamt)</v>
      </c>
    </row>
    <row r="145" spans="1:15" hidden="1" outlineLevel="1">
      <c r="A145" s="129" t="s">
        <v>839</v>
      </c>
      <c r="B145" s="69">
        <v>7</v>
      </c>
      <c r="C145" s="953">
        <v>2024</v>
      </c>
      <c r="D145" s="187">
        <v>0</v>
      </c>
      <c r="E145" s="186">
        <v>0</v>
      </c>
      <c r="F145" s="187">
        <v>5539799</v>
      </c>
      <c r="G145" s="186">
        <v>296479.53999999998</v>
      </c>
      <c r="H145" s="187">
        <v>12981711</v>
      </c>
      <c r="I145" s="186">
        <v>1223928.23</v>
      </c>
      <c r="J145" s="188">
        <v>-5297.04</v>
      </c>
      <c r="K145" s="189">
        <v>0</v>
      </c>
      <c r="L145" s="185">
        <f t="shared" si="16"/>
        <v>1515110.73</v>
      </c>
      <c r="M145" s="5" t="s">
        <v>840</v>
      </c>
      <c r="O145" t="str">
        <f t="shared" si="17"/>
        <v>Regelzone Amprion (gesamt)</v>
      </c>
    </row>
    <row r="146" spans="1:15" hidden="1" outlineLevel="1">
      <c r="A146" s="129" t="s">
        <v>841</v>
      </c>
      <c r="B146" s="69">
        <v>7</v>
      </c>
      <c r="C146" s="953">
        <v>2022</v>
      </c>
      <c r="D146" s="187">
        <v>0</v>
      </c>
      <c r="E146" s="186">
        <v>0</v>
      </c>
      <c r="F146" s="187">
        <v>0</v>
      </c>
      <c r="G146" s="186">
        <v>0</v>
      </c>
      <c r="H146" s="187">
        <v>2630</v>
      </c>
      <c r="I146" s="186">
        <v>5811.92</v>
      </c>
      <c r="J146" s="188">
        <v>0</v>
      </c>
      <c r="K146" s="189">
        <v>0</v>
      </c>
      <c r="L146" s="185">
        <f t="shared" si="16"/>
        <v>5811.92</v>
      </c>
      <c r="M146" s="5" t="s">
        <v>842</v>
      </c>
      <c r="O146" t="str">
        <f t="shared" si="17"/>
        <v>Regelzone Amprion (gesamt)</v>
      </c>
    </row>
    <row r="147" spans="1:15" hidden="1" outlineLevel="1">
      <c r="A147" s="129" t="s">
        <v>841</v>
      </c>
      <c r="B147" s="69">
        <v>7</v>
      </c>
      <c r="C147" s="953">
        <v>2023</v>
      </c>
      <c r="D147" s="187">
        <v>0</v>
      </c>
      <c r="E147" s="186">
        <v>0</v>
      </c>
      <c r="F147" s="187">
        <v>0</v>
      </c>
      <c r="G147" s="186">
        <v>0</v>
      </c>
      <c r="H147" s="187">
        <v>0</v>
      </c>
      <c r="I147" s="186">
        <v>29183.119999999999</v>
      </c>
      <c r="J147" s="188">
        <v>0</v>
      </c>
      <c r="K147" s="189">
        <v>0</v>
      </c>
      <c r="L147" s="185">
        <f t="shared" si="16"/>
        <v>29183.119999999999</v>
      </c>
      <c r="M147" s="5" t="s">
        <v>842</v>
      </c>
      <c r="O147" t="str">
        <f t="shared" si="17"/>
        <v>Regelzone Amprion (gesamt)</v>
      </c>
    </row>
    <row r="148" spans="1:15" hidden="1" outlineLevel="1">
      <c r="A148" s="129" t="s">
        <v>841</v>
      </c>
      <c r="B148" s="69">
        <v>7</v>
      </c>
      <c r="C148" s="953">
        <v>2024</v>
      </c>
      <c r="D148" s="187">
        <v>0</v>
      </c>
      <c r="E148" s="186">
        <v>0</v>
      </c>
      <c r="F148" s="187">
        <v>0</v>
      </c>
      <c r="G148" s="186">
        <v>0</v>
      </c>
      <c r="H148" s="187">
        <v>200000</v>
      </c>
      <c r="I148" s="186">
        <v>63932.24</v>
      </c>
      <c r="J148" s="188">
        <v>0</v>
      </c>
      <c r="K148" s="189">
        <v>0</v>
      </c>
      <c r="L148" s="185">
        <f t="shared" si="16"/>
        <v>63932.24</v>
      </c>
      <c r="M148" s="5" t="s">
        <v>842</v>
      </c>
      <c r="O148" t="str">
        <f t="shared" si="17"/>
        <v>Regelzone Amprion (gesamt)</v>
      </c>
    </row>
    <row r="149" spans="1:15" hidden="1" outlineLevel="1">
      <c r="A149" s="129" t="s">
        <v>847</v>
      </c>
      <c r="B149" s="69">
        <v>1</v>
      </c>
      <c r="C149" s="953">
        <v>2023</v>
      </c>
      <c r="D149" s="187">
        <v>0</v>
      </c>
      <c r="E149" s="186">
        <v>0</v>
      </c>
      <c r="F149" s="187">
        <v>-1062</v>
      </c>
      <c r="G149" s="186">
        <v>-57.45</v>
      </c>
      <c r="H149" s="187">
        <v>0</v>
      </c>
      <c r="I149" s="186">
        <v>0</v>
      </c>
      <c r="J149" s="188">
        <v>0</v>
      </c>
      <c r="K149" s="189">
        <v>0</v>
      </c>
      <c r="L149" s="185">
        <f t="shared" si="16"/>
        <v>-57.45</v>
      </c>
      <c r="M149" s="5" t="s">
        <v>848</v>
      </c>
      <c r="O149" t="str">
        <f t="shared" si="17"/>
        <v>Regelzone Amprion (gesamt)</v>
      </c>
    </row>
    <row r="150" spans="1:15" hidden="1" outlineLevel="1">
      <c r="A150" s="129" t="s">
        <v>847</v>
      </c>
      <c r="B150" s="69">
        <v>7</v>
      </c>
      <c r="C150" s="953">
        <v>2023</v>
      </c>
      <c r="D150" s="187">
        <v>0</v>
      </c>
      <c r="E150" s="186">
        <v>0</v>
      </c>
      <c r="F150" s="187">
        <v>0</v>
      </c>
      <c r="G150" s="186">
        <v>0</v>
      </c>
      <c r="H150" s="187">
        <v>14498</v>
      </c>
      <c r="I150" s="186">
        <v>1567.2</v>
      </c>
      <c r="J150" s="188">
        <v>-238.96</v>
      </c>
      <c r="K150" s="189">
        <v>0</v>
      </c>
      <c r="L150" s="185">
        <f t="shared" si="16"/>
        <v>1328.24</v>
      </c>
      <c r="M150" s="5" t="s">
        <v>848</v>
      </c>
      <c r="O150" t="str">
        <f t="shared" si="17"/>
        <v>Regelzone Amprion (gesamt)</v>
      </c>
    </row>
    <row r="151" spans="1:15" hidden="1" outlineLevel="1">
      <c r="A151" s="129" t="s">
        <v>847</v>
      </c>
      <c r="B151" s="69">
        <v>1</v>
      </c>
      <c r="C151" s="953">
        <v>2024</v>
      </c>
      <c r="D151" s="187">
        <v>0</v>
      </c>
      <c r="E151" s="186">
        <v>0</v>
      </c>
      <c r="F151" s="187">
        <v>-2</v>
      </c>
      <c r="G151" s="186">
        <v>-0.11</v>
      </c>
      <c r="H151" s="187">
        <v>-3860</v>
      </c>
      <c r="I151" s="186">
        <v>-296.60000000000002</v>
      </c>
      <c r="J151" s="188">
        <v>0</v>
      </c>
      <c r="K151" s="189">
        <v>0</v>
      </c>
      <c r="L151" s="185">
        <f t="shared" si="16"/>
        <v>-296.71000000000004</v>
      </c>
      <c r="M151" s="5" t="s">
        <v>848</v>
      </c>
      <c r="O151" t="str">
        <f t="shared" si="17"/>
        <v>Regelzone Amprion (gesamt)</v>
      </c>
    </row>
    <row r="152" spans="1:15" hidden="1" outlineLevel="1">
      <c r="A152" s="129" t="s">
        <v>847</v>
      </c>
      <c r="B152" s="69">
        <v>7</v>
      </c>
      <c r="C152" s="953">
        <v>2024</v>
      </c>
      <c r="D152" s="187">
        <v>0</v>
      </c>
      <c r="E152" s="186">
        <v>0</v>
      </c>
      <c r="F152" s="187">
        <v>0</v>
      </c>
      <c r="G152" s="186">
        <v>0</v>
      </c>
      <c r="H152" s="187">
        <v>6981414</v>
      </c>
      <c r="I152" s="186">
        <v>367237.92</v>
      </c>
      <c r="J152" s="188">
        <v>-859.87</v>
      </c>
      <c r="K152" s="189">
        <v>0</v>
      </c>
      <c r="L152" s="185">
        <f t="shared" si="16"/>
        <v>366378.05</v>
      </c>
      <c r="M152" s="5" t="s">
        <v>848</v>
      </c>
      <c r="O152" t="str">
        <f t="shared" si="17"/>
        <v>Regelzone Amprion (gesamt)</v>
      </c>
    </row>
    <row r="153" spans="1:15" hidden="1" outlineLevel="1">
      <c r="A153" s="129" t="s">
        <v>853</v>
      </c>
      <c r="B153" s="69">
        <v>7</v>
      </c>
      <c r="C153" s="953">
        <v>2022</v>
      </c>
      <c r="D153" s="187">
        <v>99121</v>
      </c>
      <c r="E153" s="186">
        <v>5065.17</v>
      </c>
      <c r="F153" s="187">
        <v>13746319</v>
      </c>
      <c r="G153" s="186">
        <v>571096.73</v>
      </c>
      <c r="H153" s="187">
        <v>8769515</v>
      </c>
      <c r="I153" s="186">
        <v>597993.6</v>
      </c>
      <c r="J153" s="188">
        <v>-24643.96</v>
      </c>
      <c r="K153" s="189">
        <v>0</v>
      </c>
      <c r="L153" s="185">
        <f t="shared" si="16"/>
        <v>1149511.54</v>
      </c>
      <c r="M153" s="5" t="s">
        <v>854</v>
      </c>
      <c r="O153" t="str">
        <f t="shared" si="17"/>
        <v>Regelzone Amprion (gesamt)</v>
      </c>
    </row>
    <row r="154" spans="1:15" hidden="1" outlineLevel="1">
      <c r="A154" s="129" t="s">
        <v>863</v>
      </c>
      <c r="B154" s="69">
        <v>7</v>
      </c>
      <c r="C154" s="953">
        <v>2024</v>
      </c>
      <c r="D154" s="187">
        <v>0</v>
      </c>
      <c r="E154" s="186">
        <v>0</v>
      </c>
      <c r="F154" s="187">
        <v>0</v>
      </c>
      <c r="G154" s="186">
        <v>0</v>
      </c>
      <c r="H154" s="187">
        <v>9895</v>
      </c>
      <c r="I154" s="186">
        <v>284.8</v>
      </c>
      <c r="J154" s="188">
        <v>0</v>
      </c>
      <c r="K154" s="189">
        <v>0</v>
      </c>
      <c r="L154" s="185">
        <f t="shared" si="16"/>
        <v>284.8</v>
      </c>
      <c r="M154" s="5" t="s">
        <v>864</v>
      </c>
      <c r="O154" t="str">
        <f t="shared" si="17"/>
        <v>Regelzone Amprion (gesamt)</v>
      </c>
    </row>
    <row r="155" spans="1:15" hidden="1" outlineLevel="1">
      <c r="A155" s="129" t="s">
        <v>865</v>
      </c>
      <c r="B155" s="69">
        <v>7</v>
      </c>
      <c r="C155" s="953">
        <v>2022</v>
      </c>
      <c r="D155" s="187">
        <v>0</v>
      </c>
      <c r="E155" s="186">
        <v>0</v>
      </c>
      <c r="F155" s="187">
        <v>0</v>
      </c>
      <c r="G155" s="186">
        <v>0</v>
      </c>
      <c r="H155" s="187">
        <v>63490</v>
      </c>
      <c r="I155" s="186">
        <v>9341.44</v>
      </c>
      <c r="J155" s="188">
        <v>0</v>
      </c>
      <c r="K155" s="189">
        <v>0</v>
      </c>
      <c r="L155" s="185">
        <f t="shared" si="16"/>
        <v>9341.44</v>
      </c>
      <c r="M155" s="5" t="s">
        <v>866</v>
      </c>
      <c r="O155" t="str">
        <f t="shared" si="17"/>
        <v>Regelzone Amprion (gesamt)</v>
      </c>
    </row>
    <row r="156" spans="1:15" hidden="1" outlineLevel="1">
      <c r="A156" s="129" t="s">
        <v>865</v>
      </c>
      <c r="B156" s="69">
        <v>7</v>
      </c>
      <c r="C156" s="953">
        <v>2023</v>
      </c>
      <c r="D156" s="187">
        <v>0</v>
      </c>
      <c r="E156" s="186">
        <v>0</v>
      </c>
      <c r="F156" s="187">
        <v>0</v>
      </c>
      <c r="G156" s="186">
        <v>0</v>
      </c>
      <c r="H156" s="187">
        <v>215923</v>
      </c>
      <c r="I156" s="186">
        <v>23592.400000000001</v>
      </c>
      <c r="J156" s="188">
        <v>0</v>
      </c>
      <c r="K156" s="189">
        <v>0</v>
      </c>
      <c r="L156" s="185">
        <f t="shared" si="16"/>
        <v>23592.400000000001</v>
      </c>
      <c r="M156" s="5" t="s">
        <v>866</v>
      </c>
      <c r="O156" t="str">
        <f t="shared" si="17"/>
        <v>Regelzone Amprion (gesamt)</v>
      </c>
    </row>
    <row r="157" spans="1:15" hidden="1" outlineLevel="1">
      <c r="A157" s="129" t="s">
        <v>865</v>
      </c>
      <c r="B157" s="69">
        <v>7</v>
      </c>
      <c r="C157" s="953">
        <v>2024</v>
      </c>
      <c r="D157" s="187">
        <v>0</v>
      </c>
      <c r="E157" s="186">
        <v>0</v>
      </c>
      <c r="F157" s="187">
        <v>0</v>
      </c>
      <c r="G157" s="186">
        <v>0</v>
      </c>
      <c r="H157" s="187">
        <v>615042</v>
      </c>
      <c r="I157" s="186">
        <v>59359.12</v>
      </c>
      <c r="J157" s="188">
        <v>0</v>
      </c>
      <c r="K157" s="189">
        <v>0</v>
      </c>
      <c r="L157" s="185">
        <f t="shared" si="16"/>
        <v>59359.12</v>
      </c>
      <c r="M157" s="5" t="s">
        <v>866</v>
      </c>
      <c r="O157" t="str">
        <f t="shared" si="17"/>
        <v>Regelzone Amprion (gesamt)</v>
      </c>
    </row>
    <row r="158" spans="1:15" hidden="1" outlineLevel="1">
      <c r="A158" s="129" t="s">
        <v>873</v>
      </c>
      <c r="B158" s="69">
        <v>7</v>
      </c>
      <c r="C158" s="953">
        <v>2023</v>
      </c>
      <c r="D158" s="187">
        <v>0</v>
      </c>
      <c r="E158" s="186">
        <v>0</v>
      </c>
      <c r="F158" s="187">
        <v>99985</v>
      </c>
      <c r="G158" s="186">
        <v>5006.3900000000003</v>
      </c>
      <c r="H158" s="187">
        <v>239112</v>
      </c>
      <c r="I158" s="186">
        <v>10007.879999999999</v>
      </c>
      <c r="J158" s="188">
        <v>0</v>
      </c>
      <c r="K158" s="189">
        <v>0</v>
      </c>
      <c r="L158" s="185">
        <f t="shared" si="16"/>
        <v>15014.27</v>
      </c>
      <c r="M158" s="5" t="s">
        <v>874</v>
      </c>
      <c r="O158" t="str">
        <f t="shared" si="17"/>
        <v>Regelzone Amprion (gesamt)</v>
      </c>
    </row>
    <row r="159" spans="1:15" hidden="1" outlineLevel="1">
      <c r="A159" s="129" t="s">
        <v>873</v>
      </c>
      <c r="B159" s="69">
        <v>7</v>
      </c>
      <c r="C159" s="953">
        <v>2024</v>
      </c>
      <c r="D159" s="187">
        <v>0</v>
      </c>
      <c r="E159" s="186">
        <v>0</v>
      </c>
      <c r="F159" s="187">
        <v>157594</v>
      </c>
      <c r="G159" s="186">
        <v>8308.91</v>
      </c>
      <c r="H159" s="187">
        <v>662729</v>
      </c>
      <c r="I159" s="186">
        <v>40493.839999999997</v>
      </c>
      <c r="J159" s="188">
        <v>131.55000000000001</v>
      </c>
      <c r="K159" s="189">
        <v>0</v>
      </c>
      <c r="L159" s="185">
        <f t="shared" si="16"/>
        <v>48934.3</v>
      </c>
      <c r="M159" s="5" t="s">
        <v>874</v>
      </c>
      <c r="O159" t="str">
        <f t="shared" si="17"/>
        <v>Regelzone Amprion (gesamt)</v>
      </c>
    </row>
    <row r="160" spans="1:15" hidden="1" outlineLevel="1">
      <c r="A160" s="129" t="s">
        <v>879</v>
      </c>
      <c r="B160" s="69">
        <v>7</v>
      </c>
      <c r="C160" s="953">
        <v>2024</v>
      </c>
      <c r="D160" s="187">
        <v>0</v>
      </c>
      <c r="E160" s="186">
        <v>0</v>
      </c>
      <c r="F160" s="187">
        <v>150984</v>
      </c>
      <c r="G160" s="186">
        <v>6384.01</v>
      </c>
      <c r="H160" s="187">
        <v>0</v>
      </c>
      <c r="I160" s="186">
        <v>0</v>
      </c>
      <c r="J160" s="188">
        <v>0</v>
      </c>
      <c r="K160" s="189">
        <v>0</v>
      </c>
      <c r="L160" s="185">
        <f t="shared" si="16"/>
        <v>6384.01</v>
      </c>
      <c r="M160" s="5" t="s">
        <v>880</v>
      </c>
      <c r="O160" t="str">
        <f t="shared" si="17"/>
        <v>Regelzone Amprion (gesamt)</v>
      </c>
    </row>
    <row r="161" spans="1:15" hidden="1" outlineLevel="1">
      <c r="A161" s="129" t="s">
        <v>883</v>
      </c>
      <c r="B161" s="69">
        <v>7</v>
      </c>
      <c r="C161" s="953">
        <v>2023</v>
      </c>
      <c r="D161" s="187">
        <v>0</v>
      </c>
      <c r="E161" s="186">
        <v>0</v>
      </c>
      <c r="F161" s="187">
        <v>0</v>
      </c>
      <c r="G161" s="186">
        <v>0</v>
      </c>
      <c r="H161" s="187">
        <v>38955</v>
      </c>
      <c r="I161" s="186">
        <v>3141.2</v>
      </c>
      <c r="J161" s="188">
        <v>0</v>
      </c>
      <c r="K161" s="189">
        <v>0</v>
      </c>
      <c r="L161" s="185">
        <f t="shared" si="16"/>
        <v>3141.2</v>
      </c>
      <c r="M161" s="5" t="s">
        <v>884</v>
      </c>
      <c r="O161" t="str">
        <f t="shared" si="17"/>
        <v>Regelzone Amprion (gesamt)</v>
      </c>
    </row>
    <row r="162" spans="1:15" hidden="1" outlineLevel="1">
      <c r="A162" s="129" t="s">
        <v>883</v>
      </c>
      <c r="B162" s="69">
        <v>1</v>
      </c>
      <c r="C162" s="953">
        <v>2024</v>
      </c>
      <c r="D162" s="187">
        <v>0</v>
      </c>
      <c r="E162" s="186">
        <v>0</v>
      </c>
      <c r="F162" s="187">
        <v>0</v>
      </c>
      <c r="G162" s="186">
        <v>0</v>
      </c>
      <c r="H162" s="187">
        <v>0</v>
      </c>
      <c r="I162" s="186">
        <v>-1518.08</v>
      </c>
      <c r="J162" s="188">
        <v>0</v>
      </c>
      <c r="K162" s="189">
        <v>0</v>
      </c>
      <c r="L162" s="185">
        <f t="shared" si="16"/>
        <v>-1518.08</v>
      </c>
      <c r="M162" s="5" t="s">
        <v>884</v>
      </c>
      <c r="O162" t="str">
        <f t="shared" si="17"/>
        <v>Regelzone Amprion (gesamt)</v>
      </c>
    </row>
    <row r="163" spans="1:15" hidden="1" outlineLevel="1">
      <c r="A163" s="129" t="s">
        <v>883</v>
      </c>
      <c r="B163" s="69">
        <v>7</v>
      </c>
      <c r="C163" s="953">
        <v>2024</v>
      </c>
      <c r="D163" s="187">
        <v>0</v>
      </c>
      <c r="E163" s="186">
        <v>0</v>
      </c>
      <c r="F163" s="187">
        <v>392038</v>
      </c>
      <c r="G163" s="186">
        <v>21209.26</v>
      </c>
      <c r="H163" s="187">
        <v>63294</v>
      </c>
      <c r="I163" s="186">
        <v>5276.64</v>
      </c>
      <c r="J163" s="188">
        <v>0</v>
      </c>
      <c r="K163" s="189">
        <v>0</v>
      </c>
      <c r="L163" s="185">
        <f t="shared" si="16"/>
        <v>26485.899999999998</v>
      </c>
      <c r="M163" s="5" t="s">
        <v>884</v>
      </c>
      <c r="O163" t="str">
        <f t="shared" si="17"/>
        <v>Regelzone Amprion (gesamt)</v>
      </c>
    </row>
    <row r="164" spans="1:15" hidden="1" outlineLevel="1">
      <c r="A164" s="129" t="s">
        <v>887</v>
      </c>
      <c r="B164" s="69">
        <v>1</v>
      </c>
      <c r="C164" s="953">
        <v>2023</v>
      </c>
      <c r="D164" s="187">
        <v>0</v>
      </c>
      <c r="E164" s="186">
        <v>0</v>
      </c>
      <c r="F164" s="187">
        <v>-3862</v>
      </c>
      <c r="G164" s="186">
        <v>-208.93</v>
      </c>
      <c r="H164" s="187">
        <v>0</v>
      </c>
      <c r="I164" s="186">
        <v>0</v>
      </c>
      <c r="J164" s="188">
        <v>0</v>
      </c>
      <c r="K164" s="189">
        <v>0</v>
      </c>
      <c r="L164" s="185">
        <f t="shared" si="16"/>
        <v>-208.93</v>
      </c>
      <c r="M164" s="5" t="s">
        <v>888</v>
      </c>
      <c r="O164" t="str">
        <f t="shared" si="17"/>
        <v>Regelzone Amprion (gesamt)</v>
      </c>
    </row>
    <row r="165" spans="1:15" hidden="1" outlineLevel="1">
      <c r="A165" s="129" t="s">
        <v>889</v>
      </c>
      <c r="B165" s="69">
        <v>1</v>
      </c>
      <c r="C165" s="953">
        <v>2023</v>
      </c>
      <c r="D165" s="187">
        <v>0</v>
      </c>
      <c r="E165" s="186">
        <v>0</v>
      </c>
      <c r="F165" s="187">
        <v>-58088</v>
      </c>
      <c r="G165" s="186">
        <v>-3142.56</v>
      </c>
      <c r="H165" s="187">
        <v>427</v>
      </c>
      <c r="I165" s="186">
        <v>-214.96</v>
      </c>
      <c r="J165" s="188">
        <v>0</v>
      </c>
      <c r="K165" s="189">
        <v>0</v>
      </c>
      <c r="L165" s="185">
        <f t="shared" si="16"/>
        <v>-3357.52</v>
      </c>
      <c r="M165" s="5" t="s">
        <v>890</v>
      </c>
      <c r="O165" t="str">
        <f t="shared" si="17"/>
        <v>Regelzone Amprion (gesamt)</v>
      </c>
    </row>
    <row r="166" spans="1:15" hidden="1" outlineLevel="1">
      <c r="A166" s="129" t="s">
        <v>889</v>
      </c>
      <c r="B166" s="69">
        <v>1</v>
      </c>
      <c r="C166" s="953">
        <v>2024</v>
      </c>
      <c r="D166" s="187">
        <v>0</v>
      </c>
      <c r="E166" s="186">
        <v>0</v>
      </c>
      <c r="F166" s="187">
        <v>0</v>
      </c>
      <c r="G166" s="186">
        <v>0</v>
      </c>
      <c r="H166" s="187">
        <v>-18984</v>
      </c>
      <c r="I166" s="186">
        <v>-3422.48</v>
      </c>
      <c r="J166" s="188">
        <v>0</v>
      </c>
      <c r="K166" s="189">
        <v>0</v>
      </c>
      <c r="L166" s="185">
        <f t="shared" si="16"/>
        <v>-3422.48</v>
      </c>
      <c r="M166" s="5" t="s">
        <v>890</v>
      </c>
      <c r="O166" t="str">
        <f t="shared" si="17"/>
        <v>Regelzone Amprion (gesamt)</v>
      </c>
    </row>
    <row r="167" spans="1:15" hidden="1" outlineLevel="1">
      <c r="A167" s="129" t="s">
        <v>889</v>
      </c>
      <c r="B167" s="69">
        <v>7</v>
      </c>
      <c r="C167" s="953">
        <v>2024</v>
      </c>
      <c r="D167" s="187">
        <v>0</v>
      </c>
      <c r="E167" s="186">
        <v>0</v>
      </c>
      <c r="F167" s="187">
        <v>0</v>
      </c>
      <c r="G167" s="186">
        <v>0</v>
      </c>
      <c r="H167" s="187">
        <v>21947</v>
      </c>
      <c r="I167" s="186">
        <v>2048.7199999999998</v>
      </c>
      <c r="J167" s="188">
        <v>0</v>
      </c>
      <c r="K167" s="189">
        <v>0</v>
      </c>
      <c r="L167" s="185">
        <f t="shared" si="16"/>
        <v>2048.7199999999998</v>
      </c>
      <c r="M167" s="5" t="s">
        <v>890</v>
      </c>
      <c r="O167" t="str">
        <f t="shared" si="17"/>
        <v>Regelzone Amprion (gesamt)</v>
      </c>
    </row>
    <row r="168" spans="1:15" hidden="1" outlineLevel="1">
      <c r="A168" s="129" t="s">
        <v>891</v>
      </c>
      <c r="B168" s="69">
        <v>7</v>
      </c>
      <c r="C168" s="953">
        <v>2023</v>
      </c>
      <c r="D168" s="187">
        <v>0</v>
      </c>
      <c r="E168" s="186">
        <v>0</v>
      </c>
      <c r="F168" s="187">
        <v>37731</v>
      </c>
      <c r="G168" s="186">
        <v>2041.25</v>
      </c>
      <c r="H168" s="187">
        <v>13676</v>
      </c>
      <c r="I168" s="186">
        <v>1352.48</v>
      </c>
      <c r="J168" s="188">
        <v>0</v>
      </c>
      <c r="K168" s="189">
        <v>0</v>
      </c>
      <c r="L168" s="185">
        <f t="shared" si="16"/>
        <v>3393.73</v>
      </c>
      <c r="M168" s="5" t="s">
        <v>892</v>
      </c>
      <c r="O168" t="str">
        <f t="shared" si="17"/>
        <v>Regelzone Amprion (gesamt)</v>
      </c>
    </row>
    <row r="169" spans="1:15" hidden="1" outlineLevel="1">
      <c r="A169" s="129" t="s">
        <v>891</v>
      </c>
      <c r="B169" s="69">
        <v>7</v>
      </c>
      <c r="C169" s="953">
        <v>2024</v>
      </c>
      <c r="D169" s="187">
        <v>0</v>
      </c>
      <c r="E169" s="186">
        <v>0</v>
      </c>
      <c r="F169" s="187">
        <v>0</v>
      </c>
      <c r="G169" s="186">
        <v>0</v>
      </c>
      <c r="H169" s="187">
        <v>78209</v>
      </c>
      <c r="I169" s="186">
        <v>7649.26</v>
      </c>
      <c r="J169" s="188">
        <v>0</v>
      </c>
      <c r="K169" s="189">
        <v>0</v>
      </c>
      <c r="L169" s="185">
        <f t="shared" si="16"/>
        <v>7649.26</v>
      </c>
      <c r="M169" s="5" t="s">
        <v>892</v>
      </c>
      <c r="O169" t="str">
        <f t="shared" si="17"/>
        <v>Regelzone Amprion (gesamt)</v>
      </c>
    </row>
    <row r="170" spans="1:15" hidden="1" outlineLevel="1">
      <c r="A170" s="129" t="s">
        <v>2074</v>
      </c>
      <c r="B170" s="69">
        <v>7</v>
      </c>
      <c r="C170" s="953">
        <v>2023</v>
      </c>
      <c r="D170" s="187">
        <v>0</v>
      </c>
      <c r="E170" s="186">
        <v>0</v>
      </c>
      <c r="F170" s="187">
        <v>0</v>
      </c>
      <c r="G170" s="186">
        <v>0</v>
      </c>
      <c r="H170" s="187">
        <v>1</v>
      </c>
      <c r="I170" s="186">
        <v>0</v>
      </c>
      <c r="J170" s="188">
        <v>0</v>
      </c>
      <c r="K170" s="189">
        <v>0</v>
      </c>
      <c r="L170" s="185">
        <f t="shared" ref="L170:L234" si="18">E170+G170+I170+J170+K170</f>
        <v>0</v>
      </c>
      <c r="M170" s="5" t="s">
        <v>2075</v>
      </c>
      <c r="O170" t="str">
        <f t="shared" ref="O170:O295" si="19">$A$104</f>
        <v>Regelzone Amprion (gesamt)</v>
      </c>
    </row>
    <row r="171" spans="1:15" hidden="1" outlineLevel="1">
      <c r="A171" s="129" t="s">
        <v>2074</v>
      </c>
      <c r="B171" s="69">
        <v>7</v>
      </c>
      <c r="C171" s="953">
        <v>2024</v>
      </c>
      <c r="D171" s="187">
        <v>0</v>
      </c>
      <c r="E171" s="186">
        <v>0</v>
      </c>
      <c r="F171" s="187">
        <v>0</v>
      </c>
      <c r="G171" s="186">
        <v>0</v>
      </c>
      <c r="H171" s="187">
        <v>-12</v>
      </c>
      <c r="I171" s="186">
        <v>-0.48</v>
      </c>
      <c r="J171" s="188">
        <v>0</v>
      </c>
      <c r="K171" s="189">
        <v>0</v>
      </c>
      <c r="L171" s="185">
        <f t="shared" si="18"/>
        <v>-0.48</v>
      </c>
      <c r="M171" s="5" t="s">
        <v>2075</v>
      </c>
      <c r="O171" t="str">
        <f t="shared" si="19"/>
        <v>Regelzone Amprion (gesamt)</v>
      </c>
    </row>
    <row r="172" spans="1:15" hidden="1" outlineLevel="1">
      <c r="A172" s="129" t="s">
        <v>899</v>
      </c>
      <c r="B172" s="69">
        <v>7</v>
      </c>
      <c r="C172" s="953">
        <v>2023</v>
      </c>
      <c r="D172" s="187">
        <v>0</v>
      </c>
      <c r="E172" s="186">
        <v>0</v>
      </c>
      <c r="F172" s="187">
        <v>0</v>
      </c>
      <c r="G172" s="186">
        <v>0</v>
      </c>
      <c r="H172" s="187">
        <v>91889</v>
      </c>
      <c r="I172" s="186">
        <v>3693.32</v>
      </c>
      <c r="J172" s="188">
        <v>0</v>
      </c>
      <c r="K172" s="189">
        <v>0</v>
      </c>
      <c r="L172" s="185">
        <f t="shared" si="18"/>
        <v>3693.32</v>
      </c>
      <c r="M172" s="5" t="s">
        <v>900</v>
      </c>
      <c r="O172" t="str">
        <f t="shared" si="19"/>
        <v>Regelzone Amprion (gesamt)</v>
      </c>
    </row>
    <row r="173" spans="1:15" hidden="1" outlineLevel="1">
      <c r="A173" s="129" t="s">
        <v>899</v>
      </c>
      <c r="B173" s="69">
        <v>7</v>
      </c>
      <c r="C173" s="953">
        <v>2024</v>
      </c>
      <c r="D173" s="187">
        <v>0</v>
      </c>
      <c r="E173" s="186">
        <v>0</v>
      </c>
      <c r="F173" s="187">
        <v>274165</v>
      </c>
      <c r="G173" s="186">
        <v>14832.33</v>
      </c>
      <c r="H173" s="187">
        <v>171782</v>
      </c>
      <c r="I173" s="186">
        <v>10711.6</v>
      </c>
      <c r="J173" s="188">
        <v>0</v>
      </c>
      <c r="K173" s="189">
        <v>0</v>
      </c>
      <c r="L173" s="185">
        <f t="shared" si="18"/>
        <v>25543.93</v>
      </c>
      <c r="M173" s="5" t="s">
        <v>900</v>
      </c>
      <c r="O173" t="str">
        <f t="shared" si="19"/>
        <v>Regelzone Amprion (gesamt)</v>
      </c>
    </row>
    <row r="174" spans="1:15" hidden="1" outlineLevel="1">
      <c r="A174" s="129" t="s">
        <v>903</v>
      </c>
      <c r="B174" s="69">
        <v>7</v>
      </c>
      <c r="C174" s="953">
        <v>2023</v>
      </c>
      <c r="D174" s="187">
        <v>0</v>
      </c>
      <c r="E174" s="186">
        <v>0</v>
      </c>
      <c r="F174" s="187">
        <v>0</v>
      </c>
      <c r="G174" s="186">
        <v>0</v>
      </c>
      <c r="H174" s="187">
        <v>1289</v>
      </c>
      <c r="I174" s="186">
        <v>103.12</v>
      </c>
      <c r="J174" s="188">
        <v>0</v>
      </c>
      <c r="K174" s="189">
        <v>0</v>
      </c>
      <c r="L174" s="185">
        <f t="shared" si="18"/>
        <v>103.12</v>
      </c>
      <c r="M174" s="5" t="s">
        <v>904</v>
      </c>
      <c r="O174" t="str">
        <f t="shared" si="19"/>
        <v>Regelzone Amprion (gesamt)</v>
      </c>
    </row>
    <row r="175" spans="1:15" hidden="1" outlineLevel="1">
      <c r="A175" s="129" t="s">
        <v>903</v>
      </c>
      <c r="B175" s="69">
        <v>7</v>
      </c>
      <c r="C175" s="953">
        <v>2024</v>
      </c>
      <c r="D175" s="187">
        <v>0</v>
      </c>
      <c r="E175" s="186">
        <v>0</v>
      </c>
      <c r="F175" s="187">
        <v>0</v>
      </c>
      <c r="G175" s="186">
        <v>0</v>
      </c>
      <c r="H175" s="187">
        <v>119956</v>
      </c>
      <c r="I175" s="186">
        <v>10739.84</v>
      </c>
      <c r="J175" s="188">
        <v>0</v>
      </c>
      <c r="K175" s="189">
        <v>0</v>
      </c>
      <c r="L175" s="185">
        <f t="shared" si="18"/>
        <v>10739.84</v>
      </c>
      <c r="M175" s="5" t="s">
        <v>904</v>
      </c>
      <c r="O175" t="str">
        <f t="shared" si="19"/>
        <v>Regelzone Amprion (gesamt)</v>
      </c>
    </row>
    <row r="176" spans="1:15" hidden="1" outlineLevel="1">
      <c r="A176" s="129" t="s">
        <v>909</v>
      </c>
      <c r="B176" s="69">
        <v>1</v>
      </c>
      <c r="C176" s="953">
        <v>2022</v>
      </c>
      <c r="D176" s="187">
        <v>0</v>
      </c>
      <c r="E176" s="186">
        <v>0</v>
      </c>
      <c r="F176" s="187">
        <v>0</v>
      </c>
      <c r="G176" s="186">
        <v>0</v>
      </c>
      <c r="H176" s="187">
        <v>-1543</v>
      </c>
      <c r="I176" s="186">
        <v>-123.44</v>
      </c>
      <c r="J176" s="188">
        <v>0</v>
      </c>
      <c r="K176" s="189">
        <v>0</v>
      </c>
      <c r="L176" s="185">
        <f t="shared" si="18"/>
        <v>-123.44</v>
      </c>
      <c r="M176" s="5" t="s">
        <v>910</v>
      </c>
      <c r="O176" t="str">
        <f t="shared" si="19"/>
        <v>Regelzone Amprion (gesamt)</v>
      </c>
    </row>
    <row r="177" spans="1:15" hidden="1" outlineLevel="1">
      <c r="A177" s="129" t="s">
        <v>909</v>
      </c>
      <c r="B177" s="69">
        <v>7</v>
      </c>
      <c r="C177" s="953">
        <v>2022</v>
      </c>
      <c r="D177" s="187">
        <v>0</v>
      </c>
      <c r="E177" s="186">
        <v>0</v>
      </c>
      <c r="F177" s="187">
        <v>0</v>
      </c>
      <c r="G177" s="186">
        <v>0</v>
      </c>
      <c r="H177" s="187">
        <v>28153</v>
      </c>
      <c r="I177" s="186">
        <v>1693.28</v>
      </c>
      <c r="J177" s="188">
        <v>0</v>
      </c>
      <c r="K177" s="189">
        <v>0</v>
      </c>
      <c r="L177" s="185">
        <f t="shared" si="18"/>
        <v>1693.28</v>
      </c>
      <c r="M177" s="5" t="s">
        <v>910</v>
      </c>
      <c r="O177" t="str">
        <f t="shared" si="19"/>
        <v>Regelzone Amprion (gesamt)</v>
      </c>
    </row>
    <row r="178" spans="1:15" hidden="1" outlineLevel="1">
      <c r="A178" s="129" t="s">
        <v>909</v>
      </c>
      <c r="B178" s="69">
        <v>1</v>
      </c>
      <c r="C178" s="953">
        <v>2023</v>
      </c>
      <c r="D178" s="187">
        <v>0</v>
      </c>
      <c r="E178" s="186">
        <v>0</v>
      </c>
      <c r="F178" s="187">
        <v>-94518</v>
      </c>
      <c r="G178" s="186">
        <v>-5113.42</v>
      </c>
      <c r="H178" s="187">
        <v>0</v>
      </c>
      <c r="I178" s="186">
        <v>0</v>
      </c>
      <c r="J178" s="188">
        <v>0</v>
      </c>
      <c r="K178" s="189">
        <v>0</v>
      </c>
      <c r="L178" s="185">
        <f t="shared" si="18"/>
        <v>-5113.42</v>
      </c>
      <c r="M178" s="5" t="s">
        <v>910</v>
      </c>
      <c r="O178" t="str">
        <f t="shared" si="19"/>
        <v>Regelzone Amprion (gesamt)</v>
      </c>
    </row>
    <row r="179" spans="1:15" hidden="1" outlineLevel="1">
      <c r="A179" s="129" t="s">
        <v>909</v>
      </c>
      <c r="B179" s="69">
        <v>7</v>
      </c>
      <c r="C179" s="953">
        <v>2023</v>
      </c>
      <c r="D179" s="187">
        <v>0</v>
      </c>
      <c r="E179" s="186">
        <v>0</v>
      </c>
      <c r="F179" s="187">
        <v>92786</v>
      </c>
      <c r="G179" s="186">
        <v>5019.72</v>
      </c>
      <c r="H179" s="187">
        <v>352398</v>
      </c>
      <c r="I179" s="186">
        <v>52258.28</v>
      </c>
      <c r="J179" s="188">
        <v>0</v>
      </c>
      <c r="K179" s="189">
        <v>0</v>
      </c>
      <c r="L179" s="185">
        <f t="shared" si="18"/>
        <v>57278</v>
      </c>
      <c r="M179" s="5" t="s">
        <v>910</v>
      </c>
      <c r="O179" t="str">
        <f t="shared" si="19"/>
        <v>Regelzone Amprion (gesamt)</v>
      </c>
    </row>
    <row r="180" spans="1:15" hidden="1" outlineLevel="1">
      <c r="A180" s="129" t="s">
        <v>909</v>
      </c>
      <c r="B180" s="69">
        <v>1</v>
      </c>
      <c r="C180" s="953">
        <v>2024</v>
      </c>
      <c r="D180" s="187">
        <v>0</v>
      </c>
      <c r="E180" s="186">
        <v>0</v>
      </c>
      <c r="F180" s="187">
        <v>-120649</v>
      </c>
      <c r="G180" s="186">
        <v>-6527.11</v>
      </c>
      <c r="H180" s="187">
        <v>0</v>
      </c>
      <c r="I180" s="186">
        <v>0</v>
      </c>
      <c r="J180" s="188">
        <v>0</v>
      </c>
      <c r="K180" s="189">
        <v>0</v>
      </c>
      <c r="L180" s="185">
        <f t="shared" si="18"/>
        <v>-6527.11</v>
      </c>
      <c r="M180" s="5" t="s">
        <v>910</v>
      </c>
      <c r="O180" t="str">
        <f t="shared" si="19"/>
        <v>Regelzone Amprion (gesamt)</v>
      </c>
    </row>
    <row r="181" spans="1:15" hidden="1" outlineLevel="1">
      <c r="A181" s="129" t="s">
        <v>909</v>
      </c>
      <c r="B181" s="69">
        <v>7</v>
      </c>
      <c r="C181" s="953">
        <v>2024</v>
      </c>
      <c r="D181" s="187">
        <v>0</v>
      </c>
      <c r="E181" s="186">
        <v>0</v>
      </c>
      <c r="F181" s="187">
        <v>331422</v>
      </c>
      <c r="G181" s="186">
        <v>17929.93</v>
      </c>
      <c r="H181" s="187">
        <v>1420479</v>
      </c>
      <c r="I181" s="186">
        <v>161388.76</v>
      </c>
      <c r="J181" s="188">
        <v>0</v>
      </c>
      <c r="K181" s="189">
        <v>0</v>
      </c>
      <c r="L181" s="185">
        <f t="shared" si="18"/>
        <v>179318.69</v>
      </c>
      <c r="M181" s="5" t="s">
        <v>910</v>
      </c>
      <c r="O181" t="str">
        <f t="shared" si="19"/>
        <v>Regelzone Amprion (gesamt)</v>
      </c>
    </row>
    <row r="182" spans="1:15" hidden="1" outlineLevel="1">
      <c r="A182" s="129" t="s">
        <v>919</v>
      </c>
      <c r="B182" s="69">
        <v>7</v>
      </c>
      <c r="C182" s="953">
        <v>2023</v>
      </c>
      <c r="D182" s="187">
        <v>0</v>
      </c>
      <c r="E182" s="186">
        <v>0</v>
      </c>
      <c r="F182" s="187">
        <v>8142</v>
      </c>
      <c r="G182" s="186">
        <v>440.48</v>
      </c>
      <c r="H182" s="187">
        <v>0</v>
      </c>
      <c r="I182" s="186">
        <v>0</v>
      </c>
      <c r="J182" s="188">
        <v>0</v>
      </c>
      <c r="K182" s="189">
        <v>0</v>
      </c>
      <c r="L182" s="185">
        <f t="shared" si="18"/>
        <v>440.48</v>
      </c>
      <c r="M182" s="5" t="s">
        <v>920</v>
      </c>
      <c r="O182" t="str">
        <f t="shared" si="19"/>
        <v>Regelzone Amprion (gesamt)</v>
      </c>
    </row>
    <row r="183" spans="1:15" hidden="1" outlineLevel="1">
      <c r="A183" s="129" t="s">
        <v>919</v>
      </c>
      <c r="B183" s="69">
        <v>7</v>
      </c>
      <c r="C183" s="953">
        <v>2024</v>
      </c>
      <c r="D183" s="187">
        <v>0</v>
      </c>
      <c r="E183" s="186">
        <v>0</v>
      </c>
      <c r="F183" s="187">
        <v>-907991</v>
      </c>
      <c r="G183" s="186">
        <v>-31987.759999999998</v>
      </c>
      <c r="H183" s="187">
        <v>60162</v>
      </c>
      <c r="I183" s="186">
        <v>9625.92</v>
      </c>
      <c r="J183" s="188">
        <v>0</v>
      </c>
      <c r="K183" s="189">
        <v>0</v>
      </c>
      <c r="L183" s="185">
        <f t="shared" si="18"/>
        <v>-22361.839999999997</v>
      </c>
      <c r="M183" s="5" t="s">
        <v>920</v>
      </c>
      <c r="O183" t="str">
        <f t="shared" si="19"/>
        <v>Regelzone Amprion (gesamt)</v>
      </c>
    </row>
    <row r="184" spans="1:15" hidden="1" outlineLevel="1">
      <c r="A184" s="129" t="s">
        <v>927</v>
      </c>
      <c r="B184" s="69">
        <v>7</v>
      </c>
      <c r="C184" s="953">
        <v>2023</v>
      </c>
      <c r="D184" s="187">
        <v>0</v>
      </c>
      <c r="E184" s="186">
        <v>0</v>
      </c>
      <c r="F184" s="187">
        <v>58530</v>
      </c>
      <c r="G184" s="186">
        <v>3166.47</v>
      </c>
      <c r="H184" s="187">
        <v>0</v>
      </c>
      <c r="I184" s="186">
        <v>0</v>
      </c>
      <c r="J184" s="188">
        <v>0</v>
      </c>
      <c r="K184" s="189">
        <v>0</v>
      </c>
      <c r="L184" s="185">
        <f t="shared" si="18"/>
        <v>3166.47</v>
      </c>
      <c r="M184" s="5" t="s">
        <v>928</v>
      </c>
      <c r="O184" t="str">
        <f t="shared" si="19"/>
        <v>Regelzone Amprion (gesamt)</v>
      </c>
    </row>
    <row r="185" spans="1:15" hidden="1" outlineLevel="1">
      <c r="A185" s="129" t="s">
        <v>927</v>
      </c>
      <c r="B185" s="69">
        <v>7</v>
      </c>
      <c r="C185" s="953">
        <v>2024</v>
      </c>
      <c r="D185" s="187">
        <v>0</v>
      </c>
      <c r="E185" s="186">
        <v>0</v>
      </c>
      <c r="F185" s="187">
        <v>74252</v>
      </c>
      <c r="G185" s="186">
        <v>4017.03</v>
      </c>
      <c r="H185" s="187">
        <v>0</v>
      </c>
      <c r="I185" s="186">
        <v>0</v>
      </c>
      <c r="J185" s="188">
        <v>0</v>
      </c>
      <c r="K185" s="189">
        <v>0</v>
      </c>
      <c r="L185" s="185">
        <f t="shared" si="18"/>
        <v>4017.03</v>
      </c>
      <c r="M185" s="5" t="s">
        <v>928</v>
      </c>
      <c r="O185" t="str">
        <f t="shared" si="19"/>
        <v>Regelzone Amprion (gesamt)</v>
      </c>
    </row>
    <row r="186" spans="1:15" hidden="1" outlineLevel="1">
      <c r="A186" s="129" t="s">
        <v>929</v>
      </c>
      <c r="B186" s="69">
        <v>7</v>
      </c>
      <c r="C186" s="953">
        <v>2023</v>
      </c>
      <c r="D186" s="187">
        <v>0</v>
      </c>
      <c r="E186" s="186">
        <v>0</v>
      </c>
      <c r="F186" s="187">
        <v>0</v>
      </c>
      <c r="G186" s="186">
        <v>0</v>
      </c>
      <c r="H186" s="187">
        <v>-16202</v>
      </c>
      <c r="I186" s="186">
        <v>-957.01</v>
      </c>
      <c r="J186" s="188">
        <v>-204.97</v>
      </c>
      <c r="K186" s="189">
        <v>0</v>
      </c>
      <c r="L186" s="185">
        <f t="shared" si="18"/>
        <v>-1161.98</v>
      </c>
      <c r="M186" s="5" t="s">
        <v>930</v>
      </c>
      <c r="O186" t="str">
        <f t="shared" si="19"/>
        <v>Regelzone Amprion (gesamt)</v>
      </c>
    </row>
    <row r="187" spans="1:15" hidden="1" outlineLevel="1">
      <c r="A187" s="129" t="s">
        <v>929</v>
      </c>
      <c r="B187" s="69">
        <v>7</v>
      </c>
      <c r="C187" s="953">
        <v>2024</v>
      </c>
      <c r="D187" s="187">
        <v>0</v>
      </c>
      <c r="E187" s="186">
        <v>0</v>
      </c>
      <c r="F187" s="187">
        <v>793</v>
      </c>
      <c r="G187" s="186">
        <v>42.9</v>
      </c>
      <c r="H187" s="187">
        <v>31692</v>
      </c>
      <c r="I187" s="186">
        <v>1604.34</v>
      </c>
      <c r="J187" s="188">
        <v>-320.87</v>
      </c>
      <c r="K187" s="189">
        <v>0</v>
      </c>
      <c r="L187" s="185">
        <f t="shared" si="18"/>
        <v>1326.37</v>
      </c>
      <c r="M187" s="5" t="s">
        <v>930</v>
      </c>
      <c r="O187" t="str">
        <f t="shared" si="19"/>
        <v>Regelzone Amprion (gesamt)</v>
      </c>
    </row>
    <row r="188" spans="1:15" hidden="1" outlineLevel="1">
      <c r="A188" s="129" t="s">
        <v>933</v>
      </c>
      <c r="B188" s="69">
        <v>5</v>
      </c>
      <c r="C188" s="953">
        <v>2022</v>
      </c>
      <c r="D188" s="187">
        <v>9793</v>
      </c>
      <c r="E188" s="186">
        <v>500.42</v>
      </c>
      <c r="F188" s="187">
        <v>2086160</v>
      </c>
      <c r="G188" s="186">
        <v>109916.09</v>
      </c>
      <c r="H188" s="187">
        <v>3551611</v>
      </c>
      <c r="I188" s="186">
        <v>233923.64</v>
      </c>
      <c r="J188" s="188">
        <v>-6441.64</v>
      </c>
      <c r="K188" s="189">
        <v>0</v>
      </c>
      <c r="L188" s="185">
        <f t="shared" si="18"/>
        <v>337898.51</v>
      </c>
      <c r="M188" s="5" t="s">
        <v>934</v>
      </c>
      <c r="O188" t="str">
        <f t="shared" si="19"/>
        <v>Regelzone Amprion (gesamt)</v>
      </c>
    </row>
    <row r="189" spans="1:15" hidden="1" outlineLevel="1">
      <c r="A189" s="129" t="s">
        <v>933</v>
      </c>
      <c r="B189" s="69">
        <v>7</v>
      </c>
      <c r="C189" s="953">
        <v>2022</v>
      </c>
      <c r="D189" s="187">
        <v>0</v>
      </c>
      <c r="E189" s="186">
        <v>0</v>
      </c>
      <c r="F189" s="187">
        <v>0</v>
      </c>
      <c r="G189" s="186">
        <v>0</v>
      </c>
      <c r="H189" s="187">
        <v>-51700</v>
      </c>
      <c r="I189" s="186">
        <v>2001.56</v>
      </c>
      <c r="J189" s="188">
        <v>-50.05</v>
      </c>
      <c r="K189" s="189">
        <v>0</v>
      </c>
      <c r="L189" s="185">
        <f t="shared" si="18"/>
        <v>1951.51</v>
      </c>
      <c r="M189" s="5" t="s">
        <v>934</v>
      </c>
      <c r="O189" t="str">
        <f t="shared" si="19"/>
        <v>Regelzone Amprion (gesamt)</v>
      </c>
    </row>
    <row r="190" spans="1:15" hidden="1" outlineLevel="1">
      <c r="A190" s="129" t="s">
        <v>939</v>
      </c>
      <c r="B190" s="69">
        <v>7</v>
      </c>
      <c r="C190" s="953">
        <v>2022</v>
      </c>
      <c r="D190" s="187">
        <v>0</v>
      </c>
      <c r="E190" s="186">
        <v>0</v>
      </c>
      <c r="F190" s="187">
        <v>-18173</v>
      </c>
      <c r="G190" s="186">
        <v>-983.16</v>
      </c>
      <c r="H190" s="187">
        <v>0</v>
      </c>
      <c r="I190" s="186">
        <v>0</v>
      </c>
      <c r="J190" s="188">
        <v>0</v>
      </c>
      <c r="K190" s="189">
        <v>0</v>
      </c>
      <c r="L190" s="185">
        <f t="shared" si="18"/>
        <v>-983.16</v>
      </c>
      <c r="M190" s="5" t="s">
        <v>940</v>
      </c>
      <c r="O190" t="str">
        <f t="shared" si="19"/>
        <v>Regelzone Amprion (gesamt)</v>
      </c>
    </row>
    <row r="191" spans="1:15" hidden="1" outlineLevel="1">
      <c r="A191" s="129" t="s">
        <v>939</v>
      </c>
      <c r="B191" s="69">
        <v>7</v>
      </c>
      <c r="C191" s="953">
        <v>2023</v>
      </c>
      <c r="D191" s="187">
        <v>0</v>
      </c>
      <c r="E191" s="186">
        <v>0</v>
      </c>
      <c r="F191" s="187">
        <v>-2893</v>
      </c>
      <c r="G191" s="186">
        <v>-156.51</v>
      </c>
      <c r="H191" s="187">
        <v>1056</v>
      </c>
      <c r="I191" s="186">
        <v>81.28</v>
      </c>
      <c r="J191" s="188">
        <v>0</v>
      </c>
      <c r="K191" s="189">
        <v>0</v>
      </c>
      <c r="L191" s="185">
        <f t="shared" si="18"/>
        <v>-75.22999999999999</v>
      </c>
      <c r="M191" s="5" t="s">
        <v>940</v>
      </c>
      <c r="O191" t="str">
        <f t="shared" si="19"/>
        <v>Regelzone Amprion (gesamt)</v>
      </c>
    </row>
    <row r="192" spans="1:15" hidden="1" outlineLevel="1">
      <c r="A192" s="129" t="s">
        <v>939</v>
      </c>
      <c r="B192" s="69">
        <v>7</v>
      </c>
      <c r="C192" s="953">
        <v>2024</v>
      </c>
      <c r="D192" s="187">
        <v>0</v>
      </c>
      <c r="E192" s="186">
        <v>0</v>
      </c>
      <c r="F192" s="187">
        <v>0</v>
      </c>
      <c r="G192" s="186">
        <v>0</v>
      </c>
      <c r="H192" s="187">
        <v>0</v>
      </c>
      <c r="I192" s="186">
        <v>-68.400000000000006</v>
      </c>
      <c r="J192" s="188">
        <v>0</v>
      </c>
      <c r="K192" s="189">
        <v>0</v>
      </c>
      <c r="L192" s="185">
        <f t="shared" si="18"/>
        <v>-68.400000000000006</v>
      </c>
      <c r="M192" s="5" t="s">
        <v>940</v>
      </c>
      <c r="O192" t="str">
        <f t="shared" si="19"/>
        <v>Regelzone Amprion (gesamt)</v>
      </c>
    </row>
    <row r="193" spans="1:15" hidden="1" outlineLevel="1">
      <c r="A193" s="129" t="s">
        <v>945</v>
      </c>
      <c r="B193" s="69">
        <v>7</v>
      </c>
      <c r="C193" s="953">
        <v>2024</v>
      </c>
      <c r="D193" s="187">
        <v>0</v>
      </c>
      <c r="E193" s="186">
        <v>0</v>
      </c>
      <c r="F193" s="187">
        <v>28911</v>
      </c>
      <c r="G193" s="186">
        <v>1564.09</v>
      </c>
      <c r="H193" s="187">
        <v>0</v>
      </c>
      <c r="I193" s="186">
        <v>0</v>
      </c>
      <c r="J193" s="188">
        <v>0</v>
      </c>
      <c r="K193" s="189">
        <v>0</v>
      </c>
      <c r="L193" s="185">
        <f t="shared" si="18"/>
        <v>1564.09</v>
      </c>
      <c r="M193" s="5" t="s">
        <v>946</v>
      </c>
      <c r="O193" t="str">
        <f t="shared" si="19"/>
        <v>Regelzone Amprion (gesamt)</v>
      </c>
    </row>
    <row r="194" spans="1:15" hidden="1" outlineLevel="1">
      <c r="A194" s="129" t="s">
        <v>949</v>
      </c>
      <c r="B194" s="69">
        <v>7</v>
      </c>
      <c r="C194" s="953">
        <v>2023</v>
      </c>
      <c r="D194" s="187">
        <v>0</v>
      </c>
      <c r="E194" s="186">
        <v>0</v>
      </c>
      <c r="F194" s="187">
        <v>0</v>
      </c>
      <c r="G194" s="186">
        <v>0</v>
      </c>
      <c r="H194" s="187">
        <v>9425</v>
      </c>
      <c r="I194" s="186">
        <v>1351.8</v>
      </c>
      <c r="J194" s="188">
        <v>0</v>
      </c>
      <c r="K194" s="189">
        <v>0</v>
      </c>
      <c r="L194" s="185">
        <f t="shared" si="18"/>
        <v>1351.8</v>
      </c>
      <c r="M194" s="5" t="s">
        <v>950</v>
      </c>
      <c r="O194" t="str">
        <f t="shared" si="19"/>
        <v>Regelzone Amprion (gesamt)</v>
      </c>
    </row>
    <row r="195" spans="1:15" hidden="1" outlineLevel="1">
      <c r="A195" s="129" t="s">
        <v>949</v>
      </c>
      <c r="B195" s="69">
        <v>7</v>
      </c>
      <c r="C195" s="953">
        <v>2024</v>
      </c>
      <c r="D195" s="187">
        <v>0</v>
      </c>
      <c r="E195" s="186">
        <v>0</v>
      </c>
      <c r="F195" s="187">
        <v>0</v>
      </c>
      <c r="G195" s="186">
        <v>0</v>
      </c>
      <c r="H195" s="187">
        <v>13895264</v>
      </c>
      <c r="I195" s="186">
        <v>982949.61</v>
      </c>
      <c r="J195" s="188">
        <v>0</v>
      </c>
      <c r="K195" s="189">
        <v>0</v>
      </c>
      <c r="L195" s="185">
        <f t="shared" si="18"/>
        <v>982949.61</v>
      </c>
      <c r="M195" s="5" t="s">
        <v>950</v>
      </c>
      <c r="O195" t="str">
        <f t="shared" si="19"/>
        <v>Regelzone Amprion (gesamt)</v>
      </c>
    </row>
    <row r="196" spans="1:15" hidden="1" outlineLevel="1">
      <c r="A196" s="129" t="s">
        <v>955</v>
      </c>
      <c r="B196" s="69">
        <v>7</v>
      </c>
      <c r="C196" s="953">
        <v>2023</v>
      </c>
      <c r="D196" s="187">
        <v>0</v>
      </c>
      <c r="E196" s="186">
        <v>0</v>
      </c>
      <c r="F196" s="187">
        <v>0</v>
      </c>
      <c r="G196" s="186">
        <v>0</v>
      </c>
      <c r="H196" s="187">
        <v>67945</v>
      </c>
      <c r="I196" s="186">
        <v>2945.76</v>
      </c>
      <c r="J196" s="188">
        <v>0</v>
      </c>
      <c r="K196" s="189">
        <v>0</v>
      </c>
      <c r="L196" s="185">
        <f t="shared" si="18"/>
        <v>2945.76</v>
      </c>
      <c r="M196" s="5" t="s">
        <v>956</v>
      </c>
      <c r="O196" t="str">
        <f t="shared" si="19"/>
        <v>Regelzone Amprion (gesamt)</v>
      </c>
    </row>
    <row r="197" spans="1:15" hidden="1" outlineLevel="1">
      <c r="A197" s="129" t="s">
        <v>955</v>
      </c>
      <c r="B197" s="69">
        <v>7</v>
      </c>
      <c r="C197" s="953">
        <v>2024</v>
      </c>
      <c r="D197" s="187">
        <v>0</v>
      </c>
      <c r="E197" s="186">
        <v>0</v>
      </c>
      <c r="F197" s="187">
        <v>0</v>
      </c>
      <c r="G197" s="186">
        <v>0</v>
      </c>
      <c r="H197" s="187">
        <v>191746</v>
      </c>
      <c r="I197" s="186">
        <v>9643.56</v>
      </c>
      <c r="J197" s="188">
        <v>0</v>
      </c>
      <c r="K197" s="189">
        <v>0</v>
      </c>
      <c r="L197" s="185">
        <f t="shared" si="18"/>
        <v>9643.56</v>
      </c>
      <c r="M197" s="5" t="s">
        <v>956</v>
      </c>
      <c r="O197" t="str">
        <f t="shared" si="19"/>
        <v>Regelzone Amprion (gesamt)</v>
      </c>
    </row>
    <row r="198" spans="1:15" hidden="1" outlineLevel="1">
      <c r="A198" s="129" t="s">
        <v>971</v>
      </c>
      <c r="B198" s="69">
        <v>7</v>
      </c>
      <c r="C198" s="953">
        <v>2023</v>
      </c>
      <c r="D198" s="187">
        <v>0</v>
      </c>
      <c r="E198" s="186">
        <v>0</v>
      </c>
      <c r="F198" s="187">
        <v>0</v>
      </c>
      <c r="G198" s="186">
        <v>0</v>
      </c>
      <c r="H198" s="187">
        <v>1118764</v>
      </c>
      <c r="I198" s="186">
        <v>97952.84</v>
      </c>
      <c r="J198" s="188">
        <v>0</v>
      </c>
      <c r="K198" s="189">
        <v>0</v>
      </c>
      <c r="L198" s="185">
        <f t="shared" si="18"/>
        <v>97952.84</v>
      </c>
      <c r="M198" s="5" t="s">
        <v>972</v>
      </c>
      <c r="O198" t="str">
        <f t="shared" si="19"/>
        <v>Regelzone Amprion (gesamt)</v>
      </c>
    </row>
    <row r="199" spans="1:15" hidden="1" outlineLevel="1">
      <c r="A199" s="129" t="s">
        <v>971</v>
      </c>
      <c r="B199" s="69">
        <v>7</v>
      </c>
      <c r="C199" s="953">
        <v>2024</v>
      </c>
      <c r="D199" s="187">
        <v>0</v>
      </c>
      <c r="E199" s="186">
        <v>0</v>
      </c>
      <c r="F199" s="187">
        <v>0</v>
      </c>
      <c r="G199" s="186">
        <v>0</v>
      </c>
      <c r="H199" s="187">
        <v>671251</v>
      </c>
      <c r="I199" s="186">
        <v>49402.96</v>
      </c>
      <c r="J199" s="188">
        <v>0</v>
      </c>
      <c r="K199" s="189">
        <v>0</v>
      </c>
      <c r="L199" s="185">
        <f t="shared" si="18"/>
        <v>49402.96</v>
      </c>
      <c r="M199" s="5" t="s">
        <v>972</v>
      </c>
      <c r="O199" t="str">
        <f t="shared" si="19"/>
        <v>Regelzone Amprion (gesamt)</v>
      </c>
    </row>
    <row r="200" spans="1:15" hidden="1" outlineLevel="1">
      <c r="A200" s="129" t="s">
        <v>975</v>
      </c>
      <c r="B200" s="69">
        <v>1</v>
      </c>
      <c r="C200" s="953">
        <v>2024</v>
      </c>
      <c r="D200" s="187">
        <v>0</v>
      </c>
      <c r="E200" s="186">
        <v>0</v>
      </c>
      <c r="F200" s="187">
        <v>0</v>
      </c>
      <c r="G200" s="186">
        <v>0</v>
      </c>
      <c r="H200" s="187">
        <v>-69792</v>
      </c>
      <c r="I200" s="186">
        <v>-5927.24</v>
      </c>
      <c r="J200" s="188">
        <v>0</v>
      </c>
      <c r="K200" s="189">
        <v>0</v>
      </c>
      <c r="L200" s="185">
        <f t="shared" si="18"/>
        <v>-5927.24</v>
      </c>
      <c r="M200" s="5" t="s">
        <v>976</v>
      </c>
      <c r="O200" t="str">
        <f t="shared" si="19"/>
        <v>Regelzone Amprion (gesamt)</v>
      </c>
    </row>
    <row r="201" spans="1:15" hidden="1" outlineLevel="1">
      <c r="A201" s="129" t="s">
        <v>975</v>
      </c>
      <c r="B201" s="69">
        <v>7</v>
      </c>
      <c r="C201" s="953">
        <v>2024</v>
      </c>
      <c r="D201" s="187">
        <v>0</v>
      </c>
      <c r="E201" s="186">
        <v>0</v>
      </c>
      <c r="F201" s="187">
        <v>0</v>
      </c>
      <c r="G201" s="186">
        <v>0</v>
      </c>
      <c r="H201" s="187">
        <v>39637</v>
      </c>
      <c r="I201" s="186">
        <v>3170.96</v>
      </c>
      <c r="J201" s="188">
        <v>0</v>
      </c>
      <c r="K201" s="189">
        <v>0</v>
      </c>
      <c r="L201" s="185">
        <f t="shared" si="18"/>
        <v>3170.96</v>
      </c>
      <c r="M201" s="5" t="s">
        <v>976</v>
      </c>
      <c r="O201" t="str">
        <f t="shared" si="19"/>
        <v>Regelzone Amprion (gesamt)</v>
      </c>
    </row>
    <row r="202" spans="1:15" hidden="1" outlineLevel="1">
      <c r="A202" s="129" t="s">
        <v>985</v>
      </c>
      <c r="B202" s="69">
        <v>7</v>
      </c>
      <c r="C202" s="953">
        <v>2022</v>
      </c>
      <c r="D202" s="187">
        <v>0</v>
      </c>
      <c r="E202" s="186">
        <v>0</v>
      </c>
      <c r="F202" s="187">
        <v>0</v>
      </c>
      <c r="G202" s="186">
        <v>0</v>
      </c>
      <c r="H202" s="187">
        <v>42926</v>
      </c>
      <c r="I202" s="186">
        <v>2160.4</v>
      </c>
      <c r="J202" s="188">
        <v>0</v>
      </c>
      <c r="K202" s="189">
        <v>0</v>
      </c>
      <c r="L202" s="185">
        <f t="shared" si="18"/>
        <v>2160.4</v>
      </c>
      <c r="M202" s="5" t="s">
        <v>986</v>
      </c>
      <c r="O202" t="str">
        <f t="shared" si="19"/>
        <v>Regelzone Amprion (gesamt)</v>
      </c>
    </row>
    <row r="203" spans="1:15" hidden="1" outlineLevel="1">
      <c r="A203" s="129" t="s">
        <v>985</v>
      </c>
      <c r="B203" s="69">
        <v>7</v>
      </c>
      <c r="C203" s="953">
        <v>2023</v>
      </c>
      <c r="D203" s="187">
        <v>0</v>
      </c>
      <c r="E203" s="186">
        <v>0</v>
      </c>
      <c r="F203" s="187">
        <v>218961</v>
      </c>
      <c r="G203" s="186">
        <v>11845.79</v>
      </c>
      <c r="H203" s="187">
        <v>888789</v>
      </c>
      <c r="I203" s="186">
        <v>65910.240000000005</v>
      </c>
      <c r="J203" s="188">
        <v>0</v>
      </c>
      <c r="K203" s="189">
        <v>0</v>
      </c>
      <c r="L203" s="185">
        <f t="shared" si="18"/>
        <v>77756.03</v>
      </c>
      <c r="M203" s="5" t="s">
        <v>986</v>
      </c>
      <c r="O203" t="str">
        <f t="shared" si="19"/>
        <v>Regelzone Amprion (gesamt)</v>
      </c>
    </row>
    <row r="204" spans="1:15" hidden="1" outlineLevel="1">
      <c r="A204" s="129" t="s">
        <v>985</v>
      </c>
      <c r="B204" s="69">
        <v>7</v>
      </c>
      <c r="C204" s="953">
        <v>2024</v>
      </c>
      <c r="D204" s="187">
        <v>0</v>
      </c>
      <c r="E204" s="186">
        <v>0</v>
      </c>
      <c r="F204" s="187">
        <v>874254</v>
      </c>
      <c r="G204" s="186">
        <v>46451.08</v>
      </c>
      <c r="H204" s="187">
        <v>1572437</v>
      </c>
      <c r="I204" s="186">
        <v>137074.6</v>
      </c>
      <c r="J204" s="188">
        <v>0</v>
      </c>
      <c r="K204" s="189">
        <v>0</v>
      </c>
      <c r="L204" s="185">
        <f t="shared" si="18"/>
        <v>183525.68</v>
      </c>
      <c r="M204" s="5" t="s">
        <v>986</v>
      </c>
      <c r="O204" t="str">
        <f t="shared" si="19"/>
        <v>Regelzone Amprion (gesamt)</v>
      </c>
    </row>
    <row r="205" spans="1:15" hidden="1" outlineLevel="1">
      <c r="A205" s="129" t="s">
        <v>993</v>
      </c>
      <c r="B205" s="69">
        <v>1</v>
      </c>
      <c r="C205" s="953">
        <v>2019</v>
      </c>
      <c r="D205" s="187">
        <v>0</v>
      </c>
      <c r="E205" s="186">
        <v>0</v>
      </c>
      <c r="F205" s="187">
        <v>-5130</v>
      </c>
      <c r="G205" s="186">
        <v>-277.52999999999997</v>
      </c>
      <c r="H205" s="187">
        <v>0</v>
      </c>
      <c r="I205" s="186">
        <v>0</v>
      </c>
      <c r="J205" s="188">
        <v>0</v>
      </c>
      <c r="K205" s="189">
        <v>0</v>
      </c>
      <c r="L205" s="185">
        <f t="shared" si="18"/>
        <v>-277.52999999999997</v>
      </c>
      <c r="M205" s="5" t="s">
        <v>994</v>
      </c>
      <c r="O205" t="str">
        <f t="shared" si="19"/>
        <v>Regelzone Amprion (gesamt)</v>
      </c>
    </row>
    <row r="206" spans="1:15" hidden="1" outlineLevel="1">
      <c r="A206" s="129" t="s">
        <v>993</v>
      </c>
      <c r="B206" s="69">
        <v>1</v>
      </c>
      <c r="C206" s="953">
        <v>2022</v>
      </c>
      <c r="D206" s="187">
        <v>0</v>
      </c>
      <c r="E206" s="186">
        <v>0</v>
      </c>
      <c r="F206" s="187">
        <v>0</v>
      </c>
      <c r="G206" s="186">
        <v>0</v>
      </c>
      <c r="H206" s="187">
        <v>-14527</v>
      </c>
      <c r="I206" s="186">
        <v>-1065.92</v>
      </c>
      <c r="J206" s="188">
        <v>0</v>
      </c>
      <c r="K206" s="189">
        <v>0</v>
      </c>
      <c r="L206" s="185">
        <f t="shared" si="18"/>
        <v>-1065.92</v>
      </c>
      <c r="M206" s="5" t="s">
        <v>994</v>
      </c>
      <c r="O206" t="str">
        <f t="shared" si="19"/>
        <v>Regelzone Amprion (gesamt)</v>
      </c>
    </row>
    <row r="207" spans="1:15" hidden="1" outlineLevel="1">
      <c r="A207" s="129" t="s">
        <v>993</v>
      </c>
      <c r="B207" s="69">
        <v>7</v>
      </c>
      <c r="C207" s="953">
        <v>2022</v>
      </c>
      <c r="D207" s="187">
        <v>0</v>
      </c>
      <c r="E207" s="186">
        <v>0</v>
      </c>
      <c r="F207" s="187">
        <v>26528</v>
      </c>
      <c r="G207" s="186">
        <v>1435.17</v>
      </c>
      <c r="H207" s="187">
        <v>0</v>
      </c>
      <c r="I207" s="186">
        <v>0</v>
      </c>
      <c r="J207" s="188">
        <v>0</v>
      </c>
      <c r="K207" s="189">
        <v>0</v>
      </c>
      <c r="L207" s="185">
        <f t="shared" si="18"/>
        <v>1435.17</v>
      </c>
      <c r="M207" s="5" t="s">
        <v>994</v>
      </c>
      <c r="O207" t="str">
        <f t="shared" si="19"/>
        <v>Regelzone Amprion (gesamt)</v>
      </c>
    </row>
    <row r="208" spans="1:15" hidden="1" outlineLevel="1">
      <c r="A208" s="129" t="s">
        <v>993</v>
      </c>
      <c r="B208" s="69">
        <v>7</v>
      </c>
      <c r="C208" s="953">
        <v>2023</v>
      </c>
      <c r="D208" s="187">
        <v>0</v>
      </c>
      <c r="E208" s="186">
        <v>0</v>
      </c>
      <c r="F208" s="187">
        <v>10685</v>
      </c>
      <c r="G208" s="186">
        <v>578.05999999999995</v>
      </c>
      <c r="H208" s="187">
        <v>20628</v>
      </c>
      <c r="I208" s="186">
        <v>1470.8</v>
      </c>
      <c r="J208" s="188">
        <v>0</v>
      </c>
      <c r="K208" s="189">
        <v>0</v>
      </c>
      <c r="L208" s="185">
        <f t="shared" si="18"/>
        <v>2048.8599999999997</v>
      </c>
      <c r="M208" s="5" t="s">
        <v>994</v>
      </c>
      <c r="O208" t="str">
        <f t="shared" si="19"/>
        <v>Regelzone Amprion (gesamt)</v>
      </c>
    </row>
    <row r="209" spans="1:15" hidden="1" outlineLevel="1">
      <c r="A209" s="129" t="s">
        <v>993</v>
      </c>
      <c r="B209" s="69">
        <v>7</v>
      </c>
      <c r="C209" s="953">
        <v>2024</v>
      </c>
      <c r="D209" s="187">
        <v>0</v>
      </c>
      <c r="E209" s="186">
        <v>0</v>
      </c>
      <c r="F209" s="187">
        <v>0</v>
      </c>
      <c r="G209" s="186">
        <v>0</v>
      </c>
      <c r="H209" s="187">
        <v>52958</v>
      </c>
      <c r="I209" s="186">
        <v>4228.04</v>
      </c>
      <c r="J209" s="188">
        <v>0</v>
      </c>
      <c r="K209" s="189">
        <v>0</v>
      </c>
      <c r="L209" s="185">
        <f t="shared" si="18"/>
        <v>4228.04</v>
      </c>
      <c r="M209" s="5" t="s">
        <v>994</v>
      </c>
      <c r="O209" t="str">
        <f t="shared" si="19"/>
        <v>Regelzone Amprion (gesamt)</v>
      </c>
    </row>
    <row r="210" spans="1:15" hidden="1" outlineLevel="1">
      <c r="A210" s="129" t="s">
        <v>995</v>
      </c>
      <c r="B210" s="69">
        <v>7</v>
      </c>
      <c r="C210" s="953">
        <v>2023</v>
      </c>
      <c r="D210" s="187">
        <v>0</v>
      </c>
      <c r="E210" s="186">
        <v>0</v>
      </c>
      <c r="F210" s="187">
        <v>0</v>
      </c>
      <c r="G210" s="186">
        <v>0</v>
      </c>
      <c r="H210" s="187">
        <v>172691</v>
      </c>
      <c r="I210" s="186">
        <v>8403.73</v>
      </c>
      <c r="J210" s="188">
        <v>0</v>
      </c>
      <c r="K210" s="189">
        <v>0</v>
      </c>
      <c r="L210" s="185">
        <f t="shared" si="18"/>
        <v>8403.73</v>
      </c>
      <c r="M210" s="5" t="s">
        <v>996</v>
      </c>
      <c r="O210" t="str">
        <f t="shared" si="19"/>
        <v>Regelzone Amprion (gesamt)</v>
      </c>
    </row>
    <row r="211" spans="1:15" hidden="1" outlineLevel="1">
      <c r="A211" s="129" t="s">
        <v>995</v>
      </c>
      <c r="B211" s="69">
        <v>7</v>
      </c>
      <c r="C211" s="953">
        <v>2024</v>
      </c>
      <c r="D211" s="187">
        <v>0</v>
      </c>
      <c r="E211" s="186">
        <v>0</v>
      </c>
      <c r="F211" s="187">
        <v>0</v>
      </c>
      <c r="G211" s="186">
        <v>0</v>
      </c>
      <c r="H211" s="187">
        <v>327981</v>
      </c>
      <c r="I211" s="186">
        <v>22010.22</v>
      </c>
      <c r="J211" s="188">
        <v>0</v>
      </c>
      <c r="K211" s="189">
        <v>0</v>
      </c>
      <c r="L211" s="185">
        <f t="shared" si="18"/>
        <v>22010.22</v>
      </c>
      <c r="M211" s="5" t="s">
        <v>996</v>
      </c>
      <c r="O211" t="str">
        <f t="shared" si="19"/>
        <v>Regelzone Amprion (gesamt)</v>
      </c>
    </row>
    <row r="212" spans="1:15" hidden="1" outlineLevel="1">
      <c r="A212" s="129" t="s">
        <v>1005</v>
      </c>
      <c r="B212" s="69">
        <v>7</v>
      </c>
      <c r="C212" s="953">
        <v>2022</v>
      </c>
      <c r="D212" s="187">
        <v>0</v>
      </c>
      <c r="E212" s="186">
        <v>0</v>
      </c>
      <c r="F212" s="187">
        <v>26407</v>
      </c>
      <c r="G212" s="186">
        <v>1428.63</v>
      </c>
      <c r="H212" s="187">
        <v>473819</v>
      </c>
      <c r="I212" s="186">
        <v>23671.54</v>
      </c>
      <c r="J212" s="188">
        <v>0</v>
      </c>
      <c r="K212" s="189">
        <v>0</v>
      </c>
      <c r="L212" s="185">
        <f t="shared" si="18"/>
        <v>25100.170000000002</v>
      </c>
      <c r="M212" s="5" t="s">
        <v>1006</v>
      </c>
      <c r="O212" t="str">
        <f t="shared" si="19"/>
        <v>Regelzone Amprion (gesamt)</v>
      </c>
    </row>
    <row r="213" spans="1:15" hidden="1" outlineLevel="1">
      <c r="A213" s="129" t="s">
        <v>1005</v>
      </c>
      <c r="B213" s="69">
        <v>7</v>
      </c>
      <c r="C213" s="953">
        <v>2023</v>
      </c>
      <c r="D213" s="187">
        <v>0</v>
      </c>
      <c r="E213" s="186">
        <v>0</v>
      </c>
      <c r="F213" s="187">
        <v>373506</v>
      </c>
      <c r="G213" s="186">
        <v>20206.71</v>
      </c>
      <c r="H213" s="187">
        <v>840263</v>
      </c>
      <c r="I213" s="186">
        <v>58394.66</v>
      </c>
      <c r="J213" s="188">
        <v>0</v>
      </c>
      <c r="K213" s="189">
        <v>0</v>
      </c>
      <c r="L213" s="185">
        <f t="shared" si="18"/>
        <v>78601.37</v>
      </c>
      <c r="M213" s="5" t="s">
        <v>1006</v>
      </c>
      <c r="O213" t="str">
        <f t="shared" si="19"/>
        <v>Regelzone Amprion (gesamt)</v>
      </c>
    </row>
    <row r="214" spans="1:15" hidden="1" outlineLevel="1">
      <c r="A214" s="129" t="s">
        <v>1005</v>
      </c>
      <c r="B214" s="69">
        <v>7</v>
      </c>
      <c r="C214" s="953">
        <v>2024</v>
      </c>
      <c r="D214" s="187">
        <v>0</v>
      </c>
      <c r="E214" s="186">
        <v>0</v>
      </c>
      <c r="F214" s="187">
        <v>181894</v>
      </c>
      <c r="G214" s="186">
        <v>9840.48</v>
      </c>
      <c r="H214" s="187">
        <v>2735003</v>
      </c>
      <c r="I214" s="186">
        <v>116915.47</v>
      </c>
      <c r="J214" s="188">
        <v>0</v>
      </c>
      <c r="K214" s="189">
        <v>0</v>
      </c>
      <c r="L214" s="185">
        <f t="shared" si="18"/>
        <v>126755.95</v>
      </c>
      <c r="M214" s="5" t="s">
        <v>1006</v>
      </c>
      <c r="O214" t="str">
        <f t="shared" si="19"/>
        <v>Regelzone Amprion (gesamt)</v>
      </c>
    </row>
    <row r="215" spans="1:15" hidden="1" outlineLevel="1">
      <c r="A215" s="129" t="s">
        <v>1017</v>
      </c>
      <c r="B215" s="69">
        <v>7</v>
      </c>
      <c r="C215" s="953">
        <v>2022</v>
      </c>
      <c r="D215" s="187">
        <v>12648</v>
      </c>
      <c r="E215" s="186">
        <v>646.30999999999995</v>
      </c>
      <c r="F215" s="187">
        <v>0</v>
      </c>
      <c r="G215" s="186">
        <v>0</v>
      </c>
      <c r="H215" s="187">
        <v>458555</v>
      </c>
      <c r="I215" s="186">
        <v>43202.19</v>
      </c>
      <c r="J215" s="188">
        <v>-1047.6400000000001</v>
      </c>
      <c r="K215" s="189">
        <v>0</v>
      </c>
      <c r="L215" s="185">
        <f t="shared" si="18"/>
        <v>42800.86</v>
      </c>
      <c r="M215" s="5" t="s">
        <v>1018</v>
      </c>
      <c r="O215" t="str">
        <f t="shared" si="19"/>
        <v>Regelzone Amprion (gesamt)</v>
      </c>
    </row>
    <row r="216" spans="1:15" hidden="1" outlineLevel="1">
      <c r="A216" s="129" t="s">
        <v>1017</v>
      </c>
      <c r="B216" s="69">
        <v>1</v>
      </c>
      <c r="C216" s="953">
        <v>2023</v>
      </c>
      <c r="D216" s="187">
        <v>0</v>
      </c>
      <c r="E216" s="186">
        <v>0</v>
      </c>
      <c r="F216" s="187">
        <v>0</v>
      </c>
      <c r="G216" s="186">
        <v>0</v>
      </c>
      <c r="H216" s="187">
        <v>-1263</v>
      </c>
      <c r="I216" s="186">
        <v>-47.24</v>
      </c>
      <c r="J216" s="188">
        <v>0</v>
      </c>
      <c r="K216" s="189">
        <v>0</v>
      </c>
      <c r="L216" s="185">
        <f t="shared" si="18"/>
        <v>-47.24</v>
      </c>
      <c r="M216" s="5" t="s">
        <v>1018</v>
      </c>
      <c r="O216" t="str">
        <f t="shared" si="19"/>
        <v>Regelzone Amprion (gesamt)</v>
      </c>
    </row>
    <row r="217" spans="1:15" hidden="1" outlineLevel="1">
      <c r="A217" s="129" t="s">
        <v>1017</v>
      </c>
      <c r="B217" s="69">
        <v>7</v>
      </c>
      <c r="C217" s="953">
        <v>2023</v>
      </c>
      <c r="D217" s="187">
        <v>0</v>
      </c>
      <c r="E217" s="186">
        <v>0</v>
      </c>
      <c r="F217" s="187">
        <v>0</v>
      </c>
      <c r="G217" s="186">
        <v>0</v>
      </c>
      <c r="H217" s="187">
        <v>5455737</v>
      </c>
      <c r="I217" s="186">
        <v>595906.79</v>
      </c>
      <c r="J217" s="188">
        <v>0</v>
      </c>
      <c r="K217" s="189">
        <v>0</v>
      </c>
      <c r="L217" s="185">
        <f t="shared" si="18"/>
        <v>595906.79</v>
      </c>
      <c r="M217" s="5" t="s">
        <v>1018</v>
      </c>
      <c r="O217" t="str">
        <f t="shared" si="19"/>
        <v>Regelzone Amprion (gesamt)</v>
      </c>
    </row>
    <row r="218" spans="1:15" hidden="1" outlineLevel="1">
      <c r="A218" s="129" t="s">
        <v>1017</v>
      </c>
      <c r="B218" s="69">
        <v>1</v>
      </c>
      <c r="C218" s="953">
        <v>2024</v>
      </c>
      <c r="D218" s="187">
        <v>0</v>
      </c>
      <c r="E218" s="186">
        <v>0</v>
      </c>
      <c r="F218" s="187">
        <v>0</v>
      </c>
      <c r="G218" s="186">
        <v>0</v>
      </c>
      <c r="H218" s="187">
        <v>-10</v>
      </c>
      <c r="I218" s="186">
        <v>-36.76</v>
      </c>
      <c r="J218" s="188">
        <v>0</v>
      </c>
      <c r="K218" s="189">
        <v>0</v>
      </c>
      <c r="L218" s="185">
        <f t="shared" si="18"/>
        <v>-36.76</v>
      </c>
      <c r="M218" s="5" t="s">
        <v>1018</v>
      </c>
      <c r="O218" t="str">
        <f t="shared" si="19"/>
        <v>Regelzone Amprion (gesamt)</v>
      </c>
    </row>
    <row r="219" spans="1:15" hidden="1" outlineLevel="1">
      <c r="A219" s="129" t="s">
        <v>1017</v>
      </c>
      <c r="B219" s="69">
        <v>7</v>
      </c>
      <c r="C219" s="953">
        <v>2024</v>
      </c>
      <c r="D219" s="187">
        <v>0</v>
      </c>
      <c r="E219" s="186">
        <v>0</v>
      </c>
      <c r="F219" s="187">
        <v>3305</v>
      </c>
      <c r="G219" s="186">
        <v>178.8</v>
      </c>
      <c r="H219" s="187">
        <v>863393</v>
      </c>
      <c r="I219" s="186">
        <v>86599.77</v>
      </c>
      <c r="J219" s="188">
        <v>0</v>
      </c>
      <c r="K219" s="189">
        <v>0</v>
      </c>
      <c r="L219" s="185">
        <f t="shared" si="18"/>
        <v>86778.57</v>
      </c>
      <c r="M219" s="5" t="s">
        <v>1018</v>
      </c>
      <c r="O219" t="str">
        <f t="shared" si="19"/>
        <v>Regelzone Amprion (gesamt)</v>
      </c>
    </row>
    <row r="220" spans="1:15" hidden="1" outlineLevel="1">
      <c r="A220" s="129" t="s">
        <v>1026</v>
      </c>
      <c r="B220" s="69">
        <v>7</v>
      </c>
      <c r="C220" s="953">
        <v>2024</v>
      </c>
      <c r="D220" s="187">
        <v>0</v>
      </c>
      <c r="E220" s="186">
        <v>0</v>
      </c>
      <c r="F220" s="187">
        <v>0</v>
      </c>
      <c r="G220" s="186">
        <v>0</v>
      </c>
      <c r="H220" s="187">
        <v>2000</v>
      </c>
      <c r="I220" s="186">
        <v>160</v>
      </c>
      <c r="J220" s="188">
        <v>0</v>
      </c>
      <c r="K220" s="189">
        <v>0</v>
      </c>
      <c r="L220" s="185">
        <f t="shared" si="18"/>
        <v>160</v>
      </c>
      <c r="M220" s="5" t="s">
        <v>1027</v>
      </c>
      <c r="O220" t="str">
        <f t="shared" si="19"/>
        <v>Regelzone Amprion (gesamt)</v>
      </c>
    </row>
    <row r="221" spans="1:15" hidden="1" outlineLevel="1">
      <c r="A221" s="129" t="s">
        <v>1030</v>
      </c>
      <c r="B221" s="69">
        <v>7</v>
      </c>
      <c r="C221" s="953">
        <v>2023</v>
      </c>
      <c r="D221" s="187">
        <v>0</v>
      </c>
      <c r="E221" s="186">
        <v>0</v>
      </c>
      <c r="F221" s="187">
        <v>30073</v>
      </c>
      <c r="G221" s="186">
        <v>1626.95</v>
      </c>
      <c r="H221" s="187">
        <v>669357</v>
      </c>
      <c r="I221" s="186">
        <v>48982.54</v>
      </c>
      <c r="J221" s="188">
        <v>-328.07</v>
      </c>
      <c r="K221" s="189">
        <v>0</v>
      </c>
      <c r="L221" s="185">
        <f t="shared" si="18"/>
        <v>50281.42</v>
      </c>
      <c r="M221" s="5" t="s">
        <v>1031</v>
      </c>
      <c r="O221" t="str">
        <f t="shared" si="19"/>
        <v>Regelzone Amprion (gesamt)</v>
      </c>
    </row>
    <row r="222" spans="1:15" hidden="1" outlineLevel="1">
      <c r="A222" s="129" t="s">
        <v>1030</v>
      </c>
      <c r="B222" s="69">
        <v>7</v>
      </c>
      <c r="C222" s="953">
        <v>2024</v>
      </c>
      <c r="D222" s="187">
        <v>0</v>
      </c>
      <c r="E222" s="186">
        <v>0</v>
      </c>
      <c r="F222" s="187">
        <v>95546</v>
      </c>
      <c r="G222" s="186">
        <v>5169.1000000000004</v>
      </c>
      <c r="H222" s="187">
        <v>841057</v>
      </c>
      <c r="I222" s="186">
        <v>54590.98</v>
      </c>
      <c r="J222" s="188">
        <v>-126.29</v>
      </c>
      <c r="K222" s="189">
        <v>0</v>
      </c>
      <c r="L222" s="185">
        <f t="shared" si="18"/>
        <v>59633.79</v>
      </c>
      <c r="M222" s="5" t="s">
        <v>1031</v>
      </c>
      <c r="O222" t="str">
        <f t="shared" si="19"/>
        <v>Regelzone Amprion (gesamt)</v>
      </c>
    </row>
    <row r="223" spans="1:15" hidden="1" outlineLevel="1">
      <c r="A223" s="129" t="s">
        <v>1034</v>
      </c>
      <c r="B223" s="69">
        <v>7</v>
      </c>
      <c r="C223" s="953">
        <v>2022</v>
      </c>
      <c r="D223" s="187">
        <v>1877</v>
      </c>
      <c r="E223" s="186">
        <v>95.91</v>
      </c>
      <c r="F223" s="187">
        <v>45690</v>
      </c>
      <c r="G223" s="186">
        <v>2471.83</v>
      </c>
      <c r="H223" s="187">
        <v>0</v>
      </c>
      <c r="I223" s="186">
        <v>0</v>
      </c>
      <c r="J223" s="188">
        <v>-513.54999999999995</v>
      </c>
      <c r="K223" s="189">
        <v>0</v>
      </c>
      <c r="L223" s="185">
        <f t="shared" si="18"/>
        <v>2054.1899999999996</v>
      </c>
      <c r="M223" s="5" t="s">
        <v>1035</v>
      </c>
      <c r="O223" t="str">
        <f t="shared" si="19"/>
        <v>Regelzone Amprion (gesamt)</v>
      </c>
    </row>
    <row r="224" spans="1:15" hidden="1" outlineLevel="1">
      <c r="A224" s="129" t="s">
        <v>1034</v>
      </c>
      <c r="B224" s="69">
        <v>7</v>
      </c>
      <c r="C224" s="953">
        <v>2023</v>
      </c>
      <c r="D224" s="187">
        <v>0</v>
      </c>
      <c r="E224" s="186">
        <v>0</v>
      </c>
      <c r="F224" s="187">
        <v>223890</v>
      </c>
      <c r="G224" s="186">
        <v>12112.45</v>
      </c>
      <c r="H224" s="187">
        <v>0</v>
      </c>
      <c r="I224" s="186">
        <v>0</v>
      </c>
      <c r="J224" s="188">
        <v>-2422.4899999999998</v>
      </c>
      <c r="K224" s="189">
        <v>0</v>
      </c>
      <c r="L224" s="185">
        <f t="shared" si="18"/>
        <v>9689.9600000000009</v>
      </c>
      <c r="M224" s="5" t="s">
        <v>1035</v>
      </c>
      <c r="O224" t="str">
        <f t="shared" si="19"/>
        <v>Regelzone Amprion (gesamt)</v>
      </c>
    </row>
    <row r="225" spans="1:15" hidden="1" outlineLevel="1">
      <c r="A225" s="129" t="s">
        <v>1034</v>
      </c>
      <c r="B225" s="69">
        <v>7</v>
      </c>
      <c r="C225" s="953">
        <v>2024</v>
      </c>
      <c r="D225" s="187">
        <v>0</v>
      </c>
      <c r="E225" s="186">
        <v>0</v>
      </c>
      <c r="F225" s="187">
        <v>42530</v>
      </c>
      <c r="G225" s="186">
        <v>2300.87</v>
      </c>
      <c r="H225" s="187">
        <v>138180</v>
      </c>
      <c r="I225" s="186">
        <v>18100.560000000001</v>
      </c>
      <c r="J225" s="188">
        <v>-1081.19</v>
      </c>
      <c r="K225" s="189">
        <v>0</v>
      </c>
      <c r="L225" s="185">
        <f t="shared" si="18"/>
        <v>19320.240000000002</v>
      </c>
      <c r="M225" s="5" t="s">
        <v>1035</v>
      </c>
      <c r="O225" t="str">
        <f t="shared" si="19"/>
        <v>Regelzone Amprion (gesamt)</v>
      </c>
    </row>
    <row r="226" spans="1:15" hidden="1" outlineLevel="1">
      <c r="A226" s="129" t="s">
        <v>1042</v>
      </c>
      <c r="B226" s="69">
        <v>7</v>
      </c>
      <c r="C226" s="953">
        <v>2022</v>
      </c>
      <c r="D226" s="187">
        <v>0</v>
      </c>
      <c r="E226" s="186">
        <v>0</v>
      </c>
      <c r="F226" s="187">
        <v>0</v>
      </c>
      <c r="G226" s="186">
        <v>0</v>
      </c>
      <c r="H226" s="187">
        <v>298</v>
      </c>
      <c r="I226" s="186">
        <v>47.68</v>
      </c>
      <c r="J226" s="188">
        <v>0</v>
      </c>
      <c r="K226" s="189">
        <v>0</v>
      </c>
      <c r="L226" s="185">
        <f t="shared" si="18"/>
        <v>47.68</v>
      </c>
      <c r="M226" s="5" t="s">
        <v>1043</v>
      </c>
      <c r="O226" t="str">
        <f t="shared" si="19"/>
        <v>Regelzone Amprion (gesamt)</v>
      </c>
    </row>
    <row r="227" spans="1:15" hidden="1" outlineLevel="1">
      <c r="A227" s="129" t="s">
        <v>1042</v>
      </c>
      <c r="B227" s="69">
        <v>7</v>
      </c>
      <c r="C227" s="953">
        <v>2023</v>
      </c>
      <c r="D227" s="187">
        <v>0</v>
      </c>
      <c r="E227" s="186">
        <v>0</v>
      </c>
      <c r="F227" s="187">
        <v>0</v>
      </c>
      <c r="G227" s="186">
        <v>0</v>
      </c>
      <c r="H227" s="187">
        <v>3549</v>
      </c>
      <c r="I227" s="186">
        <v>567.84</v>
      </c>
      <c r="J227" s="188">
        <v>0</v>
      </c>
      <c r="K227" s="189">
        <v>0</v>
      </c>
      <c r="L227" s="185">
        <f t="shared" si="18"/>
        <v>567.84</v>
      </c>
      <c r="M227" s="5" t="s">
        <v>1043</v>
      </c>
      <c r="O227" t="str">
        <f t="shared" si="19"/>
        <v>Regelzone Amprion (gesamt)</v>
      </c>
    </row>
    <row r="228" spans="1:15" hidden="1" outlineLevel="1">
      <c r="A228" s="129" t="s">
        <v>1042</v>
      </c>
      <c r="B228" s="69">
        <v>7</v>
      </c>
      <c r="C228" s="953">
        <v>2024</v>
      </c>
      <c r="D228" s="187">
        <v>0</v>
      </c>
      <c r="E228" s="186">
        <v>0</v>
      </c>
      <c r="F228" s="187">
        <v>0</v>
      </c>
      <c r="G228" s="186">
        <v>0</v>
      </c>
      <c r="H228" s="187">
        <v>242958</v>
      </c>
      <c r="I228" s="186">
        <v>28814.12</v>
      </c>
      <c r="J228" s="188">
        <v>-1078.9000000000001</v>
      </c>
      <c r="K228" s="189">
        <v>0</v>
      </c>
      <c r="L228" s="185">
        <f t="shared" si="18"/>
        <v>27735.219999999998</v>
      </c>
      <c r="M228" s="5" t="s">
        <v>1043</v>
      </c>
      <c r="O228" t="str">
        <f t="shared" si="19"/>
        <v>Regelzone Amprion (gesamt)</v>
      </c>
    </row>
    <row r="229" spans="1:15" hidden="1" outlineLevel="1">
      <c r="A229" s="129" t="s">
        <v>1054</v>
      </c>
      <c r="B229" s="69">
        <v>7</v>
      </c>
      <c r="C229" s="953">
        <v>2024</v>
      </c>
      <c r="D229" s="187">
        <v>0</v>
      </c>
      <c r="E229" s="186">
        <v>0</v>
      </c>
      <c r="F229" s="187">
        <v>0</v>
      </c>
      <c r="G229" s="186">
        <v>0</v>
      </c>
      <c r="H229" s="187">
        <v>884000</v>
      </c>
      <c r="I229" s="186">
        <v>23680</v>
      </c>
      <c r="J229" s="188">
        <v>0</v>
      </c>
      <c r="K229" s="189">
        <v>0</v>
      </c>
      <c r="L229" s="185">
        <f t="shared" si="18"/>
        <v>23680</v>
      </c>
      <c r="M229" s="5" t="s">
        <v>1055</v>
      </c>
      <c r="O229" t="str">
        <f t="shared" si="19"/>
        <v>Regelzone Amprion (gesamt)</v>
      </c>
    </row>
    <row r="230" spans="1:15" hidden="1" outlineLevel="1">
      <c r="A230" s="129" t="s">
        <v>1058</v>
      </c>
      <c r="B230" s="69">
        <v>7</v>
      </c>
      <c r="C230" s="953">
        <v>2023</v>
      </c>
      <c r="D230" s="187">
        <v>0</v>
      </c>
      <c r="E230" s="186">
        <v>0</v>
      </c>
      <c r="F230" s="187">
        <v>32268</v>
      </c>
      <c r="G230" s="186">
        <v>2486.77</v>
      </c>
      <c r="H230" s="187">
        <v>961379</v>
      </c>
      <c r="I230" s="186">
        <v>55758.1</v>
      </c>
      <c r="J230" s="188">
        <v>0</v>
      </c>
      <c r="K230" s="189">
        <v>0</v>
      </c>
      <c r="L230" s="185">
        <f t="shared" si="18"/>
        <v>58244.869999999995</v>
      </c>
      <c r="M230" s="5" t="s">
        <v>1059</v>
      </c>
      <c r="O230" t="str">
        <f t="shared" si="19"/>
        <v>Regelzone Amprion (gesamt)</v>
      </c>
    </row>
    <row r="231" spans="1:15" hidden="1" outlineLevel="1">
      <c r="A231" s="129" t="s">
        <v>1058</v>
      </c>
      <c r="B231" s="69">
        <v>7</v>
      </c>
      <c r="C231" s="953">
        <v>2024</v>
      </c>
      <c r="D231" s="187">
        <v>0</v>
      </c>
      <c r="E231" s="186">
        <v>0</v>
      </c>
      <c r="F231" s="187">
        <v>2</v>
      </c>
      <c r="G231" s="186">
        <v>0.09</v>
      </c>
      <c r="H231" s="187">
        <v>1064166</v>
      </c>
      <c r="I231" s="186">
        <v>62832.13</v>
      </c>
      <c r="J231" s="188">
        <v>0</v>
      </c>
      <c r="K231" s="189">
        <v>0</v>
      </c>
      <c r="L231" s="185">
        <f t="shared" si="18"/>
        <v>62832.219999999994</v>
      </c>
      <c r="M231" s="5" t="s">
        <v>1059</v>
      </c>
      <c r="O231" t="str">
        <f t="shared" si="19"/>
        <v>Regelzone Amprion (gesamt)</v>
      </c>
    </row>
    <row r="232" spans="1:15" hidden="1" outlineLevel="1">
      <c r="A232" s="129" t="s">
        <v>1074</v>
      </c>
      <c r="B232" s="69">
        <v>7</v>
      </c>
      <c r="C232" s="953">
        <v>2022</v>
      </c>
      <c r="D232" s="187">
        <v>0</v>
      </c>
      <c r="E232" s="186">
        <v>0</v>
      </c>
      <c r="F232" s="187">
        <v>570</v>
      </c>
      <c r="G232" s="186">
        <v>30.84</v>
      </c>
      <c r="H232" s="187">
        <v>36217</v>
      </c>
      <c r="I232" s="186">
        <v>1957.28</v>
      </c>
      <c r="J232" s="188">
        <v>0</v>
      </c>
      <c r="K232" s="189">
        <v>0</v>
      </c>
      <c r="L232" s="185">
        <f t="shared" si="18"/>
        <v>1988.12</v>
      </c>
      <c r="M232" s="5" t="s">
        <v>1075</v>
      </c>
      <c r="O232" t="str">
        <f t="shared" si="19"/>
        <v>Regelzone Amprion (gesamt)</v>
      </c>
    </row>
    <row r="233" spans="1:15" hidden="1" outlineLevel="1">
      <c r="A233" s="129" t="s">
        <v>1074</v>
      </c>
      <c r="B233" s="69">
        <v>7</v>
      </c>
      <c r="C233" s="953">
        <v>2023</v>
      </c>
      <c r="D233" s="187">
        <v>0</v>
      </c>
      <c r="E233" s="186">
        <v>0</v>
      </c>
      <c r="F233" s="187">
        <v>47301</v>
      </c>
      <c r="G233" s="186">
        <v>2558.98</v>
      </c>
      <c r="H233" s="187">
        <v>412712</v>
      </c>
      <c r="I233" s="186">
        <v>19086.189999999999</v>
      </c>
      <c r="J233" s="188">
        <v>0</v>
      </c>
      <c r="K233" s="189">
        <v>0</v>
      </c>
      <c r="L233" s="185">
        <f t="shared" si="18"/>
        <v>21645.17</v>
      </c>
      <c r="M233" s="5" t="s">
        <v>1075</v>
      </c>
      <c r="O233" t="str">
        <f t="shared" si="19"/>
        <v>Regelzone Amprion (gesamt)</v>
      </c>
    </row>
    <row r="234" spans="1:15" hidden="1" outlineLevel="1">
      <c r="A234" s="129" t="s">
        <v>1074</v>
      </c>
      <c r="B234" s="69">
        <v>7</v>
      </c>
      <c r="C234" s="953">
        <v>2024</v>
      </c>
      <c r="D234" s="187">
        <v>0</v>
      </c>
      <c r="E234" s="186">
        <v>0</v>
      </c>
      <c r="F234" s="187">
        <v>555148</v>
      </c>
      <c r="G234" s="186">
        <v>28802.18</v>
      </c>
      <c r="H234" s="187">
        <v>1607138</v>
      </c>
      <c r="I234" s="186">
        <v>156850.98000000001</v>
      </c>
      <c r="J234" s="188">
        <v>-22323.24</v>
      </c>
      <c r="K234" s="189">
        <v>0</v>
      </c>
      <c r="L234" s="185">
        <f t="shared" si="18"/>
        <v>163329.92000000001</v>
      </c>
      <c r="M234" s="5" t="s">
        <v>1075</v>
      </c>
      <c r="O234" t="str">
        <f t="shared" si="19"/>
        <v>Regelzone Amprion (gesamt)</v>
      </c>
    </row>
    <row r="235" spans="1:15" hidden="1" outlineLevel="1">
      <c r="A235" s="129" t="s">
        <v>1076</v>
      </c>
      <c r="B235" s="69">
        <v>7</v>
      </c>
      <c r="C235" s="953">
        <v>2024</v>
      </c>
      <c r="D235" s="187">
        <v>0</v>
      </c>
      <c r="E235" s="186">
        <v>0</v>
      </c>
      <c r="F235" s="187">
        <v>383</v>
      </c>
      <c r="G235" s="186">
        <v>20.71</v>
      </c>
      <c r="H235" s="187">
        <v>17340</v>
      </c>
      <c r="I235" s="186">
        <v>1387.22</v>
      </c>
      <c r="J235" s="188">
        <v>0</v>
      </c>
      <c r="K235" s="189">
        <v>0</v>
      </c>
      <c r="L235" s="185">
        <f t="shared" ref="L235:L295" si="20">E235+G235+I235+J235+K235</f>
        <v>1407.93</v>
      </c>
      <c r="M235" s="5" t="s">
        <v>1077</v>
      </c>
      <c r="O235" t="str">
        <f t="shared" si="19"/>
        <v>Regelzone Amprion (gesamt)</v>
      </c>
    </row>
    <row r="236" spans="1:15" hidden="1" outlineLevel="1">
      <c r="A236" s="129" t="s">
        <v>1078</v>
      </c>
      <c r="B236" s="69">
        <v>7</v>
      </c>
      <c r="C236" s="953">
        <v>2022</v>
      </c>
      <c r="D236" s="187">
        <v>212205</v>
      </c>
      <c r="E236" s="186">
        <v>10843.68</v>
      </c>
      <c r="F236" s="187">
        <v>0</v>
      </c>
      <c r="G236" s="186">
        <v>0</v>
      </c>
      <c r="H236" s="187">
        <v>5653</v>
      </c>
      <c r="I236" s="186">
        <v>285.83999999999997</v>
      </c>
      <c r="J236" s="188">
        <v>0</v>
      </c>
      <c r="K236" s="189">
        <v>0</v>
      </c>
      <c r="L236" s="185">
        <f t="shared" si="20"/>
        <v>11129.52</v>
      </c>
      <c r="M236" s="5" t="s">
        <v>1079</v>
      </c>
      <c r="O236" t="str">
        <f t="shared" si="19"/>
        <v>Regelzone Amprion (gesamt)</v>
      </c>
    </row>
    <row r="237" spans="1:15" hidden="1" outlineLevel="1">
      <c r="A237" s="129" t="s">
        <v>1078</v>
      </c>
      <c r="B237" s="69">
        <v>7</v>
      </c>
      <c r="C237" s="953">
        <v>2023</v>
      </c>
      <c r="D237" s="187">
        <v>0</v>
      </c>
      <c r="E237" s="186">
        <v>0</v>
      </c>
      <c r="F237" s="187">
        <v>0</v>
      </c>
      <c r="G237" s="186">
        <v>0</v>
      </c>
      <c r="H237" s="187">
        <v>11001</v>
      </c>
      <c r="I237" s="186">
        <v>475.68</v>
      </c>
      <c r="J237" s="188">
        <v>0</v>
      </c>
      <c r="K237" s="189">
        <v>0</v>
      </c>
      <c r="L237" s="185">
        <f t="shared" si="20"/>
        <v>475.68</v>
      </c>
      <c r="M237" s="5" t="s">
        <v>1079</v>
      </c>
      <c r="O237" t="str">
        <f t="shared" si="19"/>
        <v>Regelzone Amprion (gesamt)</v>
      </c>
    </row>
    <row r="238" spans="1:15" hidden="1" outlineLevel="1">
      <c r="A238" s="129" t="s">
        <v>1078</v>
      </c>
      <c r="B238" s="69">
        <v>7</v>
      </c>
      <c r="C238" s="953">
        <v>2024</v>
      </c>
      <c r="D238" s="187">
        <v>0</v>
      </c>
      <c r="E238" s="186">
        <v>0</v>
      </c>
      <c r="F238" s="187">
        <v>-65497</v>
      </c>
      <c r="G238" s="186">
        <v>-3543.39</v>
      </c>
      <c r="H238" s="187">
        <v>-126419</v>
      </c>
      <c r="I238" s="186">
        <v>-9263.08</v>
      </c>
      <c r="J238" s="188">
        <v>0</v>
      </c>
      <c r="K238" s="189">
        <v>0</v>
      </c>
      <c r="L238" s="185">
        <f t="shared" si="20"/>
        <v>-12806.47</v>
      </c>
      <c r="M238" s="5" t="s">
        <v>1079</v>
      </c>
      <c r="O238" t="str">
        <f t="shared" si="19"/>
        <v>Regelzone Amprion (gesamt)</v>
      </c>
    </row>
    <row r="239" spans="1:15" hidden="1" outlineLevel="1">
      <c r="A239" s="129" t="s">
        <v>1090</v>
      </c>
      <c r="B239" s="69">
        <v>7</v>
      </c>
      <c r="C239" s="953">
        <v>2022</v>
      </c>
      <c r="D239" s="187">
        <v>0</v>
      </c>
      <c r="E239" s="186">
        <v>0</v>
      </c>
      <c r="F239" s="187">
        <v>0</v>
      </c>
      <c r="G239" s="186">
        <v>0</v>
      </c>
      <c r="H239" s="187">
        <v>0</v>
      </c>
      <c r="I239" s="186">
        <v>1680</v>
      </c>
      <c r="J239" s="188">
        <v>0</v>
      </c>
      <c r="K239" s="189">
        <v>0</v>
      </c>
      <c r="L239" s="185">
        <f t="shared" si="20"/>
        <v>1680</v>
      </c>
      <c r="M239" s="5" t="s">
        <v>1091</v>
      </c>
      <c r="O239" t="str">
        <f t="shared" si="19"/>
        <v>Regelzone Amprion (gesamt)</v>
      </c>
    </row>
    <row r="240" spans="1:15" hidden="1" outlineLevel="1">
      <c r="A240" s="129" t="s">
        <v>1090</v>
      </c>
      <c r="B240" s="69">
        <v>7</v>
      </c>
      <c r="C240" s="953">
        <v>2023</v>
      </c>
      <c r="D240" s="187">
        <v>0</v>
      </c>
      <c r="E240" s="186">
        <v>0</v>
      </c>
      <c r="F240" s="187">
        <v>-941</v>
      </c>
      <c r="G240" s="186">
        <v>-50.91</v>
      </c>
      <c r="H240" s="187">
        <v>0</v>
      </c>
      <c r="I240" s="186">
        <v>0</v>
      </c>
      <c r="J240" s="188">
        <v>0</v>
      </c>
      <c r="K240" s="189">
        <v>0</v>
      </c>
      <c r="L240" s="185">
        <f t="shared" si="20"/>
        <v>-50.91</v>
      </c>
      <c r="M240" s="5" t="s">
        <v>1091</v>
      </c>
      <c r="O240" t="str">
        <f t="shared" si="19"/>
        <v>Regelzone Amprion (gesamt)</v>
      </c>
    </row>
    <row r="241" spans="1:15" hidden="1" outlineLevel="1">
      <c r="A241" s="129" t="s">
        <v>1090</v>
      </c>
      <c r="B241" s="69">
        <v>7</v>
      </c>
      <c r="C241" s="953">
        <v>2024</v>
      </c>
      <c r="D241" s="187">
        <v>0</v>
      </c>
      <c r="E241" s="186">
        <v>0</v>
      </c>
      <c r="F241" s="187">
        <v>138298</v>
      </c>
      <c r="G241" s="186">
        <v>7481.92</v>
      </c>
      <c r="H241" s="187">
        <v>72226</v>
      </c>
      <c r="I241" s="186">
        <v>5544.2</v>
      </c>
      <c r="J241" s="188">
        <v>0</v>
      </c>
      <c r="K241" s="189">
        <v>0</v>
      </c>
      <c r="L241" s="185">
        <f t="shared" si="20"/>
        <v>13026.119999999999</v>
      </c>
      <c r="M241" s="5" t="s">
        <v>1091</v>
      </c>
      <c r="O241" t="str">
        <f t="shared" si="19"/>
        <v>Regelzone Amprion (gesamt)</v>
      </c>
    </row>
    <row r="242" spans="1:15" hidden="1" outlineLevel="1">
      <c r="A242" s="129" t="s">
        <v>1094</v>
      </c>
      <c r="B242" s="69">
        <v>7</v>
      </c>
      <c r="C242" s="953">
        <v>2023</v>
      </c>
      <c r="D242" s="187">
        <v>0</v>
      </c>
      <c r="E242" s="186">
        <v>0</v>
      </c>
      <c r="F242" s="187">
        <v>0</v>
      </c>
      <c r="G242" s="186">
        <v>0</v>
      </c>
      <c r="H242" s="187">
        <v>164985</v>
      </c>
      <c r="I242" s="186">
        <v>4624.83</v>
      </c>
      <c r="J242" s="188">
        <v>0</v>
      </c>
      <c r="K242" s="189">
        <v>0</v>
      </c>
      <c r="L242" s="185">
        <f t="shared" si="20"/>
        <v>4624.83</v>
      </c>
      <c r="M242" s="5" t="s">
        <v>1095</v>
      </c>
      <c r="O242" t="str">
        <f t="shared" si="19"/>
        <v>Regelzone Amprion (gesamt)</v>
      </c>
    </row>
    <row r="243" spans="1:15" hidden="1" outlineLevel="1">
      <c r="A243" s="129" t="s">
        <v>1094</v>
      </c>
      <c r="B243" s="69">
        <v>7</v>
      </c>
      <c r="C243" s="953">
        <v>2024</v>
      </c>
      <c r="D243" s="187">
        <v>0</v>
      </c>
      <c r="E243" s="186">
        <v>0</v>
      </c>
      <c r="F243" s="187">
        <v>0</v>
      </c>
      <c r="G243" s="186">
        <v>0</v>
      </c>
      <c r="H243" s="187">
        <v>589326</v>
      </c>
      <c r="I243" s="186">
        <v>8302.7800000000007</v>
      </c>
      <c r="J243" s="188">
        <v>0</v>
      </c>
      <c r="K243" s="189">
        <v>0</v>
      </c>
      <c r="L243" s="185">
        <f t="shared" si="20"/>
        <v>8302.7800000000007</v>
      </c>
      <c r="M243" s="5" t="s">
        <v>1095</v>
      </c>
      <c r="O243" t="str">
        <f t="shared" si="19"/>
        <v>Regelzone Amprion (gesamt)</v>
      </c>
    </row>
    <row r="244" spans="1:15" hidden="1" outlineLevel="1">
      <c r="A244" s="129" t="s">
        <v>1096</v>
      </c>
      <c r="B244" s="69">
        <v>7</v>
      </c>
      <c r="C244" s="953">
        <v>2021</v>
      </c>
      <c r="D244" s="187">
        <v>0</v>
      </c>
      <c r="E244" s="186">
        <v>0</v>
      </c>
      <c r="F244" s="187">
        <v>0</v>
      </c>
      <c r="G244" s="186">
        <v>0</v>
      </c>
      <c r="H244" s="187">
        <v>0</v>
      </c>
      <c r="I244" s="186">
        <v>0</v>
      </c>
      <c r="J244" s="188">
        <v>0</v>
      </c>
      <c r="K244" s="189">
        <v>0</v>
      </c>
      <c r="L244" s="185">
        <f t="shared" si="20"/>
        <v>0</v>
      </c>
      <c r="M244" s="5" t="s">
        <v>1097</v>
      </c>
      <c r="O244" t="str">
        <f t="shared" si="19"/>
        <v>Regelzone Amprion (gesamt)</v>
      </c>
    </row>
    <row r="245" spans="1:15" hidden="1" outlineLevel="1">
      <c r="A245" s="129" t="s">
        <v>1096</v>
      </c>
      <c r="B245" s="69">
        <v>7</v>
      </c>
      <c r="C245" s="953">
        <v>2022</v>
      </c>
      <c r="D245" s="187">
        <v>0</v>
      </c>
      <c r="E245" s="186">
        <v>0</v>
      </c>
      <c r="F245" s="187">
        <v>0</v>
      </c>
      <c r="G245" s="186">
        <v>0</v>
      </c>
      <c r="H245" s="187">
        <v>0</v>
      </c>
      <c r="I245" s="186">
        <v>0</v>
      </c>
      <c r="J245" s="188">
        <v>0</v>
      </c>
      <c r="K245" s="189">
        <v>0</v>
      </c>
      <c r="L245" s="185">
        <f t="shared" si="20"/>
        <v>0</v>
      </c>
      <c r="M245" s="5" t="s">
        <v>1097</v>
      </c>
      <c r="O245" t="str">
        <f t="shared" si="19"/>
        <v>Regelzone Amprion (gesamt)</v>
      </c>
    </row>
    <row r="246" spans="1:15" hidden="1" outlineLevel="1">
      <c r="A246" s="129" t="s">
        <v>1096</v>
      </c>
      <c r="B246" s="69">
        <v>7</v>
      </c>
      <c r="C246" s="953">
        <v>2023</v>
      </c>
      <c r="D246" s="187">
        <v>0</v>
      </c>
      <c r="E246" s="186">
        <v>0</v>
      </c>
      <c r="F246" s="187">
        <v>0</v>
      </c>
      <c r="G246" s="186">
        <v>0</v>
      </c>
      <c r="H246" s="187">
        <v>0</v>
      </c>
      <c r="I246" s="186">
        <v>0</v>
      </c>
      <c r="J246" s="188">
        <v>0</v>
      </c>
      <c r="K246" s="189">
        <v>0</v>
      </c>
      <c r="L246" s="185">
        <f t="shared" si="20"/>
        <v>0</v>
      </c>
      <c r="M246" s="5" t="s">
        <v>1097</v>
      </c>
      <c r="O246" t="str">
        <f t="shared" si="19"/>
        <v>Regelzone Amprion (gesamt)</v>
      </c>
    </row>
    <row r="247" spans="1:15" hidden="1" outlineLevel="1">
      <c r="A247" s="129" t="s">
        <v>1096</v>
      </c>
      <c r="B247" s="69">
        <v>7</v>
      </c>
      <c r="C247" s="953">
        <v>2024</v>
      </c>
      <c r="D247" s="187">
        <v>0</v>
      </c>
      <c r="E247" s="186">
        <v>0</v>
      </c>
      <c r="F247" s="187">
        <v>0</v>
      </c>
      <c r="G247" s="186">
        <v>0</v>
      </c>
      <c r="H247" s="187">
        <v>202470</v>
      </c>
      <c r="I247" s="186">
        <v>21627.759999999998</v>
      </c>
      <c r="J247" s="188">
        <v>0</v>
      </c>
      <c r="K247" s="189">
        <v>0</v>
      </c>
      <c r="L247" s="185">
        <f t="shared" si="20"/>
        <v>21627.759999999998</v>
      </c>
      <c r="M247" s="5" t="s">
        <v>1097</v>
      </c>
      <c r="O247" t="str">
        <f t="shared" si="19"/>
        <v>Regelzone Amprion (gesamt)</v>
      </c>
    </row>
    <row r="248" spans="1:15" hidden="1" outlineLevel="1">
      <c r="A248" s="129" t="s">
        <v>1100</v>
      </c>
      <c r="B248" s="69">
        <v>7</v>
      </c>
      <c r="C248" s="953">
        <v>2024</v>
      </c>
      <c r="D248" s="187">
        <v>0</v>
      </c>
      <c r="E248" s="186">
        <v>0</v>
      </c>
      <c r="F248" s="187">
        <v>0</v>
      </c>
      <c r="G248" s="186">
        <v>0</v>
      </c>
      <c r="H248" s="187">
        <v>3397037</v>
      </c>
      <c r="I248" s="186">
        <v>187270.96</v>
      </c>
      <c r="J248" s="188">
        <v>0</v>
      </c>
      <c r="K248" s="189">
        <v>0</v>
      </c>
      <c r="L248" s="185">
        <f t="shared" si="20"/>
        <v>187270.96</v>
      </c>
      <c r="M248" s="5" t="s">
        <v>1101</v>
      </c>
      <c r="O248" t="str">
        <f t="shared" si="19"/>
        <v>Regelzone Amprion (gesamt)</v>
      </c>
    </row>
    <row r="249" spans="1:15" hidden="1" outlineLevel="1">
      <c r="A249" s="129" t="s">
        <v>1104</v>
      </c>
      <c r="B249" s="69">
        <v>7</v>
      </c>
      <c r="C249" s="953">
        <v>2023</v>
      </c>
      <c r="D249" s="187">
        <v>0</v>
      </c>
      <c r="E249" s="186">
        <v>0</v>
      </c>
      <c r="F249" s="187">
        <v>-20150</v>
      </c>
      <c r="G249" s="186">
        <v>-1090.1199999999999</v>
      </c>
      <c r="H249" s="187">
        <v>0</v>
      </c>
      <c r="I249" s="186">
        <v>0</v>
      </c>
      <c r="J249" s="188">
        <v>0</v>
      </c>
      <c r="K249" s="189">
        <v>0</v>
      </c>
      <c r="L249" s="185">
        <f t="shared" si="20"/>
        <v>-1090.1199999999999</v>
      </c>
      <c r="M249" s="5" t="s">
        <v>1105</v>
      </c>
      <c r="O249" t="str">
        <f t="shared" si="19"/>
        <v>Regelzone Amprion (gesamt)</v>
      </c>
    </row>
    <row r="250" spans="1:15" hidden="1" outlineLevel="1">
      <c r="A250" s="129" t="s">
        <v>1104</v>
      </c>
      <c r="B250" s="69">
        <v>7</v>
      </c>
      <c r="C250" s="953">
        <v>2024</v>
      </c>
      <c r="D250" s="187">
        <v>0</v>
      </c>
      <c r="E250" s="186">
        <v>0</v>
      </c>
      <c r="F250" s="187">
        <v>0</v>
      </c>
      <c r="G250" s="186">
        <v>0</v>
      </c>
      <c r="H250" s="187">
        <v>105258</v>
      </c>
      <c r="I250" s="186">
        <v>4388.45</v>
      </c>
      <c r="J250" s="188">
        <v>0</v>
      </c>
      <c r="K250" s="189">
        <v>0</v>
      </c>
      <c r="L250" s="185">
        <f t="shared" si="20"/>
        <v>4388.45</v>
      </c>
      <c r="M250" s="5" t="s">
        <v>1105</v>
      </c>
      <c r="O250" t="str">
        <f t="shared" si="19"/>
        <v>Regelzone Amprion (gesamt)</v>
      </c>
    </row>
    <row r="251" spans="1:15" hidden="1" outlineLevel="1">
      <c r="A251" s="129" t="s">
        <v>1120</v>
      </c>
      <c r="B251" s="69">
        <v>7</v>
      </c>
      <c r="C251" s="953">
        <v>2023</v>
      </c>
      <c r="D251" s="187">
        <v>0</v>
      </c>
      <c r="E251" s="186">
        <v>0</v>
      </c>
      <c r="F251" s="187">
        <v>0</v>
      </c>
      <c r="G251" s="186">
        <v>0</v>
      </c>
      <c r="H251" s="187">
        <v>47751977</v>
      </c>
      <c r="I251" s="186">
        <v>1866825.08</v>
      </c>
      <c r="J251" s="188">
        <v>0</v>
      </c>
      <c r="K251" s="189">
        <v>0</v>
      </c>
      <c r="L251" s="185">
        <f t="shared" si="20"/>
        <v>1866825.08</v>
      </c>
      <c r="M251" s="5" t="s">
        <v>1121</v>
      </c>
      <c r="O251" t="str">
        <f t="shared" si="19"/>
        <v>Regelzone Amprion (gesamt)</v>
      </c>
    </row>
    <row r="252" spans="1:15" hidden="1" outlineLevel="1">
      <c r="A252" s="129" t="s">
        <v>1120</v>
      </c>
      <c r="B252" s="69">
        <v>7</v>
      </c>
      <c r="C252" s="953">
        <v>2024</v>
      </c>
      <c r="D252" s="187">
        <v>0</v>
      </c>
      <c r="E252" s="186">
        <v>0</v>
      </c>
      <c r="F252" s="187">
        <v>0</v>
      </c>
      <c r="G252" s="186">
        <v>0</v>
      </c>
      <c r="H252" s="187">
        <v>365272565</v>
      </c>
      <c r="I252" s="186">
        <v>14280036.85</v>
      </c>
      <c r="J252" s="188">
        <v>0</v>
      </c>
      <c r="K252" s="189">
        <v>0</v>
      </c>
      <c r="L252" s="185">
        <f t="shared" si="20"/>
        <v>14280036.85</v>
      </c>
      <c r="M252" s="5" t="s">
        <v>1121</v>
      </c>
      <c r="O252" t="str">
        <f t="shared" si="19"/>
        <v>Regelzone Amprion (gesamt)</v>
      </c>
    </row>
    <row r="253" spans="1:15" hidden="1" outlineLevel="1">
      <c r="A253" s="129" t="s">
        <v>1122</v>
      </c>
      <c r="B253" s="69">
        <v>7</v>
      </c>
      <c r="C253" s="953">
        <v>2024</v>
      </c>
      <c r="D253" s="187">
        <v>0</v>
      </c>
      <c r="E253" s="186">
        <v>0</v>
      </c>
      <c r="F253" s="187">
        <v>4241</v>
      </c>
      <c r="G253" s="186">
        <v>229.44</v>
      </c>
      <c r="H253" s="187">
        <v>31451</v>
      </c>
      <c r="I253" s="186">
        <v>2387.8000000000002</v>
      </c>
      <c r="J253" s="188">
        <v>0</v>
      </c>
      <c r="K253" s="189">
        <v>0</v>
      </c>
      <c r="L253" s="185">
        <f t="shared" si="20"/>
        <v>2617.2400000000002</v>
      </c>
      <c r="M253" s="5" t="s">
        <v>1123</v>
      </c>
      <c r="O253" t="str">
        <f t="shared" si="19"/>
        <v>Regelzone Amprion (gesamt)</v>
      </c>
    </row>
    <row r="254" spans="1:15" hidden="1" outlineLevel="1">
      <c r="A254" s="129" t="s">
        <v>1126</v>
      </c>
      <c r="B254" s="69">
        <v>7</v>
      </c>
      <c r="C254" s="953">
        <v>2023</v>
      </c>
      <c r="D254" s="187">
        <v>0</v>
      </c>
      <c r="E254" s="186">
        <v>0</v>
      </c>
      <c r="F254" s="187">
        <v>16649</v>
      </c>
      <c r="G254" s="186">
        <v>900.71</v>
      </c>
      <c r="H254" s="187">
        <v>0</v>
      </c>
      <c r="I254" s="186">
        <v>0</v>
      </c>
      <c r="J254" s="188">
        <v>0</v>
      </c>
      <c r="K254" s="189">
        <v>0</v>
      </c>
      <c r="L254" s="185">
        <f t="shared" si="20"/>
        <v>900.71</v>
      </c>
      <c r="M254" s="5" t="s">
        <v>1127</v>
      </c>
      <c r="O254" t="str">
        <f t="shared" si="19"/>
        <v>Regelzone Amprion (gesamt)</v>
      </c>
    </row>
    <row r="255" spans="1:15" hidden="1" outlineLevel="1">
      <c r="A255" s="129" t="s">
        <v>1126</v>
      </c>
      <c r="B255" s="69">
        <v>7</v>
      </c>
      <c r="C255" s="953">
        <v>2024</v>
      </c>
      <c r="D255" s="187">
        <v>0</v>
      </c>
      <c r="E255" s="186">
        <v>0</v>
      </c>
      <c r="F255" s="187">
        <v>0</v>
      </c>
      <c r="G255" s="186">
        <v>0</v>
      </c>
      <c r="H255" s="187">
        <v>327</v>
      </c>
      <c r="I255" s="186">
        <v>13.08</v>
      </c>
      <c r="J255" s="188">
        <v>0</v>
      </c>
      <c r="K255" s="189">
        <v>0</v>
      </c>
      <c r="L255" s="185">
        <f t="shared" si="20"/>
        <v>13.08</v>
      </c>
      <c r="M255" s="5" t="s">
        <v>1127</v>
      </c>
      <c r="O255" t="str">
        <f t="shared" si="19"/>
        <v>Regelzone Amprion (gesamt)</v>
      </c>
    </row>
    <row r="256" spans="1:15" hidden="1" outlineLevel="1">
      <c r="A256" s="129" t="s">
        <v>1130</v>
      </c>
      <c r="B256" s="69">
        <v>7</v>
      </c>
      <c r="C256" s="953">
        <v>2022</v>
      </c>
      <c r="D256" s="187">
        <v>0</v>
      </c>
      <c r="E256" s="186">
        <v>0</v>
      </c>
      <c r="F256" s="187">
        <v>284942</v>
      </c>
      <c r="G256" s="186">
        <v>15415.36</v>
      </c>
      <c r="H256" s="187">
        <v>731811</v>
      </c>
      <c r="I256" s="186">
        <v>69356.56</v>
      </c>
      <c r="J256" s="188">
        <v>0</v>
      </c>
      <c r="K256" s="189">
        <v>0</v>
      </c>
      <c r="L256" s="185">
        <f t="shared" si="20"/>
        <v>84771.92</v>
      </c>
      <c r="M256" s="5" t="s">
        <v>1131</v>
      </c>
      <c r="O256" t="str">
        <f t="shared" si="19"/>
        <v>Regelzone Amprion (gesamt)</v>
      </c>
    </row>
    <row r="257" spans="1:15" hidden="1" outlineLevel="1">
      <c r="A257" s="129" t="s">
        <v>1130</v>
      </c>
      <c r="B257" s="69">
        <v>7</v>
      </c>
      <c r="C257" s="953">
        <v>2023</v>
      </c>
      <c r="D257" s="187">
        <v>0</v>
      </c>
      <c r="E257" s="186">
        <v>0</v>
      </c>
      <c r="F257" s="187">
        <v>265281</v>
      </c>
      <c r="G257" s="186">
        <v>14351.7</v>
      </c>
      <c r="H257" s="187">
        <v>400305</v>
      </c>
      <c r="I257" s="186">
        <v>49615.839999999997</v>
      </c>
      <c r="J257" s="188">
        <v>0</v>
      </c>
      <c r="K257" s="189">
        <v>0</v>
      </c>
      <c r="L257" s="185">
        <f t="shared" si="20"/>
        <v>63967.539999999994</v>
      </c>
      <c r="M257" s="5" t="s">
        <v>1131</v>
      </c>
      <c r="O257" t="str">
        <f t="shared" si="19"/>
        <v>Regelzone Amprion (gesamt)</v>
      </c>
    </row>
    <row r="258" spans="1:15" hidden="1" outlineLevel="1">
      <c r="A258" s="129" t="s">
        <v>1130</v>
      </c>
      <c r="B258" s="69">
        <v>7</v>
      </c>
      <c r="C258" s="953">
        <v>2024</v>
      </c>
      <c r="D258" s="187">
        <v>0</v>
      </c>
      <c r="E258" s="186">
        <v>0</v>
      </c>
      <c r="F258" s="187">
        <v>0</v>
      </c>
      <c r="G258" s="186">
        <v>0</v>
      </c>
      <c r="H258" s="187">
        <v>0</v>
      </c>
      <c r="I258" s="186">
        <v>0</v>
      </c>
      <c r="J258" s="188">
        <v>0</v>
      </c>
      <c r="K258" s="189">
        <v>0</v>
      </c>
      <c r="L258" s="185">
        <f t="shared" si="20"/>
        <v>0</v>
      </c>
      <c r="M258" s="5" t="s">
        <v>1131</v>
      </c>
      <c r="O258" t="str">
        <f t="shared" si="19"/>
        <v>Regelzone Amprion (gesamt)</v>
      </c>
    </row>
    <row r="259" spans="1:15" hidden="1" outlineLevel="1">
      <c r="A259" s="129" t="s">
        <v>1132</v>
      </c>
      <c r="B259" s="69">
        <v>5</v>
      </c>
      <c r="C259" s="953">
        <v>2023</v>
      </c>
      <c r="D259" s="187">
        <v>0</v>
      </c>
      <c r="E259" s="186">
        <v>0</v>
      </c>
      <c r="F259" s="187">
        <v>12554</v>
      </c>
      <c r="G259" s="186">
        <v>679.17</v>
      </c>
      <c r="H259" s="187">
        <v>0</v>
      </c>
      <c r="I259" s="186">
        <v>0</v>
      </c>
      <c r="J259" s="188">
        <v>0</v>
      </c>
      <c r="K259" s="189">
        <v>0</v>
      </c>
      <c r="L259" s="185">
        <f t="shared" si="20"/>
        <v>679.17</v>
      </c>
      <c r="M259" s="5" t="s">
        <v>1133</v>
      </c>
      <c r="O259" t="str">
        <f t="shared" si="19"/>
        <v>Regelzone Amprion (gesamt)</v>
      </c>
    </row>
    <row r="260" spans="1:15" hidden="1" outlineLevel="1">
      <c r="A260" s="129" t="s">
        <v>1132</v>
      </c>
      <c r="B260" s="69">
        <v>5</v>
      </c>
      <c r="C260" s="953">
        <v>2024</v>
      </c>
      <c r="D260" s="187">
        <v>0</v>
      </c>
      <c r="E260" s="186">
        <v>0</v>
      </c>
      <c r="F260" s="187">
        <v>0</v>
      </c>
      <c r="G260" s="186">
        <v>0</v>
      </c>
      <c r="H260" s="187">
        <v>259000</v>
      </c>
      <c r="I260" s="186">
        <v>16161.6</v>
      </c>
      <c r="J260" s="188">
        <v>0</v>
      </c>
      <c r="K260" s="189">
        <v>0</v>
      </c>
      <c r="L260" s="185">
        <f t="shared" si="20"/>
        <v>16161.6</v>
      </c>
      <c r="M260" s="5" t="s">
        <v>1133</v>
      </c>
      <c r="O260" t="str">
        <f t="shared" si="19"/>
        <v>Regelzone Amprion (gesamt)</v>
      </c>
    </row>
    <row r="261" spans="1:15" hidden="1" outlineLevel="1">
      <c r="A261" s="129" t="s">
        <v>1136</v>
      </c>
      <c r="B261" s="69">
        <v>7</v>
      </c>
      <c r="C261" s="953">
        <v>2024</v>
      </c>
      <c r="D261" s="187">
        <v>0</v>
      </c>
      <c r="E261" s="186">
        <v>0</v>
      </c>
      <c r="F261" s="187">
        <v>0</v>
      </c>
      <c r="G261" s="186">
        <v>0</v>
      </c>
      <c r="H261" s="187">
        <v>71930</v>
      </c>
      <c r="I261" s="186">
        <v>6139.92</v>
      </c>
      <c r="J261" s="188">
        <v>0</v>
      </c>
      <c r="K261" s="189">
        <v>0</v>
      </c>
      <c r="L261" s="185">
        <f t="shared" si="20"/>
        <v>6139.92</v>
      </c>
      <c r="M261" s="5" t="s">
        <v>1137</v>
      </c>
      <c r="O261" t="str">
        <f t="shared" si="19"/>
        <v>Regelzone Amprion (gesamt)</v>
      </c>
    </row>
    <row r="262" spans="1:15" hidden="1" outlineLevel="1">
      <c r="A262" s="129" t="s">
        <v>1138</v>
      </c>
      <c r="B262" s="69">
        <v>7</v>
      </c>
      <c r="C262" s="953">
        <v>2024</v>
      </c>
      <c r="D262" s="187">
        <v>0</v>
      </c>
      <c r="E262" s="186">
        <v>0</v>
      </c>
      <c r="F262" s="187">
        <v>168824</v>
      </c>
      <c r="G262" s="186">
        <v>9133.4</v>
      </c>
      <c r="H262" s="187">
        <v>99933</v>
      </c>
      <c r="I262" s="186">
        <v>8774.16</v>
      </c>
      <c r="J262" s="188">
        <v>0</v>
      </c>
      <c r="K262" s="189">
        <v>0</v>
      </c>
      <c r="L262" s="185">
        <f t="shared" si="20"/>
        <v>17907.559999999998</v>
      </c>
      <c r="M262" s="5" t="s">
        <v>1139</v>
      </c>
      <c r="O262" t="str">
        <f t="shared" si="19"/>
        <v>Regelzone Amprion (gesamt)</v>
      </c>
    </row>
    <row r="263" spans="1:15" hidden="1" outlineLevel="1">
      <c r="A263" s="129" t="s">
        <v>1140</v>
      </c>
      <c r="B263" s="69">
        <v>1</v>
      </c>
      <c r="C263" s="953">
        <v>2024</v>
      </c>
      <c r="D263" s="187">
        <v>0</v>
      </c>
      <c r="E263" s="186">
        <v>0</v>
      </c>
      <c r="F263" s="187">
        <v>0</v>
      </c>
      <c r="G263" s="186">
        <v>0</v>
      </c>
      <c r="H263" s="187">
        <v>-376712</v>
      </c>
      <c r="I263" s="186">
        <v>-32465.68</v>
      </c>
      <c r="J263" s="188">
        <v>0</v>
      </c>
      <c r="K263" s="189">
        <v>0</v>
      </c>
      <c r="L263" s="185">
        <f t="shared" si="20"/>
        <v>-32465.68</v>
      </c>
      <c r="M263" s="5" t="s">
        <v>1141</v>
      </c>
      <c r="O263" t="str">
        <f t="shared" si="19"/>
        <v>Regelzone Amprion (gesamt)</v>
      </c>
    </row>
    <row r="264" spans="1:15" hidden="1" outlineLevel="1">
      <c r="A264" s="129" t="s">
        <v>1140</v>
      </c>
      <c r="B264" s="69">
        <v>7</v>
      </c>
      <c r="C264" s="953">
        <v>2024</v>
      </c>
      <c r="D264" s="187">
        <v>0</v>
      </c>
      <c r="E264" s="186">
        <v>0</v>
      </c>
      <c r="F264" s="187">
        <v>0</v>
      </c>
      <c r="G264" s="186">
        <v>0</v>
      </c>
      <c r="H264" s="187">
        <v>289199</v>
      </c>
      <c r="I264" s="186">
        <v>39124.32</v>
      </c>
      <c r="J264" s="188">
        <v>0</v>
      </c>
      <c r="K264" s="189">
        <v>0</v>
      </c>
      <c r="L264" s="185">
        <f t="shared" si="20"/>
        <v>39124.32</v>
      </c>
      <c r="M264" s="5" t="s">
        <v>1141</v>
      </c>
      <c r="O264" t="str">
        <f t="shared" si="19"/>
        <v>Regelzone Amprion (gesamt)</v>
      </c>
    </row>
    <row r="265" spans="1:15" hidden="1" outlineLevel="1">
      <c r="A265" s="129" t="s">
        <v>1142</v>
      </c>
      <c r="B265" s="69">
        <v>1</v>
      </c>
      <c r="C265" s="953">
        <v>2022</v>
      </c>
      <c r="D265" s="187">
        <v>0</v>
      </c>
      <c r="E265" s="186">
        <v>0</v>
      </c>
      <c r="F265" s="187">
        <v>-3757</v>
      </c>
      <c r="G265" s="186">
        <v>-203.25</v>
      </c>
      <c r="H265" s="187">
        <v>0</v>
      </c>
      <c r="I265" s="186">
        <v>0</v>
      </c>
      <c r="J265" s="188">
        <v>0</v>
      </c>
      <c r="K265" s="189">
        <v>0</v>
      </c>
      <c r="L265" s="185">
        <f t="shared" si="20"/>
        <v>-203.25</v>
      </c>
      <c r="M265" s="5" t="s">
        <v>1143</v>
      </c>
      <c r="O265" t="str">
        <f t="shared" si="19"/>
        <v>Regelzone Amprion (gesamt)</v>
      </c>
    </row>
    <row r="266" spans="1:15" hidden="1" outlineLevel="1">
      <c r="A266" s="129" t="s">
        <v>1142</v>
      </c>
      <c r="B266" s="69">
        <v>7</v>
      </c>
      <c r="C266" s="953">
        <v>2022</v>
      </c>
      <c r="D266" s="187">
        <v>0</v>
      </c>
      <c r="E266" s="186">
        <v>0</v>
      </c>
      <c r="F266" s="187">
        <v>45456</v>
      </c>
      <c r="G266" s="186">
        <v>2459.17</v>
      </c>
      <c r="H266" s="187">
        <v>228216</v>
      </c>
      <c r="I266" s="186">
        <v>22686.560000000001</v>
      </c>
      <c r="J266" s="188">
        <v>0</v>
      </c>
      <c r="K266" s="189">
        <v>0</v>
      </c>
      <c r="L266" s="185">
        <f t="shared" si="20"/>
        <v>25145.730000000003</v>
      </c>
      <c r="M266" s="5" t="s">
        <v>1143</v>
      </c>
      <c r="O266" t="str">
        <f t="shared" si="19"/>
        <v>Regelzone Amprion (gesamt)</v>
      </c>
    </row>
    <row r="267" spans="1:15" hidden="1" outlineLevel="1">
      <c r="A267" s="129" t="s">
        <v>1142</v>
      </c>
      <c r="B267" s="69">
        <v>7</v>
      </c>
      <c r="C267" s="953">
        <v>2023</v>
      </c>
      <c r="D267" s="187">
        <v>0</v>
      </c>
      <c r="E267" s="186">
        <v>0</v>
      </c>
      <c r="F267" s="187">
        <v>327615</v>
      </c>
      <c r="G267" s="186">
        <v>17723.98</v>
      </c>
      <c r="H267" s="187">
        <v>349700</v>
      </c>
      <c r="I267" s="186">
        <v>30917.03</v>
      </c>
      <c r="J267" s="188">
        <v>-38.369999999999997</v>
      </c>
      <c r="K267" s="189">
        <v>0</v>
      </c>
      <c r="L267" s="185">
        <f t="shared" si="20"/>
        <v>48602.639999999992</v>
      </c>
      <c r="M267" s="5" t="s">
        <v>1143</v>
      </c>
      <c r="O267" t="str">
        <f t="shared" si="19"/>
        <v>Regelzone Amprion (gesamt)</v>
      </c>
    </row>
    <row r="268" spans="1:15" hidden="1" outlineLevel="1">
      <c r="A268" s="129" t="s">
        <v>1142</v>
      </c>
      <c r="B268" s="69">
        <v>1</v>
      </c>
      <c r="C268" s="953">
        <v>2024</v>
      </c>
      <c r="D268" s="187">
        <v>0</v>
      </c>
      <c r="E268" s="186">
        <v>0</v>
      </c>
      <c r="F268" s="187">
        <v>0</v>
      </c>
      <c r="G268" s="186">
        <v>0</v>
      </c>
      <c r="H268" s="187">
        <v>-26167</v>
      </c>
      <c r="I268" s="186">
        <v>-1046.68</v>
      </c>
      <c r="J268" s="188">
        <v>0</v>
      </c>
      <c r="K268" s="189">
        <v>0</v>
      </c>
      <c r="L268" s="185">
        <f t="shared" si="20"/>
        <v>-1046.68</v>
      </c>
      <c r="M268" s="5" t="s">
        <v>1143</v>
      </c>
      <c r="O268" t="str">
        <f t="shared" si="19"/>
        <v>Regelzone Amprion (gesamt)</v>
      </c>
    </row>
    <row r="269" spans="1:15" hidden="1" outlineLevel="1">
      <c r="A269" s="129" t="s">
        <v>1142</v>
      </c>
      <c r="B269" s="69">
        <v>7</v>
      </c>
      <c r="C269" s="953">
        <v>2024</v>
      </c>
      <c r="D269" s="187">
        <v>0</v>
      </c>
      <c r="E269" s="186">
        <v>0</v>
      </c>
      <c r="F269" s="187">
        <v>266816</v>
      </c>
      <c r="G269" s="186">
        <v>14434.76</v>
      </c>
      <c r="H269" s="187">
        <v>1708452</v>
      </c>
      <c r="I269" s="186">
        <v>170777.06</v>
      </c>
      <c r="J269" s="188">
        <v>0</v>
      </c>
      <c r="K269" s="189">
        <v>0</v>
      </c>
      <c r="L269" s="185">
        <f t="shared" si="20"/>
        <v>185211.82</v>
      </c>
      <c r="M269" s="5" t="s">
        <v>1143</v>
      </c>
      <c r="O269" t="str">
        <f t="shared" si="19"/>
        <v>Regelzone Amprion (gesamt)</v>
      </c>
    </row>
    <row r="270" spans="1:15" hidden="1" outlineLevel="1">
      <c r="A270" s="129" t="s">
        <v>1144</v>
      </c>
      <c r="B270" s="69">
        <v>7</v>
      </c>
      <c r="C270" s="953">
        <v>2023</v>
      </c>
      <c r="D270" s="187">
        <v>0</v>
      </c>
      <c r="E270" s="186">
        <v>0</v>
      </c>
      <c r="F270" s="187">
        <v>37357</v>
      </c>
      <c r="G270" s="186">
        <v>2021.01</v>
      </c>
      <c r="H270" s="187">
        <v>0</v>
      </c>
      <c r="I270" s="186">
        <v>0</v>
      </c>
      <c r="J270" s="188">
        <v>0</v>
      </c>
      <c r="K270" s="189">
        <v>0</v>
      </c>
      <c r="L270" s="185">
        <f t="shared" si="20"/>
        <v>2021.01</v>
      </c>
      <c r="M270" s="5" t="s">
        <v>1145</v>
      </c>
      <c r="O270" t="str">
        <f t="shared" si="19"/>
        <v>Regelzone Amprion (gesamt)</v>
      </c>
    </row>
    <row r="271" spans="1:15" hidden="1" outlineLevel="1">
      <c r="A271" s="129" t="s">
        <v>1144</v>
      </c>
      <c r="B271" s="69">
        <v>7</v>
      </c>
      <c r="C271" s="953">
        <v>2024</v>
      </c>
      <c r="D271" s="187">
        <v>0</v>
      </c>
      <c r="E271" s="186">
        <v>0</v>
      </c>
      <c r="F271" s="187">
        <v>71121</v>
      </c>
      <c r="G271" s="186">
        <v>3847.65</v>
      </c>
      <c r="H271" s="187">
        <v>0</v>
      </c>
      <c r="I271" s="186">
        <v>0</v>
      </c>
      <c r="J271" s="188">
        <v>0</v>
      </c>
      <c r="K271" s="189">
        <v>0</v>
      </c>
      <c r="L271" s="185">
        <f t="shared" si="20"/>
        <v>3847.65</v>
      </c>
      <c r="M271" s="5" t="s">
        <v>1145</v>
      </c>
      <c r="O271" t="str">
        <f t="shared" si="19"/>
        <v>Regelzone Amprion (gesamt)</v>
      </c>
    </row>
    <row r="272" spans="1:15" hidden="1" outlineLevel="1">
      <c r="A272" s="129" t="s">
        <v>1146</v>
      </c>
      <c r="B272" s="69">
        <v>1</v>
      </c>
      <c r="C272" s="953">
        <v>2024</v>
      </c>
      <c r="D272" s="187">
        <v>0</v>
      </c>
      <c r="E272" s="186">
        <v>0</v>
      </c>
      <c r="F272" s="187">
        <v>0</v>
      </c>
      <c r="G272" s="186">
        <v>0</v>
      </c>
      <c r="H272" s="187">
        <v>-515994</v>
      </c>
      <c r="I272" s="186">
        <v>-20374.169999999998</v>
      </c>
      <c r="J272" s="188">
        <v>0</v>
      </c>
      <c r="K272" s="189">
        <v>0</v>
      </c>
      <c r="L272" s="185">
        <f t="shared" si="20"/>
        <v>-20374.169999999998</v>
      </c>
      <c r="M272" s="5" t="s">
        <v>1147</v>
      </c>
      <c r="O272" t="str">
        <f t="shared" si="19"/>
        <v>Regelzone Amprion (gesamt)</v>
      </c>
    </row>
    <row r="273" spans="1:15" hidden="1" outlineLevel="1">
      <c r="A273" s="129" t="s">
        <v>1146</v>
      </c>
      <c r="B273" s="69">
        <v>7</v>
      </c>
      <c r="C273" s="953">
        <v>2024</v>
      </c>
      <c r="D273" s="187">
        <v>0</v>
      </c>
      <c r="E273" s="186">
        <v>0</v>
      </c>
      <c r="F273" s="187">
        <v>0</v>
      </c>
      <c r="G273" s="186">
        <v>0</v>
      </c>
      <c r="H273" s="187">
        <v>80000</v>
      </c>
      <c r="I273" s="186">
        <v>12800</v>
      </c>
      <c r="J273" s="188">
        <v>0</v>
      </c>
      <c r="K273" s="189">
        <v>0</v>
      </c>
      <c r="L273" s="185">
        <f t="shared" si="20"/>
        <v>12800</v>
      </c>
      <c r="M273" s="5" t="s">
        <v>1147</v>
      </c>
      <c r="O273" t="str">
        <f t="shared" si="19"/>
        <v>Regelzone Amprion (gesamt)</v>
      </c>
    </row>
    <row r="274" spans="1:15" hidden="1" outlineLevel="1">
      <c r="A274" s="129" t="s">
        <v>1148</v>
      </c>
      <c r="B274" s="69">
        <v>1</v>
      </c>
      <c r="C274" s="953">
        <v>2024</v>
      </c>
      <c r="D274" s="187">
        <v>0</v>
      </c>
      <c r="E274" s="186">
        <v>0</v>
      </c>
      <c r="F274" s="187">
        <v>0</v>
      </c>
      <c r="G274" s="186">
        <v>0</v>
      </c>
      <c r="H274" s="187">
        <v>-5227</v>
      </c>
      <c r="I274" s="186">
        <v>-970.36</v>
      </c>
      <c r="J274" s="188">
        <v>0</v>
      </c>
      <c r="K274" s="189">
        <v>0</v>
      </c>
      <c r="L274" s="185">
        <f t="shared" si="20"/>
        <v>-970.36</v>
      </c>
      <c r="M274" s="5" t="s">
        <v>1149</v>
      </c>
      <c r="O274" t="str">
        <f t="shared" si="19"/>
        <v>Regelzone Amprion (gesamt)</v>
      </c>
    </row>
    <row r="275" spans="1:15" hidden="1" outlineLevel="1">
      <c r="A275" s="129" t="s">
        <v>1150</v>
      </c>
      <c r="B275" s="69">
        <v>7</v>
      </c>
      <c r="C275" s="953">
        <v>2024</v>
      </c>
      <c r="D275" s="187">
        <v>0</v>
      </c>
      <c r="E275" s="186">
        <v>0</v>
      </c>
      <c r="F275" s="187">
        <v>257096</v>
      </c>
      <c r="G275" s="186">
        <v>13908.89</v>
      </c>
      <c r="H275" s="187">
        <v>0</v>
      </c>
      <c r="I275" s="186">
        <v>0</v>
      </c>
      <c r="J275" s="188">
        <v>0</v>
      </c>
      <c r="K275" s="189">
        <v>0</v>
      </c>
      <c r="L275" s="185">
        <f t="shared" si="20"/>
        <v>13908.89</v>
      </c>
      <c r="M275" s="5" t="s">
        <v>1151</v>
      </c>
      <c r="O275" t="str">
        <f t="shared" si="19"/>
        <v>Regelzone Amprion (gesamt)</v>
      </c>
    </row>
    <row r="276" spans="1:15" hidden="1" outlineLevel="1">
      <c r="A276" s="129" t="s">
        <v>1152</v>
      </c>
      <c r="B276" s="69">
        <v>7</v>
      </c>
      <c r="C276" s="953">
        <v>2022</v>
      </c>
      <c r="D276" s="187">
        <v>0</v>
      </c>
      <c r="E276" s="186">
        <v>0</v>
      </c>
      <c r="F276" s="187">
        <v>0</v>
      </c>
      <c r="G276" s="186">
        <v>0</v>
      </c>
      <c r="H276" s="187">
        <v>469</v>
      </c>
      <c r="I276" s="186">
        <v>159.84</v>
      </c>
      <c r="J276" s="188">
        <v>0</v>
      </c>
      <c r="K276" s="189">
        <v>0</v>
      </c>
      <c r="L276" s="185">
        <f t="shared" si="20"/>
        <v>159.84</v>
      </c>
      <c r="M276" s="5" t="s">
        <v>1153</v>
      </c>
      <c r="O276" t="str">
        <f t="shared" si="19"/>
        <v>Regelzone Amprion (gesamt)</v>
      </c>
    </row>
    <row r="277" spans="1:15" hidden="1" outlineLevel="1">
      <c r="A277" s="129" t="s">
        <v>1152</v>
      </c>
      <c r="B277" s="69">
        <v>7</v>
      </c>
      <c r="C277" s="953">
        <v>2023</v>
      </c>
      <c r="D277" s="187">
        <v>0</v>
      </c>
      <c r="E277" s="186">
        <v>0</v>
      </c>
      <c r="F277" s="187">
        <v>10650</v>
      </c>
      <c r="G277" s="186">
        <v>576.16999999999996</v>
      </c>
      <c r="H277" s="187">
        <v>142342</v>
      </c>
      <c r="I277" s="186">
        <v>18739.919999999998</v>
      </c>
      <c r="J277" s="188">
        <v>0</v>
      </c>
      <c r="K277" s="189">
        <v>0</v>
      </c>
      <c r="L277" s="185">
        <f t="shared" si="20"/>
        <v>19316.089999999997</v>
      </c>
      <c r="M277" s="5" t="s">
        <v>1153</v>
      </c>
      <c r="O277" t="str">
        <f t="shared" si="19"/>
        <v>Regelzone Amprion (gesamt)</v>
      </c>
    </row>
    <row r="278" spans="1:15" hidden="1" outlineLevel="1">
      <c r="A278" s="129" t="s">
        <v>1152</v>
      </c>
      <c r="B278" s="69">
        <v>1</v>
      </c>
      <c r="C278" s="953">
        <v>2024</v>
      </c>
      <c r="D278" s="187">
        <v>0</v>
      </c>
      <c r="E278" s="186">
        <v>0</v>
      </c>
      <c r="F278" s="187">
        <v>0</v>
      </c>
      <c r="G278" s="186">
        <v>0</v>
      </c>
      <c r="H278" s="187">
        <v>-215</v>
      </c>
      <c r="I278" s="186">
        <v>-17.52</v>
      </c>
      <c r="J278" s="188">
        <v>0</v>
      </c>
      <c r="K278" s="189">
        <v>0</v>
      </c>
      <c r="L278" s="185">
        <f t="shared" si="20"/>
        <v>-17.52</v>
      </c>
      <c r="M278" s="5" t="s">
        <v>1153</v>
      </c>
      <c r="O278" t="str">
        <f t="shared" si="19"/>
        <v>Regelzone Amprion (gesamt)</v>
      </c>
    </row>
    <row r="279" spans="1:15" hidden="1" outlineLevel="1">
      <c r="A279" s="129" t="s">
        <v>1152</v>
      </c>
      <c r="B279" s="69">
        <v>7</v>
      </c>
      <c r="C279" s="953">
        <v>2024</v>
      </c>
      <c r="D279" s="187">
        <v>0</v>
      </c>
      <c r="E279" s="186">
        <v>0</v>
      </c>
      <c r="F279" s="187">
        <v>0</v>
      </c>
      <c r="G279" s="186">
        <v>0</v>
      </c>
      <c r="H279" s="187">
        <v>415558</v>
      </c>
      <c r="I279" s="186">
        <v>49999.839999999997</v>
      </c>
      <c r="J279" s="188">
        <v>-629.75</v>
      </c>
      <c r="K279" s="189">
        <v>0</v>
      </c>
      <c r="L279" s="185">
        <f t="shared" si="20"/>
        <v>49370.09</v>
      </c>
      <c r="M279" s="5" t="s">
        <v>1153</v>
      </c>
      <c r="O279" t="str">
        <f t="shared" si="19"/>
        <v>Regelzone Amprion (gesamt)</v>
      </c>
    </row>
    <row r="280" spans="1:15" hidden="1" outlineLevel="1">
      <c r="A280" s="129" t="s">
        <v>1156</v>
      </c>
      <c r="B280" s="69">
        <v>7</v>
      </c>
      <c r="C280" s="953">
        <v>2023</v>
      </c>
      <c r="D280" s="187">
        <v>0</v>
      </c>
      <c r="E280" s="186">
        <v>0</v>
      </c>
      <c r="F280" s="187">
        <v>0</v>
      </c>
      <c r="G280" s="186">
        <v>0</v>
      </c>
      <c r="H280" s="187">
        <v>5049</v>
      </c>
      <c r="I280" s="186">
        <v>807.84</v>
      </c>
      <c r="J280" s="188">
        <v>0</v>
      </c>
      <c r="K280" s="189">
        <v>0</v>
      </c>
      <c r="L280" s="185">
        <f t="shared" si="20"/>
        <v>807.84</v>
      </c>
      <c r="M280" s="5" t="s">
        <v>1157</v>
      </c>
      <c r="O280" t="str">
        <f t="shared" si="19"/>
        <v>Regelzone Amprion (gesamt)</v>
      </c>
    </row>
    <row r="281" spans="1:15" hidden="1" outlineLevel="1">
      <c r="A281" s="129" t="s">
        <v>1156</v>
      </c>
      <c r="B281" s="69">
        <v>7</v>
      </c>
      <c r="C281" s="953">
        <v>2024</v>
      </c>
      <c r="D281" s="187">
        <v>0</v>
      </c>
      <c r="E281" s="186">
        <v>0</v>
      </c>
      <c r="F281" s="187">
        <v>0</v>
      </c>
      <c r="G281" s="186">
        <v>0</v>
      </c>
      <c r="H281" s="187">
        <v>-2925</v>
      </c>
      <c r="I281" s="186">
        <v>499.44</v>
      </c>
      <c r="J281" s="188">
        <v>0</v>
      </c>
      <c r="K281" s="189">
        <v>0</v>
      </c>
      <c r="L281" s="185">
        <f t="shared" si="20"/>
        <v>499.44</v>
      </c>
      <c r="M281" s="5" t="s">
        <v>1157</v>
      </c>
      <c r="O281" t="str">
        <f t="shared" si="19"/>
        <v>Regelzone Amprion (gesamt)</v>
      </c>
    </row>
    <row r="282" spans="1:15" hidden="1" outlineLevel="1">
      <c r="A282" s="129" t="s">
        <v>1176</v>
      </c>
      <c r="B282" s="69">
        <v>7</v>
      </c>
      <c r="C282" s="953">
        <v>2024</v>
      </c>
      <c r="D282" s="187">
        <v>0</v>
      </c>
      <c r="E282" s="186">
        <v>0</v>
      </c>
      <c r="F282" s="187">
        <v>0</v>
      </c>
      <c r="G282" s="186">
        <v>0</v>
      </c>
      <c r="H282" s="187">
        <v>103272</v>
      </c>
      <c r="I282" s="186">
        <v>15012.56</v>
      </c>
      <c r="J282" s="188">
        <v>0</v>
      </c>
      <c r="K282" s="189">
        <v>0</v>
      </c>
      <c r="L282" s="185">
        <f t="shared" si="20"/>
        <v>15012.56</v>
      </c>
      <c r="M282" s="5" t="s">
        <v>1177</v>
      </c>
      <c r="O282" t="str">
        <f t="shared" si="19"/>
        <v>Regelzone Amprion (gesamt)</v>
      </c>
    </row>
    <row r="283" spans="1:15" hidden="1" outlineLevel="1">
      <c r="A283" s="129" t="s">
        <v>1178</v>
      </c>
      <c r="B283" s="69">
        <v>7</v>
      </c>
      <c r="C283" s="953">
        <v>2022</v>
      </c>
      <c r="D283" s="187">
        <v>0</v>
      </c>
      <c r="E283" s="186">
        <v>0</v>
      </c>
      <c r="F283" s="187">
        <v>0</v>
      </c>
      <c r="G283" s="186">
        <v>0</v>
      </c>
      <c r="H283" s="187">
        <v>0</v>
      </c>
      <c r="I283" s="186">
        <v>0</v>
      </c>
      <c r="J283" s="188">
        <v>0</v>
      </c>
      <c r="K283" s="189">
        <v>0</v>
      </c>
      <c r="L283" s="185">
        <f t="shared" si="20"/>
        <v>0</v>
      </c>
      <c r="M283" s="5" t="s">
        <v>1179</v>
      </c>
      <c r="O283" t="str">
        <f t="shared" si="19"/>
        <v>Regelzone Amprion (gesamt)</v>
      </c>
    </row>
    <row r="284" spans="1:15" hidden="1" outlineLevel="1">
      <c r="A284" s="129" t="s">
        <v>1178</v>
      </c>
      <c r="B284" s="69">
        <v>7</v>
      </c>
      <c r="C284" s="953">
        <v>2023</v>
      </c>
      <c r="D284" s="187">
        <v>0</v>
      </c>
      <c r="E284" s="186">
        <v>0</v>
      </c>
      <c r="F284" s="187">
        <v>0</v>
      </c>
      <c r="G284" s="186">
        <v>0</v>
      </c>
      <c r="H284" s="187">
        <v>0</v>
      </c>
      <c r="I284" s="186">
        <v>0</v>
      </c>
      <c r="J284" s="188">
        <v>0</v>
      </c>
      <c r="K284" s="189">
        <v>0</v>
      </c>
      <c r="L284" s="185">
        <f t="shared" si="20"/>
        <v>0</v>
      </c>
      <c r="M284" s="5" t="s">
        <v>1179</v>
      </c>
      <c r="O284" t="str">
        <f t="shared" si="19"/>
        <v>Regelzone Amprion (gesamt)</v>
      </c>
    </row>
    <row r="285" spans="1:15" hidden="1" outlineLevel="1">
      <c r="A285" s="129" t="s">
        <v>1178</v>
      </c>
      <c r="B285" s="69">
        <v>7</v>
      </c>
      <c r="C285" s="953">
        <v>2024</v>
      </c>
      <c r="D285" s="187">
        <v>0</v>
      </c>
      <c r="E285" s="186">
        <v>0</v>
      </c>
      <c r="F285" s="187">
        <v>0</v>
      </c>
      <c r="G285" s="186">
        <v>0</v>
      </c>
      <c r="H285" s="187">
        <v>0</v>
      </c>
      <c r="I285" s="186">
        <v>0</v>
      </c>
      <c r="J285" s="188">
        <v>0</v>
      </c>
      <c r="K285" s="189">
        <v>0</v>
      </c>
      <c r="L285" s="185">
        <f t="shared" si="20"/>
        <v>0</v>
      </c>
      <c r="M285" s="5" t="s">
        <v>1179</v>
      </c>
      <c r="O285" t="str">
        <f t="shared" si="19"/>
        <v>Regelzone Amprion (gesamt)</v>
      </c>
    </row>
    <row r="286" spans="1:15" hidden="1" outlineLevel="1">
      <c r="A286" s="129" t="s">
        <v>1182</v>
      </c>
      <c r="B286" s="69">
        <v>7</v>
      </c>
      <c r="C286" s="953">
        <v>2024</v>
      </c>
      <c r="D286" s="187">
        <v>0</v>
      </c>
      <c r="E286" s="186">
        <v>0</v>
      </c>
      <c r="F286" s="187">
        <v>0</v>
      </c>
      <c r="G286" s="186">
        <v>0</v>
      </c>
      <c r="H286" s="187">
        <v>44308</v>
      </c>
      <c r="I286" s="186">
        <v>2787.17</v>
      </c>
      <c r="J286" s="188">
        <v>0</v>
      </c>
      <c r="K286" s="189">
        <v>0</v>
      </c>
      <c r="L286" s="185">
        <f t="shared" si="20"/>
        <v>2787.17</v>
      </c>
      <c r="M286" s="5" t="s">
        <v>1183</v>
      </c>
      <c r="O286" t="str">
        <f t="shared" si="19"/>
        <v>Regelzone Amprion (gesamt)</v>
      </c>
    </row>
    <row r="287" spans="1:15" hidden="1" outlineLevel="1">
      <c r="A287" s="129" t="s">
        <v>1192</v>
      </c>
      <c r="B287" s="69">
        <v>7</v>
      </c>
      <c r="C287" s="953">
        <v>2024</v>
      </c>
      <c r="D287" s="187">
        <v>0</v>
      </c>
      <c r="E287" s="186">
        <v>0</v>
      </c>
      <c r="F287" s="187">
        <v>-128496</v>
      </c>
      <c r="G287" s="186">
        <v>-6951.63</v>
      </c>
      <c r="H287" s="187">
        <v>0</v>
      </c>
      <c r="I287" s="186">
        <v>0</v>
      </c>
      <c r="J287" s="188">
        <v>0</v>
      </c>
      <c r="K287" s="189">
        <v>0</v>
      </c>
      <c r="L287" s="185">
        <f t="shared" si="20"/>
        <v>-6951.63</v>
      </c>
      <c r="M287" s="5" t="s">
        <v>1193</v>
      </c>
      <c r="O287" t="str">
        <f t="shared" si="19"/>
        <v>Regelzone Amprion (gesamt)</v>
      </c>
    </row>
    <row r="288" spans="1:15" hidden="1" outlineLevel="1">
      <c r="A288" s="129" t="s">
        <v>1200</v>
      </c>
      <c r="B288" s="69">
        <v>7</v>
      </c>
      <c r="C288" s="953">
        <v>2024</v>
      </c>
      <c r="D288" s="187">
        <v>0</v>
      </c>
      <c r="E288" s="186">
        <v>0</v>
      </c>
      <c r="F288" s="187">
        <v>-10947</v>
      </c>
      <c r="G288" s="186">
        <v>-592.23</v>
      </c>
      <c r="H288" s="187">
        <v>136330</v>
      </c>
      <c r="I288" s="186">
        <v>13386.8</v>
      </c>
      <c r="J288" s="188">
        <v>0</v>
      </c>
      <c r="K288" s="189">
        <v>0</v>
      </c>
      <c r="L288" s="185">
        <f t="shared" si="20"/>
        <v>12794.57</v>
      </c>
      <c r="M288" s="5" t="s">
        <v>1201</v>
      </c>
      <c r="O288" t="str">
        <f t="shared" si="19"/>
        <v>Regelzone Amprion (gesamt)</v>
      </c>
    </row>
    <row r="289" spans="1:15" hidden="1" outlineLevel="1">
      <c r="A289" s="129" t="s">
        <v>1206</v>
      </c>
      <c r="B289" s="69">
        <v>7</v>
      </c>
      <c r="C289" s="953">
        <v>2021</v>
      </c>
      <c r="D289" s="187">
        <v>0</v>
      </c>
      <c r="E289" s="186">
        <v>0</v>
      </c>
      <c r="F289" s="187">
        <v>0</v>
      </c>
      <c r="G289" s="186">
        <v>0</v>
      </c>
      <c r="H289" s="187">
        <v>9134</v>
      </c>
      <c r="I289" s="186">
        <v>1407.28</v>
      </c>
      <c r="J289" s="188">
        <v>211.09</v>
      </c>
      <c r="K289" s="189">
        <v>0</v>
      </c>
      <c r="L289" s="185">
        <f t="shared" si="20"/>
        <v>1618.37</v>
      </c>
      <c r="M289" s="5" t="s">
        <v>1207</v>
      </c>
      <c r="O289" t="str">
        <f t="shared" si="19"/>
        <v>Regelzone Amprion (gesamt)</v>
      </c>
    </row>
    <row r="290" spans="1:15" hidden="1" outlineLevel="1">
      <c r="A290" s="129" t="s">
        <v>1206</v>
      </c>
      <c r="B290" s="69">
        <v>7</v>
      </c>
      <c r="C290" s="953">
        <v>2022</v>
      </c>
      <c r="D290" s="187">
        <v>0</v>
      </c>
      <c r="E290" s="186">
        <v>0</v>
      </c>
      <c r="F290" s="187">
        <v>0</v>
      </c>
      <c r="G290" s="186">
        <v>0</v>
      </c>
      <c r="H290" s="187">
        <v>37126</v>
      </c>
      <c r="I290" s="186">
        <v>5720.16</v>
      </c>
      <c r="J290" s="188">
        <v>0</v>
      </c>
      <c r="K290" s="189">
        <v>0</v>
      </c>
      <c r="L290" s="185">
        <f t="shared" si="20"/>
        <v>5720.16</v>
      </c>
      <c r="M290" s="5" t="s">
        <v>1207</v>
      </c>
      <c r="O290" t="str">
        <f t="shared" si="19"/>
        <v>Regelzone Amprion (gesamt)</v>
      </c>
    </row>
    <row r="291" spans="1:15" hidden="1" outlineLevel="1">
      <c r="A291" s="129" t="s">
        <v>1206</v>
      </c>
      <c r="B291" s="69">
        <v>7</v>
      </c>
      <c r="C291" s="953">
        <v>2023</v>
      </c>
      <c r="D291" s="187">
        <v>0</v>
      </c>
      <c r="E291" s="186">
        <v>0</v>
      </c>
      <c r="F291" s="187">
        <v>0</v>
      </c>
      <c r="G291" s="186">
        <v>0</v>
      </c>
      <c r="H291" s="187">
        <v>18391</v>
      </c>
      <c r="I291" s="186">
        <v>2833.6</v>
      </c>
      <c r="J291" s="188">
        <v>0</v>
      </c>
      <c r="K291" s="189">
        <v>0</v>
      </c>
      <c r="L291" s="185">
        <f t="shared" si="20"/>
        <v>2833.6</v>
      </c>
      <c r="M291" s="5" t="s">
        <v>1207</v>
      </c>
      <c r="O291" t="str">
        <f t="shared" si="19"/>
        <v>Regelzone Amprion (gesamt)</v>
      </c>
    </row>
    <row r="292" spans="1:15" hidden="1" outlineLevel="1">
      <c r="A292" s="129" t="s">
        <v>1206</v>
      </c>
      <c r="B292" s="69">
        <v>7</v>
      </c>
      <c r="C292" s="953">
        <v>2024</v>
      </c>
      <c r="D292" s="187">
        <v>0</v>
      </c>
      <c r="E292" s="186">
        <v>0</v>
      </c>
      <c r="F292" s="187">
        <v>0</v>
      </c>
      <c r="G292" s="186">
        <v>0</v>
      </c>
      <c r="H292" s="187">
        <v>23829</v>
      </c>
      <c r="I292" s="186">
        <v>3623.2</v>
      </c>
      <c r="J292" s="188">
        <v>0</v>
      </c>
      <c r="K292" s="189">
        <v>0</v>
      </c>
      <c r="L292" s="185">
        <f t="shared" si="20"/>
        <v>3623.2</v>
      </c>
      <c r="M292" s="5" t="s">
        <v>1207</v>
      </c>
      <c r="O292" t="str">
        <f t="shared" si="19"/>
        <v>Regelzone Amprion (gesamt)</v>
      </c>
    </row>
    <row r="293" spans="1:15" hidden="1" outlineLevel="1">
      <c r="A293" s="129" t="s">
        <v>1216</v>
      </c>
      <c r="B293" s="69">
        <v>7</v>
      </c>
      <c r="C293" s="953">
        <v>2023</v>
      </c>
      <c r="D293" s="187">
        <v>0</v>
      </c>
      <c r="E293" s="186">
        <v>0</v>
      </c>
      <c r="F293" s="187">
        <v>0</v>
      </c>
      <c r="G293" s="186">
        <v>0</v>
      </c>
      <c r="H293" s="187">
        <v>235638</v>
      </c>
      <c r="I293" s="186">
        <v>18989.72</v>
      </c>
      <c r="J293" s="188">
        <v>-42.37</v>
      </c>
      <c r="K293" s="189">
        <v>0</v>
      </c>
      <c r="L293" s="185">
        <f t="shared" si="20"/>
        <v>18947.350000000002</v>
      </c>
      <c r="M293" s="5" t="s">
        <v>1217</v>
      </c>
      <c r="O293" t="str">
        <f t="shared" si="19"/>
        <v>Regelzone Amprion (gesamt)</v>
      </c>
    </row>
    <row r="294" spans="1:15" hidden="1" outlineLevel="1">
      <c r="A294" s="129" t="s">
        <v>1216</v>
      </c>
      <c r="B294" s="69">
        <v>7</v>
      </c>
      <c r="C294" s="953">
        <v>2024</v>
      </c>
      <c r="D294" s="187">
        <v>0</v>
      </c>
      <c r="E294" s="186">
        <v>0</v>
      </c>
      <c r="F294" s="187">
        <v>0</v>
      </c>
      <c r="G294" s="186">
        <v>0</v>
      </c>
      <c r="H294" s="187">
        <v>243355</v>
      </c>
      <c r="I294" s="186">
        <v>35176.959999999999</v>
      </c>
      <c r="J294" s="188">
        <v>0</v>
      </c>
      <c r="K294" s="189">
        <v>0</v>
      </c>
      <c r="L294" s="185">
        <f t="shared" si="20"/>
        <v>35176.959999999999</v>
      </c>
      <c r="M294" s="5" t="s">
        <v>1217</v>
      </c>
      <c r="O294" t="str">
        <f t="shared" si="19"/>
        <v>Regelzone Amprion (gesamt)</v>
      </c>
    </row>
    <row r="295" spans="1:15" hidden="1" outlineLevel="1">
      <c r="A295" s="129" t="s">
        <v>1218</v>
      </c>
      <c r="B295" s="69">
        <v>7</v>
      </c>
      <c r="C295" s="953">
        <v>2024</v>
      </c>
      <c r="D295" s="187">
        <v>0</v>
      </c>
      <c r="E295" s="186">
        <v>0</v>
      </c>
      <c r="F295" s="187">
        <v>305480</v>
      </c>
      <c r="G295" s="186">
        <v>13757.51</v>
      </c>
      <c r="H295" s="187">
        <v>792000</v>
      </c>
      <c r="I295" s="186">
        <v>36024.660000000003</v>
      </c>
      <c r="J295" s="188">
        <v>0</v>
      </c>
      <c r="K295" s="189">
        <v>0</v>
      </c>
      <c r="L295" s="185">
        <f t="shared" si="20"/>
        <v>49782.170000000006</v>
      </c>
      <c r="M295" s="5" t="s">
        <v>1219</v>
      </c>
      <c r="O295" t="str">
        <f t="shared" si="19"/>
        <v>Regelzone Amprion (gesamt)</v>
      </c>
    </row>
    <row r="296" spans="1:15" ht="25.5" collapsed="1">
      <c r="A296" s="129" t="s">
        <v>1220</v>
      </c>
      <c r="B296" s="67"/>
      <c r="C296" s="952"/>
      <c r="D296" s="178">
        <f t="shared" ref="D296:K296" si="21">SUM(D297:D473)</f>
        <v>744354.23399999994</v>
      </c>
      <c r="E296" s="177">
        <f t="shared" si="21"/>
        <v>24800.440000000002</v>
      </c>
      <c r="F296" s="178">
        <f t="shared" si="21"/>
        <v>62863758.35899999</v>
      </c>
      <c r="G296" s="177">
        <f t="shared" si="21"/>
        <v>2662151.0099999998</v>
      </c>
      <c r="H296" s="178">
        <f t="shared" si="21"/>
        <v>476165509.41800004</v>
      </c>
      <c r="I296" s="177">
        <f t="shared" si="21"/>
        <v>20634787.760000009</v>
      </c>
      <c r="J296" s="190">
        <f t="shared" si="21"/>
        <v>-205264.20000000007</v>
      </c>
      <c r="K296" s="180">
        <f t="shared" si="21"/>
        <v>0</v>
      </c>
      <c r="L296" s="180">
        <f>E296+G296+I296+J296+K296</f>
        <v>23116475.010000009</v>
      </c>
      <c r="M296" s="5"/>
    </row>
    <row r="297" spans="1:15" hidden="1" outlineLevel="1">
      <c r="A297" s="671" t="s">
        <v>1808</v>
      </c>
      <c r="B297" s="672">
        <v>1</v>
      </c>
      <c r="C297" s="674">
        <v>2021</v>
      </c>
      <c r="D297" s="673">
        <v>0</v>
      </c>
      <c r="E297" s="679">
        <v>0</v>
      </c>
      <c r="F297" s="969">
        <v>-43381</v>
      </c>
      <c r="G297" s="679">
        <v>-2346.91</v>
      </c>
      <c r="H297" s="672">
        <v>-254140</v>
      </c>
      <c r="I297" s="679">
        <v>-25863.55</v>
      </c>
      <c r="J297" s="679">
        <v>-2264.4299999999998</v>
      </c>
      <c r="K297" s="674">
        <v>0</v>
      </c>
      <c r="L297" s="191">
        <v>-30474.89</v>
      </c>
      <c r="M297" t="s">
        <v>1809</v>
      </c>
      <c r="O297" t="s">
        <v>1220</v>
      </c>
    </row>
    <row r="298" spans="1:15" hidden="1" outlineLevel="1">
      <c r="A298" s="671" t="s">
        <v>1650</v>
      </c>
      <c r="B298" s="672">
        <v>1</v>
      </c>
      <c r="C298" s="674">
        <v>2022</v>
      </c>
      <c r="D298" s="673">
        <v>0</v>
      </c>
      <c r="E298" s="679">
        <v>0</v>
      </c>
      <c r="F298" s="672">
        <v>0</v>
      </c>
      <c r="G298" s="679">
        <v>0</v>
      </c>
      <c r="H298" s="675">
        <v>-1650</v>
      </c>
      <c r="I298" s="679">
        <v>-284.64</v>
      </c>
      <c r="J298" s="679">
        <v>0</v>
      </c>
      <c r="K298" s="674">
        <v>0</v>
      </c>
      <c r="L298" s="191">
        <f t="shared" ref="L298:L327" si="22">E298+G298+I298+J298+K298</f>
        <v>-284.64</v>
      </c>
      <c r="M298" t="s">
        <v>1651</v>
      </c>
      <c r="O298" t="str">
        <f t="shared" ref="O298:O360" si="23">$A$296</f>
        <v>Regelzone TenneT (gesamt)</v>
      </c>
    </row>
    <row r="299" spans="1:15" hidden="1" outlineLevel="1">
      <c r="A299" s="671" t="s">
        <v>1654</v>
      </c>
      <c r="B299" s="672">
        <v>1</v>
      </c>
      <c r="C299" s="674">
        <v>2022</v>
      </c>
      <c r="D299" s="673">
        <v>0</v>
      </c>
      <c r="E299" s="679">
        <v>0</v>
      </c>
      <c r="F299" s="672">
        <v>-37731</v>
      </c>
      <c r="G299" s="679">
        <v>-2041.25</v>
      </c>
      <c r="H299" s="672">
        <v>0</v>
      </c>
      <c r="I299" s="679">
        <v>0</v>
      </c>
      <c r="J299" s="679">
        <v>0</v>
      </c>
      <c r="K299" s="674">
        <v>0</v>
      </c>
      <c r="L299" s="191">
        <f t="shared" si="22"/>
        <v>-2041.25</v>
      </c>
      <c r="M299" t="s">
        <v>1655</v>
      </c>
      <c r="O299" t="str">
        <f t="shared" si="23"/>
        <v>Regelzone TenneT (gesamt)</v>
      </c>
    </row>
    <row r="300" spans="1:15" hidden="1" outlineLevel="1">
      <c r="A300" s="671" t="s">
        <v>1430</v>
      </c>
      <c r="B300" s="672">
        <v>1</v>
      </c>
      <c r="C300" s="674">
        <v>2022</v>
      </c>
      <c r="D300" s="673">
        <v>-7560</v>
      </c>
      <c r="E300" s="679">
        <v>-386.31</v>
      </c>
      <c r="F300" s="672">
        <v>-1320803</v>
      </c>
      <c r="G300" s="679">
        <v>-64011.5</v>
      </c>
      <c r="H300" s="672">
        <v>-1826864</v>
      </c>
      <c r="I300" s="679">
        <v>-153534.82</v>
      </c>
      <c r="J300" s="679">
        <v>-216.99</v>
      </c>
      <c r="K300" s="674">
        <v>0</v>
      </c>
      <c r="L300" s="191">
        <f t="shared" si="22"/>
        <v>-218149.62</v>
      </c>
      <c r="M300" t="s">
        <v>1431</v>
      </c>
      <c r="O300" t="str">
        <f t="shared" si="23"/>
        <v>Regelzone TenneT (gesamt)</v>
      </c>
    </row>
    <row r="301" spans="1:15" hidden="1" outlineLevel="1">
      <c r="A301" s="671" t="s">
        <v>758</v>
      </c>
      <c r="B301" s="672">
        <v>1</v>
      </c>
      <c r="C301" s="674">
        <v>2022</v>
      </c>
      <c r="D301" s="673">
        <v>0</v>
      </c>
      <c r="E301" s="679">
        <v>0</v>
      </c>
      <c r="F301" s="672">
        <v>-170143</v>
      </c>
      <c r="G301" s="679">
        <v>-9204.73</v>
      </c>
      <c r="H301" s="675">
        <v>-60883</v>
      </c>
      <c r="I301" s="679">
        <v>-8368.36</v>
      </c>
      <c r="J301" s="679">
        <v>-4298.28</v>
      </c>
      <c r="K301" s="674">
        <v>0</v>
      </c>
      <c r="L301" s="191">
        <f t="shared" si="22"/>
        <v>-21871.37</v>
      </c>
      <c r="M301" t="s">
        <v>759</v>
      </c>
      <c r="O301" t="str">
        <f t="shared" si="23"/>
        <v>Regelzone TenneT (gesamt)</v>
      </c>
    </row>
    <row r="302" spans="1:15" hidden="1" outlineLevel="1">
      <c r="A302" s="671" t="s">
        <v>1784</v>
      </c>
      <c r="B302" s="672">
        <v>1</v>
      </c>
      <c r="C302" s="674">
        <v>2022</v>
      </c>
      <c r="D302" s="673">
        <v>0</v>
      </c>
      <c r="E302" s="679">
        <v>0</v>
      </c>
      <c r="F302" s="672">
        <v>0</v>
      </c>
      <c r="G302" s="679">
        <v>0</v>
      </c>
      <c r="H302" s="672">
        <v>-2499</v>
      </c>
      <c r="I302" s="679">
        <v>-399.84</v>
      </c>
      <c r="J302" s="679">
        <v>0</v>
      </c>
      <c r="K302" s="674">
        <v>0</v>
      </c>
      <c r="L302" s="191">
        <f t="shared" si="22"/>
        <v>-399.84</v>
      </c>
      <c r="M302" t="s">
        <v>1785</v>
      </c>
      <c r="O302" t="str">
        <f t="shared" si="23"/>
        <v>Regelzone TenneT (gesamt)</v>
      </c>
    </row>
    <row r="303" spans="1:15" hidden="1" outlineLevel="1">
      <c r="A303" s="671" t="s">
        <v>1522</v>
      </c>
      <c r="B303" s="672">
        <v>1</v>
      </c>
      <c r="C303" s="674">
        <v>2022</v>
      </c>
      <c r="D303" s="673">
        <v>0</v>
      </c>
      <c r="E303" s="679">
        <v>0</v>
      </c>
      <c r="F303" s="672">
        <v>-3441.75</v>
      </c>
      <c r="G303" s="679">
        <v>-186.2</v>
      </c>
      <c r="H303" s="672">
        <v>0</v>
      </c>
      <c r="I303" s="679">
        <v>0</v>
      </c>
      <c r="J303" s="679">
        <v>0</v>
      </c>
      <c r="K303" s="674">
        <v>0</v>
      </c>
      <c r="L303" s="191">
        <f t="shared" si="22"/>
        <v>-186.2</v>
      </c>
      <c r="M303" t="s">
        <v>1523</v>
      </c>
      <c r="O303" t="str">
        <f t="shared" si="23"/>
        <v>Regelzone TenneT (gesamt)</v>
      </c>
    </row>
    <row r="304" spans="1:15" hidden="1" outlineLevel="1">
      <c r="A304" s="671" t="s">
        <v>1402</v>
      </c>
      <c r="B304" s="672">
        <v>1</v>
      </c>
      <c r="C304" s="674">
        <v>2023</v>
      </c>
      <c r="D304" s="673">
        <v>0</v>
      </c>
      <c r="E304" s="679">
        <v>0</v>
      </c>
      <c r="F304" s="675">
        <v>0</v>
      </c>
      <c r="G304" s="679">
        <v>0</v>
      </c>
      <c r="H304" s="672">
        <v>-32226</v>
      </c>
      <c r="I304" s="679">
        <v>-1592.04</v>
      </c>
      <c r="J304" s="679">
        <v>0</v>
      </c>
      <c r="K304" s="674">
        <v>0</v>
      </c>
      <c r="L304" s="191">
        <f t="shared" si="22"/>
        <v>-1592.04</v>
      </c>
      <c r="M304" t="s">
        <v>1403</v>
      </c>
      <c r="O304" t="str">
        <f t="shared" si="23"/>
        <v>Regelzone TenneT (gesamt)</v>
      </c>
    </row>
    <row r="305" spans="1:15" hidden="1" outlineLevel="1">
      <c r="A305" s="671" t="s">
        <v>1650</v>
      </c>
      <c r="B305" s="672">
        <v>1</v>
      </c>
      <c r="C305" s="674">
        <v>2023</v>
      </c>
      <c r="D305" s="673">
        <v>0</v>
      </c>
      <c r="E305" s="679">
        <v>0</v>
      </c>
      <c r="F305" s="672">
        <v>0</v>
      </c>
      <c r="G305" s="679">
        <v>0</v>
      </c>
      <c r="H305" s="672">
        <v>-622</v>
      </c>
      <c r="I305" s="679">
        <v>-99.52</v>
      </c>
      <c r="J305" s="679">
        <v>0</v>
      </c>
      <c r="K305" s="674">
        <v>0</v>
      </c>
      <c r="L305" s="191">
        <f t="shared" si="22"/>
        <v>-99.52</v>
      </c>
      <c r="M305" t="s">
        <v>1651</v>
      </c>
      <c r="O305" t="str">
        <f t="shared" si="23"/>
        <v>Regelzone TenneT (gesamt)</v>
      </c>
    </row>
    <row r="306" spans="1:15" hidden="1" outlineLevel="1">
      <c r="A306" s="671" t="s">
        <v>1654</v>
      </c>
      <c r="B306" s="672">
        <v>1</v>
      </c>
      <c r="C306" s="674">
        <v>2023</v>
      </c>
      <c r="D306" s="673">
        <v>0</v>
      </c>
      <c r="E306" s="679">
        <v>0</v>
      </c>
      <c r="F306" s="672">
        <v>-63564</v>
      </c>
      <c r="G306" s="679">
        <v>-3438.82</v>
      </c>
      <c r="H306" s="672">
        <v>0</v>
      </c>
      <c r="I306" s="679">
        <v>0</v>
      </c>
      <c r="J306" s="679">
        <v>0</v>
      </c>
      <c r="K306" s="674">
        <v>0</v>
      </c>
      <c r="L306" s="191">
        <f t="shared" si="22"/>
        <v>-3438.82</v>
      </c>
      <c r="M306" t="s">
        <v>1655</v>
      </c>
      <c r="O306" t="str">
        <f t="shared" si="23"/>
        <v>Regelzone TenneT (gesamt)</v>
      </c>
    </row>
    <row r="307" spans="1:15" hidden="1" outlineLevel="1">
      <c r="A307" s="671" t="s">
        <v>1522</v>
      </c>
      <c r="B307" s="672">
        <v>1</v>
      </c>
      <c r="C307" s="674">
        <v>2023</v>
      </c>
      <c r="D307" s="673">
        <v>0</v>
      </c>
      <c r="E307" s="679">
        <v>0</v>
      </c>
      <c r="F307" s="672">
        <v>-4729.0600000000004</v>
      </c>
      <c r="G307" s="679">
        <v>-255.84</v>
      </c>
      <c r="H307" s="672">
        <v>0</v>
      </c>
      <c r="I307" s="679">
        <v>0</v>
      </c>
      <c r="J307" s="679">
        <v>0</v>
      </c>
      <c r="K307" s="674">
        <v>0</v>
      </c>
      <c r="L307" s="191">
        <f t="shared" si="22"/>
        <v>-255.84</v>
      </c>
      <c r="M307" t="s">
        <v>1523</v>
      </c>
      <c r="O307" t="str">
        <f t="shared" si="23"/>
        <v>Regelzone TenneT (gesamt)</v>
      </c>
    </row>
    <row r="308" spans="1:15" hidden="1" outlineLevel="1">
      <c r="A308" s="671" t="s">
        <v>1402</v>
      </c>
      <c r="B308" s="672">
        <v>1</v>
      </c>
      <c r="C308" s="674">
        <v>2024</v>
      </c>
      <c r="D308" s="673">
        <v>0</v>
      </c>
      <c r="E308" s="679">
        <v>0</v>
      </c>
      <c r="F308" s="672">
        <v>-100002</v>
      </c>
      <c r="G308" s="679">
        <v>-5410.11</v>
      </c>
      <c r="H308" s="675">
        <v>-38543</v>
      </c>
      <c r="I308" s="679">
        <v>-1903.36</v>
      </c>
      <c r="J308" s="679">
        <v>0</v>
      </c>
      <c r="K308" s="674">
        <v>0</v>
      </c>
      <c r="L308" s="191">
        <f t="shared" si="22"/>
        <v>-7313.4699999999993</v>
      </c>
      <c r="M308" t="s">
        <v>1403</v>
      </c>
      <c r="O308" t="str">
        <f t="shared" si="23"/>
        <v>Regelzone TenneT (gesamt)</v>
      </c>
    </row>
    <row r="309" spans="1:15" hidden="1" outlineLevel="1">
      <c r="A309" s="671" t="s">
        <v>1679</v>
      </c>
      <c r="B309" s="672">
        <v>1</v>
      </c>
      <c r="C309" s="674">
        <v>2024</v>
      </c>
      <c r="D309" s="673">
        <v>0</v>
      </c>
      <c r="E309" s="679">
        <v>0</v>
      </c>
      <c r="F309" s="672">
        <v>0</v>
      </c>
      <c r="G309" s="679">
        <v>0</v>
      </c>
      <c r="H309" s="675">
        <v>-16615.900000000001</v>
      </c>
      <c r="I309" s="679">
        <v>-664.64</v>
      </c>
      <c r="J309" s="679">
        <v>0</v>
      </c>
      <c r="K309" s="674">
        <v>0</v>
      </c>
      <c r="L309" s="191">
        <f t="shared" si="22"/>
        <v>-664.64</v>
      </c>
      <c r="M309" t="s">
        <v>1680</v>
      </c>
      <c r="O309" t="str">
        <f t="shared" si="23"/>
        <v>Regelzone TenneT (gesamt)</v>
      </c>
    </row>
    <row r="310" spans="1:15" hidden="1" outlineLevel="1">
      <c r="A310" s="671" t="s">
        <v>1798</v>
      </c>
      <c r="B310" s="672">
        <v>1</v>
      </c>
      <c r="C310" s="674">
        <v>2024</v>
      </c>
      <c r="D310" s="673">
        <v>0</v>
      </c>
      <c r="E310" s="679">
        <v>0</v>
      </c>
      <c r="F310" s="672">
        <v>0</v>
      </c>
      <c r="G310" s="679">
        <v>0</v>
      </c>
      <c r="H310" s="675">
        <v>-15216</v>
      </c>
      <c r="I310" s="679">
        <v>-1217.28</v>
      </c>
      <c r="J310" s="679">
        <v>0</v>
      </c>
      <c r="K310" s="674">
        <v>0</v>
      </c>
      <c r="L310" s="191">
        <f t="shared" si="22"/>
        <v>-1217.28</v>
      </c>
      <c r="M310" t="s">
        <v>1799</v>
      </c>
      <c r="O310" t="str">
        <f t="shared" si="23"/>
        <v>Regelzone TenneT (gesamt)</v>
      </c>
    </row>
    <row r="311" spans="1:15" hidden="1" outlineLevel="1">
      <c r="A311" s="671" t="s">
        <v>1654</v>
      </c>
      <c r="B311" s="672">
        <v>1</v>
      </c>
      <c r="C311" s="674">
        <v>2024</v>
      </c>
      <c r="D311" s="673">
        <v>0</v>
      </c>
      <c r="E311" s="679">
        <v>0</v>
      </c>
      <c r="F311" s="672">
        <v>-34454</v>
      </c>
      <c r="G311" s="679">
        <v>-1863.97</v>
      </c>
      <c r="H311" s="675">
        <v>-1826</v>
      </c>
      <c r="I311" s="679">
        <v>-157.84</v>
      </c>
      <c r="J311" s="679">
        <v>0</v>
      </c>
      <c r="K311" s="674">
        <v>0</v>
      </c>
      <c r="L311" s="191">
        <f t="shared" si="22"/>
        <v>-2021.81</v>
      </c>
      <c r="M311" t="s">
        <v>1655</v>
      </c>
      <c r="O311" t="str">
        <f t="shared" si="23"/>
        <v>Regelzone TenneT (gesamt)</v>
      </c>
    </row>
    <row r="312" spans="1:15" hidden="1" outlineLevel="1">
      <c r="A312" s="671" t="s">
        <v>1522</v>
      </c>
      <c r="B312" s="672">
        <v>1</v>
      </c>
      <c r="C312" s="674">
        <v>2024</v>
      </c>
      <c r="D312" s="677">
        <v>0</v>
      </c>
      <c r="E312" s="679">
        <v>0</v>
      </c>
      <c r="F312" s="672">
        <v>-5828.11</v>
      </c>
      <c r="G312" s="679">
        <v>-315.3</v>
      </c>
      <c r="H312" s="675">
        <v>0</v>
      </c>
      <c r="I312" s="679">
        <v>0</v>
      </c>
      <c r="J312" s="679">
        <v>0</v>
      </c>
      <c r="K312" s="674">
        <v>0</v>
      </c>
      <c r="L312" s="191">
        <f t="shared" si="22"/>
        <v>-315.3</v>
      </c>
      <c r="M312" t="s">
        <v>1523</v>
      </c>
      <c r="O312" t="str">
        <f t="shared" si="23"/>
        <v>Regelzone TenneT (gesamt)</v>
      </c>
    </row>
    <row r="313" spans="1:15" hidden="1" outlineLevel="1">
      <c r="A313" s="671" t="s">
        <v>1516</v>
      </c>
      <c r="B313" s="672">
        <v>7</v>
      </c>
      <c r="C313" s="674">
        <v>2019</v>
      </c>
      <c r="D313" s="673">
        <v>8742</v>
      </c>
      <c r="E313" s="679">
        <v>446.72</v>
      </c>
      <c r="F313" s="675">
        <v>2852</v>
      </c>
      <c r="G313" s="679">
        <v>154.29</v>
      </c>
      <c r="H313" s="675">
        <v>480</v>
      </c>
      <c r="I313" s="679">
        <v>38.4</v>
      </c>
      <c r="J313" s="679">
        <v>0</v>
      </c>
      <c r="K313" s="674">
        <v>0</v>
      </c>
      <c r="L313" s="191">
        <f t="shared" si="22"/>
        <v>639.41</v>
      </c>
      <c r="M313" t="s">
        <v>1517</v>
      </c>
      <c r="O313" t="str">
        <f t="shared" si="23"/>
        <v>Regelzone TenneT (gesamt)</v>
      </c>
    </row>
    <row r="314" spans="1:15" hidden="1" outlineLevel="1">
      <c r="A314" s="671" t="s">
        <v>1446</v>
      </c>
      <c r="B314" s="672">
        <v>7</v>
      </c>
      <c r="C314" s="674">
        <v>2020</v>
      </c>
      <c r="D314" s="673">
        <v>7879</v>
      </c>
      <c r="E314" s="679">
        <v>402.62</v>
      </c>
      <c r="F314" s="672">
        <v>-71663</v>
      </c>
      <c r="G314" s="679">
        <v>-3876.97</v>
      </c>
      <c r="H314" s="675">
        <v>30119</v>
      </c>
      <c r="I314" s="679">
        <v>-8494.75</v>
      </c>
      <c r="J314" s="679">
        <v>0</v>
      </c>
      <c r="K314" s="674">
        <v>0</v>
      </c>
      <c r="L314" s="191">
        <f t="shared" si="22"/>
        <v>-11969.1</v>
      </c>
      <c r="M314" t="s">
        <v>1447</v>
      </c>
      <c r="O314" t="str">
        <f t="shared" si="23"/>
        <v>Regelzone TenneT (gesamt)</v>
      </c>
    </row>
    <row r="315" spans="1:15" hidden="1" outlineLevel="1">
      <c r="A315" s="671" t="s">
        <v>1776</v>
      </c>
      <c r="B315" s="672">
        <v>7</v>
      </c>
      <c r="C315" s="674">
        <v>2020</v>
      </c>
      <c r="D315" s="673">
        <v>0</v>
      </c>
      <c r="E315" s="679">
        <v>0</v>
      </c>
      <c r="F315" s="675">
        <v>-11606</v>
      </c>
      <c r="G315" s="679">
        <v>-627.88</v>
      </c>
      <c r="H315" s="672">
        <v>51332</v>
      </c>
      <c r="I315" s="679">
        <v>291.92</v>
      </c>
      <c r="J315" s="679">
        <v>0</v>
      </c>
      <c r="K315" s="674">
        <v>0</v>
      </c>
      <c r="L315" s="191">
        <f t="shared" si="22"/>
        <v>-335.96</v>
      </c>
      <c r="M315" t="s">
        <v>1777</v>
      </c>
      <c r="O315" t="str">
        <f t="shared" si="23"/>
        <v>Regelzone TenneT (gesamt)</v>
      </c>
    </row>
    <row r="316" spans="1:15" hidden="1" outlineLevel="1">
      <c r="A316" s="671" t="s">
        <v>1446</v>
      </c>
      <c r="B316" s="672">
        <v>7</v>
      </c>
      <c r="C316" s="674">
        <v>2021</v>
      </c>
      <c r="D316" s="673">
        <v>0</v>
      </c>
      <c r="E316" s="679">
        <v>0</v>
      </c>
      <c r="F316" s="672">
        <v>14394136.564999999</v>
      </c>
      <c r="G316" s="679">
        <v>323466.75</v>
      </c>
      <c r="H316" s="675">
        <v>116234</v>
      </c>
      <c r="I316" s="679">
        <v>18046.68</v>
      </c>
      <c r="J316" s="679">
        <v>0</v>
      </c>
      <c r="K316" s="674">
        <v>0</v>
      </c>
      <c r="L316" s="191">
        <f t="shared" si="22"/>
        <v>341513.43</v>
      </c>
      <c r="M316" t="s">
        <v>1447</v>
      </c>
      <c r="O316" t="str">
        <f t="shared" si="23"/>
        <v>Regelzone TenneT (gesamt)</v>
      </c>
    </row>
    <row r="317" spans="1:15" hidden="1" outlineLevel="1">
      <c r="A317" s="671" t="s">
        <v>1776</v>
      </c>
      <c r="B317" s="672">
        <v>7</v>
      </c>
      <c r="C317" s="674">
        <v>2021</v>
      </c>
      <c r="D317" s="673">
        <v>14572</v>
      </c>
      <c r="E317" s="679">
        <v>744.63</v>
      </c>
      <c r="F317" s="672">
        <v>53</v>
      </c>
      <c r="G317" s="679">
        <v>2.87</v>
      </c>
      <c r="H317" s="675">
        <v>0</v>
      </c>
      <c r="I317" s="679">
        <v>0</v>
      </c>
      <c r="J317" s="679">
        <v>0</v>
      </c>
      <c r="K317" s="674">
        <v>0</v>
      </c>
      <c r="L317" s="191">
        <f t="shared" si="22"/>
        <v>747.5</v>
      </c>
      <c r="M317" t="s">
        <v>1777</v>
      </c>
      <c r="O317" t="str">
        <f t="shared" si="23"/>
        <v>Regelzone TenneT (gesamt)</v>
      </c>
    </row>
    <row r="318" spans="1:15" hidden="1" outlineLevel="1">
      <c r="A318" s="671" t="s">
        <v>1808</v>
      </c>
      <c r="B318" s="672">
        <v>7</v>
      </c>
      <c r="C318" s="674">
        <v>2021</v>
      </c>
      <c r="D318" s="673">
        <v>38724.5</v>
      </c>
      <c r="E318" s="679">
        <v>1978.82</v>
      </c>
      <c r="F318" s="672">
        <v>255700.01</v>
      </c>
      <c r="G318" s="679">
        <v>13833.37</v>
      </c>
      <c r="H318" s="675">
        <v>2314875.52</v>
      </c>
      <c r="I318" s="679">
        <v>196376.92</v>
      </c>
      <c r="J318" s="679">
        <v>-106138</v>
      </c>
      <c r="K318" s="674">
        <v>0</v>
      </c>
      <c r="L318" s="191">
        <f t="shared" si="22"/>
        <v>106051.11000000002</v>
      </c>
      <c r="M318" t="s">
        <v>1809</v>
      </c>
      <c r="O318" t="str">
        <f t="shared" si="23"/>
        <v>Regelzone TenneT (gesamt)</v>
      </c>
    </row>
    <row r="319" spans="1:15" hidden="1" outlineLevel="1">
      <c r="A319" s="671" t="s">
        <v>1548</v>
      </c>
      <c r="B319" s="672">
        <v>7</v>
      </c>
      <c r="C319" s="674">
        <v>2022</v>
      </c>
      <c r="D319" s="673">
        <v>0</v>
      </c>
      <c r="E319" s="679">
        <v>0</v>
      </c>
      <c r="F319" s="672">
        <v>0</v>
      </c>
      <c r="G319" s="679">
        <v>0</v>
      </c>
      <c r="H319" s="675">
        <v>21374.71</v>
      </c>
      <c r="I319" s="679">
        <v>1665.26</v>
      </c>
      <c r="J319" s="679">
        <v>0</v>
      </c>
      <c r="K319" s="674">
        <v>0</v>
      </c>
      <c r="L319" s="191">
        <f t="shared" si="22"/>
        <v>1665.26</v>
      </c>
      <c r="M319" t="s">
        <v>1549</v>
      </c>
      <c r="O319" t="str">
        <f t="shared" si="23"/>
        <v>Regelzone TenneT (gesamt)</v>
      </c>
    </row>
    <row r="320" spans="1:15" hidden="1" outlineLevel="1">
      <c r="A320" s="671" t="s">
        <v>1232</v>
      </c>
      <c r="B320" s="672">
        <v>7</v>
      </c>
      <c r="C320" s="674">
        <v>2022</v>
      </c>
      <c r="D320" s="673">
        <v>0</v>
      </c>
      <c r="E320" s="679">
        <v>0</v>
      </c>
      <c r="F320" s="672">
        <v>0</v>
      </c>
      <c r="G320" s="679">
        <v>0</v>
      </c>
      <c r="H320" s="675">
        <v>-3343</v>
      </c>
      <c r="I320" s="679">
        <v>3796.28</v>
      </c>
      <c r="J320" s="679">
        <v>0</v>
      </c>
      <c r="K320" s="674">
        <v>0</v>
      </c>
      <c r="L320" s="191">
        <f t="shared" si="22"/>
        <v>3796.28</v>
      </c>
      <c r="M320" t="s">
        <v>1233</v>
      </c>
      <c r="O320" t="str">
        <f t="shared" si="23"/>
        <v>Regelzone TenneT (gesamt)</v>
      </c>
    </row>
    <row r="321" spans="1:15" hidden="1" outlineLevel="1">
      <c r="A321" s="671" t="s">
        <v>1444</v>
      </c>
      <c r="B321" s="672">
        <v>7</v>
      </c>
      <c r="C321" s="674">
        <v>2022</v>
      </c>
      <c r="D321" s="673">
        <v>13.734</v>
      </c>
      <c r="E321" s="679">
        <v>0.7</v>
      </c>
      <c r="F321" s="672">
        <v>213703.63699999999</v>
      </c>
      <c r="G321" s="679">
        <v>9757.48</v>
      </c>
      <c r="H321" s="675">
        <v>1268830.21</v>
      </c>
      <c r="I321" s="679">
        <v>82555.509999999995</v>
      </c>
      <c r="J321" s="679">
        <v>-11211.44</v>
      </c>
      <c r="K321" s="674">
        <v>0</v>
      </c>
      <c r="L321" s="191">
        <f t="shared" si="22"/>
        <v>81102.25</v>
      </c>
      <c r="M321" t="s">
        <v>1445</v>
      </c>
      <c r="O321" t="str">
        <f t="shared" si="23"/>
        <v>Regelzone TenneT (gesamt)</v>
      </c>
    </row>
    <row r="322" spans="1:15" hidden="1" outlineLevel="1">
      <c r="A322" s="671" t="s">
        <v>1675</v>
      </c>
      <c r="B322" s="672">
        <v>7</v>
      </c>
      <c r="C322" s="674">
        <v>2022</v>
      </c>
      <c r="D322" s="673">
        <v>0</v>
      </c>
      <c r="E322" s="679">
        <v>0</v>
      </c>
      <c r="F322" s="672">
        <v>0</v>
      </c>
      <c r="G322" s="679">
        <v>0</v>
      </c>
      <c r="H322" s="675">
        <v>-612</v>
      </c>
      <c r="I322" s="679">
        <v>1461.44</v>
      </c>
      <c r="J322" s="679">
        <v>0</v>
      </c>
      <c r="K322" s="674">
        <v>0</v>
      </c>
      <c r="L322" s="191">
        <f t="shared" si="22"/>
        <v>1461.44</v>
      </c>
      <c r="M322" t="s">
        <v>1676</v>
      </c>
      <c r="O322" t="str">
        <f t="shared" si="23"/>
        <v>Regelzone TenneT (gesamt)</v>
      </c>
    </row>
    <row r="323" spans="1:15" hidden="1" outlineLevel="1">
      <c r="A323" s="671" t="s">
        <v>1374</v>
      </c>
      <c r="B323" s="672">
        <v>7</v>
      </c>
      <c r="C323" s="674">
        <v>2022</v>
      </c>
      <c r="D323" s="673">
        <v>0</v>
      </c>
      <c r="E323" s="679">
        <v>0</v>
      </c>
      <c r="F323" s="675">
        <v>0</v>
      </c>
      <c r="G323" s="679">
        <v>0</v>
      </c>
      <c r="H323" s="672">
        <v>2655</v>
      </c>
      <c r="I323" s="679">
        <v>212.4</v>
      </c>
      <c r="J323" s="679">
        <v>0</v>
      </c>
      <c r="K323" s="674">
        <v>0</v>
      </c>
      <c r="L323" s="191">
        <f t="shared" si="22"/>
        <v>212.4</v>
      </c>
      <c r="M323" t="s">
        <v>1375</v>
      </c>
      <c r="O323" t="str">
        <f t="shared" si="23"/>
        <v>Regelzone TenneT (gesamt)</v>
      </c>
    </row>
    <row r="324" spans="1:15" hidden="1" outlineLevel="1">
      <c r="A324" s="671" t="s">
        <v>1408</v>
      </c>
      <c r="B324" s="672">
        <v>7</v>
      </c>
      <c r="C324" s="674">
        <v>2022</v>
      </c>
      <c r="D324" s="673">
        <v>0</v>
      </c>
      <c r="E324" s="679">
        <v>0</v>
      </c>
      <c r="F324" s="672">
        <v>0</v>
      </c>
      <c r="G324" s="679">
        <v>0</v>
      </c>
      <c r="H324" s="675">
        <v>97078</v>
      </c>
      <c r="I324" s="679">
        <v>3913.43</v>
      </c>
      <c r="J324" s="679">
        <v>0</v>
      </c>
      <c r="K324" s="674">
        <v>0</v>
      </c>
      <c r="L324" s="191">
        <f t="shared" si="22"/>
        <v>3913.43</v>
      </c>
      <c r="M324" t="s">
        <v>1409</v>
      </c>
      <c r="O324" t="str">
        <f t="shared" si="23"/>
        <v>Regelzone TenneT (gesamt)</v>
      </c>
    </row>
    <row r="325" spans="1:15" hidden="1" outlineLevel="1">
      <c r="A325" s="671" t="s">
        <v>1588</v>
      </c>
      <c r="B325" s="672">
        <v>7</v>
      </c>
      <c r="C325" s="674">
        <v>2022</v>
      </c>
      <c r="D325" s="673">
        <v>0</v>
      </c>
      <c r="E325" s="679">
        <v>0</v>
      </c>
      <c r="F325" s="672">
        <v>-8548</v>
      </c>
      <c r="G325" s="679">
        <v>-462.45</v>
      </c>
      <c r="H325" s="675">
        <v>-84798</v>
      </c>
      <c r="I325" s="679">
        <v>-7120.88</v>
      </c>
      <c r="J325" s="679">
        <v>578.13</v>
      </c>
      <c r="K325" s="674">
        <v>0</v>
      </c>
      <c r="L325" s="191">
        <f t="shared" si="22"/>
        <v>-7005.2</v>
      </c>
      <c r="M325" t="s">
        <v>1589</v>
      </c>
      <c r="O325" t="str">
        <f t="shared" si="23"/>
        <v>Regelzone TenneT (gesamt)</v>
      </c>
    </row>
    <row r="326" spans="1:15" hidden="1" outlineLevel="1">
      <c r="A326" s="671" t="s">
        <v>1616</v>
      </c>
      <c r="B326" s="672">
        <v>7</v>
      </c>
      <c r="C326" s="674">
        <v>2022</v>
      </c>
      <c r="D326" s="673">
        <v>0</v>
      </c>
      <c r="E326" s="679">
        <v>0</v>
      </c>
      <c r="F326" s="672">
        <v>0</v>
      </c>
      <c r="G326" s="679">
        <v>0</v>
      </c>
      <c r="H326" s="675">
        <v>5986</v>
      </c>
      <c r="I326" s="679">
        <v>943.84</v>
      </c>
      <c r="J326" s="679">
        <v>0</v>
      </c>
      <c r="K326" s="674">
        <v>0</v>
      </c>
      <c r="L326" s="191">
        <f t="shared" si="22"/>
        <v>943.84</v>
      </c>
      <c r="M326" t="s">
        <v>1617</v>
      </c>
      <c r="O326" t="str">
        <f t="shared" si="23"/>
        <v>Regelzone TenneT (gesamt)</v>
      </c>
    </row>
    <row r="327" spans="1:15" hidden="1" outlineLevel="1">
      <c r="A327" s="671" t="s">
        <v>1604</v>
      </c>
      <c r="B327" s="672">
        <v>7</v>
      </c>
      <c r="C327" s="674">
        <v>2022</v>
      </c>
      <c r="D327" s="673">
        <v>0</v>
      </c>
      <c r="E327" s="679">
        <v>0</v>
      </c>
      <c r="F327" s="672">
        <v>0</v>
      </c>
      <c r="G327" s="679">
        <v>0</v>
      </c>
      <c r="H327" s="675">
        <v>-80701</v>
      </c>
      <c r="I327" s="679">
        <v>16757</v>
      </c>
      <c r="J327" s="679">
        <v>0</v>
      </c>
      <c r="K327" s="674">
        <v>0</v>
      </c>
      <c r="L327" s="191">
        <f t="shared" si="22"/>
        <v>16757</v>
      </c>
      <c r="M327" t="s">
        <v>1605</v>
      </c>
      <c r="O327" t="str">
        <f t="shared" si="23"/>
        <v>Regelzone TenneT (gesamt)</v>
      </c>
    </row>
    <row r="328" spans="1:15" hidden="1" outlineLevel="1">
      <c r="A328" s="671" t="s">
        <v>1756</v>
      </c>
      <c r="B328" s="672">
        <v>7</v>
      </c>
      <c r="C328" s="674">
        <v>2022</v>
      </c>
      <c r="D328" s="673">
        <v>0</v>
      </c>
      <c r="E328" s="679">
        <v>0</v>
      </c>
      <c r="F328" s="672">
        <v>-500104</v>
      </c>
      <c r="G328" s="679">
        <v>-15792.24</v>
      </c>
      <c r="H328" s="672">
        <v>2999069</v>
      </c>
      <c r="I328" s="679">
        <v>197332.37</v>
      </c>
      <c r="J328" s="679">
        <v>0</v>
      </c>
      <c r="K328" s="674">
        <v>0</v>
      </c>
      <c r="L328" s="191">
        <f t="shared" ref="L328:L359" si="24">E328+G328+I328+J328+K328</f>
        <v>181540.13</v>
      </c>
      <c r="M328" t="s">
        <v>1757</v>
      </c>
      <c r="O328" t="str">
        <f t="shared" si="23"/>
        <v>Regelzone TenneT (gesamt)</v>
      </c>
    </row>
    <row r="329" spans="1:15" hidden="1" outlineLevel="1">
      <c r="A329" s="671" t="s">
        <v>1666</v>
      </c>
      <c r="B329" s="672">
        <v>7</v>
      </c>
      <c r="C329" s="674">
        <v>2022</v>
      </c>
      <c r="D329" s="673">
        <v>0</v>
      </c>
      <c r="E329" s="679">
        <v>0</v>
      </c>
      <c r="F329" s="672">
        <v>0</v>
      </c>
      <c r="G329" s="679">
        <v>0</v>
      </c>
      <c r="H329" s="675">
        <v>-131883</v>
      </c>
      <c r="I329" s="679">
        <v>-16683.22</v>
      </c>
      <c r="J329" s="679">
        <v>0</v>
      </c>
      <c r="K329" s="674">
        <v>0</v>
      </c>
      <c r="L329" s="191">
        <f t="shared" si="24"/>
        <v>-16683.22</v>
      </c>
      <c r="M329" t="s">
        <v>1667</v>
      </c>
      <c r="O329" t="str">
        <f t="shared" si="23"/>
        <v>Regelzone TenneT (gesamt)</v>
      </c>
    </row>
    <row r="330" spans="1:15" hidden="1" outlineLevel="1">
      <c r="A330" s="671" t="s">
        <v>1634</v>
      </c>
      <c r="B330" s="672">
        <v>7</v>
      </c>
      <c r="C330" s="674">
        <v>2022</v>
      </c>
      <c r="D330" s="673">
        <v>0</v>
      </c>
      <c r="E330" s="679">
        <v>0</v>
      </c>
      <c r="F330" s="672">
        <v>-8848</v>
      </c>
      <c r="G330" s="679">
        <v>-478.68</v>
      </c>
      <c r="H330" s="675">
        <v>0</v>
      </c>
      <c r="I330" s="679">
        <v>0</v>
      </c>
      <c r="J330" s="679">
        <v>0</v>
      </c>
      <c r="K330" s="674">
        <v>0</v>
      </c>
      <c r="L330" s="191">
        <f t="shared" si="24"/>
        <v>-478.68</v>
      </c>
      <c r="M330" t="s">
        <v>1635</v>
      </c>
      <c r="O330" t="str">
        <f t="shared" si="23"/>
        <v>Regelzone TenneT (gesamt)</v>
      </c>
    </row>
    <row r="331" spans="1:15" hidden="1" outlineLevel="1">
      <c r="A331" s="671" t="s">
        <v>1446</v>
      </c>
      <c r="B331" s="672">
        <v>7</v>
      </c>
      <c r="C331" s="674">
        <v>2022</v>
      </c>
      <c r="D331" s="673">
        <v>0</v>
      </c>
      <c r="E331" s="679">
        <v>0</v>
      </c>
      <c r="F331" s="672">
        <v>400248</v>
      </c>
      <c r="G331" s="679">
        <v>21653.43</v>
      </c>
      <c r="H331" s="675">
        <v>924622</v>
      </c>
      <c r="I331" s="679">
        <v>78568.039999999994</v>
      </c>
      <c r="J331" s="679">
        <v>0</v>
      </c>
      <c r="K331" s="674">
        <v>0</v>
      </c>
      <c r="L331" s="191">
        <f t="shared" si="24"/>
        <v>100221.47</v>
      </c>
      <c r="M331" t="s">
        <v>1447</v>
      </c>
      <c r="O331" t="str">
        <f t="shared" si="23"/>
        <v>Regelzone TenneT (gesamt)</v>
      </c>
    </row>
    <row r="332" spans="1:15" hidden="1" outlineLevel="1">
      <c r="A332" s="671" t="s">
        <v>1650</v>
      </c>
      <c r="B332" s="672">
        <v>7</v>
      </c>
      <c r="C332" s="674">
        <v>2022</v>
      </c>
      <c r="D332" s="673">
        <v>0</v>
      </c>
      <c r="E332" s="679">
        <v>0</v>
      </c>
      <c r="F332" s="672">
        <v>0</v>
      </c>
      <c r="G332" s="679">
        <v>0</v>
      </c>
      <c r="H332" s="675">
        <v>1058075</v>
      </c>
      <c r="I332" s="679">
        <v>85257.85</v>
      </c>
      <c r="J332" s="679">
        <v>0</v>
      </c>
      <c r="K332" s="674">
        <v>0</v>
      </c>
      <c r="L332" s="191">
        <f t="shared" si="24"/>
        <v>85257.85</v>
      </c>
      <c r="M332" t="s">
        <v>1651</v>
      </c>
      <c r="O332" t="str">
        <f t="shared" si="23"/>
        <v>Regelzone TenneT (gesamt)</v>
      </c>
    </row>
    <row r="333" spans="1:15" hidden="1" outlineLevel="1">
      <c r="A333" s="671" t="s">
        <v>1724</v>
      </c>
      <c r="B333" s="672">
        <v>7</v>
      </c>
      <c r="C333" s="674">
        <v>2022</v>
      </c>
      <c r="D333" s="673">
        <v>0</v>
      </c>
      <c r="E333" s="679">
        <v>0</v>
      </c>
      <c r="F333" s="672">
        <v>0</v>
      </c>
      <c r="G333" s="679">
        <v>0</v>
      </c>
      <c r="H333" s="675">
        <v>16503</v>
      </c>
      <c r="I333" s="679">
        <v>1904</v>
      </c>
      <c r="J333" s="679">
        <v>0</v>
      </c>
      <c r="K333" s="674">
        <v>0</v>
      </c>
      <c r="L333" s="191">
        <f t="shared" si="24"/>
        <v>1904</v>
      </c>
      <c r="M333" t="s">
        <v>1725</v>
      </c>
      <c r="O333" t="str">
        <f t="shared" si="23"/>
        <v>Regelzone TenneT (gesamt)</v>
      </c>
    </row>
    <row r="334" spans="1:15" hidden="1" outlineLevel="1">
      <c r="A334" s="671" t="s">
        <v>1358</v>
      </c>
      <c r="B334" s="672">
        <v>7</v>
      </c>
      <c r="C334" s="674">
        <v>2022</v>
      </c>
      <c r="D334" s="673">
        <v>0</v>
      </c>
      <c r="E334" s="679">
        <v>0</v>
      </c>
      <c r="F334" s="672">
        <v>0</v>
      </c>
      <c r="G334" s="679">
        <v>0</v>
      </c>
      <c r="H334" s="675">
        <v>1</v>
      </c>
      <c r="I334" s="679">
        <v>0.24</v>
      </c>
      <c r="J334" s="679">
        <v>0</v>
      </c>
      <c r="K334" s="674">
        <v>0</v>
      </c>
      <c r="L334" s="191">
        <f t="shared" si="24"/>
        <v>0.24</v>
      </c>
      <c r="M334" t="s">
        <v>1359</v>
      </c>
      <c r="O334" t="str">
        <f t="shared" si="23"/>
        <v>Regelzone TenneT (gesamt)</v>
      </c>
    </row>
    <row r="335" spans="1:15" hidden="1" outlineLevel="1">
      <c r="A335" s="671" t="s">
        <v>1671</v>
      </c>
      <c r="B335" s="672">
        <v>7</v>
      </c>
      <c r="C335" s="674">
        <v>2022</v>
      </c>
      <c r="D335" s="673">
        <v>0</v>
      </c>
      <c r="E335" s="679">
        <v>0</v>
      </c>
      <c r="F335" s="672">
        <v>55447</v>
      </c>
      <c r="G335" s="679">
        <v>2999.68</v>
      </c>
      <c r="H335" s="672">
        <v>26576</v>
      </c>
      <c r="I335" s="679">
        <v>2126.08</v>
      </c>
      <c r="J335" s="679">
        <v>0</v>
      </c>
      <c r="K335" s="674">
        <v>0</v>
      </c>
      <c r="L335" s="191">
        <f t="shared" si="24"/>
        <v>5125.76</v>
      </c>
      <c r="M335" t="s">
        <v>1672</v>
      </c>
      <c r="O335" t="str">
        <f t="shared" si="23"/>
        <v>Regelzone TenneT (gesamt)</v>
      </c>
    </row>
    <row r="336" spans="1:15" hidden="1" outlineLevel="1">
      <c r="A336" s="671" t="s">
        <v>1312</v>
      </c>
      <c r="B336" s="672">
        <v>7</v>
      </c>
      <c r="C336" s="674">
        <v>2022</v>
      </c>
      <c r="D336" s="673">
        <v>0</v>
      </c>
      <c r="E336" s="679">
        <v>0</v>
      </c>
      <c r="F336" s="672">
        <v>0</v>
      </c>
      <c r="G336" s="679">
        <v>0</v>
      </c>
      <c r="H336" s="675">
        <v>836765</v>
      </c>
      <c r="I336" s="679">
        <v>24378.45</v>
      </c>
      <c r="J336" s="679">
        <v>0</v>
      </c>
      <c r="K336" s="674">
        <v>0</v>
      </c>
      <c r="L336" s="191">
        <f t="shared" si="24"/>
        <v>24378.45</v>
      </c>
      <c r="M336" t="s">
        <v>1313</v>
      </c>
      <c r="O336" t="str">
        <f t="shared" si="23"/>
        <v>Regelzone TenneT (gesamt)</v>
      </c>
    </row>
    <row r="337" spans="1:15" hidden="1" outlineLevel="1">
      <c r="A337" s="671" t="s">
        <v>1309</v>
      </c>
      <c r="B337" s="672">
        <v>7</v>
      </c>
      <c r="C337" s="674">
        <v>2022</v>
      </c>
      <c r="D337" s="677">
        <v>0</v>
      </c>
      <c r="E337" s="679">
        <v>0</v>
      </c>
      <c r="F337" s="675">
        <v>0</v>
      </c>
      <c r="G337" s="679">
        <v>0</v>
      </c>
      <c r="H337" s="675">
        <v>-84206</v>
      </c>
      <c r="I337" s="679">
        <v>-3368.24</v>
      </c>
      <c r="J337" s="679">
        <v>0</v>
      </c>
      <c r="K337" s="674">
        <v>0</v>
      </c>
      <c r="L337" s="191">
        <f t="shared" si="24"/>
        <v>-3368.24</v>
      </c>
      <c r="M337" t="s">
        <v>1310</v>
      </c>
      <c r="O337" t="str">
        <f t="shared" si="23"/>
        <v>Regelzone TenneT (gesamt)</v>
      </c>
    </row>
    <row r="338" spans="1:15" hidden="1" outlineLevel="1">
      <c r="A338" s="671" t="s">
        <v>1558</v>
      </c>
      <c r="B338" s="672">
        <v>7</v>
      </c>
      <c r="C338" s="674">
        <v>2022</v>
      </c>
      <c r="D338" s="673">
        <v>0</v>
      </c>
      <c r="E338" s="679">
        <v>0</v>
      </c>
      <c r="F338" s="672">
        <v>0</v>
      </c>
      <c r="G338" s="679">
        <v>0</v>
      </c>
      <c r="H338" s="675">
        <v>206051</v>
      </c>
      <c r="I338" s="679">
        <v>18715.2</v>
      </c>
      <c r="J338" s="679">
        <v>0</v>
      </c>
      <c r="K338" s="674">
        <v>0</v>
      </c>
      <c r="L338" s="191">
        <f t="shared" si="24"/>
        <v>18715.2</v>
      </c>
      <c r="M338" t="s">
        <v>1559</v>
      </c>
      <c r="O338" t="str">
        <f t="shared" si="23"/>
        <v>Regelzone TenneT (gesamt)</v>
      </c>
    </row>
    <row r="339" spans="1:15" hidden="1" outlineLevel="1">
      <c r="A339" s="671" t="s">
        <v>1750</v>
      </c>
      <c r="B339" s="672">
        <v>7</v>
      </c>
      <c r="C339" s="674">
        <v>2022</v>
      </c>
      <c r="D339" s="673">
        <v>0</v>
      </c>
      <c r="E339" s="679">
        <v>0</v>
      </c>
      <c r="F339" s="672">
        <v>86684.801999999996</v>
      </c>
      <c r="G339" s="679">
        <v>4689.6499999999996</v>
      </c>
      <c r="H339" s="675">
        <v>-149668.09</v>
      </c>
      <c r="I339" s="679">
        <v>-8643.7000000000007</v>
      </c>
      <c r="J339" s="679">
        <v>0</v>
      </c>
      <c r="K339" s="674">
        <v>0</v>
      </c>
      <c r="L339" s="191">
        <f t="shared" si="24"/>
        <v>-3954.0500000000011</v>
      </c>
      <c r="M339" t="s">
        <v>1751</v>
      </c>
      <c r="O339" t="str">
        <f t="shared" si="23"/>
        <v>Regelzone TenneT (gesamt)</v>
      </c>
    </row>
    <row r="340" spans="1:15" hidden="1" outlineLevel="1">
      <c r="A340" s="671" t="s">
        <v>1776</v>
      </c>
      <c r="B340" s="672">
        <v>7</v>
      </c>
      <c r="C340" s="674">
        <v>2022</v>
      </c>
      <c r="D340" s="673">
        <v>0</v>
      </c>
      <c r="E340" s="679">
        <v>0</v>
      </c>
      <c r="F340" s="672">
        <v>501004</v>
      </c>
      <c r="G340" s="679">
        <v>27104.31</v>
      </c>
      <c r="H340" s="675">
        <v>0</v>
      </c>
      <c r="I340" s="679">
        <v>0</v>
      </c>
      <c r="J340" s="679">
        <v>0</v>
      </c>
      <c r="K340" s="674">
        <v>0</v>
      </c>
      <c r="L340" s="191">
        <f t="shared" si="24"/>
        <v>27104.31</v>
      </c>
      <c r="M340" t="s">
        <v>1777</v>
      </c>
      <c r="O340" t="str">
        <f t="shared" si="23"/>
        <v>Regelzone TenneT (gesamt)</v>
      </c>
    </row>
    <row r="341" spans="1:15" hidden="1" outlineLevel="1">
      <c r="A341" s="671" t="s">
        <v>1652</v>
      </c>
      <c r="B341" s="672">
        <v>7</v>
      </c>
      <c r="C341" s="674">
        <v>2022</v>
      </c>
      <c r="D341" s="673">
        <v>0</v>
      </c>
      <c r="E341" s="679">
        <v>0</v>
      </c>
      <c r="F341" s="675">
        <v>0</v>
      </c>
      <c r="G341" s="679">
        <v>0</v>
      </c>
      <c r="H341" s="675">
        <v>100000</v>
      </c>
      <c r="I341" s="679">
        <v>5349.8</v>
      </c>
      <c r="J341" s="679">
        <v>0</v>
      </c>
      <c r="K341" s="674">
        <v>0</v>
      </c>
      <c r="L341" s="191">
        <f t="shared" si="24"/>
        <v>5349.8</v>
      </c>
      <c r="M341" t="s">
        <v>1653</v>
      </c>
      <c r="O341" t="str">
        <f t="shared" si="23"/>
        <v>Regelzone TenneT (gesamt)</v>
      </c>
    </row>
    <row r="342" spans="1:15" hidden="1" outlineLevel="1">
      <c r="A342" s="671" t="s">
        <v>1740</v>
      </c>
      <c r="B342" s="672">
        <v>7</v>
      </c>
      <c r="C342" s="674">
        <v>2022</v>
      </c>
      <c r="D342" s="673">
        <v>0</v>
      </c>
      <c r="E342" s="679">
        <v>0</v>
      </c>
      <c r="F342" s="675">
        <v>0</v>
      </c>
      <c r="G342" s="679">
        <v>0</v>
      </c>
      <c r="H342" s="675">
        <v>12482</v>
      </c>
      <c r="I342" s="679">
        <v>1185.76</v>
      </c>
      <c r="J342" s="679">
        <v>0</v>
      </c>
      <c r="K342" s="674">
        <v>0</v>
      </c>
      <c r="L342" s="191">
        <f t="shared" si="24"/>
        <v>1185.76</v>
      </c>
      <c r="M342" t="s">
        <v>1741</v>
      </c>
      <c r="O342" t="str">
        <f t="shared" si="23"/>
        <v>Regelzone TenneT (gesamt)</v>
      </c>
    </row>
    <row r="343" spans="1:15" hidden="1" outlineLevel="1">
      <c r="A343" s="671" t="s">
        <v>1654</v>
      </c>
      <c r="B343" s="672">
        <v>7</v>
      </c>
      <c r="C343" s="674">
        <v>2022</v>
      </c>
      <c r="D343" s="673">
        <v>1001</v>
      </c>
      <c r="E343" s="679">
        <v>51.15</v>
      </c>
      <c r="F343" s="672">
        <v>835865</v>
      </c>
      <c r="G343" s="679">
        <v>45220.32</v>
      </c>
      <c r="H343" s="672">
        <v>1033694</v>
      </c>
      <c r="I343" s="679">
        <v>119317.36</v>
      </c>
      <c r="J343" s="679">
        <v>0</v>
      </c>
      <c r="K343" s="674">
        <v>0</v>
      </c>
      <c r="L343" s="191">
        <f t="shared" si="24"/>
        <v>164588.83000000002</v>
      </c>
      <c r="M343" t="s">
        <v>1655</v>
      </c>
      <c r="O343" t="str">
        <f t="shared" si="23"/>
        <v>Regelzone TenneT (gesamt)</v>
      </c>
    </row>
    <row r="344" spans="1:15" hidden="1" outlineLevel="1">
      <c r="A344" s="671" t="s">
        <v>1430</v>
      </c>
      <c r="B344" s="672">
        <v>7</v>
      </c>
      <c r="C344" s="674">
        <v>2022</v>
      </c>
      <c r="D344" s="673">
        <v>540322</v>
      </c>
      <c r="E344" s="679">
        <v>18590.060000000001</v>
      </c>
      <c r="F344" s="675">
        <v>15577531</v>
      </c>
      <c r="G344" s="679">
        <v>694162.79</v>
      </c>
      <c r="H344" s="675">
        <v>11621018.02</v>
      </c>
      <c r="I344" s="679">
        <v>938043.17</v>
      </c>
      <c r="J344" s="679">
        <v>-8233.39</v>
      </c>
      <c r="K344" s="674">
        <v>0</v>
      </c>
      <c r="L344" s="191">
        <f t="shared" si="24"/>
        <v>1642562.6300000001</v>
      </c>
      <c r="M344" t="s">
        <v>1431</v>
      </c>
      <c r="O344" t="str">
        <f t="shared" si="23"/>
        <v>Regelzone TenneT (gesamt)</v>
      </c>
    </row>
    <row r="345" spans="1:15" hidden="1" outlineLevel="1">
      <c r="A345" s="671" t="s">
        <v>879</v>
      </c>
      <c r="B345" s="672">
        <v>7</v>
      </c>
      <c r="C345" s="674">
        <v>2022</v>
      </c>
      <c r="D345" s="673">
        <v>-81794</v>
      </c>
      <c r="E345" s="679">
        <v>-4179.67</v>
      </c>
      <c r="F345" s="672">
        <v>123028</v>
      </c>
      <c r="G345" s="679">
        <v>6655.81</v>
      </c>
      <c r="H345" s="672">
        <v>931237</v>
      </c>
      <c r="I345" s="679">
        <v>68837.78</v>
      </c>
      <c r="J345" s="679">
        <v>-127.53</v>
      </c>
      <c r="K345" s="674">
        <v>0</v>
      </c>
      <c r="L345" s="191">
        <f t="shared" si="24"/>
        <v>71186.39</v>
      </c>
      <c r="M345" t="s">
        <v>880</v>
      </c>
      <c r="O345" t="str">
        <f t="shared" si="23"/>
        <v>Regelzone TenneT (gesamt)</v>
      </c>
    </row>
    <row r="346" spans="1:15" hidden="1" outlineLevel="1">
      <c r="A346" s="671" t="s">
        <v>758</v>
      </c>
      <c r="B346" s="672">
        <v>7</v>
      </c>
      <c r="C346" s="674">
        <v>2022</v>
      </c>
      <c r="D346" s="673">
        <v>221244</v>
      </c>
      <c r="E346" s="679">
        <v>7089.89</v>
      </c>
      <c r="F346" s="672">
        <v>887121</v>
      </c>
      <c r="G346" s="679">
        <v>47993.25</v>
      </c>
      <c r="H346" s="672">
        <v>2014884</v>
      </c>
      <c r="I346" s="679">
        <v>189520.28</v>
      </c>
      <c r="J346" s="679">
        <v>-1640.29</v>
      </c>
      <c r="K346" s="674">
        <v>0</v>
      </c>
      <c r="L346" s="191">
        <f t="shared" si="24"/>
        <v>242963.12999999998</v>
      </c>
      <c r="M346" t="s">
        <v>759</v>
      </c>
      <c r="O346" t="str">
        <f t="shared" si="23"/>
        <v>Regelzone TenneT (gesamt)</v>
      </c>
    </row>
    <row r="347" spans="1:15" hidden="1" outlineLevel="1">
      <c r="A347" s="671" t="s">
        <v>1090</v>
      </c>
      <c r="B347" s="672">
        <v>7</v>
      </c>
      <c r="C347" s="674">
        <v>2022</v>
      </c>
      <c r="D347" s="673">
        <v>1210</v>
      </c>
      <c r="E347" s="679">
        <v>61.83</v>
      </c>
      <c r="F347" s="675">
        <v>450373</v>
      </c>
      <c r="G347" s="679">
        <v>24365.19</v>
      </c>
      <c r="H347" s="675">
        <v>17498</v>
      </c>
      <c r="I347" s="679">
        <v>2501.2399999999998</v>
      </c>
      <c r="J347" s="679">
        <v>-835.49</v>
      </c>
      <c r="K347" s="674">
        <v>0</v>
      </c>
      <c r="L347" s="191">
        <f t="shared" si="24"/>
        <v>26092.77</v>
      </c>
      <c r="M347" t="s">
        <v>1091</v>
      </c>
      <c r="O347" t="str">
        <f t="shared" si="23"/>
        <v>Regelzone TenneT (gesamt)</v>
      </c>
    </row>
    <row r="348" spans="1:15" hidden="1" outlineLevel="1">
      <c r="A348" s="671" t="s">
        <v>1778</v>
      </c>
      <c r="B348" s="672">
        <v>7</v>
      </c>
      <c r="C348" s="674">
        <v>2022</v>
      </c>
      <c r="D348" s="673">
        <v>0</v>
      </c>
      <c r="E348" s="679">
        <v>0</v>
      </c>
      <c r="F348" s="672">
        <v>14274</v>
      </c>
      <c r="G348" s="679">
        <v>772.22</v>
      </c>
      <c r="H348" s="672">
        <v>52318</v>
      </c>
      <c r="I348" s="679">
        <v>8370.8799999999992</v>
      </c>
      <c r="J348" s="679">
        <v>0</v>
      </c>
      <c r="K348" s="674">
        <v>0</v>
      </c>
      <c r="L348" s="191">
        <f t="shared" si="24"/>
        <v>9143.0999999999985</v>
      </c>
      <c r="M348" t="s">
        <v>1779</v>
      </c>
      <c r="O348" t="str">
        <f t="shared" si="23"/>
        <v>Regelzone TenneT (gesamt)</v>
      </c>
    </row>
    <row r="349" spans="1:15" hidden="1" outlineLevel="1">
      <c r="A349" s="671" t="s">
        <v>839</v>
      </c>
      <c r="B349" s="672">
        <v>7</v>
      </c>
      <c r="C349" s="674">
        <v>2022</v>
      </c>
      <c r="D349" s="673">
        <v>0</v>
      </c>
      <c r="E349" s="679">
        <v>0</v>
      </c>
      <c r="F349" s="675">
        <v>0</v>
      </c>
      <c r="G349" s="679">
        <v>0</v>
      </c>
      <c r="H349" s="675">
        <v>60089</v>
      </c>
      <c r="I349" s="679">
        <v>6475.84</v>
      </c>
      <c r="J349" s="679">
        <v>0</v>
      </c>
      <c r="K349" s="674">
        <v>0</v>
      </c>
      <c r="L349" s="191">
        <f t="shared" si="24"/>
        <v>6475.84</v>
      </c>
      <c r="M349" t="s">
        <v>1311</v>
      </c>
      <c r="O349" t="str">
        <f t="shared" si="23"/>
        <v>Regelzone TenneT (gesamt)</v>
      </c>
    </row>
    <row r="350" spans="1:15" hidden="1" outlineLevel="1">
      <c r="A350" s="671" t="s">
        <v>1782</v>
      </c>
      <c r="B350" s="672">
        <v>7</v>
      </c>
      <c r="C350" s="674">
        <v>2022</v>
      </c>
      <c r="D350" s="673">
        <v>0</v>
      </c>
      <c r="E350" s="679">
        <v>0</v>
      </c>
      <c r="F350" s="675">
        <v>0</v>
      </c>
      <c r="G350" s="679">
        <v>0</v>
      </c>
      <c r="H350" s="675">
        <v>35158</v>
      </c>
      <c r="I350" s="679">
        <v>4264.5600000000004</v>
      </c>
      <c r="J350" s="679">
        <v>-112829.11</v>
      </c>
      <c r="K350" s="674">
        <v>0</v>
      </c>
      <c r="L350" s="191">
        <f t="shared" si="24"/>
        <v>-108564.55</v>
      </c>
      <c r="M350" t="s">
        <v>1783</v>
      </c>
      <c r="O350" t="str">
        <f t="shared" si="23"/>
        <v>Regelzone TenneT (gesamt)</v>
      </c>
    </row>
    <row r="351" spans="1:15" hidden="1" outlineLevel="1">
      <c r="A351" s="671" t="s">
        <v>1508</v>
      </c>
      <c r="B351" s="672">
        <v>7</v>
      </c>
      <c r="C351" s="674">
        <v>2022</v>
      </c>
      <c r="D351" s="673">
        <v>0</v>
      </c>
      <c r="E351" s="679">
        <v>0</v>
      </c>
      <c r="F351" s="675">
        <v>0</v>
      </c>
      <c r="G351" s="679">
        <v>0</v>
      </c>
      <c r="H351" s="675">
        <v>-3912</v>
      </c>
      <c r="I351" s="679">
        <v>-625.91999999999996</v>
      </c>
      <c r="J351" s="679">
        <v>0</v>
      </c>
      <c r="K351" s="674">
        <v>0</v>
      </c>
      <c r="L351" s="191">
        <f t="shared" si="24"/>
        <v>-625.91999999999996</v>
      </c>
      <c r="M351" t="s">
        <v>1509</v>
      </c>
      <c r="O351" t="str">
        <f t="shared" si="23"/>
        <v>Regelzone TenneT (gesamt)</v>
      </c>
    </row>
    <row r="352" spans="1:15" hidden="1" outlineLevel="1">
      <c r="A352" s="671" t="s">
        <v>1364</v>
      </c>
      <c r="B352" s="672">
        <v>7</v>
      </c>
      <c r="C352" s="674">
        <v>2022</v>
      </c>
      <c r="D352" s="673">
        <v>0</v>
      </c>
      <c r="E352" s="679">
        <v>0</v>
      </c>
      <c r="F352" s="672">
        <v>145454.70000000001</v>
      </c>
      <c r="G352" s="679">
        <v>7869.1</v>
      </c>
      <c r="H352" s="675">
        <v>0</v>
      </c>
      <c r="I352" s="679">
        <v>0</v>
      </c>
      <c r="J352" s="679">
        <v>0</v>
      </c>
      <c r="K352" s="674">
        <v>0</v>
      </c>
      <c r="L352" s="191">
        <f t="shared" si="24"/>
        <v>7869.1</v>
      </c>
      <c r="M352" t="s">
        <v>1365</v>
      </c>
      <c r="O352" t="str">
        <f t="shared" si="23"/>
        <v>Regelzone TenneT (gesamt)</v>
      </c>
    </row>
    <row r="353" spans="1:15" hidden="1" outlineLevel="1">
      <c r="A353" s="671" t="s">
        <v>1582</v>
      </c>
      <c r="B353" s="672">
        <v>7</v>
      </c>
      <c r="C353" s="674">
        <v>2023</v>
      </c>
      <c r="D353" s="673">
        <v>0</v>
      </c>
      <c r="E353" s="679">
        <v>0</v>
      </c>
      <c r="F353" s="675">
        <v>0</v>
      </c>
      <c r="G353" s="679">
        <v>0</v>
      </c>
      <c r="H353" s="672">
        <v>47336</v>
      </c>
      <c r="I353" s="679">
        <v>7573.76</v>
      </c>
      <c r="J353" s="679">
        <v>0</v>
      </c>
      <c r="K353" s="674">
        <v>0</v>
      </c>
      <c r="L353" s="191">
        <f t="shared" si="24"/>
        <v>7573.76</v>
      </c>
      <c r="M353" t="s">
        <v>1583</v>
      </c>
      <c r="O353" t="str">
        <f t="shared" si="23"/>
        <v>Regelzone TenneT (gesamt)</v>
      </c>
    </row>
    <row r="354" spans="1:15" hidden="1" outlineLevel="1">
      <c r="A354" s="671" t="s">
        <v>1283</v>
      </c>
      <c r="B354" s="672">
        <v>7</v>
      </c>
      <c r="C354" s="674">
        <v>2023</v>
      </c>
      <c r="D354" s="673">
        <v>0</v>
      </c>
      <c r="E354" s="679">
        <v>0</v>
      </c>
      <c r="F354" s="675">
        <v>29969</v>
      </c>
      <c r="G354" s="679">
        <v>1621.32</v>
      </c>
      <c r="H354" s="675">
        <v>1210</v>
      </c>
      <c r="I354" s="679">
        <v>96.8</v>
      </c>
      <c r="J354" s="679">
        <v>0</v>
      </c>
      <c r="K354" s="674">
        <v>0</v>
      </c>
      <c r="L354" s="191">
        <f t="shared" si="24"/>
        <v>1718.12</v>
      </c>
      <c r="M354" t="s">
        <v>1284</v>
      </c>
      <c r="O354" t="str">
        <f t="shared" si="23"/>
        <v>Regelzone TenneT (gesamt)</v>
      </c>
    </row>
    <row r="355" spans="1:15" hidden="1" outlineLevel="1">
      <c r="A355" s="671" t="s">
        <v>1814</v>
      </c>
      <c r="B355" s="672">
        <v>7</v>
      </c>
      <c r="C355" s="674">
        <v>2023</v>
      </c>
      <c r="D355" s="673">
        <v>0</v>
      </c>
      <c r="E355" s="679">
        <v>0</v>
      </c>
      <c r="F355" s="675">
        <v>0</v>
      </c>
      <c r="G355" s="679">
        <v>0</v>
      </c>
      <c r="H355" s="675">
        <v>2171</v>
      </c>
      <c r="I355" s="679">
        <v>269.68</v>
      </c>
      <c r="J355" s="679">
        <v>0</v>
      </c>
      <c r="K355" s="674">
        <v>0</v>
      </c>
      <c r="L355" s="191">
        <f t="shared" si="24"/>
        <v>269.68</v>
      </c>
      <c r="M355" t="s">
        <v>1815</v>
      </c>
      <c r="O355" t="str">
        <f t="shared" si="23"/>
        <v>Regelzone TenneT (gesamt)</v>
      </c>
    </row>
    <row r="356" spans="1:15" hidden="1" outlineLevel="1">
      <c r="A356" s="671" t="s">
        <v>1504</v>
      </c>
      <c r="B356" s="672">
        <v>7</v>
      </c>
      <c r="C356" s="674">
        <v>2023</v>
      </c>
      <c r="D356" s="677">
        <v>0</v>
      </c>
      <c r="E356" s="679">
        <v>0</v>
      </c>
      <c r="F356" s="675">
        <v>0</v>
      </c>
      <c r="G356" s="679">
        <v>0</v>
      </c>
      <c r="H356" s="675">
        <v>201244</v>
      </c>
      <c r="I356" s="679">
        <v>16065.97</v>
      </c>
      <c r="J356" s="679">
        <v>0</v>
      </c>
      <c r="K356" s="674">
        <v>0</v>
      </c>
      <c r="L356" s="191">
        <f t="shared" si="24"/>
        <v>16065.97</v>
      </c>
      <c r="M356" t="s">
        <v>1505</v>
      </c>
      <c r="O356" t="str">
        <f t="shared" si="23"/>
        <v>Regelzone TenneT (gesamt)</v>
      </c>
    </row>
    <row r="357" spans="1:15" hidden="1" outlineLevel="1">
      <c r="A357" s="671" t="s">
        <v>1548</v>
      </c>
      <c r="B357" s="672">
        <v>7</v>
      </c>
      <c r="C357" s="674">
        <v>2023</v>
      </c>
      <c r="D357" s="673">
        <v>0</v>
      </c>
      <c r="E357" s="679">
        <v>0</v>
      </c>
      <c r="F357" s="675">
        <v>0</v>
      </c>
      <c r="G357" s="679">
        <v>0</v>
      </c>
      <c r="H357" s="675">
        <v>21078.37</v>
      </c>
      <c r="I357" s="679">
        <v>1658.98</v>
      </c>
      <c r="J357" s="679">
        <v>0</v>
      </c>
      <c r="K357" s="674">
        <v>0</v>
      </c>
      <c r="L357" s="191">
        <f t="shared" si="24"/>
        <v>1658.98</v>
      </c>
      <c r="M357" t="s">
        <v>1549</v>
      </c>
      <c r="O357" t="str">
        <f t="shared" si="23"/>
        <v>Regelzone TenneT (gesamt)</v>
      </c>
    </row>
    <row r="358" spans="1:15" hidden="1" outlineLevel="1">
      <c r="A358" s="671" t="s">
        <v>1232</v>
      </c>
      <c r="B358" s="672">
        <v>7</v>
      </c>
      <c r="C358" s="674">
        <v>2023</v>
      </c>
      <c r="D358" s="673">
        <v>0</v>
      </c>
      <c r="E358" s="679">
        <v>0</v>
      </c>
      <c r="F358" s="675">
        <v>0</v>
      </c>
      <c r="G358" s="679">
        <v>0</v>
      </c>
      <c r="H358" s="675">
        <v>21252</v>
      </c>
      <c r="I358" s="679">
        <v>2668.24</v>
      </c>
      <c r="J358" s="679">
        <v>0</v>
      </c>
      <c r="K358" s="674">
        <v>0</v>
      </c>
      <c r="L358" s="191">
        <f t="shared" si="24"/>
        <v>2668.24</v>
      </c>
      <c r="M358" t="s">
        <v>1233</v>
      </c>
      <c r="O358" t="str">
        <f t="shared" si="23"/>
        <v>Regelzone TenneT (gesamt)</v>
      </c>
    </row>
    <row r="359" spans="1:15" hidden="1" outlineLevel="1">
      <c r="A359" s="671" t="s">
        <v>1444</v>
      </c>
      <c r="B359" s="672">
        <v>7</v>
      </c>
      <c r="C359" s="674">
        <v>2023</v>
      </c>
      <c r="D359" s="673">
        <v>0</v>
      </c>
      <c r="E359" s="679">
        <v>0</v>
      </c>
      <c r="F359" s="672">
        <v>287705.42800000001</v>
      </c>
      <c r="G359" s="679">
        <v>12957.02</v>
      </c>
      <c r="H359" s="675">
        <v>902406.33900000004</v>
      </c>
      <c r="I359" s="679">
        <v>74422.53</v>
      </c>
      <c r="J359" s="679">
        <v>-1678.7</v>
      </c>
      <c r="K359" s="674">
        <v>0</v>
      </c>
      <c r="L359" s="191">
        <f t="shared" si="24"/>
        <v>85700.85</v>
      </c>
      <c r="M359" t="s">
        <v>1445</v>
      </c>
      <c r="O359" t="str">
        <f t="shared" si="23"/>
        <v>Regelzone TenneT (gesamt)</v>
      </c>
    </row>
    <row r="360" spans="1:15" hidden="1" outlineLevel="1">
      <c r="A360" s="671" t="s">
        <v>1675</v>
      </c>
      <c r="B360" s="672">
        <v>7</v>
      </c>
      <c r="C360" s="674">
        <v>2023</v>
      </c>
      <c r="D360" s="673">
        <v>0</v>
      </c>
      <c r="E360" s="679">
        <v>0</v>
      </c>
      <c r="F360" s="675">
        <v>0</v>
      </c>
      <c r="G360" s="679">
        <v>0</v>
      </c>
      <c r="H360" s="675">
        <v>5140.5839999999998</v>
      </c>
      <c r="I360" s="679">
        <v>1959.3</v>
      </c>
      <c r="J360" s="679">
        <v>0</v>
      </c>
      <c r="K360" s="674">
        <v>0</v>
      </c>
      <c r="L360" s="191">
        <f t="shared" ref="L360:L391" si="25">E360+G360+I360+J360+K360</f>
        <v>1959.3</v>
      </c>
      <c r="M360" t="s">
        <v>1676</v>
      </c>
      <c r="O360" t="str">
        <f t="shared" si="23"/>
        <v>Regelzone TenneT (gesamt)</v>
      </c>
    </row>
    <row r="361" spans="1:15" hidden="1" outlineLevel="1">
      <c r="A361" s="671" t="s">
        <v>1374</v>
      </c>
      <c r="B361" s="672">
        <v>7</v>
      </c>
      <c r="C361" s="674">
        <v>2023</v>
      </c>
      <c r="D361" s="673">
        <v>0</v>
      </c>
      <c r="E361" s="679">
        <v>0</v>
      </c>
      <c r="F361" s="672">
        <v>0</v>
      </c>
      <c r="G361" s="679">
        <v>0</v>
      </c>
      <c r="H361" s="675">
        <v>15222</v>
      </c>
      <c r="I361" s="679">
        <v>1217.76</v>
      </c>
      <c r="J361" s="679">
        <v>0</v>
      </c>
      <c r="K361" s="674">
        <v>0</v>
      </c>
      <c r="L361" s="191">
        <f t="shared" si="25"/>
        <v>1217.76</v>
      </c>
      <c r="M361" t="s">
        <v>1375</v>
      </c>
      <c r="O361" t="str">
        <f t="shared" ref="O361:O441" si="26">$A$296</f>
        <v>Regelzone TenneT (gesamt)</v>
      </c>
    </row>
    <row r="362" spans="1:15" hidden="1" outlineLevel="1">
      <c r="A362" s="671" t="s">
        <v>1408</v>
      </c>
      <c r="B362" s="672">
        <v>7</v>
      </c>
      <c r="C362" s="674">
        <v>2023</v>
      </c>
      <c r="D362" s="673">
        <v>0</v>
      </c>
      <c r="E362" s="679">
        <v>0</v>
      </c>
      <c r="F362" s="672">
        <v>0</v>
      </c>
      <c r="G362" s="679">
        <v>0</v>
      </c>
      <c r="H362" s="675">
        <v>174536.99900000001</v>
      </c>
      <c r="I362" s="679">
        <v>9479.99</v>
      </c>
      <c r="J362" s="679">
        <v>-2458.92</v>
      </c>
      <c r="K362" s="674">
        <v>0</v>
      </c>
      <c r="L362" s="191">
        <f t="shared" si="25"/>
        <v>7021.07</v>
      </c>
      <c r="M362" t="s">
        <v>1409</v>
      </c>
      <c r="O362" t="str">
        <f t="shared" si="26"/>
        <v>Regelzone TenneT (gesamt)</v>
      </c>
    </row>
    <row r="363" spans="1:15" hidden="1" outlineLevel="1">
      <c r="A363" s="671" t="s">
        <v>1229</v>
      </c>
      <c r="B363" s="672">
        <v>7</v>
      </c>
      <c r="C363" s="674">
        <v>2023</v>
      </c>
      <c r="D363" s="673">
        <v>0</v>
      </c>
      <c r="E363" s="679">
        <v>0</v>
      </c>
      <c r="F363" s="672">
        <v>0</v>
      </c>
      <c r="G363" s="679">
        <v>0</v>
      </c>
      <c r="H363" s="675">
        <v>167412</v>
      </c>
      <c r="I363" s="679">
        <v>14159.56</v>
      </c>
      <c r="J363" s="679">
        <v>0</v>
      </c>
      <c r="K363" s="674">
        <v>0</v>
      </c>
      <c r="L363" s="191">
        <f t="shared" si="25"/>
        <v>14159.56</v>
      </c>
      <c r="M363" t="s">
        <v>1230</v>
      </c>
      <c r="O363" t="str">
        <f t="shared" si="26"/>
        <v>Regelzone TenneT (gesamt)</v>
      </c>
    </row>
    <row r="364" spans="1:15" hidden="1" outlineLevel="1">
      <c r="A364" s="671" t="s">
        <v>1616</v>
      </c>
      <c r="B364" s="672">
        <v>7</v>
      </c>
      <c r="C364" s="674">
        <v>2023</v>
      </c>
      <c r="D364" s="673">
        <v>0</v>
      </c>
      <c r="E364" s="679">
        <v>0</v>
      </c>
      <c r="F364" s="675">
        <v>0</v>
      </c>
      <c r="G364" s="679">
        <v>0</v>
      </c>
      <c r="H364" s="672">
        <v>22000</v>
      </c>
      <c r="I364" s="679">
        <v>3468.8</v>
      </c>
      <c r="J364" s="679">
        <v>0</v>
      </c>
      <c r="K364" s="674">
        <v>0</v>
      </c>
      <c r="L364" s="191">
        <f t="shared" si="25"/>
        <v>3468.8</v>
      </c>
      <c r="M364" t="s">
        <v>1617</v>
      </c>
      <c r="O364" t="str">
        <f t="shared" si="26"/>
        <v>Regelzone TenneT (gesamt)</v>
      </c>
    </row>
    <row r="365" spans="1:15" hidden="1" outlineLevel="1">
      <c r="A365" s="671" t="s">
        <v>1604</v>
      </c>
      <c r="B365" s="672">
        <v>7</v>
      </c>
      <c r="C365" s="674">
        <v>2023</v>
      </c>
      <c r="D365" s="673">
        <v>0</v>
      </c>
      <c r="E365" s="679">
        <v>0</v>
      </c>
      <c r="F365" s="672">
        <v>0</v>
      </c>
      <c r="G365" s="679">
        <v>0</v>
      </c>
      <c r="H365" s="672">
        <v>0</v>
      </c>
      <c r="I365" s="679">
        <v>15331.4</v>
      </c>
      <c r="J365" s="679">
        <v>0</v>
      </c>
      <c r="K365" s="674">
        <v>0</v>
      </c>
      <c r="L365" s="191">
        <f t="shared" si="25"/>
        <v>15331.4</v>
      </c>
      <c r="M365" t="s">
        <v>1605</v>
      </c>
      <c r="O365" t="str">
        <f t="shared" si="26"/>
        <v>Regelzone TenneT (gesamt)</v>
      </c>
    </row>
    <row r="366" spans="1:15" hidden="1" outlineLevel="1">
      <c r="A366" s="671" t="s">
        <v>1666</v>
      </c>
      <c r="B366" s="672">
        <v>7</v>
      </c>
      <c r="C366" s="674">
        <v>2023</v>
      </c>
      <c r="D366" s="673">
        <v>0</v>
      </c>
      <c r="E366" s="679">
        <v>0</v>
      </c>
      <c r="F366" s="675">
        <v>634968</v>
      </c>
      <c r="G366" s="679">
        <v>28673.08</v>
      </c>
      <c r="H366" s="675">
        <v>611537</v>
      </c>
      <c r="I366" s="679">
        <v>48295.37</v>
      </c>
      <c r="J366" s="679">
        <v>0</v>
      </c>
      <c r="K366" s="674">
        <v>0</v>
      </c>
      <c r="L366" s="191">
        <f t="shared" si="25"/>
        <v>76968.450000000012</v>
      </c>
      <c r="M366" t="s">
        <v>1667</v>
      </c>
      <c r="O366" t="str">
        <f t="shared" si="26"/>
        <v>Regelzone TenneT (gesamt)</v>
      </c>
    </row>
    <row r="367" spans="1:15" hidden="1" outlineLevel="1">
      <c r="A367" s="671" t="s">
        <v>1677</v>
      </c>
      <c r="B367" s="672">
        <v>7</v>
      </c>
      <c r="C367" s="674">
        <v>2023</v>
      </c>
      <c r="D367" s="673">
        <v>0</v>
      </c>
      <c r="E367" s="679">
        <v>0</v>
      </c>
      <c r="F367" s="672">
        <v>0</v>
      </c>
      <c r="G367" s="679">
        <v>0</v>
      </c>
      <c r="H367" s="675">
        <v>41352.35</v>
      </c>
      <c r="I367" s="679">
        <v>1728.02</v>
      </c>
      <c r="J367" s="679">
        <v>0</v>
      </c>
      <c r="K367" s="674">
        <v>0</v>
      </c>
      <c r="L367" s="191">
        <f t="shared" si="25"/>
        <v>1728.02</v>
      </c>
      <c r="M367" t="s">
        <v>1678</v>
      </c>
      <c r="O367" t="str">
        <f t="shared" si="26"/>
        <v>Regelzone TenneT (gesamt)</v>
      </c>
    </row>
    <row r="368" spans="1:15" hidden="1" outlineLevel="1">
      <c r="A368" s="671" t="s">
        <v>1446</v>
      </c>
      <c r="B368" s="672">
        <v>7</v>
      </c>
      <c r="C368" s="674">
        <v>2023</v>
      </c>
      <c r="D368" s="673">
        <v>0</v>
      </c>
      <c r="E368" s="679">
        <v>0</v>
      </c>
      <c r="F368" s="672">
        <v>527856</v>
      </c>
      <c r="G368" s="679">
        <v>28557.01</v>
      </c>
      <c r="H368" s="675">
        <v>1201993</v>
      </c>
      <c r="I368" s="679">
        <v>95058.48</v>
      </c>
      <c r="J368" s="679">
        <v>0</v>
      </c>
      <c r="K368" s="674">
        <v>0</v>
      </c>
      <c r="L368" s="191">
        <f t="shared" si="25"/>
        <v>123615.48999999999</v>
      </c>
      <c r="M368" t="s">
        <v>1447</v>
      </c>
      <c r="O368" t="str">
        <f t="shared" si="26"/>
        <v>Regelzone TenneT (gesamt)</v>
      </c>
    </row>
    <row r="369" spans="1:15" hidden="1" outlineLevel="1">
      <c r="A369" s="671" t="s">
        <v>1650</v>
      </c>
      <c r="B369" s="672">
        <v>7</v>
      </c>
      <c r="C369" s="674">
        <v>2023</v>
      </c>
      <c r="D369" s="673">
        <v>0</v>
      </c>
      <c r="E369" s="679">
        <v>0</v>
      </c>
      <c r="F369" s="675">
        <v>395748</v>
      </c>
      <c r="G369" s="679">
        <v>21409.96</v>
      </c>
      <c r="H369" s="672">
        <v>1661491.43</v>
      </c>
      <c r="I369" s="679">
        <v>155696.85999999999</v>
      </c>
      <c r="J369" s="679">
        <v>-329.88</v>
      </c>
      <c r="K369" s="674">
        <v>0</v>
      </c>
      <c r="L369" s="191">
        <f t="shared" si="25"/>
        <v>176776.93999999997</v>
      </c>
      <c r="M369" t="s">
        <v>1651</v>
      </c>
      <c r="O369" t="str">
        <f t="shared" si="26"/>
        <v>Regelzone TenneT (gesamt)</v>
      </c>
    </row>
    <row r="370" spans="1:15" hidden="1" outlineLevel="1">
      <c r="A370" s="671" t="s">
        <v>1244</v>
      </c>
      <c r="B370" s="672">
        <v>7</v>
      </c>
      <c r="C370" s="674">
        <v>2023</v>
      </c>
      <c r="D370" s="673">
        <v>0</v>
      </c>
      <c r="E370" s="679">
        <v>0</v>
      </c>
      <c r="F370" s="675">
        <v>0</v>
      </c>
      <c r="G370" s="679">
        <v>0</v>
      </c>
      <c r="H370" s="672">
        <v>17399</v>
      </c>
      <c r="I370" s="679">
        <v>2783.84</v>
      </c>
      <c r="J370" s="679">
        <v>0</v>
      </c>
      <c r="K370" s="674">
        <v>0</v>
      </c>
      <c r="L370" s="191">
        <f t="shared" si="25"/>
        <v>2783.84</v>
      </c>
      <c r="M370" t="s">
        <v>1245</v>
      </c>
      <c r="O370" t="str">
        <f t="shared" si="26"/>
        <v>Regelzone TenneT (gesamt)</v>
      </c>
    </row>
    <row r="371" spans="1:15" hidden="1" outlineLevel="1">
      <c r="A371" s="671" t="s">
        <v>1794</v>
      </c>
      <c r="B371" s="672">
        <v>7</v>
      </c>
      <c r="C371" s="674">
        <v>2023</v>
      </c>
      <c r="D371" s="677">
        <v>0</v>
      </c>
      <c r="E371" s="679">
        <v>0</v>
      </c>
      <c r="F371" s="672">
        <v>63816</v>
      </c>
      <c r="G371" s="679">
        <v>3452.45</v>
      </c>
      <c r="H371" s="675">
        <v>0</v>
      </c>
      <c r="I371" s="679">
        <v>0</v>
      </c>
      <c r="J371" s="679">
        <v>0</v>
      </c>
      <c r="K371" s="674">
        <v>0</v>
      </c>
      <c r="L371" s="191">
        <f t="shared" si="25"/>
        <v>3452.45</v>
      </c>
      <c r="M371" t="s">
        <v>1795</v>
      </c>
      <c r="O371" t="str">
        <f t="shared" si="26"/>
        <v>Regelzone TenneT (gesamt)</v>
      </c>
    </row>
    <row r="372" spans="1:15" hidden="1" outlineLevel="1">
      <c r="A372" s="671" t="s">
        <v>1681</v>
      </c>
      <c r="B372" s="672">
        <v>7</v>
      </c>
      <c r="C372" s="674">
        <v>2023</v>
      </c>
      <c r="D372" s="673">
        <v>0</v>
      </c>
      <c r="E372" s="679">
        <v>0</v>
      </c>
      <c r="F372" s="675">
        <v>26719.27</v>
      </c>
      <c r="G372" s="679">
        <v>1445.52</v>
      </c>
      <c r="H372" s="675">
        <v>248975.81</v>
      </c>
      <c r="I372" s="679">
        <v>37659.81</v>
      </c>
      <c r="J372" s="679">
        <v>0</v>
      </c>
      <c r="K372" s="674">
        <v>0</v>
      </c>
      <c r="L372" s="191">
        <f t="shared" si="25"/>
        <v>39105.329999999994</v>
      </c>
      <c r="M372" t="s">
        <v>1682</v>
      </c>
      <c r="O372" t="str">
        <f t="shared" si="26"/>
        <v>Regelzone TenneT (gesamt)</v>
      </c>
    </row>
    <row r="373" spans="1:15" hidden="1" outlineLevel="1">
      <c r="A373" s="671" t="s">
        <v>1724</v>
      </c>
      <c r="B373" s="672">
        <v>7</v>
      </c>
      <c r="C373" s="674">
        <v>2023</v>
      </c>
      <c r="D373" s="677">
        <v>0</v>
      </c>
      <c r="E373" s="679">
        <v>0</v>
      </c>
      <c r="F373" s="675">
        <v>0</v>
      </c>
      <c r="G373" s="679">
        <v>0</v>
      </c>
      <c r="H373" s="675">
        <v>22000</v>
      </c>
      <c r="I373" s="679">
        <v>2946.72</v>
      </c>
      <c r="J373" s="679">
        <v>0</v>
      </c>
      <c r="K373" s="674">
        <v>0</v>
      </c>
      <c r="L373" s="191">
        <f t="shared" si="25"/>
        <v>2946.72</v>
      </c>
      <c r="M373" t="s">
        <v>1725</v>
      </c>
      <c r="O373" t="str">
        <f t="shared" si="26"/>
        <v>Regelzone TenneT (gesamt)</v>
      </c>
    </row>
    <row r="374" spans="1:15" hidden="1" outlineLevel="1">
      <c r="A374" s="671" t="s">
        <v>1358</v>
      </c>
      <c r="B374" s="672">
        <v>7</v>
      </c>
      <c r="C374" s="674">
        <v>2023</v>
      </c>
      <c r="D374" s="673">
        <v>0</v>
      </c>
      <c r="E374" s="679">
        <v>0</v>
      </c>
      <c r="F374" s="675">
        <v>-16106</v>
      </c>
      <c r="G374" s="679">
        <v>-871.33</v>
      </c>
      <c r="H374" s="675">
        <v>-8.3000000000000004E-2</v>
      </c>
      <c r="I374" s="679">
        <v>766.23</v>
      </c>
      <c r="J374" s="679">
        <v>0</v>
      </c>
      <c r="K374" s="674">
        <v>0</v>
      </c>
      <c r="L374" s="191">
        <f t="shared" si="25"/>
        <v>-105.10000000000002</v>
      </c>
      <c r="M374" t="s">
        <v>1359</v>
      </c>
      <c r="O374" t="str">
        <f t="shared" si="26"/>
        <v>Regelzone TenneT (gesamt)</v>
      </c>
    </row>
    <row r="375" spans="1:15" hidden="1" outlineLevel="1">
      <c r="A375" s="671" t="s">
        <v>1671</v>
      </c>
      <c r="B375" s="672">
        <v>7</v>
      </c>
      <c r="C375" s="674">
        <v>2023</v>
      </c>
      <c r="D375" s="673">
        <v>0</v>
      </c>
      <c r="E375" s="679">
        <v>0</v>
      </c>
      <c r="F375" s="675">
        <v>53745</v>
      </c>
      <c r="G375" s="679">
        <v>2907.6</v>
      </c>
      <c r="H375" s="672">
        <v>28212</v>
      </c>
      <c r="I375" s="679">
        <v>2256.96</v>
      </c>
      <c r="J375" s="679">
        <v>0</v>
      </c>
      <c r="K375" s="674">
        <v>0</v>
      </c>
      <c r="L375" s="191">
        <f t="shared" si="25"/>
        <v>5164.5599999999995</v>
      </c>
      <c r="M375" t="s">
        <v>1672</v>
      </c>
      <c r="O375" t="str">
        <f t="shared" si="26"/>
        <v>Regelzone TenneT (gesamt)</v>
      </c>
    </row>
    <row r="376" spans="1:15" hidden="1" outlineLevel="1">
      <c r="A376" s="671" t="s">
        <v>1312</v>
      </c>
      <c r="B376" s="672">
        <v>7</v>
      </c>
      <c r="C376" s="674">
        <v>2023</v>
      </c>
      <c r="D376" s="673">
        <v>0</v>
      </c>
      <c r="E376" s="679">
        <v>0</v>
      </c>
      <c r="F376" s="675">
        <v>0</v>
      </c>
      <c r="G376" s="679">
        <v>0</v>
      </c>
      <c r="H376" s="672">
        <v>642311</v>
      </c>
      <c r="I376" s="679">
        <v>32618.22</v>
      </c>
      <c r="J376" s="679">
        <v>0</v>
      </c>
      <c r="K376" s="674">
        <v>0</v>
      </c>
      <c r="L376" s="191">
        <f t="shared" si="25"/>
        <v>32618.22</v>
      </c>
      <c r="M376" t="s">
        <v>1313</v>
      </c>
      <c r="O376" t="str">
        <f t="shared" si="26"/>
        <v>Regelzone TenneT (gesamt)</v>
      </c>
    </row>
    <row r="377" spans="1:15" hidden="1" outlineLevel="1">
      <c r="A377" s="671" t="s">
        <v>1558</v>
      </c>
      <c r="B377" s="672">
        <v>7</v>
      </c>
      <c r="C377" s="674">
        <v>2023</v>
      </c>
      <c r="D377" s="673">
        <v>0</v>
      </c>
      <c r="E377" s="679">
        <v>0</v>
      </c>
      <c r="F377" s="672">
        <v>44061</v>
      </c>
      <c r="G377" s="679">
        <v>2383.6999999999998</v>
      </c>
      <c r="H377" s="675">
        <v>86951</v>
      </c>
      <c r="I377" s="679">
        <v>-474.4</v>
      </c>
      <c r="J377" s="679">
        <v>0</v>
      </c>
      <c r="K377" s="674">
        <v>0</v>
      </c>
      <c r="L377" s="191">
        <f t="shared" si="25"/>
        <v>1909.2999999999997</v>
      </c>
      <c r="M377" t="s">
        <v>1559</v>
      </c>
      <c r="O377" t="str">
        <f t="shared" si="26"/>
        <v>Regelzone TenneT (gesamt)</v>
      </c>
    </row>
    <row r="378" spans="1:15" hidden="1" outlineLevel="1">
      <c r="A378" s="671" t="s">
        <v>1776</v>
      </c>
      <c r="B378" s="672">
        <v>7</v>
      </c>
      <c r="C378" s="674">
        <v>2023</v>
      </c>
      <c r="D378" s="673">
        <v>0</v>
      </c>
      <c r="E378" s="679">
        <v>0</v>
      </c>
      <c r="F378" s="675">
        <v>183626</v>
      </c>
      <c r="G378" s="679">
        <v>9934.17</v>
      </c>
      <c r="H378" s="672">
        <v>158356</v>
      </c>
      <c r="I378" s="679">
        <v>19294.8</v>
      </c>
      <c r="J378" s="679">
        <v>0</v>
      </c>
      <c r="K378" s="674">
        <v>0</v>
      </c>
      <c r="L378" s="191">
        <f t="shared" si="25"/>
        <v>29228.97</v>
      </c>
      <c r="M378" t="s">
        <v>1777</v>
      </c>
      <c r="O378" t="str">
        <f t="shared" si="26"/>
        <v>Regelzone TenneT (gesamt)</v>
      </c>
    </row>
    <row r="379" spans="1:15" hidden="1" outlineLevel="1">
      <c r="A379" s="671" t="s">
        <v>1744</v>
      </c>
      <c r="B379" s="672">
        <v>7</v>
      </c>
      <c r="C379" s="674">
        <v>2023</v>
      </c>
      <c r="D379" s="673">
        <v>0</v>
      </c>
      <c r="E379" s="679">
        <v>0</v>
      </c>
      <c r="F379" s="672">
        <v>0</v>
      </c>
      <c r="G379" s="679">
        <v>0</v>
      </c>
      <c r="H379" s="675">
        <v>13500.87</v>
      </c>
      <c r="I379" s="679">
        <v>2160.14</v>
      </c>
      <c r="J379" s="679">
        <v>0</v>
      </c>
      <c r="K379" s="674">
        <v>0</v>
      </c>
      <c r="L379" s="191">
        <f t="shared" si="25"/>
        <v>2160.14</v>
      </c>
      <c r="M379" t="s">
        <v>1745</v>
      </c>
      <c r="O379" t="str">
        <f t="shared" si="26"/>
        <v>Regelzone TenneT (gesamt)</v>
      </c>
    </row>
    <row r="380" spans="1:15" hidden="1" outlineLevel="1">
      <c r="A380" s="671" t="s">
        <v>1652</v>
      </c>
      <c r="B380" s="672">
        <v>7</v>
      </c>
      <c r="C380" s="674">
        <v>2023</v>
      </c>
      <c r="D380" s="673">
        <v>0</v>
      </c>
      <c r="E380" s="679">
        <v>0</v>
      </c>
      <c r="F380" s="672">
        <v>0</v>
      </c>
      <c r="G380" s="679">
        <v>0</v>
      </c>
      <c r="H380" s="675">
        <v>80000</v>
      </c>
      <c r="I380" s="679">
        <v>4277.2</v>
      </c>
      <c r="J380" s="679">
        <v>0</v>
      </c>
      <c r="K380" s="674">
        <v>0</v>
      </c>
      <c r="L380" s="191">
        <f t="shared" si="25"/>
        <v>4277.2</v>
      </c>
      <c r="M380" t="s">
        <v>1653</v>
      </c>
      <c r="O380" t="str">
        <f t="shared" si="26"/>
        <v>Regelzone TenneT (gesamt)</v>
      </c>
    </row>
    <row r="381" spans="1:15" hidden="1" outlineLevel="1">
      <c r="A381" s="671" t="s">
        <v>1740</v>
      </c>
      <c r="B381" s="672">
        <v>7</v>
      </c>
      <c r="C381" s="674">
        <v>2023</v>
      </c>
      <c r="D381" s="673">
        <v>0</v>
      </c>
      <c r="E381" s="679">
        <v>0</v>
      </c>
      <c r="F381" s="672">
        <v>0</v>
      </c>
      <c r="G381" s="679">
        <v>0</v>
      </c>
      <c r="H381" s="672">
        <v>118390</v>
      </c>
      <c r="I381" s="679">
        <v>7701.4</v>
      </c>
      <c r="J381" s="679">
        <v>0</v>
      </c>
      <c r="K381" s="674">
        <v>0</v>
      </c>
      <c r="L381" s="191">
        <f t="shared" si="25"/>
        <v>7701.4</v>
      </c>
      <c r="M381" t="s">
        <v>1741</v>
      </c>
      <c r="O381" t="str">
        <f t="shared" si="26"/>
        <v>Regelzone TenneT (gesamt)</v>
      </c>
    </row>
    <row r="382" spans="1:15" hidden="1" outlineLevel="1">
      <c r="A382" s="671" t="s">
        <v>1362</v>
      </c>
      <c r="B382" s="672">
        <v>7</v>
      </c>
      <c r="C382" s="674">
        <v>2023</v>
      </c>
      <c r="D382" s="673">
        <v>0</v>
      </c>
      <c r="E382" s="679">
        <v>0</v>
      </c>
      <c r="F382" s="672">
        <v>-12898</v>
      </c>
      <c r="G382" s="679">
        <v>-697.78</v>
      </c>
      <c r="H382" s="672">
        <v>14736</v>
      </c>
      <c r="I382" s="679">
        <v>2356.16</v>
      </c>
      <c r="J382" s="679">
        <v>0</v>
      </c>
      <c r="K382" s="674">
        <v>0</v>
      </c>
      <c r="L382" s="191">
        <f t="shared" si="25"/>
        <v>1658.3799999999999</v>
      </c>
      <c r="M382" t="s">
        <v>1363</v>
      </c>
      <c r="O382" t="str">
        <f t="shared" si="26"/>
        <v>Regelzone TenneT (gesamt)</v>
      </c>
    </row>
    <row r="383" spans="1:15" hidden="1" outlineLevel="1">
      <c r="A383" s="671" t="s">
        <v>1796</v>
      </c>
      <c r="B383" s="672">
        <v>7</v>
      </c>
      <c r="C383" s="674">
        <v>2023</v>
      </c>
      <c r="D383" s="673">
        <v>0</v>
      </c>
      <c r="E383" s="679">
        <v>0</v>
      </c>
      <c r="F383" s="672">
        <v>0</v>
      </c>
      <c r="G383" s="679">
        <v>0</v>
      </c>
      <c r="H383" s="672">
        <v>0</v>
      </c>
      <c r="I383" s="679">
        <v>89.76</v>
      </c>
      <c r="J383" s="679">
        <v>0</v>
      </c>
      <c r="K383" s="674">
        <v>0</v>
      </c>
      <c r="L383" s="191">
        <f t="shared" si="25"/>
        <v>89.76</v>
      </c>
      <c r="M383" t="s">
        <v>1797</v>
      </c>
      <c r="O383" t="str">
        <f t="shared" si="26"/>
        <v>Regelzone TenneT (gesamt)</v>
      </c>
    </row>
    <row r="384" spans="1:15" hidden="1" outlineLevel="1">
      <c r="A384" s="671" t="s">
        <v>1416</v>
      </c>
      <c r="B384" s="672">
        <v>7</v>
      </c>
      <c r="C384" s="674">
        <v>2023</v>
      </c>
      <c r="D384" s="673">
        <v>0</v>
      </c>
      <c r="E384" s="679">
        <v>0</v>
      </c>
      <c r="F384" s="675">
        <v>31940</v>
      </c>
      <c r="G384" s="679">
        <v>3282.41</v>
      </c>
      <c r="H384" s="675">
        <v>242706</v>
      </c>
      <c r="I384" s="679">
        <v>17370.240000000002</v>
      </c>
      <c r="J384" s="679">
        <v>0</v>
      </c>
      <c r="K384" s="674">
        <v>0</v>
      </c>
      <c r="L384" s="191">
        <f t="shared" si="25"/>
        <v>20652.650000000001</v>
      </c>
      <c r="M384" t="s">
        <v>1417</v>
      </c>
      <c r="O384" t="str">
        <f t="shared" si="26"/>
        <v>Regelzone TenneT (gesamt)</v>
      </c>
    </row>
    <row r="385" spans="1:15" hidden="1" outlineLevel="1">
      <c r="A385" s="671" t="s">
        <v>1265</v>
      </c>
      <c r="B385" s="672">
        <v>7</v>
      </c>
      <c r="C385" s="674">
        <v>2023</v>
      </c>
      <c r="D385" s="673">
        <v>0</v>
      </c>
      <c r="E385" s="679">
        <v>0</v>
      </c>
      <c r="F385" s="675">
        <v>223684</v>
      </c>
      <c r="G385" s="679">
        <v>12101.31</v>
      </c>
      <c r="H385" s="675">
        <v>449214</v>
      </c>
      <c r="I385" s="679">
        <v>47090.080000000002</v>
      </c>
      <c r="J385" s="679">
        <v>0</v>
      </c>
      <c r="K385" s="674">
        <v>0</v>
      </c>
      <c r="L385" s="191">
        <f t="shared" si="25"/>
        <v>59191.39</v>
      </c>
      <c r="M385" t="s">
        <v>1266</v>
      </c>
      <c r="O385" t="str">
        <f t="shared" si="26"/>
        <v>Regelzone TenneT (gesamt)</v>
      </c>
    </row>
    <row r="386" spans="1:15" hidden="1" outlineLevel="1">
      <c r="A386" s="671" t="s">
        <v>1654</v>
      </c>
      <c r="B386" s="672">
        <v>7</v>
      </c>
      <c r="C386" s="674">
        <v>2023</v>
      </c>
      <c r="D386" s="673">
        <v>0</v>
      </c>
      <c r="E386" s="679">
        <v>0</v>
      </c>
      <c r="F386" s="675">
        <v>629499</v>
      </c>
      <c r="G386" s="679">
        <v>34055.910000000003</v>
      </c>
      <c r="H386" s="672">
        <v>1405320</v>
      </c>
      <c r="I386" s="679">
        <v>175477</v>
      </c>
      <c r="J386" s="679">
        <v>0</v>
      </c>
      <c r="K386" s="674">
        <v>0</v>
      </c>
      <c r="L386" s="191">
        <f t="shared" si="25"/>
        <v>209532.91</v>
      </c>
      <c r="M386" t="s">
        <v>1655</v>
      </c>
      <c r="O386" t="str">
        <f t="shared" si="26"/>
        <v>Regelzone TenneT (gesamt)</v>
      </c>
    </row>
    <row r="387" spans="1:15" hidden="1" outlineLevel="1">
      <c r="A387" s="671" t="s">
        <v>1516</v>
      </c>
      <c r="B387" s="672">
        <v>7</v>
      </c>
      <c r="C387" s="674">
        <v>2023</v>
      </c>
      <c r="D387" s="673">
        <v>0</v>
      </c>
      <c r="E387" s="679">
        <v>0</v>
      </c>
      <c r="F387" s="675">
        <v>6647592</v>
      </c>
      <c r="G387" s="679">
        <v>339658.68</v>
      </c>
      <c r="H387" s="675">
        <v>7545301</v>
      </c>
      <c r="I387" s="679">
        <v>625357.18999999994</v>
      </c>
      <c r="J387" s="679">
        <v>-2497.9299999999998</v>
      </c>
      <c r="K387" s="674">
        <v>0</v>
      </c>
      <c r="L387" s="191">
        <f t="shared" si="25"/>
        <v>962517.93999999983</v>
      </c>
      <c r="M387" t="s">
        <v>1517</v>
      </c>
      <c r="O387" t="str">
        <f t="shared" si="26"/>
        <v>Regelzone TenneT (gesamt)</v>
      </c>
    </row>
    <row r="388" spans="1:15" hidden="1" outlineLevel="1">
      <c r="A388" s="671" t="s">
        <v>1768</v>
      </c>
      <c r="B388" s="672">
        <v>7</v>
      </c>
      <c r="C388" s="674">
        <v>2023</v>
      </c>
      <c r="D388" s="673">
        <v>0</v>
      </c>
      <c r="E388" s="679">
        <v>0</v>
      </c>
      <c r="F388" s="675">
        <v>865033</v>
      </c>
      <c r="G388" s="679">
        <v>31972.87</v>
      </c>
      <c r="H388" s="675">
        <v>2008.2</v>
      </c>
      <c r="I388" s="679">
        <v>591.1</v>
      </c>
      <c r="J388" s="679">
        <v>-1295.26</v>
      </c>
      <c r="K388" s="674">
        <v>0</v>
      </c>
      <c r="L388" s="191">
        <f t="shared" si="25"/>
        <v>31268.71</v>
      </c>
      <c r="M388" t="s">
        <v>1769</v>
      </c>
      <c r="O388" t="str">
        <f t="shared" si="26"/>
        <v>Regelzone TenneT (gesamt)</v>
      </c>
    </row>
    <row r="389" spans="1:15" hidden="1" outlineLevel="1">
      <c r="A389" s="671" t="s">
        <v>879</v>
      </c>
      <c r="B389" s="672">
        <v>7</v>
      </c>
      <c r="C389" s="674">
        <v>2023</v>
      </c>
      <c r="D389" s="677">
        <v>0</v>
      </c>
      <c r="E389" s="679">
        <v>0</v>
      </c>
      <c r="F389" s="675">
        <v>164465</v>
      </c>
      <c r="G389" s="679">
        <v>8897.57</v>
      </c>
      <c r="H389" s="675">
        <v>1069346</v>
      </c>
      <c r="I389" s="679">
        <v>107962.56</v>
      </c>
      <c r="J389" s="679">
        <v>-1020.35</v>
      </c>
      <c r="K389" s="674">
        <v>0</v>
      </c>
      <c r="L389" s="191">
        <f t="shared" si="25"/>
        <v>115839.78</v>
      </c>
      <c r="M389" t="s">
        <v>880</v>
      </c>
      <c r="O389" t="str">
        <f t="shared" si="26"/>
        <v>Regelzone TenneT (gesamt)</v>
      </c>
    </row>
    <row r="390" spans="1:15" hidden="1" outlineLevel="1">
      <c r="A390" s="671" t="s">
        <v>1090</v>
      </c>
      <c r="B390" s="672">
        <v>7</v>
      </c>
      <c r="C390" s="674">
        <v>2023</v>
      </c>
      <c r="D390" s="673">
        <v>0</v>
      </c>
      <c r="E390" s="679">
        <v>0</v>
      </c>
      <c r="F390" s="672">
        <v>206105</v>
      </c>
      <c r="G390" s="679">
        <v>11150.26</v>
      </c>
      <c r="H390" s="672">
        <v>69825</v>
      </c>
      <c r="I390" s="679">
        <v>14945.23</v>
      </c>
      <c r="J390" s="679">
        <v>-711.01</v>
      </c>
      <c r="K390" s="674">
        <v>0</v>
      </c>
      <c r="L390" s="191">
        <f t="shared" si="25"/>
        <v>25384.48</v>
      </c>
      <c r="M390" t="s">
        <v>1091</v>
      </c>
      <c r="O390" t="str">
        <f t="shared" si="26"/>
        <v>Regelzone TenneT (gesamt)</v>
      </c>
    </row>
    <row r="391" spans="1:15" hidden="1" outlineLevel="1">
      <c r="A391" s="671" t="s">
        <v>1778</v>
      </c>
      <c r="B391" s="672">
        <v>7</v>
      </c>
      <c r="C391" s="674">
        <v>2023</v>
      </c>
      <c r="D391" s="673">
        <v>0</v>
      </c>
      <c r="E391" s="679">
        <v>0</v>
      </c>
      <c r="F391" s="675">
        <v>0</v>
      </c>
      <c r="G391" s="679">
        <v>0</v>
      </c>
      <c r="H391" s="675">
        <v>52616</v>
      </c>
      <c r="I391" s="679">
        <v>8084.93</v>
      </c>
      <c r="J391" s="679">
        <v>0</v>
      </c>
      <c r="K391" s="674">
        <v>0</v>
      </c>
      <c r="L391" s="191">
        <f t="shared" si="25"/>
        <v>8084.93</v>
      </c>
      <c r="M391" t="s">
        <v>1779</v>
      </c>
      <c r="O391" t="str">
        <f t="shared" si="26"/>
        <v>Regelzone TenneT (gesamt)</v>
      </c>
    </row>
    <row r="392" spans="1:15" hidden="1" outlineLevel="1">
      <c r="A392" s="671" t="s">
        <v>1030</v>
      </c>
      <c r="B392" s="672">
        <v>7</v>
      </c>
      <c r="C392" s="674">
        <v>2023</v>
      </c>
      <c r="D392" s="673">
        <v>0</v>
      </c>
      <c r="E392" s="679">
        <v>0</v>
      </c>
      <c r="F392" s="675">
        <v>16414</v>
      </c>
      <c r="G392" s="679">
        <v>888</v>
      </c>
      <c r="H392" s="675">
        <v>69932.172999999995</v>
      </c>
      <c r="I392" s="679">
        <v>10428.64</v>
      </c>
      <c r="J392" s="679">
        <v>0</v>
      </c>
      <c r="K392" s="674">
        <v>0</v>
      </c>
      <c r="L392" s="191">
        <f t="shared" ref="L392:L440" si="27">E392+G392+I392+J392+K392</f>
        <v>11316.64</v>
      </c>
      <c r="M392" t="s">
        <v>1031</v>
      </c>
      <c r="O392" t="str">
        <f t="shared" si="26"/>
        <v>Regelzone TenneT (gesamt)</v>
      </c>
    </row>
    <row r="393" spans="1:15" hidden="1" outlineLevel="1">
      <c r="A393" s="671" t="s">
        <v>839</v>
      </c>
      <c r="B393" s="672">
        <v>7</v>
      </c>
      <c r="C393" s="674">
        <v>2023</v>
      </c>
      <c r="D393" s="673">
        <v>0</v>
      </c>
      <c r="E393" s="679">
        <v>0</v>
      </c>
      <c r="F393" s="675">
        <v>421532</v>
      </c>
      <c r="G393" s="679">
        <v>22804.880000000001</v>
      </c>
      <c r="H393" s="675">
        <v>48639</v>
      </c>
      <c r="I393" s="679">
        <v>5639.04</v>
      </c>
      <c r="J393" s="679">
        <v>0</v>
      </c>
      <c r="K393" s="674">
        <v>0</v>
      </c>
      <c r="L393" s="191">
        <f t="shared" si="27"/>
        <v>28443.920000000002</v>
      </c>
      <c r="M393" t="s">
        <v>1311</v>
      </c>
      <c r="O393" t="str">
        <f t="shared" si="26"/>
        <v>Regelzone TenneT (gesamt)</v>
      </c>
    </row>
    <row r="394" spans="1:15" hidden="1" outlineLevel="1">
      <c r="A394" s="671" t="s">
        <v>1782</v>
      </c>
      <c r="B394" s="672">
        <v>7</v>
      </c>
      <c r="C394" s="674">
        <v>2023</v>
      </c>
      <c r="D394" s="673">
        <v>0</v>
      </c>
      <c r="E394" s="679">
        <v>0</v>
      </c>
      <c r="F394" s="672">
        <v>-32</v>
      </c>
      <c r="G394" s="679">
        <v>-1.73</v>
      </c>
      <c r="H394" s="675">
        <v>321238</v>
      </c>
      <c r="I394" s="679">
        <v>30534.34</v>
      </c>
      <c r="J394" s="679">
        <v>60341.89</v>
      </c>
      <c r="K394" s="674">
        <v>0</v>
      </c>
      <c r="L394" s="191">
        <f t="shared" si="27"/>
        <v>90874.5</v>
      </c>
      <c r="M394" t="s">
        <v>1783</v>
      </c>
      <c r="O394" t="str">
        <f t="shared" si="26"/>
        <v>Regelzone TenneT (gesamt)</v>
      </c>
    </row>
    <row r="395" spans="1:15" hidden="1" outlineLevel="1">
      <c r="A395" s="671" t="s">
        <v>1522</v>
      </c>
      <c r="B395" s="672">
        <v>7</v>
      </c>
      <c r="C395" s="674">
        <v>2023</v>
      </c>
      <c r="D395" s="673">
        <v>0</v>
      </c>
      <c r="E395" s="679">
        <v>0</v>
      </c>
      <c r="F395" s="672">
        <v>0</v>
      </c>
      <c r="G395" s="679">
        <v>0</v>
      </c>
      <c r="H395" s="675">
        <v>0</v>
      </c>
      <c r="I395" s="679">
        <v>0</v>
      </c>
      <c r="J395" s="679">
        <v>207.09</v>
      </c>
      <c r="K395" s="674">
        <v>0</v>
      </c>
      <c r="L395" s="191">
        <f t="shared" si="27"/>
        <v>207.09</v>
      </c>
      <c r="M395" t="s">
        <v>1523</v>
      </c>
      <c r="O395" t="str">
        <f t="shared" si="26"/>
        <v>Regelzone TenneT (gesamt)</v>
      </c>
    </row>
    <row r="396" spans="1:15" hidden="1" outlineLevel="1">
      <c r="A396" s="671" t="s">
        <v>1364</v>
      </c>
      <c r="B396" s="672">
        <v>7</v>
      </c>
      <c r="C396" s="674">
        <v>2023</v>
      </c>
      <c r="D396" s="673">
        <v>0</v>
      </c>
      <c r="E396" s="679">
        <v>0</v>
      </c>
      <c r="F396" s="672">
        <v>121358.7</v>
      </c>
      <c r="G396" s="679">
        <v>6565.51</v>
      </c>
      <c r="H396" s="675">
        <v>-0.03</v>
      </c>
      <c r="I396" s="679">
        <v>6185.21</v>
      </c>
      <c r="J396" s="679">
        <v>0</v>
      </c>
      <c r="K396" s="674">
        <v>0</v>
      </c>
      <c r="L396" s="191">
        <f t="shared" si="27"/>
        <v>12750.720000000001</v>
      </c>
      <c r="M396" t="s">
        <v>1365</v>
      </c>
      <c r="O396" t="str">
        <f t="shared" si="26"/>
        <v>Regelzone TenneT (gesamt)</v>
      </c>
    </row>
    <row r="397" spans="1:15" hidden="1" outlineLevel="1">
      <c r="A397" s="671" t="s">
        <v>1582</v>
      </c>
      <c r="B397" s="672">
        <v>7</v>
      </c>
      <c r="C397" s="674">
        <v>2024</v>
      </c>
      <c r="D397" s="673">
        <v>0</v>
      </c>
      <c r="E397" s="679">
        <v>0</v>
      </c>
      <c r="F397" s="672">
        <v>0</v>
      </c>
      <c r="G397" s="679">
        <v>0</v>
      </c>
      <c r="H397" s="675">
        <v>87146</v>
      </c>
      <c r="I397" s="679">
        <v>13943.36</v>
      </c>
      <c r="J397" s="679">
        <v>0</v>
      </c>
      <c r="K397" s="674">
        <v>0</v>
      </c>
      <c r="L397" s="191">
        <f t="shared" si="27"/>
        <v>13943.36</v>
      </c>
      <c r="M397" t="s">
        <v>1583</v>
      </c>
      <c r="O397" t="str">
        <f t="shared" si="26"/>
        <v>Regelzone TenneT (gesamt)</v>
      </c>
    </row>
    <row r="398" spans="1:15" hidden="1" outlineLevel="1">
      <c r="A398" s="671" t="s">
        <v>1320</v>
      </c>
      <c r="B398" s="672">
        <v>7</v>
      </c>
      <c r="C398" s="674">
        <v>2024</v>
      </c>
      <c r="D398" s="673">
        <v>0</v>
      </c>
      <c r="E398" s="679">
        <v>0</v>
      </c>
      <c r="F398" s="672">
        <v>-46</v>
      </c>
      <c r="G398" s="679">
        <v>-2.4900000000000002</v>
      </c>
      <c r="H398" s="675">
        <v>0</v>
      </c>
      <c r="I398" s="679">
        <v>0</v>
      </c>
      <c r="J398" s="679">
        <v>0</v>
      </c>
      <c r="K398" s="674">
        <v>0</v>
      </c>
      <c r="L398" s="191">
        <f t="shared" si="27"/>
        <v>-2.4900000000000002</v>
      </c>
      <c r="M398" t="s">
        <v>1321</v>
      </c>
      <c r="O398" t="str">
        <f t="shared" si="26"/>
        <v>Regelzone TenneT (gesamt)</v>
      </c>
    </row>
    <row r="399" spans="1:15" hidden="1" outlineLevel="1">
      <c r="A399" s="671" t="s">
        <v>692</v>
      </c>
      <c r="B399" s="672">
        <v>7</v>
      </c>
      <c r="C399" s="674">
        <v>2024</v>
      </c>
      <c r="D399" s="673">
        <v>0</v>
      </c>
      <c r="E399" s="679">
        <v>0</v>
      </c>
      <c r="F399" s="672">
        <v>0</v>
      </c>
      <c r="G399" s="679">
        <v>0</v>
      </c>
      <c r="H399" s="675">
        <v>-19277</v>
      </c>
      <c r="I399" s="679">
        <v>-1542.16</v>
      </c>
      <c r="J399" s="679">
        <v>0</v>
      </c>
      <c r="K399" s="674">
        <v>0</v>
      </c>
      <c r="L399" s="191">
        <f t="shared" si="27"/>
        <v>-1542.16</v>
      </c>
      <c r="M399" t="s">
        <v>1668</v>
      </c>
      <c r="O399" t="str">
        <f t="shared" si="26"/>
        <v>Regelzone TenneT (gesamt)</v>
      </c>
    </row>
    <row r="400" spans="1:15" hidden="1" outlineLevel="1">
      <c r="A400" s="671" t="s">
        <v>1283</v>
      </c>
      <c r="B400" s="672">
        <v>7</v>
      </c>
      <c r="C400" s="674">
        <v>2024</v>
      </c>
      <c r="D400" s="673">
        <v>0</v>
      </c>
      <c r="E400" s="679">
        <v>0</v>
      </c>
      <c r="F400" s="672">
        <v>20737</v>
      </c>
      <c r="G400" s="679">
        <v>1121.8699999999999</v>
      </c>
      <c r="H400" s="675">
        <v>58041</v>
      </c>
      <c r="I400" s="679">
        <v>5801.68</v>
      </c>
      <c r="J400" s="679">
        <v>0</v>
      </c>
      <c r="K400" s="674">
        <v>0</v>
      </c>
      <c r="L400" s="191">
        <f t="shared" si="27"/>
        <v>6923.55</v>
      </c>
      <c r="M400" t="s">
        <v>1284</v>
      </c>
      <c r="O400" t="str">
        <f t="shared" si="26"/>
        <v>Regelzone TenneT (gesamt)</v>
      </c>
    </row>
    <row r="401" spans="1:15" hidden="1" outlineLevel="1">
      <c r="A401" s="671" t="s">
        <v>1814</v>
      </c>
      <c r="B401" s="672">
        <v>7</v>
      </c>
      <c r="C401" s="674">
        <v>2024</v>
      </c>
      <c r="D401" s="673">
        <v>0</v>
      </c>
      <c r="E401" s="679">
        <v>0</v>
      </c>
      <c r="F401" s="672">
        <v>0</v>
      </c>
      <c r="G401" s="679">
        <v>0</v>
      </c>
      <c r="H401" s="675">
        <v>22000</v>
      </c>
      <c r="I401" s="679">
        <v>2893.04</v>
      </c>
      <c r="J401" s="679">
        <v>0</v>
      </c>
      <c r="K401" s="674">
        <v>0</v>
      </c>
      <c r="L401" s="191">
        <f t="shared" si="27"/>
        <v>2893.04</v>
      </c>
      <c r="M401" t="s">
        <v>1815</v>
      </c>
      <c r="O401" t="str">
        <f t="shared" si="26"/>
        <v>Regelzone TenneT (gesamt)</v>
      </c>
    </row>
    <row r="402" spans="1:15" hidden="1" outlineLevel="1">
      <c r="A402" s="671" t="s">
        <v>1504</v>
      </c>
      <c r="B402" s="672">
        <v>7</v>
      </c>
      <c r="C402" s="674">
        <v>2024</v>
      </c>
      <c r="D402" s="673">
        <v>0</v>
      </c>
      <c r="E402" s="679">
        <v>0</v>
      </c>
      <c r="F402" s="672">
        <v>0</v>
      </c>
      <c r="G402" s="679">
        <v>0</v>
      </c>
      <c r="H402" s="675">
        <v>976399.88300000003</v>
      </c>
      <c r="I402" s="679">
        <v>57690.87</v>
      </c>
      <c r="J402" s="679">
        <v>0</v>
      </c>
      <c r="K402" s="674">
        <v>0</v>
      </c>
      <c r="L402" s="191">
        <f t="shared" si="27"/>
        <v>57690.87</v>
      </c>
      <c r="M402" t="s">
        <v>1505</v>
      </c>
      <c r="O402" t="str">
        <f t="shared" si="26"/>
        <v>Regelzone TenneT (gesamt)</v>
      </c>
    </row>
    <row r="403" spans="1:15" hidden="1" outlineLevel="1">
      <c r="A403" s="671" t="s">
        <v>1548</v>
      </c>
      <c r="B403" s="672">
        <v>7</v>
      </c>
      <c r="C403" s="674">
        <v>2024</v>
      </c>
      <c r="D403" s="673">
        <v>0</v>
      </c>
      <c r="E403" s="679">
        <v>0</v>
      </c>
      <c r="F403" s="672">
        <v>0</v>
      </c>
      <c r="G403" s="679">
        <v>0</v>
      </c>
      <c r="H403" s="675">
        <v>17129.89</v>
      </c>
      <c r="I403" s="679">
        <v>1369.76</v>
      </c>
      <c r="J403" s="679">
        <v>0</v>
      </c>
      <c r="K403" s="674">
        <v>0</v>
      </c>
      <c r="L403" s="191">
        <f t="shared" si="27"/>
        <v>1369.76</v>
      </c>
      <c r="M403" t="s">
        <v>1549</v>
      </c>
      <c r="O403" t="str">
        <f t="shared" si="26"/>
        <v>Regelzone TenneT (gesamt)</v>
      </c>
    </row>
    <row r="404" spans="1:15" hidden="1" outlineLevel="1">
      <c r="A404" s="671" t="s">
        <v>580</v>
      </c>
      <c r="B404" s="672">
        <v>7</v>
      </c>
      <c r="C404" s="674">
        <v>2024</v>
      </c>
      <c r="D404" s="673">
        <v>0</v>
      </c>
      <c r="E404" s="679">
        <v>0</v>
      </c>
      <c r="F404" s="672">
        <v>0</v>
      </c>
      <c r="G404" s="679">
        <v>0</v>
      </c>
      <c r="H404" s="675">
        <v>40074</v>
      </c>
      <c r="I404" s="679">
        <v>3207.76</v>
      </c>
      <c r="J404" s="679">
        <v>0</v>
      </c>
      <c r="K404" s="674">
        <v>0</v>
      </c>
      <c r="L404" s="191">
        <f t="shared" si="27"/>
        <v>3207.76</v>
      </c>
      <c r="M404" t="s">
        <v>581</v>
      </c>
      <c r="O404" t="str">
        <f t="shared" si="26"/>
        <v>Regelzone TenneT (gesamt)</v>
      </c>
    </row>
    <row r="405" spans="1:15" hidden="1" outlineLevel="1">
      <c r="A405" s="671" t="s">
        <v>1293</v>
      </c>
      <c r="B405" s="672">
        <v>7</v>
      </c>
      <c r="C405" s="674">
        <v>2024</v>
      </c>
      <c r="D405" s="673">
        <v>0</v>
      </c>
      <c r="E405" s="679">
        <v>0</v>
      </c>
      <c r="F405" s="672">
        <v>0</v>
      </c>
      <c r="G405" s="679">
        <v>0</v>
      </c>
      <c r="H405" s="675">
        <v>102280</v>
      </c>
      <c r="I405" s="679">
        <v>5533.35</v>
      </c>
      <c r="J405" s="679">
        <v>0</v>
      </c>
      <c r="K405" s="674">
        <v>0</v>
      </c>
      <c r="L405" s="191">
        <f t="shared" si="27"/>
        <v>5533.35</v>
      </c>
      <c r="M405" t="s">
        <v>1294</v>
      </c>
      <c r="O405" t="str">
        <f t="shared" si="26"/>
        <v>Regelzone TenneT (gesamt)</v>
      </c>
    </row>
    <row r="406" spans="1:15" hidden="1" outlineLevel="1">
      <c r="A406" s="671" t="s">
        <v>1232</v>
      </c>
      <c r="B406" s="672">
        <v>7</v>
      </c>
      <c r="C406" s="674">
        <v>2024</v>
      </c>
      <c r="D406" s="673">
        <v>0</v>
      </c>
      <c r="E406" s="679">
        <v>0</v>
      </c>
      <c r="F406" s="672">
        <v>0</v>
      </c>
      <c r="G406" s="679">
        <v>0</v>
      </c>
      <c r="H406" s="675">
        <v>254429</v>
      </c>
      <c r="I406" s="679">
        <v>22251.360000000001</v>
      </c>
      <c r="J406" s="679">
        <v>0</v>
      </c>
      <c r="K406" s="674">
        <v>0</v>
      </c>
      <c r="L406" s="191">
        <f t="shared" si="27"/>
        <v>22251.360000000001</v>
      </c>
      <c r="M406" t="s">
        <v>1233</v>
      </c>
      <c r="O406" t="str">
        <f t="shared" si="26"/>
        <v>Regelzone TenneT (gesamt)</v>
      </c>
    </row>
    <row r="407" spans="1:15" hidden="1" outlineLevel="1">
      <c r="A407" s="671" t="s">
        <v>1444</v>
      </c>
      <c r="B407" s="672">
        <v>7</v>
      </c>
      <c r="C407" s="674">
        <v>2024</v>
      </c>
      <c r="D407" s="673">
        <v>0</v>
      </c>
      <c r="E407" s="679">
        <v>0</v>
      </c>
      <c r="F407" s="672">
        <v>40108.796000000002</v>
      </c>
      <c r="G407" s="679">
        <v>1816.7</v>
      </c>
      <c r="H407" s="675">
        <v>451732.89</v>
      </c>
      <c r="I407" s="679">
        <v>26385.07</v>
      </c>
      <c r="J407" s="679">
        <v>-632.23</v>
      </c>
      <c r="K407" s="674">
        <v>0</v>
      </c>
      <c r="L407" s="191">
        <f t="shared" si="27"/>
        <v>27569.54</v>
      </c>
      <c r="M407" t="s">
        <v>1445</v>
      </c>
      <c r="O407" t="str">
        <f t="shared" si="26"/>
        <v>Regelzone TenneT (gesamt)</v>
      </c>
    </row>
    <row r="408" spans="1:15" hidden="1" outlineLevel="1">
      <c r="A408" s="671" t="s">
        <v>1675</v>
      </c>
      <c r="B408" s="672">
        <v>7</v>
      </c>
      <c r="C408" s="674">
        <v>2024</v>
      </c>
      <c r="D408" s="673">
        <v>0</v>
      </c>
      <c r="E408" s="679">
        <v>0</v>
      </c>
      <c r="F408" s="672">
        <v>112210</v>
      </c>
      <c r="G408" s="679">
        <v>6070.56</v>
      </c>
      <c r="H408" s="675">
        <v>3810293.8939999999</v>
      </c>
      <c r="I408" s="679">
        <v>250449.41</v>
      </c>
      <c r="J408" s="679">
        <v>108.19</v>
      </c>
      <c r="K408" s="674">
        <v>0</v>
      </c>
      <c r="L408" s="191">
        <f t="shared" si="27"/>
        <v>256628.16</v>
      </c>
      <c r="M408" t="s">
        <v>1676</v>
      </c>
      <c r="O408" t="str">
        <f t="shared" si="26"/>
        <v>Regelzone TenneT (gesamt)</v>
      </c>
    </row>
    <row r="409" spans="1:15" hidden="1" outlineLevel="1">
      <c r="A409" s="671" t="s">
        <v>1374</v>
      </c>
      <c r="B409" s="672">
        <v>7</v>
      </c>
      <c r="C409" s="674">
        <v>2024</v>
      </c>
      <c r="D409" s="673">
        <v>0</v>
      </c>
      <c r="E409" s="679">
        <v>0</v>
      </c>
      <c r="F409" s="672">
        <v>0</v>
      </c>
      <c r="G409" s="679">
        <v>0</v>
      </c>
      <c r="H409" s="675">
        <v>39001</v>
      </c>
      <c r="I409" s="679">
        <v>3800.21</v>
      </c>
      <c r="J409" s="679">
        <v>0</v>
      </c>
      <c r="K409" s="674">
        <v>0</v>
      </c>
      <c r="L409" s="191">
        <f t="shared" si="27"/>
        <v>3800.21</v>
      </c>
      <c r="M409" t="s">
        <v>1375</v>
      </c>
      <c r="O409" t="str">
        <f t="shared" si="26"/>
        <v>Regelzone TenneT (gesamt)</v>
      </c>
    </row>
    <row r="410" spans="1:15" hidden="1" outlineLevel="1">
      <c r="A410" s="671" t="s">
        <v>1299</v>
      </c>
      <c r="B410" s="672">
        <v>7</v>
      </c>
      <c r="C410" s="674">
        <v>2024</v>
      </c>
      <c r="D410" s="673">
        <v>0</v>
      </c>
      <c r="E410" s="679">
        <v>0</v>
      </c>
      <c r="F410" s="672">
        <v>0</v>
      </c>
      <c r="G410" s="679">
        <v>0</v>
      </c>
      <c r="H410" s="675">
        <v>115480</v>
      </c>
      <c r="I410" s="679">
        <v>4745.5200000000004</v>
      </c>
      <c r="J410" s="679">
        <v>0</v>
      </c>
      <c r="K410" s="674">
        <v>0</v>
      </c>
      <c r="L410" s="191">
        <f t="shared" si="27"/>
        <v>4745.5200000000004</v>
      </c>
      <c r="M410" t="s">
        <v>1300</v>
      </c>
      <c r="O410" t="str">
        <f t="shared" si="26"/>
        <v>Regelzone TenneT (gesamt)</v>
      </c>
    </row>
    <row r="411" spans="1:15" hidden="1" outlineLevel="1">
      <c r="A411" s="671" t="s">
        <v>1251</v>
      </c>
      <c r="B411" s="672">
        <v>7</v>
      </c>
      <c r="C411" s="674">
        <v>2024</v>
      </c>
      <c r="D411" s="673">
        <v>0</v>
      </c>
      <c r="E411" s="679">
        <v>0</v>
      </c>
      <c r="F411" s="672">
        <v>0</v>
      </c>
      <c r="G411" s="679">
        <v>0</v>
      </c>
      <c r="H411" s="675">
        <v>31166</v>
      </c>
      <c r="I411" s="679">
        <v>4901.76</v>
      </c>
      <c r="J411" s="679">
        <v>0</v>
      </c>
      <c r="K411" s="674">
        <v>0</v>
      </c>
      <c r="L411" s="191">
        <f t="shared" si="27"/>
        <v>4901.76</v>
      </c>
      <c r="M411" t="s">
        <v>1252</v>
      </c>
      <c r="O411" t="str">
        <f t="shared" si="26"/>
        <v>Regelzone TenneT (gesamt)</v>
      </c>
    </row>
    <row r="412" spans="1:15" hidden="1" outlineLevel="1">
      <c r="A412" s="671" t="s">
        <v>1402</v>
      </c>
      <c r="B412" s="672">
        <v>7</v>
      </c>
      <c r="C412" s="674">
        <v>2024</v>
      </c>
      <c r="D412" s="673">
        <v>0</v>
      </c>
      <c r="E412" s="679">
        <v>0</v>
      </c>
      <c r="F412" s="672">
        <v>12644</v>
      </c>
      <c r="G412" s="679">
        <v>684.04</v>
      </c>
      <c r="H412" s="675">
        <v>61026</v>
      </c>
      <c r="I412" s="679">
        <v>5439.44</v>
      </c>
      <c r="J412" s="679">
        <v>0</v>
      </c>
      <c r="K412" s="674">
        <v>0</v>
      </c>
      <c r="L412" s="191">
        <f t="shared" si="27"/>
        <v>6123.48</v>
      </c>
      <c r="M412" t="s">
        <v>1403</v>
      </c>
      <c r="O412" t="str">
        <f t="shared" si="26"/>
        <v>Regelzone TenneT (gesamt)</v>
      </c>
    </row>
    <row r="413" spans="1:15" hidden="1" outlineLevel="1">
      <c r="A413" s="671" t="s">
        <v>1408</v>
      </c>
      <c r="B413" s="672">
        <v>7</v>
      </c>
      <c r="C413" s="674">
        <v>2024</v>
      </c>
      <c r="D413" s="673">
        <v>0</v>
      </c>
      <c r="E413" s="679">
        <v>0</v>
      </c>
      <c r="F413" s="672">
        <v>269215.47100000002</v>
      </c>
      <c r="G413" s="679">
        <v>14564.57</v>
      </c>
      <c r="H413" s="675">
        <v>641111.68799999997</v>
      </c>
      <c r="I413" s="679">
        <v>44160.47</v>
      </c>
      <c r="J413" s="679">
        <v>-5801.2</v>
      </c>
      <c r="K413" s="674">
        <v>0</v>
      </c>
      <c r="L413" s="191">
        <f t="shared" si="27"/>
        <v>52923.840000000004</v>
      </c>
      <c r="M413" t="s">
        <v>1409</v>
      </c>
      <c r="O413" t="str">
        <f t="shared" si="26"/>
        <v>Regelzone TenneT (gesamt)</v>
      </c>
    </row>
    <row r="414" spans="1:15" hidden="1" outlineLevel="1">
      <c r="A414" s="671" t="s">
        <v>1532</v>
      </c>
      <c r="B414" s="672">
        <v>7</v>
      </c>
      <c r="C414" s="674">
        <v>2024</v>
      </c>
      <c r="D414" s="673">
        <v>0</v>
      </c>
      <c r="E414" s="679">
        <v>0</v>
      </c>
      <c r="F414" s="672">
        <v>0</v>
      </c>
      <c r="G414" s="679">
        <v>0</v>
      </c>
      <c r="H414" s="675">
        <v>60754</v>
      </c>
      <c r="I414" s="679">
        <v>2529.16</v>
      </c>
      <c r="J414" s="679">
        <v>0</v>
      </c>
      <c r="K414" s="674">
        <v>0</v>
      </c>
      <c r="L414" s="191">
        <f t="shared" si="27"/>
        <v>2529.16</v>
      </c>
      <c r="M414" t="s">
        <v>1533</v>
      </c>
      <c r="O414" t="str">
        <f t="shared" si="26"/>
        <v>Regelzone TenneT (gesamt)</v>
      </c>
    </row>
    <row r="415" spans="1:15" hidden="1" outlineLevel="1">
      <c r="A415" s="671" t="s">
        <v>1588</v>
      </c>
      <c r="B415" s="672">
        <v>7</v>
      </c>
      <c r="C415" s="674">
        <v>2024</v>
      </c>
      <c r="D415" s="673">
        <v>0</v>
      </c>
      <c r="E415" s="679">
        <v>0</v>
      </c>
      <c r="F415" s="672">
        <v>5228</v>
      </c>
      <c r="G415" s="679">
        <v>282.83</v>
      </c>
      <c r="H415" s="675">
        <v>-1108.2449999999999</v>
      </c>
      <c r="I415" s="679">
        <v>4860.3900000000003</v>
      </c>
      <c r="J415" s="679">
        <v>0</v>
      </c>
      <c r="K415" s="674">
        <v>0</v>
      </c>
      <c r="L415" s="191">
        <f t="shared" si="27"/>
        <v>5143.22</v>
      </c>
      <c r="M415" t="s">
        <v>1589</v>
      </c>
      <c r="O415" t="str">
        <f t="shared" si="26"/>
        <v>Regelzone TenneT (gesamt)</v>
      </c>
    </row>
    <row r="416" spans="1:15" hidden="1" outlineLevel="1">
      <c r="A416" s="671" t="s">
        <v>1642</v>
      </c>
      <c r="B416" s="672">
        <v>7</v>
      </c>
      <c r="C416" s="674">
        <v>2024</v>
      </c>
      <c r="D416" s="673">
        <v>0</v>
      </c>
      <c r="E416" s="679">
        <v>0</v>
      </c>
      <c r="F416" s="672">
        <v>0</v>
      </c>
      <c r="G416" s="679">
        <v>0</v>
      </c>
      <c r="H416" s="675">
        <v>-2485</v>
      </c>
      <c r="I416" s="679">
        <v>-198.8</v>
      </c>
      <c r="J416" s="679">
        <v>0</v>
      </c>
      <c r="K416" s="674">
        <v>0</v>
      </c>
      <c r="L416" s="191">
        <f t="shared" si="27"/>
        <v>-198.8</v>
      </c>
      <c r="M416" t="s">
        <v>1643</v>
      </c>
      <c r="O416" t="str">
        <f t="shared" si="26"/>
        <v>Regelzone TenneT (gesamt)</v>
      </c>
    </row>
    <row r="417" spans="1:15" hidden="1" outlineLevel="1">
      <c r="A417" s="671" t="s">
        <v>1229</v>
      </c>
      <c r="B417" s="672">
        <v>7</v>
      </c>
      <c r="C417" s="674">
        <v>2024</v>
      </c>
      <c r="D417" s="673">
        <v>0</v>
      </c>
      <c r="E417" s="679">
        <v>0</v>
      </c>
      <c r="F417" s="672">
        <v>81710</v>
      </c>
      <c r="G417" s="679">
        <v>4420.51</v>
      </c>
      <c r="H417" s="675">
        <v>1575980.7</v>
      </c>
      <c r="I417" s="679">
        <v>81218.63</v>
      </c>
      <c r="J417" s="679">
        <v>0</v>
      </c>
      <c r="K417" s="674">
        <v>0</v>
      </c>
      <c r="L417" s="191">
        <f t="shared" si="27"/>
        <v>85639.14</v>
      </c>
      <c r="M417" t="s">
        <v>1230</v>
      </c>
      <c r="O417" t="str">
        <f t="shared" si="26"/>
        <v>Regelzone TenneT (gesamt)</v>
      </c>
    </row>
    <row r="418" spans="1:15" hidden="1" outlineLevel="1">
      <c r="A418" s="671" t="s">
        <v>1616</v>
      </c>
      <c r="B418" s="672">
        <v>7</v>
      </c>
      <c r="C418" s="674">
        <v>2024</v>
      </c>
      <c r="D418" s="673">
        <v>0</v>
      </c>
      <c r="E418" s="679">
        <v>0</v>
      </c>
      <c r="F418" s="672">
        <v>0</v>
      </c>
      <c r="G418" s="679">
        <v>0</v>
      </c>
      <c r="H418" s="675">
        <v>22000</v>
      </c>
      <c r="I418" s="679">
        <v>3468.64</v>
      </c>
      <c r="J418" s="679">
        <v>0</v>
      </c>
      <c r="K418" s="674">
        <v>0</v>
      </c>
      <c r="L418" s="191">
        <f t="shared" si="27"/>
        <v>3468.64</v>
      </c>
      <c r="M418" t="s">
        <v>1617</v>
      </c>
      <c r="O418" t="str">
        <f t="shared" si="26"/>
        <v>Regelzone TenneT (gesamt)</v>
      </c>
    </row>
    <row r="419" spans="1:15" hidden="1" outlineLevel="1">
      <c r="A419" s="671" t="s">
        <v>1604</v>
      </c>
      <c r="B419" s="672">
        <v>7</v>
      </c>
      <c r="C419" s="674">
        <v>2024</v>
      </c>
      <c r="D419" s="673">
        <v>0</v>
      </c>
      <c r="E419" s="679">
        <v>0</v>
      </c>
      <c r="F419" s="672">
        <v>0</v>
      </c>
      <c r="G419" s="679">
        <v>0</v>
      </c>
      <c r="H419" s="675">
        <v>-52929</v>
      </c>
      <c r="I419" s="679">
        <v>11604.2</v>
      </c>
      <c r="J419" s="679">
        <v>0</v>
      </c>
      <c r="K419" s="676">
        <v>0</v>
      </c>
      <c r="L419" s="191">
        <f t="shared" si="27"/>
        <v>11604.2</v>
      </c>
      <c r="M419" t="s">
        <v>1605</v>
      </c>
      <c r="O419" t="str">
        <f t="shared" si="26"/>
        <v>Regelzone TenneT (gesamt)</v>
      </c>
    </row>
    <row r="420" spans="1:15" hidden="1" outlineLevel="1">
      <c r="A420" s="671" t="s">
        <v>1554</v>
      </c>
      <c r="B420" s="672">
        <v>7</v>
      </c>
      <c r="C420" s="674">
        <v>2024</v>
      </c>
      <c r="D420" s="673">
        <v>0</v>
      </c>
      <c r="E420" s="679">
        <v>0</v>
      </c>
      <c r="F420" s="672">
        <v>0</v>
      </c>
      <c r="G420" s="679">
        <v>0</v>
      </c>
      <c r="H420" s="675">
        <v>7770</v>
      </c>
      <c r="I420" s="679">
        <v>733.84</v>
      </c>
      <c r="J420" s="679">
        <v>0</v>
      </c>
      <c r="K420" s="674">
        <v>0</v>
      </c>
      <c r="L420" s="191">
        <f t="shared" si="27"/>
        <v>733.84</v>
      </c>
      <c r="M420" t="s">
        <v>1555</v>
      </c>
      <c r="O420" t="str">
        <f t="shared" si="26"/>
        <v>Regelzone TenneT (gesamt)</v>
      </c>
    </row>
    <row r="421" spans="1:15" hidden="1" outlineLevel="1">
      <c r="A421" s="671" t="s">
        <v>891</v>
      </c>
      <c r="B421" s="672">
        <v>7</v>
      </c>
      <c r="C421" s="674">
        <v>2024</v>
      </c>
      <c r="D421" s="673">
        <v>0</v>
      </c>
      <c r="E421" s="679">
        <v>0</v>
      </c>
      <c r="F421" s="675">
        <v>0</v>
      </c>
      <c r="G421" s="679">
        <v>0</v>
      </c>
      <c r="H421" s="672">
        <v>1033</v>
      </c>
      <c r="I421" s="679">
        <v>165.28</v>
      </c>
      <c r="J421" s="679">
        <v>0</v>
      </c>
      <c r="K421" s="674">
        <v>0</v>
      </c>
      <c r="L421" s="191">
        <f t="shared" si="27"/>
        <v>165.28</v>
      </c>
      <c r="M421" t="s">
        <v>892</v>
      </c>
      <c r="O421" t="str">
        <f t="shared" si="26"/>
        <v>Regelzone TenneT (gesamt)</v>
      </c>
    </row>
    <row r="422" spans="1:15" hidden="1" outlineLevel="1">
      <c r="A422" s="671" t="s">
        <v>1494</v>
      </c>
      <c r="B422" s="672">
        <v>7</v>
      </c>
      <c r="C422" s="674">
        <v>2024</v>
      </c>
      <c r="D422" s="673">
        <v>0</v>
      </c>
      <c r="E422" s="679">
        <v>0</v>
      </c>
      <c r="F422" s="672">
        <v>0</v>
      </c>
      <c r="G422" s="679">
        <v>0</v>
      </c>
      <c r="H422" s="675">
        <v>62356</v>
      </c>
      <c r="I422" s="679">
        <v>4008.67</v>
      </c>
      <c r="J422" s="679">
        <v>0</v>
      </c>
      <c r="K422" s="674">
        <v>0</v>
      </c>
      <c r="L422" s="191">
        <f t="shared" si="27"/>
        <v>4008.67</v>
      </c>
      <c r="M422" t="s">
        <v>1495</v>
      </c>
      <c r="O422" t="str">
        <f t="shared" si="26"/>
        <v>Regelzone TenneT (gesamt)</v>
      </c>
    </row>
    <row r="423" spans="1:15" hidden="1" outlineLevel="1">
      <c r="A423" s="671" t="s">
        <v>1666</v>
      </c>
      <c r="B423" s="672">
        <v>7</v>
      </c>
      <c r="C423" s="674">
        <v>2024</v>
      </c>
      <c r="D423" s="673">
        <v>0</v>
      </c>
      <c r="E423" s="679">
        <v>0</v>
      </c>
      <c r="F423" s="672">
        <v>1146457</v>
      </c>
      <c r="G423" s="679">
        <v>60727.92</v>
      </c>
      <c r="H423" s="675">
        <v>2339913</v>
      </c>
      <c r="I423" s="679">
        <v>175462.3</v>
      </c>
      <c r="J423" s="679">
        <v>-648.61</v>
      </c>
      <c r="K423" s="674">
        <v>0</v>
      </c>
      <c r="L423" s="191">
        <f t="shared" si="27"/>
        <v>235541.61</v>
      </c>
      <c r="M423" t="s">
        <v>1667</v>
      </c>
      <c r="O423" t="str">
        <f t="shared" si="26"/>
        <v>Regelzone TenneT (gesamt)</v>
      </c>
    </row>
    <row r="424" spans="1:15" hidden="1" outlineLevel="1">
      <c r="A424" s="671" t="s">
        <v>1677</v>
      </c>
      <c r="B424" s="672">
        <v>7</v>
      </c>
      <c r="C424" s="674">
        <v>2024</v>
      </c>
      <c r="D424" s="673">
        <v>0</v>
      </c>
      <c r="E424" s="679">
        <v>0</v>
      </c>
      <c r="F424" s="675">
        <v>0</v>
      </c>
      <c r="G424" s="679">
        <v>0</v>
      </c>
      <c r="H424" s="675">
        <v>50920.830999999998</v>
      </c>
      <c r="I424" s="679">
        <v>2284.67</v>
      </c>
      <c r="J424" s="679">
        <v>0</v>
      </c>
      <c r="K424" s="674">
        <v>0</v>
      </c>
      <c r="L424" s="191">
        <f t="shared" si="27"/>
        <v>2284.67</v>
      </c>
      <c r="M424" t="s">
        <v>1678</v>
      </c>
      <c r="O424" t="str">
        <f t="shared" si="26"/>
        <v>Regelzone TenneT (gesamt)</v>
      </c>
    </row>
    <row r="425" spans="1:15" hidden="1" outlineLevel="1">
      <c r="A425" s="671" t="s">
        <v>1281</v>
      </c>
      <c r="B425" s="672">
        <v>7</v>
      </c>
      <c r="C425" s="674">
        <v>2024</v>
      </c>
      <c r="D425" s="673">
        <v>0</v>
      </c>
      <c r="E425" s="679">
        <v>0</v>
      </c>
      <c r="F425" s="675">
        <v>0</v>
      </c>
      <c r="G425" s="679">
        <v>0</v>
      </c>
      <c r="H425" s="675">
        <v>57589</v>
      </c>
      <c r="I425" s="679">
        <v>10351.040000000001</v>
      </c>
      <c r="J425" s="679">
        <v>0</v>
      </c>
      <c r="K425" s="674">
        <v>0</v>
      </c>
      <c r="L425" s="191">
        <f t="shared" si="27"/>
        <v>10351.040000000001</v>
      </c>
      <c r="M425" t="s">
        <v>1282</v>
      </c>
      <c r="O425" t="str">
        <f t="shared" si="26"/>
        <v>Regelzone TenneT (gesamt)</v>
      </c>
    </row>
    <row r="426" spans="1:15" hidden="1" outlineLevel="1">
      <c r="A426" s="671" t="s">
        <v>1476</v>
      </c>
      <c r="B426" s="672">
        <v>7</v>
      </c>
      <c r="C426" s="674">
        <v>2024</v>
      </c>
      <c r="D426" s="673">
        <v>0</v>
      </c>
      <c r="E426" s="679">
        <v>0</v>
      </c>
      <c r="F426" s="675">
        <v>0</v>
      </c>
      <c r="G426" s="679">
        <v>0</v>
      </c>
      <c r="H426" s="675">
        <v>36000</v>
      </c>
      <c r="I426" s="679">
        <v>2601.44</v>
      </c>
      <c r="J426" s="679">
        <v>0</v>
      </c>
      <c r="K426" s="674">
        <v>0</v>
      </c>
      <c r="L426" s="191">
        <f t="shared" si="27"/>
        <v>2601.44</v>
      </c>
      <c r="M426" t="s">
        <v>1477</v>
      </c>
      <c r="O426" t="str">
        <f t="shared" si="26"/>
        <v>Regelzone TenneT (gesamt)</v>
      </c>
    </row>
    <row r="427" spans="1:15" hidden="1" outlineLevel="1">
      <c r="A427" s="671" t="s">
        <v>1780</v>
      </c>
      <c r="B427" s="672">
        <v>7</v>
      </c>
      <c r="C427" s="674">
        <v>2024</v>
      </c>
      <c r="D427" s="673">
        <v>0</v>
      </c>
      <c r="E427" s="679">
        <v>0</v>
      </c>
      <c r="F427" s="672">
        <v>0</v>
      </c>
      <c r="G427" s="679">
        <v>0</v>
      </c>
      <c r="H427" s="675">
        <v>819411.9</v>
      </c>
      <c r="I427" s="679">
        <v>58771.64</v>
      </c>
      <c r="J427" s="679">
        <v>0</v>
      </c>
      <c r="K427" s="674">
        <v>0</v>
      </c>
      <c r="L427" s="191">
        <f t="shared" si="27"/>
        <v>58771.64</v>
      </c>
      <c r="M427" t="s">
        <v>1781</v>
      </c>
      <c r="O427" t="str">
        <f t="shared" si="26"/>
        <v>Regelzone TenneT (gesamt)</v>
      </c>
    </row>
    <row r="428" spans="1:15" hidden="1" outlineLevel="1">
      <c r="A428" s="671" t="s">
        <v>1634</v>
      </c>
      <c r="B428" s="672">
        <v>7</v>
      </c>
      <c r="C428" s="674">
        <v>2024</v>
      </c>
      <c r="D428" s="673">
        <v>0</v>
      </c>
      <c r="E428" s="679">
        <v>0</v>
      </c>
      <c r="F428" s="672">
        <v>0</v>
      </c>
      <c r="G428" s="679">
        <v>0</v>
      </c>
      <c r="H428" s="675">
        <v>21541</v>
      </c>
      <c r="I428" s="679">
        <v>1846.8</v>
      </c>
      <c r="J428" s="679">
        <v>0</v>
      </c>
      <c r="K428" s="674">
        <v>0</v>
      </c>
      <c r="L428" s="191">
        <f t="shared" si="27"/>
        <v>1846.8</v>
      </c>
      <c r="M428" t="s">
        <v>1635</v>
      </c>
      <c r="O428" t="str">
        <f t="shared" si="26"/>
        <v>Regelzone TenneT (gesamt)</v>
      </c>
    </row>
    <row r="429" spans="1:15" hidden="1" outlineLevel="1">
      <c r="A429" s="671" t="s">
        <v>1502</v>
      </c>
      <c r="B429" s="672">
        <v>7</v>
      </c>
      <c r="C429" s="674">
        <v>2024</v>
      </c>
      <c r="D429" s="673">
        <v>0</v>
      </c>
      <c r="E429" s="679">
        <v>0</v>
      </c>
      <c r="F429" s="672">
        <v>217824</v>
      </c>
      <c r="G429" s="679">
        <v>11784.28</v>
      </c>
      <c r="H429" s="675">
        <v>0</v>
      </c>
      <c r="I429" s="679">
        <v>0</v>
      </c>
      <c r="J429" s="679">
        <v>0</v>
      </c>
      <c r="K429" s="674">
        <v>0</v>
      </c>
      <c r="L429" s="191">
        <f t="shared" si="27"/>
        <v>11784.28</v>
      </c>
      <c r="M429" t="s">
        <v>1503</v>
      </c>
      <c r="O429" t="str">
        <f t="shared" si="26"/>
        <v>Regelzone TenneT (gesamt)</v>
      </c>
    </row>
    <row r="430" spans="1:15" hidden="1" outlineLevel="1">
      <c r="A430" s="671" t="s">
        <v>1354</v>
      </c>
      <c r="B430" s="672">
        <v>7</v>
      </c>
      <c r="C430" s="674">
        <v>2024</v>
      </c>
      <c r="D430" s="673">
        <v>0</v>
      </c>
      <c r="E430" s="679">
        <v>0</v>
      </c>
      <c r="F430" s="675">
        <v>0</v>
      </c>
      <c r="G430" s="679">
        <v>0</v>
      </c>
      <c r="H430" s="675">
        <v>92427</v>
      </c>
      <c r="I430" s="679">
        <v>3697.08</v>
      </c>
      <c r="J430" s="679">
        <v>0</v>
      </c>
      <c r="K430" s="674">
        <v>0</v>
      </c>
      <c r="L430" s="191">
        <f t="shared" si="27"/>
        <v>3697.08</v>
      </c>
      <c r="M430" t="s">
        <v>1355</v>
      </c>
      <c r="O430" t="str">
        <f t="shared" si="26"/>
        <v>Regelzone TenneT (gesamt)</v>
      </c>
    </row>
    <row r="431" spans="1:15" hidden="1" outlineLevel="1">
      <c r="A431" s="671" t="s">
        <v>1446</v>
      </c>
      <c r="B431" s="672">
        <v>7</v>
      </c>
      <c r="C431" s="674">
        <v>2024</v>
      </c>
      <c r="D431" s="673">
        <v>0</v>
      </c>
      <c r="E431" s="679">
        <v>0</v>
      </c>
      <c r="F431" s="672">
        <v>2753490</v>
      </c>
      <c r="G431" s="679">
        <v>117251.41</v>
      </c>
      <c r="H431" s="672">
        <v>1519909</v>
      </c>
      <c r="I431" s="679">
        <v>133759.20000000001</v>
      </c>
      <c r="J431" s="679">
        <v>0</v>
      </c>
      <c r="K431" s="674">
        <v>0</v>
      </c>
      <c r="L431" s="191">
        <f t="shared" si="27"/>
        <v>251010.61000000002</v>
      </c>
      <c r="M431" t="s">
        <v>1447</v>
      </c>
      <c r="O431" t="str">
        <f t="shared" si="26"/>
        <v>Regelzone TenneT (gesamt)</v>
      </c>
    </row>
    <row r="432" spans="1:15" hidden="1" outlineLevel="1">
      <c r="A432" s="671" t="s">
        <v>1650</v>
      </c>
      <c r="B432" s="672">
        <v>7</v>
      </c>
      <c r="C432" s="674">
        <v>2024</v>
      </c>
      <c r="D432" s="673">
        <v>0</v>
      </c>
      <c r="E432" s="679">
        <v>0</v>
      </c>
      <c r="F432" s="672">
        <v>1799538.3</v>
      </c>
      <c r="G432" s="679">
        <v>95213.37</v>
      </c>
      <c r="H432" s="675">
        <v>3723475.3289999999</v>
      </c>
      <c r="I432" s="679">
        <v>361539.92</v>
      </c>
      <c r="J432" s="679">
        <v>-1378.56</v>
      </c>
      <c r="K432" s="674">
        <v>0</v>
      </c>
      <c r="L432" s="191">
        <f t="shared" si="27"/>
        <v>455374.73</v>
      </c>
      <c r="M432" t="s">
        <v>1651</v>
      </c>
      <c r="O432" t="str">
        <f t="shared" si="26"/>
        <v>Regelzone TenneT (gesamt)</v>
      </c>
    </row>
    <row r="433" spans="1:15" hidden="1" outlineLevel="1">
      <c r="A433" s="671" t="s">
        <v>1344</v>
      </c>
      <c r="B433" s="672">
        <v>7</v>
      </c>
      <c r="C433" s="674">
        <v>2024</v>
      </c>
      <c r="D433" s="673">
        <v>0</v>
      </c>
      <c r="E433" s="679">
        <v>0</v>
      </c>
      <c r="F433" s="672">
        <v>0</v>
      </c>
      <c r="G433" s="679">
        <v>0</v>
      </c>
      <c r="H433" s="675">
        <v>388729756</v>
      </c>
      <c r="I433" s="679">
        <v>13296355.359999999</v>
      </c>
      <c r="J433" s="679">
        <v>0</v>
      </c>
      <c r="K433" s="674">
        <v>0</v>
      </c>
      <c r="L433" s="191">
        <f t="shared" si="27"/>
        <v>13296355.359999999</v>
      </c>
      <c r="M433" t="s">
        <v>1345</v>
      </c>
      <c r="O433" t="str">
        <f t="shared" si="26"/>
        <v>Regelzone TenneT (gesamt)</v>
      </c>
    </row>
    <row r="434" spans="1:15" hidden="1" outlineLevel="1">
      <c r="A434" s="671" t="s">
        <v>1244</v>
      </c>
      <c r="B434" s="672">
        <v>7</v>
      </c>
      <c r="C434" s="674">
        <v>2024</v>
      </c>
      <c r="D434" s="673">
        <v>0</v>
      </c>
      <c r="E434" s="679">
        <v>0</v>
      </c>
      <c r="F434" s="672">
        <v>0</v>
      </c>
      <c r="G434" s="679">
        <v>0</v>
      </c>
      <c r="H434" s="675">
        <v>91108</v>
      </c>
      <c r="I434" s="679">
        <v>13047.6</v>
      </c>
      <c r="J434" s="679">
        <v>0</v>
      </c>
      <c r="K434" s="674">
        <v>0</v>
      </c>
      <c r="L434" s="191">
        <f t="shared" si="27"/>
        <v>13047.6</v>
      </c>
      <c r="M434" t="s">
        <v>1245</v>
      </c>
      <c r="O434" t="str">
        <f t="shared" si="26"/>
        <v>Regelzone TenneT (gesamt)</v>
      </c>
    </row>
    <row r="435" spans="1:15" hidden="1" outlineLevel="1">
      <c r="A435" s="671" t="s">
        <v>1760</v>
      </c>
      <c r="B435" s="672">
        <v>7</v>
      </c>
      <c r="C435" s="674">
        <v>2024</v>
      </c>
      <c r="D435" s="673">
        <v>0</v>
      </c>
      <c r="E435" s="679">
        <v>0</v>
      </c>
      <c r="F435" s="675">
        <v>-163446</v>
      </c>
      <c r="G435" s="679">
        <v>-8842.43</v>
      </c>
      <c r="H435" s="675">
        <v>0</v>
      </c>
      <c r="I435" s="679">
        <v>0</v>
      </c>
      <c r="J435" s="679">
        <v>0</v>
      </c>
      <c r="K435" s="674">
        <v>0</v>
      </c>
      <c r="L435" s="191">
        <f t="shared" si="27"/>
        <v>-8842.43</v>
      </c>
      <c r="M435" t="s">
        <v>1761</v>
      </c>
      <c r="O435" t="str">
        <f t="shared" si="26"/>
        <v>Regelzone TenneT (gesamt)</v>
      </c>
    </row>
    <row r="436" spans="1:15" hidden="1" outlineLevel="1">
      <c r="A436" s="671" t="s">
        <v>1798</v>
      </c>
      <c r="B436" s="672">
        <v>7</v>
      </c>
      <c r="C436" s="674">
        <v>2024</v>
      </c>
      <c r="D436" s="673">
        <v>0</v>
      </c>
      <c r="E436" s="679">
        <v>0</v>
      </c>
      <c r="F436" s="675">
        <v>0</v>
      </c>
      <c r="G436" s="679">
        <v>0</v>
      </c>
      <c r="H436" s="675">
        <v>71791</v>
      </c>
      <c r="I436" s="679">
        <v>4292.76</v>
      </c>
      <c r="J436" s="679">
        <v>0</v>
      </c>
      <c r="K436" s="674">
        <v>0</v>
      </c>
      <c r="L436" s="191">
        <f t="shared" si="27"/>
        <v>4292.76</v>
      </c>
      <c r="M436" t="s">
        <v>1799</v>
      </c>
      <c r="O436" t="str">
        <f t="shared" si="26"/>
        <v>Regelzone TenneT (gesamt)</v>
      </c>
    </row>
    <row r="437" spans="1:15" hidden="1" outlineLevel="1">
      <c r="A437" s="671" t="s">
        <v>1681</v>
      </c>
      <c r="B437" s="672">
        <v>7</v>
      </c>
      <c r="C437" s="674">
        <v>2024</v>
      </c>
      <c r="D437" s="673">
        <v>0</v>
      </c>
      <c r="E437" s="679">
        <v>0</v>
      </c>
      <c r="F437" s="675">
        <v>104091.3</v>
      </c>
      <c r="G437" s="679">
        <v>5631.33</v>
      </c>
      <c r="H437" s="675">
        <v>1048377.66</v>
      </c>
      <c r="I437" s="679">
        <v>94211.67</v>
      </c>
      <c r="J437" s="679">
        <v>0</v>
      </c>
      <c r="K437" s="674">
        <v>0</v>
      </c>
      <c r="L437" s="191">
        <f t="shared" si="27"/>
        <v>99843</v>
      </c>
      <c r="M437" t="s">
        <v>1682</v>
      </c>
      <c r="O437" t="str">
        <f t="shared" si="26"/>
        <v>Regelzone TenneT (gesamt)</v>
      </c>
    </row>
    <row r="438" spans="1:15" hidden="1" outlineLevel="1">
      <c r="A438" s="671" t="s">
        <v>1724</v>
      </c>
      <c r="B438" s="672">
        <v>7</v>
      </c>
      <c r="C438" s="674">
        <v>2024</v>
      </c>
      <c r="D438" s="677">
        <v>0</v>
      </c>
      <c r="E438" s="679">
        <v>0</v>
      </c>
      <c r="F438" s="675">
        <v>0</v>
      </c>
      <c r="G438" s="679">
        <v>0</v>
      </c>
      <c r="H438" s="675">
        <v>22000</v>
      </c>
      <c r="I438" s="679">
        <v>2647.94</v>
      </c>
      <c r="J438" s="679">
        <v>0</v>
      </c>
      <c r="K438" s="674">
        <v>0</v>
      </c>
      <c r="L438" s="191">
        <f t="shared" si="27"/>
        <v>2647.94</v>
      </c>
      <c r="M438" t="s">
        <v>1725</v>
      </c>
      <c r="O438" t="str">
        <f t="shared" si="26"/>
        <v>Regelzone TenneT (gesamt)</v>
      </c>
    </row>
    <row r="439" spans="1:15" hidden="1" outlineLevel="1">
      <c r="A439" s="671" t="s">
        <v>1358</v>
      </c>
      <c r="B439" s="672">
        <v>7</v>
      </c>
      <c r="C439" s="674">
        <v>2024</v>
      </c>
      <c r="D439" s="677">
        <v>0</v>
      </c>
      <c r="E439" s="679">
        <v>0</v>
      </c>
      <c r="F439" s="675">
        <v>-349935</v>
      </c>
      <c r="G439" s="679">
        <v>-17669.330000000002</v>
      </c>
      <c r="H439" s="675">
        <v>4709495.3899999997</v>
      </c>
      <c r="I439" s="679">
        <v>306000.40999999997</v>
      </c>
      <c r="J439" s="679">
        <v>410.75</v>
      </c>
      <c r="K439" s="674">
        <v>0</v>
      </c>
      <c r="L439" s="191">
        <f t="shared" si="27"/>
        <v>288741.82999999996</v>
      </c>
      <c r="M439" t="s">
        <v>1359</v>
      </c>
      <c r="O439" t="str">
        <f t="shared" si="26"/>
        <v>Regelzone TenneT (gesamt)</v>
      </c>
    </row>
    <row r="440" spans="1:15" hidden="1" outlineLevel="1">
      <c r="A440" s="671" t="s">
        <v>1752</v>
      </c>
      <c r="B440" s="672">
        <v>7</v>
      </c>
      <c r="C440" s="674">
        <v>2024</v>
      </c>
      <c r="D440" s="673">
        <v>0</v>
      </c>
      <c r="E440" s="679">
        <v>0</v>
      </c>
      <c r="F440" s="675">
        <v>0</v>
      </c>
      <c r="G440" s="679">
        <v>0</v>
      </c>
      <c r="H440" s="675">
        <v>0</v>
      </c>
      <c r="I440" s="679">
        <v>1550.24</v>
      </c>
      <c r="J440" s="679">
        <v>0</v>
      </c>
      <c r="K440" s="674">
        <v>0</v>
      </c>
      <c r="L440" s="191">
        <f t="shared" si="27"/>
        <v>1550.24</v>
      </c>
      <c r="M440" t="s">
        <v>1753</v>
      </c>
      <c r="O440" t="str">
        <f t="shared" si="26"/>
        <v>Regelzone TenneT (gesamt)</v>
      </c>
    </row>
    <row r="441" spans="1:15" hidden="1" outlineLevel="1">
      <c r="A441" s="671" t="s">
        <v>1685</v>
      </c>
      <c r="B441" s="672">
        <v>7</v>
      </c>
      <c r="C441" s="674">
        <v>2024</v>
      </c>
      <c r="D441" s="677">
        <v>0</v>
      </c>
      <c r="E441" s="679">
        <v>0</v>
      </c>
      <c r="F441" s="675">
        <v>0</v>
      </c>
      <c r="G441" s="679">
        <v>0</v>
      </c>
      <c r="H441" s="675">
        <v>14625</v>
      </c>
      <c r="I441" s="679">
        <v>1170</v>
      </c>
      <c r="J441" s="679">
        <v>0</v>
      </c>
      <c r="K441" s="674">
        <v>0</v>
      </c>
      <c r="L441" s="191">
        <f t="shared" ref="L441:L471" si="28">E441+G441+I441+J441+K441</f>
        <v>1170</v>
      </c>
      <c r="M441" t="s">
        <v>1686</v>
      </c>
      <c r="O441" t="str">
        <f t="shared" si="26"/>
        <v>Regelzone TenneT (gesamt)</v>
      </c>
    </row>
    <row r="442" spans="1:15" hidden="1" outlineLevel="1">
      <c r="A442" s="671" t="s">
        <v>1671</v>
      </c>
      <c r="B442" s="672">
        <v>7</v>
      </c>
      <c r="C442" s="674">
        <v>2024</v>
      </c>
      <c r="D442" s="673">
        <v>0</v>
      </c>
      <c r="E442" s="679">
        <v>0</v>
      </c>
      <c r="F442" s="675">
        <v>0</v>
      </c>
      <c r="G442" s="679">
        <v>0</v>
      </c>
      <c r="H442" s="675">
        <v>492678</v>
      </c>
      <c r="I442" s="679">
        <v>26748.17</v>
      </c>
      <c r="J442" s="679">
        <v>0</v>
      </c>
      <c r="K442" s="674">
        <v>0</v>
      </c>
      <c r="L442" s="191">
        <f t="shared" si="28"/>
        <v>26748.17</v>
      </c>
      <c r="M442" t="s">
        <v>1672</v>
      </c>
      <c r="O442" t="str">
        <f t="shared" ref="O442:O473" si="29">$A$296</f>
        <v>Regelzone TenneT (gesamt)</v>
      </c>
    </row>
    <row r="443" spans="1:15" hidden="1" outlineLevel="1">
      <c r="A443" s="671" t="s">
        <v>1818</v>
      </c>
      <c r="B443" s="672">
        <v>7</v>
      </c>
      <c r="C443" s="674">
        <v>2024</v>
      </c>
      <c r="D443" s="677">
        <v>0</v>
      </c>
      <c r="E443" s="679">
        <v>0</v>
      </c>
      <c r="F443" s="672">
        <v>0</v>
      </c>
      <c r="G443" s="679">
        <v>0</v>
      </c>
      <c r="H443" s="672">
        <v>348000</v>
      </c>
      <c r="I443" s="679">
        <v>20880</v>
      </c>
      <c r="J443" s="679">
        <v>0</v>
      </c>
      <c r="K443" s="674">
        <v>0</v>
      </c>
      <c r="L443" s="191">
        <f t="shared" si="28"/>
        <v>20880</v>
      </c>
      <c r="M443" t="s">
        <v>1819</v>
      </c>
      <c r="O443" t="str">
        <f t="shared" si="29"/>
        <v>Regelzone TenneT (gesamt)</v>
      </c>
    </row>
    <row r="444" spans="1:15" hidden="1" outlineLevel="1">
      <c r="A444" s="671" t="s">
        <v>1312</v>
      </c>
      <c r="B444" s="672">
        <v>7</v>
      </c>
      <c r="C444" s="674">
        <v>2024</v>
      </c>
      <c r="D444" s="677">
        <v>0</v>
      </c>
      <c r="E444" s="679">
        <v>0</v>
      </c>
      <c r="F444" s="675">
        <v>4348095</v>
      </c>
      <c r="G444" s="679">
        <v>234408.32000000001</v>
      </c>
      <c r="H444" s="675">
        <v>2875317.858</v>
      </c>
      <c r="I444" s="679">
        <v>274216.02</v>
      </c>
      <c r="J444" s="679">
        <v>0</v>
      </c>
      <c r="K444" s="674">
        <v>0</v>
      </c>
      <c r="L444" s="191">
        <f t="shared" si="28"/>
        <v>508624.34</v>
      </c>
      <c r="M444" t="s">
        <v>1313</v>
      </c>
      <c r="O444" t="str">
        <f t="shared" si="29"/>
        <v>Regelzone TenneT (gesamt)</v>
      </c>
    </row>
    <row r="445" spans="1:15" hidden="1" outlineLevel="1">
      <c r="A445" s="671" t="s">
        <v>1309</v>
      </c>
      <c r="B445" s="672">
        <v>7</v>
      </c>
      <c r="C445" s="674">
        <v>2024</v>
      </c>
      <c r="D445" s="673">
        <v>0</v>
      </c>
      <c r="E445" s="679">
        <v>0</v>
      </c>
      <c r="F445" s="675">
        <v>0</v>
      </c>
      <c r="G445" s="679">
        <v>0</v>
      </c>
      <c r="H445" s="675">
        <v>-26229</v>
      </c>
      <c r="I445" s="679">
        <v>-4391.4799999999996</v>
      </c>
      <c r="J445" s="679">
        <v>0</v>
      </c>
      <c r="K445" s="674">
        <v>0</v>
      </c>
      <c r="L445" s="191">
        <f t="shared" si="28"/>
        <v>-4391.4799999999996</v>
      </c>
      <c r="M445" t="s">
        <v>1310</v>
      </c>
      <c r="O445" t="str">
        <f t="shared" si="29"/>
        <v>Regelzone TenneT (gesamt)</v>
      </c>
    </row>
    <row r="446" spans="1:15" hidden="1" outlineLevel="1">
      <c r="A446" s="671" t="s">
        <v>1558</v>
      </c>
      <c r="B446" s="672">
        <v>7</v>
      </c>
      <c r="C446" s="674">
        <v>2024</v>
      </c>
      <c r="D446" s="673">
        <v>0</v>
      </c>
      <c r="E446" s="679">
        <v>0</v>
      </c>
      <c r="F446" s="675">
        <v>20621</v>
      </c>
      <c r="G446" s="679">
        <v>1115.5899999999999</v>
      </c>
      <c r="H446" s="675">
        <v>708222</v>
      </c>
      <c r="I446" s="679">
        <v>72531.960000000006</v>
      </c>
      <c r="J446" s="679">
        <v>-80.150000000000006</v>
      </c>
      <c r="K446" s="674">
        <v>0</v>
      </c>
      <c r="L446" s="191">
        <f t="shared" si="28"/>
        <v>73567.400000000009</v>
      </c>
      <c r="M446" t="s">
        <v>1559</v>
      </c>
      <c r="O446" t="str">
        <f t="shared" si="29"/>
        <v>Regelzone TenneT (gesamt)</v>
      </c>
    </row>
    <row r="447" spans="1:15" hidden="1" outlineLevel="1">
      <c r="A447" s="671" t="s">
        <v>1762</v>
      </c>
      <c r="B447" s="672">
        <v>7</v>
      </c>
      <c r="C447" s="674">
        <v>2024</v>
      </c>
      <c r="D447" s="673">
        <v>0</v>
      </c>
      <c r="E447" s="679">
        <v>0</v>
      </c>
      <c r="F447" s="672">
        <v>0</v>
      </c>
      <c r="G447" s="679">
        <v>0</v>
      </c>
      <c r="H447" s="675">
        <v>99236</v>
      </c>
      <c r="I447" s="679">
        <v>3493.96</v>
      </c>
      <c r="J447" s="679">
        <v>-1.57</v>
      </c>
      <c r="K447" s="674">
        <v>0</v>
      </c>
      <c r="L447" s="191">
        <f t="shared" si="28"/>
        <v>3492.39</v>
      </c>
      <c r="M447" t="s">
        <v>1763</v>
      </c>
      <c r="O447" t="str">
        <f t="shared" si="29"/>
        <v>Regelzone TenneT (gesamt)</v>
      </c>
    </row>
    <row r="448" spans="1:15" hidden="1" outlineLevel="1">
      <c r="A448" s="671" t="s">
        <v>1263</v>
      </c>
      <c r="B448" s="672">
        <v>7</v>
      </c>
      <c r="C448" s="674">
        <v>2024</v>
      </c>
      <c r="D448" s="677">
        <v>0</v>
      </c>
      <c r="E448" s="679">
        <v>0</v>
      </c>
      <c r="F448" s="675">
        <v>77542</v>
      </c>
      <c r="G448" s="679">
        <v>4195.0200000000004</v>
      </c>
      <c r="H448" s="675">
        <v>0</v>
      </c>
      <c r="I448" s="679">
        <v>0</v>
      </c>
      <c r="J448" s="679">
        <v>0</v>
      </c>
      <c r="K448" s="674">
        <v>0</v>
      </c>
      <c r="L448" s="191">
        <f t="shared" si="28"/>
        <v>4195.0200000000004</v>
      </c>
      <c r="M448" t="s">
        <v>1264</v>
      </c>
      <c r="O448" t="str">
        <f t="shared" si="29"/>
        <v>Regelzone TenneT (gesamt)</v>
      </c>
    </row>
    <row r="449" spans="1:15" hidden="1" outlineLevel="1">
      <c r="A449" s="671" t="s">
        <v>1776</v>
      </c>
      <c r="B449" s="672">
        <v>7</v>
      </c>
      <c r="C449" s="674">
        <v>2024</v>
      </c>
      <c r="D449" s="673">
        <v>0</v>
      </c>
      <c r="E449" s="679">
        <v>0</v>
      </c>
      <c r="F449" s="675">
        <v>78890</v>
      </c>
      <c r="G449" s="679">
        <v>4267.95</v>
      </c>
      <c r="H449" s="675">
        <v>751448</v>
      </c>
      <c r="I449" s="679">
        <v>71672.28</v>
      </c>
      <c r="J449" s="679">
        <v>0</v>
      </c>
      <c r="K449" s="674">
        <v>0</v>
      </c>
      <c r="L449" s="191">
        <f t="shared" si="28"/>
        <v>75940.23</v>
      </c>
      <c r="M449" t="s">
        <v>1777</v>
      </c>
      <c r="O449" t="str">
        <f t="shared" si="29"/>
        <v>Regelzone TenneT (gesamt)</v>
      </c>
    </row>
    <row r="450" spans="1:15" hidden="1" outlineLevel="1">
      <c r="A450" s="671" t="s">
        <v>1710</v>
      </c>
      <c r="B450" s="672">
        <v>7</v>
      </c>
      <c r="C450" s="674">
        <v>2024</v>
      </c>
      <c r="D450" s="673">
        <v>0</v>
      </c>
      <c r="E450" s="679">
        <v>0</v>
      </c>
      <c r="F450" s="675">
        <v>0</v>
      </c>
      <c r="G450" s="679">
        <v>0</v>
      </c>
      <c r="H450" s="675">
        <v>17000</v>
      </c>
      <c r="I450" s="679">
        <v>2720</v>
      </c>
      <c r="J450" s="679">
        <v>0</v>
      </c>
      <c r="K450" s="674">
        <v>0</v>
      </c>
      <c r="L450" s="191">
        <f t="shared" si="28"/>
        <v>2720</v>
      </c>
      <c r="M450" t="s">
        <v>1711</v>
      </c>
      <c r="O450" t="str">
        <f t="shared" si="29"/>
        <v>Regelzone TenneT (gesamt)</v>
      </c>
    </row>
    <row r="451" spans="1:15" hidden="1" outlineLevel="1">
      <c r="A451" s="671" t="s">
        <v>1744</v>
      </c>
      <c r="B451" s="672">
        <v>7</v>
      </c>
      <c r="C451" s="674">
        <v>2024</v>
      </c>
      <c r="D451" s="673">
        <v>0</v>
      </c>
      <c r="E451" s="679">
        <v>0</v>
      </c>
      <c r="F451" s="672">
        <v>0</v>
      </c>
      <c r="G451" s="679">
        <v>0</v>
      </c>
      <c r="H451" s="675">
        <v>28271.73</v>
      </c>
      <c r="I451" s="679">
        <v>4523.4799999999996</v>
      </c>
      <c r="J451" s="679">
        <v>0</v>
      </c>
      <c r="K451" s="674">
        <v>0</v>
      </c>
      <c r="L451" s="191">
        <f t="shared" si="28"/>
        <v>4523.4799999999996</v>
      </c>
      <c r="M451" t="s">
        <v>1745</v>
      </c>
      <c r="O451" t="str">
        <f t="shared" si="29"/>
        <v>Regelzone TenneT (gesamt)</v>
      </c>
    </row>
    <row r="452" spans="1:15" hidden="1" outlineLevel="1">
      <c r="A452" s="671" t="s">
        <v>1652</v>
      </c>
      <c r="B452" s="672">
        <v>7</v>
      </c>
      <c r="C452" s="674">
        <v>2024</v>
      </c>
      <c r="D452" s="673">
        <v>0</v>
      </c>
      <c r="E452" s="679">
        <v>0</v>
      </c>
      <c r="F452" s="672">
        <v>0</v>
      </c>
      <c r="G452" s="679">
        <v>0</v>
      </c>
      <c r="H452" s="675">
        <v>80000</v>
      </c>
      <c r="I452" s="679">
        <v>4215.24</v>
      </c>
      <c r="J452" s="679">
        <v>0</v>
      </c>
      <c r="K452" s="674">
        <v>0</v>
      </c>
      <c r="L452" s="191">
        <f t="shared" si="28"/>
        <v>4215.24</v>
      </c>
      <c r="M452" t="s">
        <v>1653</v>
      </c>
      <c r="O452" t="str">
        <f t="shared" si="29"/>
        <v>Regelzone TenneT (gesamt)</v>
      </c>
    </row>
    <row r="453" spans="1:15" hidden="1" outlineLevel="1">
      <c r="A453" s="671" t="s">
        <v>1740</v>
      </c>
      <c r="B453" s="672">
        <v>7</v>
      </c>
      <c r="C453" s="674">
        <v>2024</v>
      </c>
      <c r="D453" s="677">
        <v>0</v>
      </c>
      <c r="E453" s="679">
        <v>0</v>
      </c>
      <c r="F453" s="675">
        <v>0</v>
      </c>
      <c r="G453" s="679">
        <v>0</v>
      </c>
      <c r="H453" s="675">
        <v>116779</v>
      </c>
      <c r="I453" s="679">
        <v>7321.4</v>
      </c>
      <c r="J453" s="679">
        <v>0</v>
      </c>
      <c r="K453" s="674">
        <v>0</v>
      </c>
      <c r="L453" s="191">
        <f t="shared" si="28"/>
        <v>7321.4</v>
      </c>
      <c r="M453" t="s">
        <v>1741</v>
      </c>
      <c r="O453" t="str">
        <f t="shared" si="29"/>
        <v>Regelzone TenneT (gesamt)</v>
      </c>
    </row>
    <row r="454" spans="1:15" hidden="1" outlineLevel="1">
      <c r="A454" s="671" t="s">
        <v>1362</v>
      </c>
      <c r="B454" s="672">
        <v>7</v>
      </c>
      <c r="C454" s="674">
        <v>2024</v>
      </c>
      <c r="D454" s="677">
        <v>0</v>
      </c>
      <c r="E454" s="679">
        <v>0</v>
      </c>
      <c r="F454" s="675">
        <v>0</v>
      </c>
      <c r="G454" s="679">
        <v>0</v>
      </c>
      <c r="H454" s="675">
        <v>12428.8</v>
      </c>
      <c r="I454" s="679">
        <v>1987.01</v>
      </c>
      <c r="J454" s="679">
        <v>0</v>
      </c>
      <c r="K454" s="674">
        <v>0</v>
      </c>
      <c r="L454" s="191">
        <f t="shared" si="28"/>
        <v>1987.01</v>
      </c>
      <c r="M454" t="s">
        <v>1363</v>
      </c>
      <c r="O454" t="str">
        <f t="shared" si="29"/>
        <v>Regelzone TenneT (gesamt)</v>
      </c>
    </row>
    <row r="455" spans="1:15" hidden="1" outlineLevel="1">
      <c r="A455" s="671" t="s">
        <v>1796</v>
      </c>
      <c r="B455" s="672">
        <v>7</v>
      </c>
      <c r="C455" s="674">
        <v>2024</v>
      </c>
      <c r="D455" s="677">
        <v>0</v>
      </c>
      <c r="E455" s="679">
        <v>0</v>
      </c>
      <c r="F455" s="675">
        <v>0</v>
      </c>
      <c r="G455" s="679">
        <v>0</v>
      </c>
      <c r="H455" s="675">
        <v>-3135</v>
      </c>
      <c r="I455" s="679">
        <v>640.83000000000004</v>
      </c>
      <c r="J455" s="679">
        <v>0</v>
      </c>
      <c r="K455" s="674">
        <v>0</v>
      </c>
      <c r="L455" s="191">
        <f t="shared" si="28"/>
        <v>640.83000000000004</v>
      </c>
      <c r="M455" t="s">
        <v>1797</v>
      </c>
      <c r="O455" t="str">
        <f t="shared" si="29"/>
        <v>Regelzone TenneT (gesamt)</v>
      </c>
    </row>
    <row r="456" spans="1:15" hidden="1" outlineLevel="1">
      <c r="A456" s="671" t="s">
        <v>1416</v>
      </c>
      <c r="B456" s="672">
        <v>7</v>
      </c>
      <c r="C456" s="674">
        <v>2024</v>
      </c>
      <c r="D456" s="677">
        <v>0</v>
      </c>
      <c r="E456" s="679">
        <v>0</v>
      </c>
      <c r="F456" s="675">
        <v>272959</v>
      </c>
      <c r="G456" s="679">
        <v>14767.09</v>
      </c>
      <c r="H456" s="675">
        <v>64961</v>
      </c>
      <c r="I456" s="679">
        <v>3340.84</v>
      </c>
      <c r="J456" s="679">
        <v>0</v>
      </c>
      <c r="K456" s="674">
        <v>0</v>
      </c>
      <c r="L456" s="191">
        <f t="shared" si="28"/>
        <v>18107.93</v>
      </c>
      <c r="M456" t="s">
        <v>1417</v>
      </c>
      <c r="O456" t="str">
        <f t="shared" ref="O456:O468" si="30">$A$296</f>
        <v>Regelzone TenneT (gesamt)</v>
      </c>
    </row>
    <row r="457" spans="1:15" hidden="1" outlineLevel="1">
      <c r="A457" s="671" t="s">
        <v>564</v>
      </c>
      <c r="B457" s="672">
        <v>7</v>
      </c>
      <c r="C457" s="674">
        <v>2024</v>
      </c>
      <c r="D457" s="677">
        <v>0</v>
      </c>
      <c r="E457" s="679">
        <v>0</v>
      </c>
      <c r="F457" s="675">
        <v>64963</v>
      </c>
      <c r="G457" s="679">
        <v>3514.5</v>
      </c>
      <c r="H457" s="675">
        <v>270315</v>
      </c>
      <c r="I457" s="679">
        <v>29527.919999999998</v>
      </c>
      <c r="J457" s="679">
        <v>0</v>
      </c>
      <c r="K457" s="674">
        <v>0</v>
      </c>
      <c r="L457" s="191">
        <f t="shared" si="28"/>
        <v>33042.42</v>
      </c>
      <c r="M457" t="s">
        <v>565</v>
      </c>
      <c r="O457" t="str">
        <f t="shared" si="30"/>
        <v>Regelzone TenneT (gesamt)</v>
      </c>
    </row>
    <row r="458" spans="1:15" hidden="1" outlineLevel="1">
      <c r="A458" s="671" t="s">
        <v>1265</v>
      </c>
      <c r="B458" s="672">
        <v>7</v>
      </c>
      <c r="C458" s="674">
        <v>2024</v>
      </c>
      <c r="D458" s="673">
        <v>0</v>
      </c>
      <c r="E458" s="679">
        <v>0</v>
      </c>
      <c r="F458" s="675">
        <v>1792389.3</v>
      </c>
      <c r="G458" s="679">
        <v>54580.23</v>
      </c>
      <c r="H458" s="675">
        <v>298814</v>
      </c>
      <c r="I458" s="679">
        <v>19822.2</v>
      </c>
      <c r="J458" s="679">
        <v>0</v>
      </c>
      <c r="K458" s="674">
        <v>0</v>
      </c>
      <c r="L458" s="191">
        <f t="shared" si="28"/>
        <v>74402.430000000008</v>
      </c>
      <c r="M458" t="s">
        <v>1266</v>
      </c>
      <c r="O458" t="str">
        <f t="shared" si="30"/>
        <v>Regelzone TenneT (gesamt)</v>
      </c>
    </row>
    <row r="459" spans="1:15" hidden="1" outlineLevel="1">
      <c r="A459" s="671" t="s">
        <v>1654</v>
      </c>
      <c r="B459" s="672">
        <v>7</v>
      </c>
      <c r="C459" s="674">
        <v>2024</v>
      </c>
      <c r="D459" s="673">
        <v>0</v>
      </c>
      <c r="E459" s="679">
        <v>0</v>
      </c>
      <c r="F459" s="675">
        <v>495631</v>
      </c>
      <c r="G459" s="679">
        <v>26813.61</v>
      </c>
      <c r="H459" s="675">
        <v>1995206</v>
      </c>
      <c r="I459" s="679">
        <v>228603.6</v>
      </c>
      <c r="J459" s="679">
        <v>0</v>
      </c>
      <c r="K459" s="674">
        <v>0</v>
      </c>
      <c r="L459" s="191">
        <f t="shared" si="28"/>
        <v>255417.21000000002</v>
      </c>
      <c r="M459" t="s">
        <v>1655</v>
      </c>
      <c r="O459" t="str">
        <f t="shared" si="30"/>
        <v>Regelzone TenneT (gesamt)</v>
      </c>
    </row>
    <row r="460" spans="1:15" hidden="1" outlineLevel="1">
      <c r="A460" s="671" t="s">
        <v>1516</v>
      </c>
      <c r="B460" s="672">
        <v>7</v>
      </c>
      <c r="C460" s="674">
        <v>2024</v>
      </c>
      <c r="D460" s="673">
        <v>0</v>
      </c>
      <c r="E460" s="679">
        <v>0</v>
      </c>
      <c r="F460" s="675">
        <v>1807114</v>
      </c>
      <c r="G460" s="679">
        <v>97764.87</v>
      </c>
      <c r="H460" s="675">
        <v>9918415</v>
      </c>
      <c r="I460" s="679">
        <v>862317.22</v>
      </c>
      <c r="J460" s="679">
        <v>3.59</v>
      </c>
      <c r="K460" s="674">
        <v>0</v>
      </c>
      <c r="L460" s="191">
        <f t="shared" si="28"/>
        <v>960085.67999999993</v>
      </c>
      <c r="M460" t="s">
        <v>1517</v>
      </c>
      <c r="O460" t="str">
        <f t="shared" si="30"/>
        <v>Regelzone TenneT (gesamt)</v>
      </c>
    </row>
    <row r="461" spans="1:15" hidden="1" outlineLevel="1">
      <c r="A461" s="671" t="s">
        <v>1768</v>
      </c>
      <c r="B461" s="672">
        <v>7</v>
      </c>
      <c r="C461" s="674">
        <v>2024</v>
      </c>
      <c r="D461" s="673">
        <v>0</v>
      </c>
      <c r="E461" s="679">
        <v>0</v>
      </c>
      <c r="F461" s="672">
        <v>2294311</v>
      </c>
      <c r="G461" s="679">
        <v>99237.02</v>
      </c>
      <c r="H461" s="672">
        <v>653145.39300000004</v>
      </c>
      <c r="I461" s="679">
        <v>55873.39</v>
      </c>
      <c r="J461" s="679">
        <v>0</v>
      </c>
      <c r="K461" s="674">
        <v>0</v>
      </c>
      <c r="L461" s="191">
        <f t="shared" si="28"/>
        <v>155110.41</v>
      </c>
      <c r="M461" t="s">
        <v>1769</v>
      </c>
      <c r="O461" t="str">
        <f t="shared" si="30"/>
        <v>Regelzone TenneT (gesamt)</v>
      </c>
    </row>
    <row r="462" spans="1:15" hidden="1" outlineLevel="1">
      <c r="A462" s="671" t="s">
        <v>879</v>
      </c>
      <c r="B462" s="672">
        <v>7</v>
      </c>
      <c r="C462" s="674">
        <v>2024</v>
      </c>
      <c r="D462" s="673">
        <v>0</v>
      </c>
      <c r="E462" s="679">
        <v>0</v>
      </c>
      <c r="F462" s="672">
        <v>902096</v>
      </c>
      <c r="G462" s="679">
        <v>47603.73</v>
      </c>
      <c r="H462" s="675">
        <v>3147168</v>
      </c>
      <c r="I462" s="679">
        <v>274493.96000000002</v>
      </c>
      <c r="J462" s="679">
        <v>-577.73</v>
      </c>
      <c r="K462" s="674">
        <v>0</v>
      </c>
      <c r="L462" s="191">
        <f t="shared" si="28"/>
        <v>321519.96000000002</v>
      </c>
      <c r="M462" t="s">
        <v>880</v>
      </c>
      <c r="O462" t="str">
        <f t="shared" si="30"/>
        <v>Regelzone TenneT (gesamt)</v>
      </c>
    </row>
    <row r="463" spans="1:15" hidden="1" outlineLevel="1">
      <c r="A463" s="671" t="s">
        <v>1090</v>
      </c>
      <c r="B463" s="672">
        <v>7</v>
      </c>
      <c r="C463" s="674">
        <v>2024</v>
      </c>
      <c r="D463" s="673">
        <v>0</v>
      </c>
      <c r="E463" s="679">
        <v>0</v>
      </c>
      <c r="F463" s="672">
        <v>1318903</v>
      </c>
      <c r="G463" s="679">
        <v>64579.1</v>
      </c>
      <c r="H463" s="675">
        <v>505888</v>
      </c>
      <c r="I463" s="679">
        <v>37923.94</v>
      </c>
      <c r="J463" s="679">
        <v>-226.89</v>
      </c>
      <c r="K463" s="674">
        <v>0</v>
      </c>
      <c r="L463" s="191">
        <f t="shared" si="28"/>
        <v>102276.15000000001</v>
      </c>
      <c r="M463" t="s">
        <v>1091</v>
      </c>
      <c r="O463" t="str">
        <f t="shared" si="30"/>
        <v>Regelzone TenneT (gesamt)</v>
      </c>
    </row>
    <row r="464" spans="1:15" hidden="1" outlineLevel="1">
      <c r="A464" s="671" t="s">
        <v>1778</v>
      </c>
      <c r="B464" s="672">
        <v>7</v>
      </c>
      <c r="C464" s="674">
        <v>2024</v>
      </c>
      <c r="D464" s="673">
        <v>0</v>
      </c>
      <c r="E464" s="679">
        <v>0</v>
      </c>
      <c r="F464" s="672">
        <v>5602</v>
      </c>
      <c r="G464" s="679">
        <v>303.07</v>
      </c>
      <c r="H464" s="675">
        <v>3655</v>
      </c>
      <c r="I464" s="679">
        <v>241.23</v>
      </c>
      <c r="J464" s="679">
        <v>0</v>
      </c>
      <c r="K464" s="674">
        <v>0</v>
      </c>
      <c r="L464" s="191">
        <f t="shared" si="28"/>
        <v>544.29999999999995</v>
      </c>
      <c r="M464" t="s">
        <v>1779</v>
      </c>
      <c r="O464" t="str">
        <f t="shared" si="30"/>
        <v>Regelzone TenneT (gesamt)</v>
      </c>
    </row>
    <row r="465" spans="1:16" hidden="1" outlineLevel="1">
      <c r="A465" s="671" t="s">
        <v>1520</v>
      </c>
      <c r="B465" s="672">
        <v>7</v>
      </c>
      <c r="C465" s="674">
        <v>2024</v>
      </c>
      <c r="D465" s="673">
        <v>0</v>
      </c>
      <c r="E465" s="679">
        <v>0</v>
      </c>
      <c r="F465" s="672">
        <v>0</v>
      </c>
      <c r="G465" s="679">
        <v>0</v>
      </c>
      <c r="H465" s="675">
        <v>82264</v>
      </c>
      <c r="I465" s="679">
        <v>12325.92</v>
      </c>
      <c r="J465" s="679">
        <v>0</v>
      </c>
      <c r="K465" s="674">
        <v>0</v>
      </c>
      <c r="L465" s="191">
        <f t="shared" si="28"/>
        <v>12325.92</v>
      </c>
      <c r="M465" t="s">
        <v>1521</v>
      </c>
      <c r="O465" t="str">
        <f t="shared" si="30"/>
        <v>Regelzone TenneT (gesamt)</v>
      </c>
    </row>
    <row r="466" spans="1:16" hidden="1" outlineLevel="1">
      <c r="A466" s="671" t="s">
        <v>1030</v>
      </c>
      <c r="B466" s="672">
        <v>7</v>
      </c>
      <c r="C466" s="674">
        <v>2024</v>
      </c>
      <c r="D466" s="673">
        <v>0</v>
      </c>
      <c r="E466" s="679">
        <v>0</v>
      </c>
      <c r="F466" s="675">
        <v>0</v>
      </c>
      <c r="G466" s="679">
        <v>0</v>
      </c>
      <c r="H466" s="672">
        <v>80128.595000000001</v>
      </c>
      <c r="I466" s="679">
        <v>12820.58</v>
      </c>
      <c r="J466" s="679">
        <v>0</v>
      </c>
      <c r="K466" s="674">
        <v>0</v>
      </c>
      <c r="L466" s="191">
        <f t="shared" si="28"/>
        <v>12820.58</v>
      </c>
      <c r="M466" t="s">
        <v>1031</v>
      </c>
      <c r="O466" t="str">
        <f t="shared" si="30"/>
        <v>Regelzone TenneT (gesamt)</v>
      </c>
    </row>
    <row r="467" spans="1:16" hidden="1" outlineLevel="1">
      <c r="A467" s="671" t="s">
        <v>839</v>
      </c>
      <c r="B467" s="672">
        <v>7</v>
      </c>
      <c r="C467" s="674">
        <v>2024</v>
      </c>
      <c r="D467" s="673">
        <v>0</v>
      </c>
      <c r="E467" s="679">
        <v>0</v>
      </c>
      <c r="F467" s="675">
        <v>29691</v>
      </c>
      <c r="G467" s="679">
        <v>1606.28</v>
      </c>
      <c r="H467" s="672">
        <v>458100</v>
      </c>
      <c r="I467" s="679">
        <v>43850.52</v>
      </c>
      <c r="J467" s="679">
        <v>0</v>
      </c>
      <c r="K467" s="674">
        <v>0</v>
      </c>
      <c r="L467" s="191">
        <f t="shared" si="28"/>
        <v>45456.799999999996</v>
      </c>
      <c r="M467" t="s">
        <v>1311</v>
      </c>
      <c r="O467" t="str">
        <f t="shared" si="30"/>
        <v>Regelzone TenneT (gesamt)</v>
      </c>
    </row>
    <row r="468" spans="1:16" hidden="1" outlineLevel="1">
      <c r="A468" s="671" t="s">
        <v>1782</v>
      </c>
      <c r="B468" s="672">
        <v>7</v>
      </c>
      <c r="C468" s="674">
        <v>2024</v>
      </c>
      <c r="D468" s="673">
        <v>0</v>
      </c>
      <c r="E468" s="679">
        <v>0</v>
      </c>
      <c r="F468" s="672">
        <v>21609</v>
      </c>
      <c r="G468" s="679">
        <v>1169.05</v>
      </c>
      <c r="H468" s="672">
        <v>279584</v>
      </c>
      <c r="I468" s="679">
        <v>25920.04</v>
      </c>
      <c r="J468" s="679">
        <v>0</v>
      </c>
      <c r="K468" s="674">
        <v>0</v>
      </c>
      <c r="L468" s="191">
        <f t="shared" si="28"/>
        <v>27089.09</v>
      </c>
      <c r="M468" t="s">
        <v>1783</v>
      </c>
      <c r="O468" t="str">
        <f t="shared" si="30"/>
        <v>Regelzone TenneT (gesamt)</v>
      </c>
    </row>
    <row r="469" spans="1:16" hidden="1" outlineLevel="1">
      <c r="A469" s="671" t="s">
        <v>1508</v>
      </c>
      <c r="B469" s="672">
        <v>7</v>
      </c>
      <c r="C469" s="674">
        <v>2024</v>
      </c>
      <c r="D469" s="673">
        <v>0</v>
      </c>
      <c r="E469" s="679">
        <v>0</v>
      </c>
      <c r="F469" s="672">
        <v>0</v>
      </c>
      <c r="G469" s="679">
        <v>0</v>
      </c>
      <c r="H469" s="672">
        <v>-0.5</v>
      </c>
      <c r="I469" s="679">
        <v>-448.14</v>
      </c>
      <c r="J469" s="679">
        <v>0</v>
      </c>
      <c r="K469" s="674">
        <v>0</v>
      </c>
      <c r="L469" s="191">
        <f t="shared" si="28"/>
        <v>-448.14</v>
      </c>
      <c r="M469" t="s">
        <v>1509</v>
      </c>
      <c r="O469" t="str">
        <f t="shared" si="29"/>
        <v>Regelzone TenneT (gesamt)</v>
      </c>
    </row>
    <row r="470" spans="1:16" hidden="1" outlineLevel="1">
      <c r="A470" s="671" t="s">
        <v>1522</v>
      </c>
      <c r="B470" s="672">
        <v>7</v>
      </c>
      <c r="C470" s="674">
        <v>2024</v>
      </c>
      <c r="D470" s="673">
        <v>0</v>
      </c>
      <c r="E470" s="679">
        <v>0</v>
      </c>
      <c r="F470" s="675">
        <v>0</v>
      </c>
      <c r="G470" s="679">
        <v>0</v>
      </c>
      <c r="H470" s="672">
        <v>39667.089999999997</v>
      </c>
      <c r="I470" s="679">
        <v>3763.48</v>
      </c>
      <c r="J470" s="679">
        <v>220.1</v>
      </c>
      <c r="K470" s="674">
        <v>0</v>
      </c>
      <c r="L470" s="191">
        <f t="shared" si="28"/>
        <v>3983.58</v>
      </c>
      <c r="M470" t="s">
        <v>1523</v>
      </c>
      <c r="O470" t="str">
        <f t="shared" si="29"/>
        <v>Regelzone TenneT (gesamt)</v>
      </c>
    </row>
    <row r="471" spans="1:16" hidden="1" outlineLevel="1">
      <c r="A471" s="671" t="s">
        <v>1223</v>
      </c>
      <c r="B471" s="672">
        <v>7</v>
      </c>
      <c r="C471" s="674">
        <v>2024</v>
      </c>
      <c r="D471" s="673">
        <v>0</v>
      </c>
      <c r="E471" s="679">
        <v>0</v>
      </c>
      <c r="F471" s="675">
        <v>0</v>
      </c>
      <c r="G471" s="679">
        <v>0</v>
      </c>
      <c r="H471" s="672">
        <v>-141183</v>
      </c>
      <c r="I471" s="679">
        <v>-22589.279999999999</v>
      </c>
      <c r="J471" s="679">
        <v>0</v>
      </c>
      <c r="K471" s="674">
        <v>0</v>
      </c>
      <c r="L471" s="191">
        <f t="shared" si="28"/>
        <v>-22589.279999999999</v>
      </c>
      <c r="M471" t="s">
        <v>1224</v>
      </c>
      <c r="O471" t="str">
        <f t="shared" si="29"/>
        <v>Regelzone TenneT (gesamt)</v>
      </c>
    </row>
    <row r="472" spans="1:16" hidden="1" outlineLevel="1">
      <c r="A472" s="671" t="s">
        <v>1364</v>
      </c>
      <c r="B472" s="672">
        <v>7</v>
      </c>
      <c r="C472" s="674">
        <v>2024</v>
      </c>
      <c r="D472" s="673">
        <v>0</v>
      </c>
      <c r="E472" s="679">
        <v>0</v>
      </c>
      <c r="F472" s="675">
        <v>53835</v>
      </c>
      <c r="G472" s="679">
        <v>2912.47</v>
      </c>
      <c r="H472" s="675">
        <v>96506.16</v>
      </c>
      <c r="I472" s="679">
        <v>23285.35</v>
      </c>
      <c r="J472" s="679">
        <v>0</v>
      </c>
      <c r="K472" s="674">
        <v>0</v>
      </c>
      <c r="L472" s="191">
        <f t="shared" ref="L472:L531" si="31">E472+G472+I472+J472+K472</f>
        <v>26197.82</v>
      </c>
      <c r="M472" t="s">
        <v>1365</v>
      </c>
      <c r="O472" t="str">
        <f t="shared" si="29"/>
        <v>Regelzone TenneT (gesamt)</v>
      </c>
    </row>
    <row r="473" spans="1:16" hidden="1" outlineLevel="1">
      <c r="A473" s="671" t="s">
        <v>1826</v>
      </c>
      <c r="B473" s="672">
        <v>7</v>
      </c>
      <c r="C473" s="674">
        <v>2024</v>
      </c>
      <c r="D473" s="673">
        <v>0</v>
      </c>
      <c r="E473" s="679">
        <v>0</v>
      </c>
      <c r="F473" s="672">
        <v>124250</v>
      </c>
      <c r="G473" s="679">
        <v>6721.92</v>
      </c>
      <c r="H473" s="675">
        <v>333956</v>
      </c>
      <c r="I473" s="679">
        <v>55705.86</v>
      </c>
      <c r="J473" s="679">
        <v>0</v>
      </c>
      <c r="K473" s="674">
        <v>0</v>
      </c>
      <c r="L473" s="191">
        <f t="shared" si="31"/>
        <v>62427.78</v>
      </c>
      <c r="M473" t="s">
        <v>1827</v>
      </c>
      <c r="O473" t="str">
        <f t="shared" si="29"/>
        <v>Regelzone TenneT (gesamt)</v>
      </c>
    </row>
    <row r="474" spans="1:16" ht="39" collapsed="1" thickBot="1">
      <c r="A474" s="954" t="s">
        <v>1828</v>
      </c>
      <c r="B474" s="955"/>
      <c r="C474" s="956"/>
      <c r="D474" s="178">
        <f t="shared" ref="D474:K474" si="32">SUM(D475:D599)</f>
        <v>-882677</v>
      </c>
      <c r="E474" s="177">
        <f t="shared" si="32"/>
        <v>-19822.38</v>
      </c>
      <c r="F474" s="178">
        <f t="shared" si="32"/>
        <v>24927051</v>
      </c>
      <c r="G474" s="177">
        <f t="shared" si="32"/>
        <v>1167844.96</v>
      </c>
      <c r="H474" s="178">
        <f t="shared" si="32"/>
        <v>70455248</v>
      </c>
      <c r="I474" s="177">
        <f t="shared" si="32"/>
        <v>6740022.9399999976</v>
      </c>
      <c r="J474" s="190">
        <f t="shared" si="32"/>
        <v>-84460.109999999971</v>
      </c>
      <c r="K474" s="180">
        <f t="shared" si="32"/>
        <v>0</v>
      </c>
      <c r="L474" s="180">
        <f t="shared" si="31"/>
        <v>7803585.4099999974</v>
      </c>
      <c r="P474" s="119"/>
    </row>
    <row r="475" spans="1:16" hidden="1" outlineLevel="1">
      <c r="A475" s="129" t="s">
        <v>1831</v>
      </c>
      <c r="B475" s="14" t="s">
        <v>2076</v>
      </c>
      <c r="C475" s="445">
        <v>2023</v>
      </c>
      <c r="D475" s="182">
        <v>-895940</v>
      </c>
      <c r="E475" s="181">
        <v>-20500.13</v>
      </c>
      <c r="F475" s="182">
        <v>0</v>
      </c>
      <c r="G475" s="181">
        <v>0</v>
      </c>
      <c r="H475" s="182">
        <v>29100</v>
      </c>
      <c r="I475" s="181">
        <v>2033.32</v>
      </c>
      <c r="J475" s="183">
        <v>0</v>
      </c>
      <c r="K475" s="184">
        <v>0</v>
      </c>
      <c r="L475" s="191">
        <f t="shared" si="31"/>
        <v>-18466.810000000001</v>
      </c>
      <c r="M475" t="e">
        <v>#N/A</v>
      </c>
      <c r="O475" t="str">
        <f>$A$474</f>
        <v>Regelzone TransnetBW (gesamt)</v>
      </c>
    </row>
    <row r="476" spans="1:16" hidden="1" outlineLevel="1">
      <c r="A476" s="129" t="s">
        <v>1831</v>
      </c>
      <c r="B476" s="14" t="s">
        <v>2076</v>
      </c>
      <c r="C476" s="445">
        <v>2024</v>
      </c>
      <c r="D476" s="182">
        <v>0</v>
      </c>
      <c r="E476" s="181">
        <v>0</v>
      </c>
      <c r="F476" s="182">
        <v>-8841</v>
      </c>
      <c r="G476" s="181">
        <v>-478.29</v>
      </c>
      <c r="H476" s="182">
        <v>29114</v>
      </c>
      <c r="I476" s="181">
        <v>1957.8</v>
      </c>
      <c r="J476" s="183">
        <v>0</v>
      </c>
      <c r="K476" s="184">
        <v>0</v>
      </c>
      <c r="L476" s="191">
        <f t="shared" si="31"/>
        <v>1479.51</v>
      </c>
      <c r="M476" s="5" t="s">
        <v>1832</v>
      </c>
      <c r="O476" t="str">
        <f t="shared" ref="O476:O539" si="33">$A$474</f>
        <v>Regelzone TransnetBW (gesamt)</v>
      </c>
    </row>
    <row r="477" spans="1:16" hidden="1" outlineLevel="1">
      <c r="A477" s="129" t="s">
        <v>1833</v>
      </c>
      <c r="B477" s="14" t="s">
        <v>2076</v>
      </c>
      <c r="C477" s="445">
        <v>2022</v>
      </c>
      <c r="D477" s="182">
        <v>0</v>
      </c>
      <c r="E477" s="181">
        <v>0</v>
      </c>
      <c r="F477" s="182">
        <v>260170</v>
      </c>
      <c r="G477" s="181">
        <v>3845.16</v>
      </c>
      <c r="H477" s="182">
        <v>452501</v>
      </c>
      <c r="I477" s="181">
        <v>28874.22</v>
      </c>
      <c r="J477" s="183">
        <v>0</v>
      </c>
      <c r="K477" s="184">
        <v>0</v>
      </c>
      <c r="L477" s="191">
        <f t="shared" si="31"/>
        <v>32719.38</v>
      </c>
      <c r="M477" s="5" t="s">
        <v>1834</v>
      </c>
      <c r="O477" t="str">
        <f t="shared" si="33"/>
        <v>Regelzone TransnetBW (gesamt)</v>
      </c>
    </row>
    <row r="478" spans="1:16" hidden="1" outlineLevel="1">
      <c r="A478" s="129" t="s">
        <v>1833</v>
      </c>
      <c r="B478" s="14" t="s">
        <v>2076</v>
      </c>
      <c r="C478" s="445">
        <v>2023</v>
      </c>
      <c r="D478" s="182">
        <v>0</v>
      </c>
      <c r="E478" s="181">
        <v>0</v>
      </c>
      <c r="F478" s="182">
        <v>70718</v>
      </c>
      <c r="G478" s="181">
        <v>4498.05</v>
      </c>
      <c r="H478" s="182">
        <v>1055362</v>
      </c>
      <c r="I478" s="181">
        <v>64587.72</v>
      </c>
      <c r="J478" s="183">
        <v>0</v>
      </c>
      <c r="K478" s="184">
        <v>0</v>
      </c>
      <c r="L478" s="191">
        <f t="shared" si="31"/>
        <v>69085.77</v>
      </c>
      <c r="M478" s="5" t="s">
        <v>1834</v>
      </c>
      <c r="O478" t="str">
        <f t="shared" si="33"/>
        <v>Regelzone TransnetBW (gesamt)</v>
      </c>
    </row>
    <row r="479" spans="1:16" hidden="1" outlineLevel="1">
      <c r="A479" s="129" t="s">
        <v>1833</v>
      </c>
      <c r="B479" s="14" t="s">
        <v>2076</v>
      </c>
      <c r="C479" s="445">
        <v>2024</v>
      </c>
      <c r="D479" s="182">
        <v>0</v>
      </c>
      <c r="E479" s="181">
        <v>0</v>
      </c>
      <c r="F479" s="182">
        <v>958942</v>
      </c>
      <c r="G479" s="181">
        <v>51878.78</v>
      </c>
      <c r="H479" s="182">
        <v>3614020</v>
      </c>
      <c r="I479" s="181">
        <v>298561.84000000003</v>
      </c>
      <c r="J479" s="183">
        <v>0</v>
      </c>
      <c r="K479" s="184">
        <v>0</v>
      </c>
      <c r="L479" s="191">
        <f t="shared" si="31"/>
        <v>350440.62</v>
      </c>
      <c r="M479" s="5" t="s">
        <v>1834</v>
      </c>
      <c r="O479" t="str">
        <f t="shared" si="33"/>
        <v>Regelzone TransnetBW (gesamt)</v>
      </c>
    </row>
    <row r="480" spans="1:16" hidden="1" outlineLevel="1">
      <c r="A480" s="129" t="s">
        <v>1835</v>
      </c>
      <c r="B480" s="14" t="s">
        <v>2076</v>
      </c>
      <c r="C480" s="445">
        <v>2022</v>
      </c>
      <c r="D480" s="182">
        <v>0</v>
      </c>
      <c r="E480" s="181">
        <v>0</v>
      </c>
      <c r="F480" s="182">
        <v>0</v>
      </c>
      <c r="G480" s="181">
        <v>0</v>
      </c>
      <c r="H480" s="182">
        <v>201</v>
      </c>
      <c r="I480" s="181">
        <v>16.079999999999998</v>
      </c>
      <c r="J480" s="183">
        <v>0</v>
      </c>
      <c r="K480" s="184">
        <v>0</v>
      </c>
      <c r="L480" s="191">
        <f t="shared" si="31"/>
        <v>16.079999999999998</v>
      </c>
      <c r="M480" s="5" t="s">
        <v>1836</v>
      </c>
      <c r="O480" t="str">
        <f t="shared" si="33"/>
        <v>Regelzone TransnetBW (gesamt)</v>
      </c>
    </row>
    <row r="481" spans="1:15" hidden="1" outlineLevel="1">
      <c r="A481" s="129" t="s">
        <v>1835</v>
      </c>
      <c r="B481" s="14" t="s">
        <v>2076</v>
      </c>
      <c r="C481" s="445">
        <v>2023</v>
      </c>
      <c r="D481" s="182">
        <v>0</v>
      </c>
      <c r="E481" s="181">
        <v>0</v>
      </c>
      <c r="F481" s="182">
        <v>0</v>
      </c>
      <c r="G481" s="181">
        <v>0</v>
      </c>
      <c r="H481" s="182">
        <v>123780</v>
      </c>
      <c r="I481" s="181">
        <v>9902.4</v>
      </c>
      <c r="J481" s="183">
        <v>0</v>
      </c>
      <c r="K481" s="184">
        <v>0</v>
      </c>
      <c r="L481" s="191">
        <f t="shared" si="31"/>
        <v>9902.4</v>
      </c>
      <c r="M481" s="5" t="s">
        <v>1836</v>
      </c>
      <c r="O481" t="str">
        <f t="shared" si="33"/>
        <v>Regelzone TransnetBW (gesamt)</v>
      </c>
    </row>
    <row r="482" spans="1:15" hidden="1" outlineLevel="1">
      <c r="A482" s="129" t="s">
        <v>1835</v>
      </c>
      <c r="B482" s="14" t="s">
        <v>2076</v>
      </c>
      <c r="C482" s="445">
        <v>2024</v>
      </c>
      <c r="D482" s="182">
        <v>0</v>
      </c>
      <c r="E482" s="181">
        <v>0</v>
      </c>
      <c r="F482" s="182">
        <v>0</v>
      </c>
      <c r="G482" s="181">
        <v>0</v>
      </c>
      <c r="H482" s="182">
        <v>644946</v>
      </c>
      <c r="I482" s="181">
        <v>73162</v>
      </c>
      <c r="J482" s="183">
        <v>0</v>
      </c>
      <c r="K482" s="184">
        <v>0</v>
      </c>
      <c r="L482" s="191">
        <f t="shared" si="31"/>
        <v>73162</v>
      </c>
      <c r="M482" s="5" t="s">
        <v>1836</v>
      </c>
      <c r="O482" t="str">
        <f t="shared" si="33"/>
        <v>Regelzone TransnetBW (gesamt)</v>
      </c>
    </row>
    <row r="483" spans="1:15" hidden="1" outlineLevel="1">
      <c r="A483" s="129" t="s">
        <v>1847</v>
      </c>
      <c r="B483" s="14" t="s">
        <v>2076</v>
      </c>
      <c r="C483" s="445">
        <v>2023</v>
      </c>
      <c r="D483" s="182">
        <v>0</v>
      </c>
      <c r="E483" s="181">
        <v>0</v>
      </c>
      <c r="F483" s="182">
        <v>0</v>
      </c>
      <c r="G483" s="181">
        <v>0</v>
      </c>
      <c r="H483" s="182">
        <v>-16231</v>
      </c>
      <c r="I483" s="181">
        <v>-889.24</v>
      </c>
      <c r="J483" s="183">
        <v>0</v>
      </c>
      <c r="K483" s="184">
        <v>0</v>
      </c>
      <c r="L483" s="191">
        <f t="shared" si="31"/>
        <v>-889.24</v>
      </c>
      <c r="M483" s="5" t="s">
        <v>1848</v>
      </c>
      <c r="O483" t="str">
        <f t="shared" si="33"/>
        <v>Regelzone TransnetBW (gesamt)</v>
      </c>
    </row>
    <row r="484" spans="1:15" hidden="1" outlineLevel="1">
      <c r="A484" s="129" t="s">
        <v>1847</v>
      </c>
      <c r="B484" s="14" t="s">
        <v>2076</v>
      </c>
      <c r="C484" s="445">
        <v>2024</v>
      </c>
      <c r="D484" s="182">
        <v>0</v>
      </c>
      <c r="E484" s="181">
        <v>0</v>
      </c>
      <c r="F484" s="182">
        <v>2978</v>
      </c>
      <c r="G484" s="181">
        <v>161.11000000000001</v>
      </c>
      <c r="H484" s="182">
        <v>-22586</v>
      </c>
      <c r="I484" s="181">
        <v>-1313.4</v>
      </c>
      <c r="J484" s="183">
        <v>0</v>
      </c>
      <c r="K484" s="184">
        <v>0</v>
      </c>
      <c r="L484" s="191">
        <f t="shared" si="31"/>
        <v>-1152.29</v>
      </c>
      <c r="M484" s="5" t="s">
        <v>1848</v>
      </c>
      <c r="O484" t="str">
        <f t="shared" si="33"/>
        <v>Regelzone TransnetBW (gesamt)</v>
      </c>
    </row>
    <row r="485" spans="1:15" hidden="1" outlineLevel="1">
      <c r="A485" s="129" t="s">
        <v>1855</v>
      </c>
      <c r="B485" s="14" t="s">
        <v>2076</v>
      </c>
      <c r="C485" s="445">
        <v>2022</v>
      </c>
      <c r="D485" s="182">
        <v>0</v>
      </c>
      <c r="E485" s="181">
        <v>0</v>
      </c>
      <c r="F485" s="182">
        <v>0</v>
      </c>
      <c r="G485" s="181">
        <v>0</v>
      </c>
      <c r="H485" s="182">
        <v>0</v>
      </c>
      <c r="I485" s="181">
        <v>2293.6799999999998</v>
      </c>
      <c r="J485" s="183">
        <v>0</v>
      </c>
      <c r="K485" s="184">
        <v>0</v>
      </c>
      <c r="L485" s="191">
        <f t="shared" si="31"/>
        <v>2293.6799999999998</v>
      </c>
      <c r="M485" s="5" t="s">
        <v>1856</v>
      </c>
      <c r="O485" t="str">
        <f t="shared" si="33"/>
        <v>Regelzone TransnetBW (gesamt)</v>
      </c>
    </row>
    <row r="486" spans="1:15" hidden="1" outlineLevel="1">
      <c r="A486" s="129" t="s">
        <v>1855</v>
      </c>
      <c r="B486" s="14" t="s">
        <v>2076</v>
      </c>
      <c r="C486" s="445">
        <v>2023</v>
      </c>
      <c r="D486" s="182">
        <v>0</v>
      </c>
      <c r="E486" s="181">
        <v>0</v>
      </c>
      <c r="F486" s="182">
        <v>0</v>
      </c>
      <c r="G486" s="181">
        <v>0</v>
      </c>
      <c r="H486" s="182">
        <v>0</v>
      </c>
      <c r="I486" s="181">
        <v>1654.52</v>
      </c>
      <c r="J486" s="183">
        <v>0</v>
      </c>
      <c r="K486" s="184">
        <v>0</v>
      </c>
      <c r="L486" s="191">
        <f t="shared" si="31"/>
        <v>1654.52</v>
      </c>
      <c r="M486" s="5" t="s">
        <v>1856</v>
      </c>
      <c r="O486" t="str">
        <f t="shared" si="33"/>
        <v>Regelzone TransnetBW (gesamt)</v>
      </c>
    </row>
    <row r="487" spans="1:15" hidden="1" outlineLevel="1">
      <c r="A487" s="129" t="s">
        <v>1855</v>
      </c>
      <c r="B487" s="14" t="s">
        <v>2076</v>
      </c>
      <c r="C487" s="445">
        <v>2024</v>
      </c>
      <c r="D487" s="182">
        <v>0</v>
      </c>
      <c r="E487" s="181">
        <v>0</v>
      </c>
      <c r="F487" s="182">
        <v>0</v>
      </c>
      <c r="G487" s="181">
        <v>0</v>
      </c>
      <c r="H487" s="182">
        <v>-247</v>
      </c>
      <c r="I487" s="181">
        <v>1781.16</v>
      </c>
      <c r="J487" s="183">
        <v>0</v>
      </c>
      <c r="K487" s="184">
        <v>0</v>
      </c>
      <c r="L487" s="191">
        <f t="shared" si="31"/>
        <v>1781.16</v>
      </c>
      <c r="M487" s="5" t="s">
        <v>1856</v>
      </c>
      <c r="O487" t="str">
        <f t="shared" si="33"/>
        <v>Regelzone TransnetBW (gesamt)</v>
      </c>
    </row>
    <row r="488" spans="1:15" hidden="1" outlineLevel="1">
      <c r="A488" s="129" t="s">
        <v>1859</v>
      </c>
      <c r="B488" s="14" t="s">
        <v>2076</v>
      </c>
      <c r="C488" s="445">
        <v>2023</v>
      </c>
      <c r="D488" s="182">
        <v>0</v>
      </c>
      <c r="E488" s="181">
        <v>0</v>
      </c>
      <c r="F488" s="182">
        <v>0</v>
      </c>
      <c r="G488" s="181">
        <v>0</v>
      </c>
      <c r="H488" s="182">
        <v>-4373</v>
      </c>
      <c r="I488" s="181">
        <v>-481.04</v>
      </c>
      <c r="J488" s="183">
        <v>0</v>
      </c>
      <c r="K488" s="184">
        <v>0</v>
      </c>
      <c r="L488" s="191">
        <f t="shared" si="31"/>
        <v>-481.04</v>
      </c>
      <c r="M488" s="5" t="s">
        <v>1860</v>
      </c>
      <c r="O488" t="str">
        <f t="shared" si="33"/>
        <v>Regelzone TransnetBW (gesamt)</v>
      </c>
    </row>
    <row r="489" spans="1:15" hidden="1" outlineLevel="1">
      <c r="A489" s="129" t="s">
        <v>1859</v>
      </c>
      <c r="B489" s="14" t="s">
        <v>2076</v>
      </c>
      <c r="C489" s="445">
        <v>2024</v>
      </c>
      <c r="D489" s="182">
        <v>0</v>
      </c>
      <c r="E489" s="181">
        <v>0</v>
      </c>
      <c r="F489" s="182">
        <v>0</v>
      </c>
      <c r="G489" s="181">
        <v>0</v>
      </c>
      <c r="H489" s="182">
        <v>416805</v>
      </c>
      <c r="I489" s="181">
        <v>15675.26</v>
      </c>
      <c r="J489" s="183">
        <v>0</v>
      </c>
      <c r="K489" s="184">
        <v>0</v>
      </c>
      <c r="L489" s="191">
        <f t="shared" si="31"/>
        <v>15675.26</v>
      </c>
      <c r="M489" s="5" t="s">
        <v>1860</v>
      </c>
      <c r="O489" t="str">
        <f t="shared" si="33"/>
        <v>Regelzone TransnetBW (gesamt)</v>
      </c>
    </row>
    <row r="490" spans="1:15" hidden="1" outlineLevel="1">
      <c r="A490" s="129" t="s">
        <v>1863</v>
      </c>
      <c r="B490" s="14" t="s">
        <v>2076</v>
      </c>
      <c r="C490" s="445">
        <v>2023</v>
      </c>
      <c r="D490" s="182">
        <v>0</v>
      </c>
      <c r="E490" s="181">
        <v>0</v>
      </c>
      <c r="F490" s="182">
        <v>0</v>
      </c>
      <c r="G490" s="181">
        <v>0</v>
      </c>
      <c r="H490" s="182">
        <v>49361</v>
      </c>
      <c r="I490" s="181">
        <v>7638.48</v>
      </c>
      <c r="J490" s="183">
        <v>0</v>
      </c>
      <c r="K490" s="184">
        <v>0</v>
      </c>
      <c r="L490" s="191">
        <f t="shared" si="31"/>
        <v>7638.48</v>
      </c>
      <c r="M490" s="5" t="s">
        <v>1864</v>
      </c>
      <c r="O490" t="str">
        <f t="shared" si="33"/>
        <v>Regelzone TransnetBW (gesamt)</v>
      </c>
    </row>
    <row r="491" spans="1:15" hidden="1" outlineLevel="1">
      <c r="A491" s="129" t="s">
        <v>1863</v>
      </c>
      <c r="B491" s="14" t="s">
        <v>2076</v>
      </c>
      <c r="C491" s="445">
        <v>2024</v>
      </c>
      <c r="D491" s="182">
        <v>0</v>
      </c>
      <c r="E491" s="181">
        <v>0</v>
      </c>
      <c r="F491" s="182">
        <v>0</v>
      </c>
      <c r="G491" s="181">
        <v>0</v>
      </c>
      <c r="H491" s="182">
        <v>213066</v>
      </c>
      <c r="I491" s="181">
        <v>29342.799999999999</v>
      </c>
      <c r="J491" s="183">
        <v>0</v>
      </c>
      <c r="K491" s="184">
        <v>0</v>
      </c>
      <c r="L491" s="191">
        <f t="shared" si="31"/>
        <v>29342.799999999999</v>
      </c>
      <c r="M491" s="5" t="s">
        <v>1864</v>
      </c>
      <c r="O491" t="str">
        <f t="shared" si="33"/>
        <v>Regelzone TransnetBW (gesamt)</v>
      </c>
    </row>
    <row r="492" spans="1:15" hidden="1" outlineLevel="1">
      <c r="A492" s="129" t="s">
        <v>1865</v>
      </c>
      <c r="B492" s="14" t="s">
        <v>2076</v>
      </c>
      <c r="C492" s="445">
        <v>2022</v>
      </c>
      <c r="D492" s="182">
        <v>0</v>
      </c>
      <c r="E492" s="181">
        <v>0</v>
      </c>
      <c r="F492" s="182">
        <v>0</v>
      </c>
      <c r="G492" s="181">
        <v>0</v>
      </c>
      <c r="H492" s="182">
        <v>0</v>
      </c>
      <c r="I492" s="181">
        <v>178.32</v>
      </c>
      <c r="J492" s="183">
        <v>0</v>
      </c>
      <c r="K492" s="184">
        <v>0</v>
      </c>
      <c r="L492" s="191">
        <f t="shared" si="31"/>
        <v>178.32</v>
      </c>
      <c r="M492" s="5" t="s">
        <v>1866</v>
      </c>
      <c r="O492" t="str">
        <f t="shared" si="33"/>
        <v>Regelzone TransnetBW (gesamt)</v>
      </c>
    </row>
    <row r="493" spans="1:15" hidden="1" outlineLevel="1">
      <c r="A493" s="129" t="s">
        <v>1865</v>
      </c>
      <c r="B493" s="14" t="s">
        <v>2076</v>
      </c>
      <c r="C493" s="445">
        <v>2023</v>
      </c>
      <c r="D493" s="182">
        <v>0</v>
      </c>
      <c r="E493" s="181">
        <v>0</v>
      </c>
      <c r="F493" s="182">
        <v>0</v>
      </c>
      <c r="G493" s="181">
        <v>0</v>
      </c>
      <c r="H493" s="182">
        <v>0</v>
      </c>
      <c r="I493" s="181">
        <v>487.12</v>
      </c>
      <c r="J493" s="183">
        <v>0</v>
      </c>
      <c r="K493" s="184">
        <v>0</v>
      </c>
      <c r="L493" s="191">
        <f t="shared" si="31"/>
        <v>487.12</v>
      </c>
      <c r="M493" s="5" t="s">
        <v>1866</v>
      </c>
      <c r="O493" t="str">
        <f>$A$474</f>
        <v>Regelzone TransnetBW (gesamt)</v>
      </c>
    </row>
    <row r="494" spans="1:15" hidden="1" outlineLevel="1">
      <c r="A494" s="129" t="s">
        <v>1865</v>
      </c>
      <c r="B494" s="14" t="s">
        <v>2076</v>
      </c>
      <c r="C494" s="445">
        <v>2024</v>
      </c>
      <c r="D494" s="182">
        <v>0</v>
      </c>
      <c r="E494" s="181">
        <v>0</v>
      </c>
      <c r="F494" s="182">
        <v>0</v>
      </c>
      <c r="G494" s="181">
        <v>0</v>
      </c>
      <c r="H494" s="182">
        <v>13618</v>
      </c>
      <c r="I494" s="181">
        <v>3075.36</v>
      </c>
      <c r="J494" s="183">
        <v>0</v>
      </c>
      <c r="K494" s="184">
        <v>0</v>
      </c>
      <c r="L494" s="191">
        <f t="shared" si="31"/>
        <v>3075.36</v>
      </c>
      <c r="M494" s="5" t="s">
        <v>1866</v>
      </c>
      <c r="O494" t="str">
        <f t="shared" si="33"/>
        <v>Regelzone TransnetBW (gesamt)</v>
      </c>
    </row>
    <row r="495" spans="1:15" hidden="1" outlineLevel="1">
      <c r="A495" s="129" t="s">
        <v>1869</v>
      </c>
      <c r="B495" s="14" t="s">
        <v>2076</v>
      </c>
      <c r="C495" s="445">
        <v>2024</v>
      </c>
      <c r="D495" s="182">
        <v>0</v>
      </c>
      <c r="E495" s="181">
        <v>0</v>
      </c>
      <c r="F495" s="182">
        <v>0</v>
      </c>
      <c r="G495" s="181">
        <v>0</v>
      </c>
      <c r="H495" s="182">
        <v>140106</v>
      </c>
      <c r="I495" s="181">
        <v>11314.96</v>
      </c>
      <c r="J495" s="183">
        <v>0</v>
      </c>
      <c r="K495" s="184">
        <v>0</v>
      </c>
      <c r="L495" s="191">
        <f t="shared" si="31"/>
        <v>11314.96</v>
      </c>
      <c r="M495" s="5" t="s">
        <v>1870</v>
      </c>
      <c r="O495" t="str">
        <f t="shared" si="33"/>
        <v>Regelzone TransnetBW (gesamt)</v>
      </c>
    </row>
    <row r="496" spans="1:15" hidden="1" outlineLevel="1">
      <c r="A496" s="129" t="s">
        <v>1873</v>
      </c>
      <c r="B496" s="14" t="s">
        <v>2076</v>
      </c>
      <c r="C496" s="445">
        <v>2021</v>
      </c>
      <c r="D496" s="182">
        <v>0</v>
      </c>
      <c r="E496" s="181">
        <v>0</v>
      </c>
      <c r="F496" s="182">
        <v>8650</v>
      </c>
      <c r="G496" s="181">
        <v>467.97</v>
      </c>
      <c r="H496" s="182">
        <v>0</v>
      </c>
      <c r="I496" s="181">
        <v>0</v>
      </c>
      <c r="J496" s="183">
        <v>0</v>
      </c>
      <c r="K496" s="184">
        <v>0</v>
      </c>
      <c r="L496" s="191">
        <f t="shared" si="31"/>
        <v>467.97</v>
      </c>
      <c r="M496" s="5" t="s">
        <v>1874</v>
      </c>
      <c r="O496" t="str">
        <f t="shared" si="33"/>
        <v>Regelzone TransnetBW (gesamt)</v>
      </c>
    </row>
    <row r="497" spans="1:15" hidden="1" outlineLevel="1">
      <c r="A497" s="129" t="s">
        <v>1873</v>
      </c>
      <c r="B497" s="14" t="s">
        <v>2076</v>
      </c>
      <c r="C497" s="445">
        <v>2022</v>
      </c>
      <c r="D497" s="182">
        <v>0</v>
      </c>
      <c r="E497" s="181">
        <v>0</v>
      </c>
      <c r="F497" s="182">
        <v>19511</v>
      </c>
      <c r="G497" s="181">
        <v>1055.55</v>
      </c>
      <c r="H497" s="182">
        <v>31428</v>
      </c>
      <c r="I497" s="181">
        <v>4173.5200000000004</v>
      </c>
      <c r="J497" s="183">
        <v>-449122.11</v>
      </c>
      <c r="K497" s="184">
        <v>0</v>
      </c>
      <c r="L497" s="191">
        <f t="shared" si="31"/>
        <v>-443893.04</v>
      </c>
      <c r="M497" s="5" t="s">
        <v>1874</v>
      </c>
      <c r="O497" t="str">
        <f t="shared" si="33"/>
        <v>Regelzone TransnetBW (gesamt)</v>
      </c>
    </row>
    <row r="498" spans="1:15" hidden="1" outlineLevel="1">
      <c r="A498" s="129" t="s">
        <v>1873</v>
      </c>
      <c r="B498" s="14" t="s">
        <v>2076</v>
      </c>
      <c r="C498" s="445">
        <v>2023</v>
      </c>
      <c r="D498" s="182">
        <v>0</v>
      </c>
      <c r="E498" s="181">
        <v>0</v>
      </c>
      <c r="F498" s="182">
        <v>17213</v>
      </c>
      <c r="G498" s="181">
        <v>931.22</v>
      </c>
      <c r="H498" s="182">
        <v>189538</v>
      </c>
      <c r="I498" s="181">
        <v>18882.64</v>
      </c>
      <c r="J498" s="183">
        <v>0</v>
      </c>
      <c r="K498" s="184">
        <v>0</v>
      </c>
      <c r="L498" s="191">
        <f t="shared" si="31"/>
        <v>19813.86</v>
      </c>
      <c r="M498" s="5" t="s">
        <v>1874</v>
      </c>
      <c r="O498" t="str">
        <f t="shared" si="33"/>
        <v>Regelzone TransnetBW (gesamt)</v>
      </c>
    </row>
    <row r="499" spans="1:15" hidden="1" outlineLevel="1">
      <c r="A499" s="129" t="s">
        <v>1873</v>
      </c>
      <c r="B499" s="14" t="s">
        <v>2076</v>
      </c>
      <c r="C499" s="445">
        <v>2024</v>
      </c>
      <c r="D499" s="182">
        <v>0</v>
      </c>
      <c r="E499" s="181">
        <v>0</v>
      </c>
      <c r="F499" s="182">
        <v>12047</v>
      </c>
      <c r="G499" s="181">
        <v>651.74</v>
      </c>
      <c r="H499" s="182">
        <v>413748</v>
      </c>
      <c r="I499" s="181">
        <v>30482.6</v>
      </c>
      <c r="J499" s="183">
        <v>-19541.990000000002</v>
      </c>
      <c r="K499" s="184">
        <v>0</v>
      </c>
      <c r="L499" s="191">
        <f t="shared" si="31"/>
        <v>11592.349999999999</v>
      </c>
      <c r="M499" s="5" t="s">
        <v>1874</v>
      </c>
      <c r="O499" t="str">
        <f t="shared" si="33"/>
        <v>Regelzone TransnetBW (gesamt)</v>
      </c>
    </row>
    <row r="500" spans="1:15" hidden="1" outlineLevel="1">
      <c r="A500" s="129" t="s">
        <v>1885</v>
      </c>
      <c r="B500" s="14" t="s">
        <v>2076</v>
      </c>
      <c r="C500" s="445">
        <v>2024</v>
      </c>
      <c r="D500" s="182">
        <v>0</v>
      </c>
      <c r="E500" s="181">
        <v>0</v>
      </c>
      <c r="F500" s="182">
        <v>0</v>
      </c>
      <c r="G500" s="181">
        <v>0</v>
      </c>
      <c r="H500" s="182">
        <v>9681</v>
      </c>
      <c r="I500" s="181">
        <v>1548.96</v>
      </c>
      <c r="J500" s="183">
        <v>0</v>
      </c>
      <c r="K500" s="184">
        <v>0</v>
      </c>
      <c r="L500" s="191">
        <f t="shared" si="31"/>
        <v>1548.96</v>
      </c>
      <c r="M500" s="5" t="s">
        <v>1886</v>
      </c>
      <c r="O500" t="str">
        <f t="shared" si="33"/>
        <v>Regelzone TransnetBW (gesamt)</v>
      </c>
    </row>
    <row r="501" spans="1:15" hidden="1" outlineLevel="1">
      <c r="A501" s="129" t="s">
        <v>2077</v>
      </c>
      <c r="B501" s="14" t="s">
        <v>2076</v>
      </c>
      <c r="C501" s="445">
        <v>2024</v>
      </c>
      <c r="D501" s="182">
        <v>0</v>
      </c>
      <c r="E501" s="181">
        <v>0</v>
      </c>
      <c r="F501" s="182">
        <v>-778</v>
      </c>
      <c r="G501" s="181">
        <v>-42.09</v>
      </c>
      <c r="H501" s="182">
        <v>0</v>
      </c>
      <c r="I501" s="181">
        <v>0</v>
      </c>
      <c r="J501" s="183">
        <v>0</v>
      </c>
      <c r="K501" s="184">
        <v>0</v>
      </c>
      <c r="L501" s="191">
        <f t="shared" si="31"/>
        <v>-42.09</v>
      </c>
      <c r="M501" s="5" t="s">
        <v>2078</v>
      </c>
      <c r="O501" t="str">
        <f t="shared" si="33"/>
        <v>Regelzone TransnetBW (gesamt)</v>
      </c>
    </row>
    <row r="502" spans="1:15" hidden="1" outlineLevel="1">
      <c r="A502" s="129" t="s">
        <v>1887</v>
      </c>
      <c r="B502" s="14" t="s">
        <v>2076</v>
      </c>
      <c r="C502" s="445">
        <v>2022</v>
      </c>
      <c r="D502" s="182">
        <v>0</v>
      </c>
      <c r="E502" s="181">
        <v>0</v>
      </c>
      <c r="F502" s="182">
        <v>12828</v>
      </c>
      <c r="G502" s="181">
        <v>693.99</v>
      </c>
      <c r="H502" s="182">
        <v>0</v>
      </c>
      <c r="I502" s="181">
        <v>-1081.5999999999999</v>
      </c>
      <c r="J502" s="183">
        <v>0</v>
      </c>
      <c r="K502" s="184">
        <v>0</v>
      </c>
      <c r="L502" s="191">
        <f t="shared" si="31"/>
        <v>-387.6099999999999</v>
      </c>
      <c r="M502" s="5" t="s">
        <v>1888</v>
      </c>
      <c r="O502" t="str">
        <f t="shared" si="33"/>
        <v>Regelzone TransnetBW (gesamt)</v>
      </c>
    </row>
    <row r="503" spans="1:15" hidden="1" outlineLevel="1">
      <c r="A503" s="129" t="s">
        <v>1895</v>
      </c>
      <c r="B503" s="14" t="s">
        <v>2076</v>
      </c>
      <c r="C503" s="445">
        <v>2023</v>
      </c>
      <c r="D503" s="182">
        <v>0</v>
      </c>
      <c r="E503" s="181">
        <v>0</v>
      </c>
      <c r="F503" s="182">
        <v>95630</v>
      </c>
      <c r="G503" s="181">
        <v>5173.58</v>
      </c>
      <c r="H503" s="182">
        <v>354020</v>
      </c>
      <c r="I503" s="181">
        <v>26301.65</v>
      </c>
      <c r="J503" s="183">
        <v>0</v>
      </c>
      <c r="K503" s="184">
        <v>0</v>
      </c>
      <c r="L503" s="191">
        <f t="shared" si="31"/>
        <v>31475.230000000003</v>
      </c>
      <c r="M503" s="5" t="s">
        <v>1896</v>
      </c>
      <c r="O503" t="str">
        <f t="shared" si="33"/>
        <v>Regelzone TransnetBW (gesamt)</v>
      </c>
    </row>
    <row r="504" spans="1:15" hidden="1" outlineLevel="1">
      <c r="A504" s="129" t="s">
        <v>1895</v>
      </c>
      <c r="B504" s="14" t="s">
        <v>2076</v>
      </c>
      <c r="C504" s="445">
        <v>2024</v>
      </c>
      <c r="D504" s="182">
        <v>0</v>
      </c>
      <c r="E504" s="181">
        <v>0</v>
      </c>
      <c r="F504" s="182">
        <v>509120</v>
      </c>
      <c r="G504" s="181">
        <v>27543.39</v>
      </c>
      <c r="H504" s="182">
        <v>1841545</v>
      </c>
      <c r="I504" s="181">
        <v>167880.37</v>
      </c>
      <c r="J504" s="183">
        <v>0</v>
      </c>
      <c r="K504" s="184">
        <v>0</v>
      </c>
      <c r="L504" s="191">
        <f t="shared" si="31"/>
        <v>195423.76</v>
      </c>
      <c r="M504" s="5" t="s">
        <v>1896</v>
      </c>
      <c r="O504" t="str">
        <f t="shared" si="33"/>
        <v>Regelzone TransnetBW (gesamt)</v>
      </c>
    </row>
    <row r="505" spans="1:15" hidden="1" outlineLevel="1">
      <c r="A505" s="129" t="s">
        <v>977</v>
      </c>
      <c r="B505" s="14" t="s">
        <v>2076</v>
      </c>
      <c r="C505" s="445">
        <v>2014</v>
      </c>
      <c r="D505" s="182">
        <v>0</v>
      </c>
      <c r="E505" s="181">
        <v>0</v>
      </c>
      <c r="F505" s="182">
        <v>84490</v>
      </c>
      <c r="G505" s="181">
        <v>4251.71</v>
      </c>
      <c r="H505" s="182">
        <v>0</v>
      </c>
      <c r="I505" s="181">
        <v>0</v>
      </c>
      <c r="J505" s="183">
        <v>0</v>
      </c>
      <c r="K505" s="184">
        <v>0</v>
      </c>
      <c r="L505" s="191">
        <f t="shared" si="31"/>
        <v>4251.71</v>
      </c>
      <c r="M505" s="5" t="s">
        <v>978</v>
      </c>
      <c r="O505" t="str">
        <f t="shared" si="33"/>
        <v>Regelzone TransnetBW (gesamt)</v>
      </c>
    </row>
    <row r="506" spans="1:15" hidden="1" outlineLevel="1">
      <c r="A506" s="129" t="s">
        <v>977</v>
      </c>
      <c r="B506" s="14" t="s">
        <v>2076</v>
      </c>
      <c r="C506" s="445">
        <v>2015</v>
      </c>
      <c r="D506" s="182">
        <v>0</v>
      </c>
      <c r="E506" s="181">
        <v>0</v>
      </c>
      <c r="F506" s="182">
        <v>508820</v>
      </c>
      <c r="G506" s="181">
        <v>25604.89</v>
      </c>
      <c r="H506" s="182">
        <v>0</v>
      </c>
      <c r="I506" s="181">
        <v>0</v>
      </c>
      <c r="J506" s="183">
        <v>0</v>
      </c>
      <c r="K506" s="184">
        <v>0</v>
      </c>
      <c r="L506" s="191">
        <f t="shared" si="31"/>
        <v>25604.89</v>
      </c>
      <c r="M506" s="5" t="s">
        <v>978</v>
      </c>
      <c r="O506" t="str">
        <f t="shared" si="33"/>
        <v>Regelzone TransnetBW (gesamt)</v>
      </c>
    </row>
    <row r="507" spans="1:15" hidden="1" outlineLevel="1">
      <c r="A507" s="129" t="s">
        <v>977</v>
      </c>
      <c r="B507" s="14" t="s">
        <v>2076</v>
      </c>
      <c r="C507" s="445">
        <v>2016</v>
      </c>
      <c r="D507" s="182">
        <v>0</v>
      </c>
      <c r="E507" s="181">
        <v>0</v>
      </c>
      <c r="F507" s="182">
        <v>2058461</v>
      </c>
      <c r="G507" s="181">
        <v>81474.080000000002</v>
      </c>
      <c r="H507" s="182">
        <v>0</v>
      </c>
      <c r="I507" s="181">
        <v>0</v>
      </c>
      <c r="J507" s="183">
        <v>0</v>
      </c>
      <c r="K507" s="184">
        <v>0</v>
      </c>
      <c r="L507" s="191">
        <f t="shared" si="31"/>
        <v>81474.080000000002</v>
      </c>
      <c r="M507" s="5" t="s">
        <v>978</v>
      </c>
      <c r="O507" t="str">
        <f t="shared" si="33"/>
        <v>Regelzone TransnetBW (gesamt)</v>
      </c>
    </row>
    <row r="508" spans="1:15" hidden="1" outlineLevel="1">
      <c r="A508" s="129" t="s">
        <v>977</v>
      </c>
      <c r="B508" s="14" t="s">
        <v>2076</v>
      </c>
      <c r="C508" s="445">
        <v>2017</v>
      </c>
      <c r="D508" s="182">
        <v>0</v>
      </c>
      <c r="E508" s="181">
        <v>0</v>
      </c>
      <c r="F508" s="182">
        <v>2113470</v>
      </c>
      <c r="G508" s="181">
        <v>83295.42</v>
      </c>
      <c r="H508" s="182">
        <v>0</v>
      </c>
      <c r="I508" s="181">
        <v>0</v>
      </c>
      <c r="J508" s="183">
        <v>0</v>
      </c>
      <c r="K508" s="184">
        <v>0</v>
      </c>
      <c r="L508" s="191">
        <f t="shared" si="31"/>
        <v>83295.42</v>
      </c>
      <c r="M508" s="5" t="s">
        <v>978</v>
      </c>
      <c r="O508" t="str">
        <f t="shared" si="33"/>
        <v>Regelzone TransnetBW (gesamt)</v>
      </c>
    </row>
    <row r="509" spans="1:15" hidden="1" outlineLevel="1">
      <c r="A509" s="129" t="s">
        <v>977</v>
      </c>
      <c r="B509" s="14" t="s">
        <v>2076</v>
      </c>
      <c r="C509" s="445">
        <v>2018</v>
      </c>
      <c r="D509" s="182">
        <v>0</v>
      </c>
      <c r="E509" s="181">
        <v>0</v>
      </c>
      <c r="F509" s="182">
        <v>2032630</v>
      </c>
      <c r="G509" s="181">
        <v>80172.679999999993</v>
      </c>
      <c r="H509" s="182">
        <v>0</v>
      </c>
      <c r="I509" s="181">
        <v>0</v>
      </c>
      <c r="J509" s="183">
        <v>0</v>
      </c>
      <c r="K509" s="184">
        <v>0</v>
      </c>
      <c r="L509" s="191">
        <f t="shared" si="31"/>
        <v>80172.679999999993</v>
      </c>
      <c r="M509" s="5" t="s">
        <v>978</v>
      </c>
      <c r="O509" t="str">
        <f t="shared" si="33"/>
        <v>Regelzone TransnetBW (gesamt)</v>
      </c>
    </row>
    <row r="510" spans="1:15" hidden="1" outlineLevel="1">
      <c r="A510" s="129" t="s">
        <v>977</v>
      </c>
      <c r="B510" s="14" t="s">
        <v>2076</v>
      </c>
      <c r="C510" s="445">
        <v>2019</v>
      </c>
      <c r="D510" s="182">
        <v>0</v>
      </c>
      <c r="E510" s="181">
        <v>0</v>
      </c>
      <c r="F510" s="182">
        <v>377070</v>
      </c>
      <c r="G510" s="181">
        <v>14451.7</v>
      </c>
      <c r="H510" s="182">
        <v>0</v>
      </c>
      <c r="I510" s="181">
        <v>0</v>
      </c>
      <c r="J510" s="183">
        <v>0</v>
      </c>
      <c r="K510" s="184">
        <v>0</v>
      </c>
      <c r="L510" s="191">
        <f t="shared" si="31"/>
        <v>14451.7</v>
      </c>
      <c r="M510" s="5" t="s">
        <v>978</v>
      </c>
      <c r="O510" t="str">
        <f t="shared" si="33"/>
        <v>Regelzone TransnetBW (gesamt)</v>
      </c>
    </row>
    <row r="511" spans="1:15" hidden="1" outlineLevel="1">
      <c r="A511" s="129" t="s">
        <v>977</v>
      </c>
      <c r="B511" s="14" t="s">
        <v>2076</v>
      </c>
      <c r="C511" s="445">
        <v>2021</v>
      </c>
      <c r="D511" s="182">
        <v>9269</v>
      </c>
      <c r="E511" s="181">
        <v>473.65</v>
      </c>
      <c r="F511" s="182">
        <v>350044</v>
      </c>
      <c r="G511" s="181">
        <v>18937.38</v>
      </c>
      <c r="H511" s="182">
        <v>301492</v>
      </c>
      <c r="I511" s="181">
        <v>23229.200000000001</v>
      </c>
      <c r="J511" s="183">
        <v>0</v>
      </c>
      <c r="K511" s="184">
        <v>0</v>
      </c>
      <c r="L511" s="191">
        <f t="shared" si="31"/>
        <v>42640.23</v>
      </c>
      <c r="M511" s="5" t="s">
        <v>978</v>
      </c>
      <c r="O511" t="str">
        <f>$A$474</f>
        <v>Regelzone TransnetBW (gesamt)</v>
      </c>
    </row>
    <row r="512" spans="1:15" hidden="1" outlineLevel="1">
      <c r="A512" s="129" t="s">
        <v>977</v>
      </c>
      <c r="B512" s="14" t="s">
        <v>2076</v>
      </c>
      <c r="C512" s="445">
        <v>2022</v>
      </c>
      <c r="D512" s="182">
        <v>-21</v>
      </c>
      <c r="E512" s="181">
        <v>-1.07</v>
      </c>
      <c r="F512" s="182">
        <v>612835</v>
      </c>
      <c r="G512" s="181">
        <v>33154.379999999997</v>
      </c>
      <c r="H512" s="182">
        <v>1571050</v>
      </c>
      <c r="I512" s="181">
        <v>138597.4</v>
      </c>
      <c r="J512" s="183">
        <v>-1865.4</v>
      </c>
      <c r="K512" s="184">
        <v>0</v>
      </c>
      <c r="L512" s="191">
        <f t="shared" si="31"/>
        <v>169885.31</v>
      </c>
      <c r="M512" s="5" t="s">
        <v>978</v>
      </c>
      <c r="O512" t="str">
        <f t="shared" si="33"/>
        <v>Regelzone TransnetBW (gesamt)</v>
      </c>
    </row>
    <row r="513" spans="1:15" hidden="1" outlineLevel="1">
      <c r="A513" s="129" t="s">
        <v>977</v>
      </c>
      <c r="B513" s="14" t="s">
        <v>2076</v>
      </c>
      <c r="C513" s="445">
        <v>2023</v>
      </c>
      <c r="D513" s="182">
        <v>0</v>
      </c>
      <c r="E513" s="181">
        <v>0</v>
      </c>
      <c r="F513" s="182">
        <v>2672715</v>
      </c>
      <c r="G513" s="181">
        <v>139912.20000000001</v>
      </c>
      <c r="H513" s="182">
        <v>4485641</v>
      </c>
      <c r="I513" s="181">
        <v>336522.64</v>
      </c>
      <c r="J513" s="183">
        <v>-5250.78</v>
      </c>
      <c r="K513" s="184">
        <v>0</v>
      </c>
      <c r="L513" s="191">
        <f t="shared" si="31"/>
        <v>471184.06</v>
      </c>
      <c r="M513" s="5" t="s">
        <v>978</v>
      </c>
      <c r="O513" t="str">
        <f t="shared" si="33"/>
        <v>Regelzone TransnetBW (gesamt)</v>
      </c>
    </row>
    <row r="514" spans="1:15" hidden="1" outlineLevel="1">
      <c r="A514" s="129" t="s">
        <v>977</v>
      </c>
      <c r="B514" s="14" t="s">
        <v>2076</v>
      </c>
      <c r="C514" s="445">
        <v>2024</v>
      </c>
      <c r="D514" s="182">
        <v>0</v>
      </c>
      <c r="E514" s="181">
        <v>0</v>
      </c>
      <c r="F514" s="182">
        <v>5900009</v>
      </c>
      <c r="G514" s="181">
        <v>288791.14</v>
      </c>
      <c r="H514" s="182">
        <v>16342197</v>
      </c>
      <c r="I514" s="181">
        <v>1478903</v>
      </c>
      <c r="J514" s="183">
        <v>-5948.77</v>
      </c>
      <c r="K514" s="184">
        <v>0</v>
      </c>
      <c r="L514" s="191">
        <f t="shared" si="31"/>
        <v>1761745.37</v>
      </c>
      <c r="M514" s="5" t="s">
        <v>978</v>
      </c>
      <c r="O514" t="str">
        <f t="shared" si="33"/>
        <v>Regelzone TransnetBW (gesamt)</v>
      </c>
    </row>
    <row r="515" spans="1:15" hidden="1" outlineLevel="1">
      <c r="A515" s="129" t="s">
        <v>1903</v>
      </c>
      <c r="B515" s="14" t="s">
        <v>2076</v>
      </c>
      <c r="C515" s="445">
        <v>2023</v>
      </c>
      <c r="D515" s="182">
        <v>0</v>
      </c>
      <c r="E515" s="181">
        <v>0</v>
      </c>
      <c r="F515" s="182">
        <v>0</v>
      </c>
      <c r="G515" s="181">
        <v>0</v>
      </c>
      <c r="H515" s="182">
        <v>0</v>
      </c>
      <c r="I515" s="181">
        <v>1026.24</v>
      </c>
      <c r="J515" s="183">
        <v>0</v>
      </c>
      <c r="K515" s="184">
        <v>0</v>
      </c>
      <c r="L515" s="191">
        <f t="shared" si="31"/>
        <v>1026.24</v>
      </c>
      <c r="M515" s="5" t="s">
        <v>1904</v>
      </c>
      <c r="O515" t="str">
        <f t="shared" si="33"/>
        <v>Regelzone TransnetBW (gesamt)</v>
      </c>
    </row>
    <row r="516" spans="1:15" hidden="1" outlineLevel="1">
      <c r="A516" s="129" t="s">
        <v>1903</v>
      </c>
      <c r="B516" s="14" t="s">
        <v>2076</v>
      </c>
      <c r="C516" s="445">
        <v>2024</v>
      </c>
      <c r="D516" s="182">
        <v>0</v>
      </c>
      <c r="E516" s="181">
        <v>0</v>
      </c>
      <c r="F516" s="182">
        <v>0</v>
      </c>
      <c r="G516" s="181">
        <v>0</v>
      </c>
      <c r="H516" s="182">
        <v>119708</v>
      </c>
      <c r="I516" s="181">
        <v>19324.400000000001</v>
      </c>
      <c r="J516" s="183">
        <v>-1087.68</v>
      </c>
      <c r="K516" s="184">
        <v>0</v>
      </c>
      <c r="L516" s="191">
        <f t="shared" si="31"/>
        <v>18236.72</v>
      </c>
      <c r="M516" s="5" t="s">
        <v>1904</v>
      </c>
      <c r="O516" t="str">
        <f t="shared" si="33"/>
        <v>Regelzone TransnetBW (gesamt)</v>
      </c>
    </row>
    <row r="517" spans="1:15" hidden="1" outlineLevel="1">
      <c r="A517" s="129" t="s">
        <v>1905</v>
      </c>
      <c r="B517" s="14" t="s">
        <v>2076</v>
      </c>
      <c r="C517" s="445">
        <v>2024</v>
      </c>
      <c r="D517" s="182">
        <v>0</v>
      </c>
      <c r="E517" s="181">
        <v>0</v>
      </c>
      <c r="F517" s="182">
        <v>0</v>
      </c>
      <c r="G517" s="181">
        <v>0</v>
      </c>
      <c r="H517" s="182">
        <v>882765</v>
      </c>
      <c r="I517" s="181">
        <v>98884.47</v>
      </c>
      <c r="J517" s="183">
        <v>0</v>
      </c>
      <c r="K517" s="184">
        <v>0</v>
      </c>
      <c r="L517" s="191">
        <f t="shared" si="31"/>
        <v>98884.47</v>
      </c>
      <c r="M517" s="5" t="s">
        <v>1906</v>
      </c>
      <c r="O517" t="str">
        <f t="shared" si="33"/>
        <v>Regelzone TransnetBW (gesamt)</v>
      </c>
    </row>
    <row r="518" spans="1:15" hidden="1" outlineLevel="1">
      <c r="A518" s="129" t="s">
        <v>1911</v>
      </c>
      <c r="B518" s="14" t="s">
        <v>2076</v>
      </c>
      <c r="C518" s="445">
        <v>2022</v>
      </c>
      <c r="D518" s="182">
        <v>0</v>
      </c>
      <c r="E518" s="181">
        <v>0</v>
      </c>
      <c r="F518" s="182">
        <v>0</v>
      </c>
      <c r="G518" s="181">
        <v>0</v>
      </c>
      <c r="H518" s="182">
        <v>-25012</v>
      </c>
      <c r="I518" s="181">
        <v>-1297.1600000000001</v>
      </c>
      <c r="J518" s="183">
        <v>0</v>
      </c>
      <c r="K518" s="184">
        <v>0</v>
      </c>
      <c r="L518" s="191">
        <f t="shared" si="31"/>
        <v>-1297.1600000000001</v>
      </c>
      <c r="M518" s="5" t="s">
        <v>1912</v>
      </c>
      <c r="O518" t="str">
        <f t="shared" si="33"/>
        <v>Regelzone TransnetBW (gesamt)</v>
      </c>
    </row>
    <row r="519" spans="1:15" hidden="1" outlineLevel="1">
      <c r="A519" s="129" t="s">
        <v>1911</v>
      </c>
      <c r="B519" s="14" t="s">
        <v>2076</v>
      </c>
      <c r="C519" s="445">
        <v>2023</v>
      </c>
      <c r="D519" s="182">
        <v>0</v>
      </c>
      <c r="E519" s="181">
        <v>0</v>
      </c>
      <c r="F519" s="182">
        <v>0</v>
      </c>
      <c r="G519" s="181">
        <v>0</v>
      </c>
      <c r="H519" s="182">
        <v>97146</v>
      </c>
      <c r="I519" s="181">
        <v>4523.84</v>
      </c>
      <c r="J519" s="183">
        <v>0</v>
      </c>
      <c r="K519" s="184">
        <v>0</v>
      </c>
      <c r="L519" s="191">
        <f t="shared" si="31"/>
        <v>4523.84</v>
      </c>
      <c r="M519" s="5" t="s">
        <v>1912</v>
      </c>
      <c r="O519" t="str">
        <f t="shared" si="33"/>
        <v>Regelzone TransnetBW (gesamt)</v>
      </c>
    </row>
    <row r="520" spans="1:15" hidden="1" outlineLevel="1">
      <c r="A520" s="129" t="s">
        <v>1911</v>
      </c>
      <c r="B520" s="14" t="s">
        <v>2076</v>
      </c>
      <c r="C520" s="445">
        <v>2024</v>
      </c>
      <c r="D520" s="182">
        <v>0</v>
      </c>
      <c r="E520" s="181">
        <v>0</v>
      </c>
      <c r="F520" s="182">
        <v>0</v>
      </c>
      <c r="G520" s="181">
        <v>0</v>
      </c>
      <c r="H520" s="182">
        <v>97824</v>
      </c>
      <c r="I520" s="181">
        <v>4178</v>
      </c>
      <c r="J520" s="183">
        <v>0</v>
      </c>
      <c r="K520" s="184">
        <v>0</v>
      </c>
      <c r="L520" s="191">
        <f t="shared" si="31"/>
        <v>4178</v>
      </c>
      <c r="M520" s="5" t="s">
        <v>1912</v>
      </c>
      <c r="O520" t="str">
        <f t="shared" si="33"/>
        <v>Regelzone TransnetBW (gesamt)</v>
      </c>
    </row>
    <row r="521" spans="1:15" hidden="1" outlineLevel="1">
      <c r="A521" s="129" t="s">
        <v>1913</v>
      </c>
      <c r="B521" s="14" t="s">
        <v>2076</v>
      </c>
      <c r="C521" s="445">
        <v>2023</v>
      </c>
      <c r="D521" s="182">
        <v>0</v>
      </c>
      <c r="E521" s="181">
        <v>0</v>
      </c>
      <c r="F521" s="182">
        <v>-58427</v>
      </c>
      <c r="G521" s="181">
        <v>-3160.9</v>
      </c>
      <c r="H521" s="182">
        <v>0</v>
      </c>
      <c r="I521" s="181">
        <v>0</v>
      </c>
      <c r="J521" s="183">
        <v>0</v>
      </c>
      <c r="K521" s="184">
        <v>0</v>
      </c>
      <c r="L521" s="191">
        <f t="shared" si="31"/>
        <v>-3160.9</v>
      </c>
      <c r="M521" s="5" t="s">
        <v>1914</v>
      </c>
      <c r="O521" t="str">
        <f t="shared" si="33"/>
        <v>Regelzone TransnetBW (gesamt)</v>
      </c>
    </row>
    <row r="522" spans="1:15" hidden="1" outlineLevel="1">
      <c r="A522" s="129" t="s">
        <v>1913</v>
      </c>
      <c r="B522" s="14" t="s">
        <v>2076</v>
      </c>
      <c r="C522" s="445">
        <v>2024</v>
      </c>
      <c r="D522" s="182">
        <v>0</v>
      </c>
      <c r="E522" s="181">
        <v>0</v>
      </c>
      <c r="F522" s="182">
        <v>1799</v>
      </c>
      <c r="G522" s="181">
        <v>97.33</v>
      </c>
      <c r="H522" s="182">
        <v>36240</v>
      </c>
      <c r="I522" s="181">
        <v>1893.08</v>
      </c>
      <c r="J522" s="183">
        <v>1402.4</v>
      </c>
      <c r="K522" s="184">
        <v>0</v>
      </c>
      <c r="L522" s="191">
        <f t="shared" si="31"/>
        <v>3392.81</v>
      </c>
      <c r="M522" s="5" t="s">
        <v>1914</v>
      </c>
      <c r="O522" t="str">
        <f t="shared" si="33"/>
        <v>Regelzone TransnetBW (gesamt)</v>
      </c>
    </row>
    <row r="523" spans="1:15" hidden="1" outlineLevel="1">
      <c r="A523" s="129" t="s">
        <v>1915</v>
      </c>
      <c r="B523" s="14" t="s">
        <v>2076</v>
      </c>
      <c r="C523" s="445">
        <v>2022</v>
      </c>
      <c r="D523" s="182">
        <v>0</v>
      </c>
      <c r="E523" s="181">
        <v>0</v>
      </c>
      <c r="F523" s="182">
        <v>0</v>
      </c>
      <c r="G523" s="181">
        <v>0</v>
      </c>
      <c r="H523" s="182">
        <v>1448</v>
      </c>
      <c r="I523" s="181">
        <v>264.60000000000002</v>
      </c>
      <c r="J523" s="183">
        <v>0</v>
      </c>
      <c r="K523" s="184">
        <v>0</v>
      </c>
      <c r="L523" s="191">
        <f t="shared" si="31"/>
        <v>264.60000000000002</v>
      </c>
      <c r="M523" s="5" t="s">
        <v>1916</v>
      </c>
      <c r="O523" t="str">
        <f t="shared" si="33"/>
        <v>Regelzone TransnetBW (gesamt)</v>
      </c>
    </row>
    <row r="524" spans="1:15" hidden="1" outlineLevel="1">
      <c r="A524" s="129" t="s">
        <v>1915</v>
      </c>
      <c r="B524" s="14" t="s">
        <v>2076</v>
      </c>
      <c r="C524" s="445">
        <v>2023</v>
      </c>
      <c r="D524" s="182">
        <v>0</v>
      </c>
      <c r="E524" s="181">
        <v>0</v>
      </c>
      <c r="F524" s="182">
        <v>0</v>
      </c>
      <c r="G524" s="181">
        <v>0</v>
      </c>
      <c r="H524" s="182">
        <v>37933</v>
      </c>
      <c r="I524" s="181">
        <v>2668.56</v>
      </c>
      <c r="J524" s="183">
        <v>213.38</v>
      </c>
      <c r="K524" s="184">
        <v>0</v>
      </c>
      <c r="L524" s="191">
        <f t="shared" si="31"/>
        <v>2881.94</v>
      </c>
      <c r="M524" s="5" t="s">
        <v>1916</v>
      </c>
      <c r="O524" t="str">
        <f t="shared" si="33"/>
        <v>Regelzone TransnetBW (gesamt)</v>
      </c>
    </row>
    <row r="525" spans="1:15" hidden="1" outlineLevel="1">
      <c r="A525" s="129" t="s">
        <v>1915</v>
      </c>
      <c r="B525" s="14" t="s">
        <v>2076</v>
      </c>
      <c r="C525" s="445">
        <v>2024</v>
      </c>
      <c r="D525" s="182">
        <v>4015</v>
      </c>
      <c r="E525" s="181">
        <v>205.17</v>
      </c>
      <c r="F525" s="182">
        <v>161052</v>
      </c>
      <c r="G525" s="181">
        <v>8712.92</v>
      </c>
      <c r="H525" s="182">
        <v>332402</v>
      </c>
      <c r="I525" s="181">
        <v>63365.72</v>
      </c>
      <c r="J525" s="183">
        <v>0</v>
      </c>
      <c r="K525" s="184">
        <v>0</v>
      </c>
      <c r="L525" s="191">
        <f t="shared" si="31"/>
        <v>72283.81</v>
      </c>
      <c r="M525" s="5" t="s">
        <v>1916</v>
      </c>
      <c r="O525" t="str">
        <f t="shared" si="33"/>
        <v>Regelzone TransnetBW (gesamt)</v>
      </c>
    </row>
    <row r="526" spans="1:15" hidden="1" outlineLevel="1">
      <c r="A526" s="129" t="s">
        <v>1917</v>
      </c>
      <c r="B526" s="14" t="s">
        <v>2076</v>
      </c>
      <c r="C526" s="445">
        <v>2023</v>
      </c>
      <c r="D526" s="182">
        <v>0</v>
      </c>
      <c r="E526" s="181">
        <v>0</v>
      </c>
      <c r="F526" s="182">
        <v>0</v>
      </c>
      <c r="G526" s="181">
        <v>0</v>
      </c>
      <c r="H526" s="182">
        <v>75001</v>
      </c>
      <c r="I526" s="181">
        <v>5729.68</v>
      </c>
      <c r="J526" s="183">
        <v>0</v>
      </c>
      <c r="K526" s="184">
        <v>0</v>
      </c>
      <c r="L526" s="191">
        <f t="shared" si="31"/>
        <v>5729.68</v>
      </c>
      <c r="M526" s="5" t="s">
        <v>1918</v>
      </c>
      <c r="O526" t="str">
        <f t="shared" si="33"/>
        <v>Regelzone TransnetBW (gesamt)</v>
      </c>
    </row>
    <row r="527" spans="1:15" hidden="1" outlineLevel="1">
      <c r="A527" s="129" t="s">
        <v>1917</v>
      </c>
      <c r="B527" s="14" t="s">
        <v>2076</v>
      </c>
      <c r="C527" s="445">
        <v>2024</v>
      </c>
      <c r="D527" s="182">
        <v>0</v>
      </c>
      <c r="E527" s="181">
        <v>0</v>
      </c>
      <c r="F527" s="182">
        <v>0</v>
      </c>
      <c r="G527" s="181">
        <v>0</v>
      </c>
      <c r="H527" s="182">
        <v>421480</v>
      </c>
      <c r="I527" s="181">
        <v>42373.32</v>
      </c>
      <c r="J527" s="183">
        <v>0</v>
      </c>
      <c r="K527" s="184">
        <v>0</v>
      </c>
      <c r="L527" s="191">
        <f t="shared" si="31"/>
        <v>42373.32</v>
      </c>
      <c r="M527" s="5" t="s">
        <v>1918</v>
      </c>
      <c r="O527" t="str">
        <f>$A$474</f>
        <v>Regelzone TransnetBW (gesamt)</v>
      </c>
    </row>
    <row r="528" spans="1:15" hidden="1" outlineLevel="1">
      <c r="A528" s="129" t="s">
        <v>1923</v>
      </c>
      <c r="B528" s="14" t="s">
        <v>2076</v>
      </c>
      <c r="C528" s="445">
        <v>2023</v>
      </c>
      <c r="D528" s="182">
        <v>0</v>
      </c>
      <c r="E528" s="181">
        <v>0</v>
      </c>
      <c r="F528" s="182">
        <v>0</v>
      </c>
      <c r="G528" s="181">
        <v>0</v>
      </c>
      <c r="H528" s="182">
        <v>0</v>
      </c>
      <c r="I528" s="181">
        <v>-381.04</v>
      </c>
      <c r="J528" s="183">
        <v>0</v>
      </c>
      <c r="K528" s="184">
        <v>0</v>
      </c>
      <c r="L528" s="191">
        <f t="shared" si="31"/>
        <v>-381.04</v>
      </c>
      <c r="M528" s="5" t="s">
        <v>1924</v>
      </c>
      <c r="O528" t="str">
        <f t="shared" si="33"/>
        <v>Regelzone TransnetBW (gesamt)</v>
      </c>
    </row>
    <row r="529" spans="1:15" hidden="1" outlineLevel="1">
      <c r="A529" s="129" t="s">
        <v>1923</v>
      </c>
      <c r="B529" s="14" t="s">
        <v>2076</v>
      </c>
      <c r="C529" s="445">
        <v>2024</v>
      </c>
      <c r="D529" s="182">
        <v>0</v>
      </c>
      <c r="E529" s="181">
        <v>0</v>
      </c>
      <c r="F529" s="182">
        <v>0</v>
      </c>
      <c r="G529" s="181">
        <v>0</v>
      </c>
      <c r="H529" s="182">
        <v>1647</v>
      </c>
      <c r="I529" s="181">
        <v>250.4</v>
      </c>
      <c r="J529" s="183">
        <v>0</v>
      </c>
      <c r="K529" s="184">
        <v>0</v>
      </c>
      <c r="L529" s="191">
        <f t="shared" si="31"/>
        <v>250.4</v>
      </c>
      <c r="M529" s="5" t="s">
        <v>1924</v>
      </c>
      <c r="O529" t="str">
        <f t="shared" si="33"/>
        <v>Regelzone TransnetBW (gesamt)</v>
      </c>
    </row>
    <row r="530" spans="1:15" hidden="1" outlineLevel="1">
      <c r="A530" s="129" t="s">
        <v>1925</v>
      </c>
      <c r="B530" s="14" t="s">
        <v>2076</v>
      </c>
      <c r="C530" s="445">
        <v>2024</v>
      </c>
      <c r="D530" s="182">
        <v>0</v>
      </c>
      <c r="E530" s="181">
        <v>0</v>
      </c>
      <c r="F530" s="182">
        <v>0</v>
      </c>
      <c r="G530" s="181">
        <v>0</v>
      </c>
      <c r="H530" s="182">
        <v>-2239</v>
      </c>
      <c r="I530" s="181">
        <v>-89.56</v>
      </c>
      <c r="J530" s="183">
        <v>0</v>
      </c>
      <c r="K530" s="184">
        <v>0</v>
      </c>
      <c r="L530" s="191">
        <f t="shared" si="31"/>
        <v>-89.56</v>
      </c>
      <c r="M530" s="5" t="s">
        <v>1926</v>
      </c>
      <c r="O530" t="str">
        <f t="shared" si="33"/>
        <v>Regelzone TransnetBW (gesamt)</v>
      </c>
    </row>
    <row r="531" spans="1:15" hidden="1" outlineLevel="1">
      <c r="A531" s="129" t="s">
        <v>1929</v>
      </c>
      <c r="B531" s="14" t="s">
        <v>2076</v>
      </c>
      <c r="C531" s="445">
        <v>2024</v>
      </c>
      <c r="D531" s="182">
        <v>0</v>
      </c>
      <c r="E531" s="181">
        <v>0</v>
      </c>
      <c r="F531" s="182">
        <v>0</v>
      </c>
      <c r="G531" s="181">
        <v>0</v>
      </c>
      <c r="H531" s="182">
        <v>-4817</v>
      </c>
      <c r="I531" s="181">
        <v>-147.52000000000001</v>
      </c>
      <c r="J531" s="183">
        <v>0</v>
      </c>
      <c r="K531" s="184">
        <v>0</v>
      </c>
      <c r="L531" s="191">
        <f t="shared" si="31"/>
        <v>-147.52000000000001</v>
      </c>
      <c r="M531" s="5" t="s">
        <v>1930</v>
      </c>
      <c r="O531" t="str">
        <f t="shared" si="33"/>
        <v>Regelzone TransnetBW (gesamt)</v>
      </c>
    </row>
    <row r="532" spans="1:15" hidden="1" outlineLevel="1">
      <c r="A532" s="129" t="s">
        <v>1935</v>
      </c>
      <c r="B532" s="14" t="s">
        <v>2076</v>
      </c>
      <c r="C532" s="445">
        <v>2022</v>
      </c>
      <c r="D532" s="182">
        <v>0</v>
      </c>
      <c r="E532" s="181">
        <v>0</v>
      </c>
      <c r="F532" s="182">
        <v>0</v>
      </c>
      <c r="G532" s="181">
        <v>0</v>
      </c>
      <c r="H532" s="182">
        <v>3037</v>
      </c>
      <c r="I532" s="181">
        <v>121.48</v>
      </c>
      <c r="J532" s="183">
        <v>0</v>
      </c>
      <c r="K532" s="184">
        <v>0</v>
      </c>
      <c r="L532" s="191">
        <f t="shared" ref="L532:L599" si="34">E532+G532+I532+J532+K532</f>
        <v>121.48</v>
      </c>
      <c r="M532" s="5" t="s">
        <v>1936</v>
      </c>
      <c r="O532" t="str">
        <f t="shared" si="33"/>
        <v>Regelzone TransnetBW (gesamt)</v>
      </c>
    </row>
    <row r="533" spans="1:15" hidden="1" outlineLevel="1">
      <c r="A533" s="129" t="s">
        <v>1935</v>
      </c>
      <c r="B533" s="14" t="s">
        <v>2076</v>
      </c>
      <c r="C533" s="445">
        <v>2023</v>
      </c>
      <c r="D533" s="182">
        <v>0</v>
      </c>
      <c r="E533" s="181">
        <v>0</v>
      </c>
      <c r="F533" s="182">
        <v>0</v>
      </c>
      <c r="G533" s="181">
        <v>0</v>
      </c>
      <c r="H533" s="182">
        <v>12199</v>
      </c>
      <c r="I533" s="181">
        <v>487.96</v>
      </c>
      <c r="J533" s="183">
        <v>0</v>
      </c>
      <c r="K533" s="184">
        <v>0</v>
      </c>
      <c r="L533" s="191">
        <f t="shared" si="34"/>
        <v>487.96</v>
      </c>
      <c r="M533" s="5" t="s">
        <v>1936</v>
      </c>
      <c r="O533" t="str">
        <f t="shared" si="33"/>
        <v>Regelzone TransnetBW (gesamt)</v>
      </c>
    </row>
    <row r="534" spans="1:15" hidden="1" outlineLevel="1">
      <c r="A534" s="129" t="s">
        <v>1939</v>
      </c>
      <c r="B534" s="14" t="s">
        <v>2076</v>
      </c>
      <c r="C534" s="445">
        <v>2024</v>
      </c>
      <c r="D534" s="182">
        <v>0</v>
      </c>
      <c r="E534" s="181">
        <v>0</v>
      </c>
      <c r="F534" s="182">
        <v>0</v>
      </c>
      <c r="G534" s="181">
        <v>0</v>
      </c>
      <c r="H534" s="182">
        <v>-26948</v>
      </c>
      <c r="I534" s="181">
        <v>-1305.8399999999999</v>
      </c>
      <c r="J534" s="183">
        <v>0</v>
      </c>
      <c r="K534" s="184">
        <v>0</v>
      </c>
      <c r="L534" s="191">
        <f t="shared" si="34"/>
        <v>-1305.8399999999999</v>
      </c>
      <c r="M534" s="5" t="s">
        <v>1940</v>
      </c>
      <c r="O534" t="str">
        <f t="shared" si="33"/>
        <v>Regelzone TransnetBW (gesamt)</v>
      </c>
    </row>
    <row r="535" spans="1:15" hidden="1" outlineLevel="1">
      <c r="A535" s="129" t="s">
        <v>1945</v>
      </c>
      <c r="B535" s="14" t="s">
        <v>2076</v>
      </c>
      <c r="C535" s="445">
        <v>2024</v>
      </c>
      <c r="D535" s="182">
        <v>0</v>
      </c>
      <c r="E535" s="181">
        <v>0</v>
      </c>
      <c r="F535" s="182">
        <v>0</v>
      </c>
      <c r="G535" s="181">
        <v>0</v>
      </c>
      <c r="H535" s="182">
        <v>75418</v>
      </c>
      <c r="I535" s="181">
        <v>3762.8</v>
      </c>
      <c r="J535" s="183">
        <v>0</v>
      </c>
      <c r="K535" s="184">
        <v>0</v>
      </c>
      <c r="L535" s="191">
        <f t="shared" si="34"/>
        <v>3762.8</v>
      </c>
      <c r="M535" s="5" t="s">
        <v>1946</v>
      </c>
      <c r="O535" t="str">
        <f t="shared" si="33"/>
        <v>Regelzone TransnetBW (gesamt)</v>
      </c>
    </row>
    <row r="536" spans="1:15" hidden="1" outlineLevel="1">
      <c r="A536" s="129" t="s">
        <v>1949</v>
      </c>
      <c r="B536" s="14" t="s">
        <v>2076</v>
      </c>
      <c r="C536" s="445">
        <v>2024</v>
      </c>
      <c r="D536" s="182">
        <v>0</v>
      </c>
      <c r="E536" s="181">
        <v>0</v>
      </c>
      <c r="F536" s="182">
        <v>0</v>
      </c>
      <c r="G536" s="181">
        <v>0</v>
      </c>
      <c r="H536" s="182">
        <v>60942</v>
      </c>
      <c r="I536" s="181">
        <v>9309.44</v>
      </c>
      <c r="J536" s="183">
        <v>0</v>
      </c>
      <c r="K536" s="184">
        <v>0</v>
      </c>
      <c r="L536" s="191">
        <f t="shared" si="34"/>
        <v>9309.44</v>
      </c>
      <c r="M536" s="5" t="s">
        <v>1950</v>
      </c>
      <c r="O536" t="str">
        <f t="shared" si="33"/>
        <v>Regelzone TransnetBW (gesamt)</v>
      </c>
    </row>
    <row r="537" spans="1:15" hidden="1" outlineLevel="1">
      <c r="A537" s="129" t="s">
        <v>1955</v>
      </c>
      <c r="B537" s="14" t="s">
        <v>2076</v>
      </c>
      <c r="C537" s="445">
        <v>2022</v>
      </c>
      <c r="D537" s="182">
        <v>0</v>
      </c>
      <c r="E537" s="181">
        <v>0</v>
      </c>
      <c r="F537" s="182">
        <v>0</v>
      </c>
      <c r="G537" s="181">
        <v>0</v>
      </c>
      <c r="H537" s="182">
        <v>-542</v>
      </c>
      <c r="I537" s="181">
        <v>-34.68</v>
      </c>
      <c r="J537" s="183">
        <v>0</v>
      </c>
      <c r="K537" s="184">
        <v>0</v>
      </c>
      <c r="L537" s="191">
        <f t="shared" si="34"/>
        <v>-34.68</v>
      </c>
      <c r="M537" s="5" t="s">
        <v>1956</v>
      </c>
      <c r="O537" t="str">
        <f t="shared" si="33"/>
        <v>Regelzone TransnetBW (gesamt)</v>
      </c>
    </row>
    <row r="538" spans="1:15" hidden="1" outlineLevel="1">
      <c r="A538" s="129" t="s">
        <v>1955</v>
      </c>
      <c r="B538" s="14" t="s">
        <v>2076</v>
      </c>
      <c r="C538" s="445">
        <v>2023</v>
      </c>
      <c r="D538" s="182">
        <v>0</v>
      </c>
      <c r="E538" s="181">
        <v>0</v>
      </c>
      <c r="F538" s="182">
        <v>0</v>
      </c>
      <c r="G538" s="181">
        <v>0</v>
      </c>
      <c r="H538" s="182">
        <v>-35514</v>
      </c>
      <c r="I538" s="181">
        <v>-2062.12</v>
      </c>
      <c r="J538" s="183">
        <v>0</v>
      </c>
      <c r="K538" s="184">
        <v>0</v>
      </c>
      <c r="L538" s="191">
        <f t="shared" si="34"/>
        <v>-2062.12</v>
      </c>
      <c r="M538" s="5" t="s">
        <v>1956</v>
      </c>
      <c r="O538" t="str">
        <f t="shared" si="33"/>
        <v>Regelzone TransnetBW (gesamt)</v>
      </c>
    </row>
    <row r="539" spans="1:15" hidden="1" outlineLevel="1">
      <c r="A539" s="129" t="s">
        <v>1955</v>
      </c>
      <c r="B539" s="14" t="s">
        <v>2076</v>
      </c>
      <c r="C539" s="445">
        <v>2024</v>
      </c>
      <c r="D539" s="182">
        <v>0</v>
      </c>
      <c r="E539" s="181">
        <v>0</v>
      </c>
      <c r="F539" s="182">
        <v>0</v>
      </c>
      <c r="G539" s="181">
        <v>0</v>
      </c>
      <c r="H539" s="182">
        <v>-33655</v>
      </c>
      <c r="I539" s="181">
        <v>-1379.84</v>
      </c>
      <c r="J539" s="183">
        <v>0</v>
      </c>
      <c r="K539" s="184">
        <v>0</v>
      </c>
      <c r="L539" s="191">
        <f t="shared" si="34"/>
        <v>-1379.84</v>
      </c>
      <c r="M539" s="5" t="s">
        <v>1956</v>
      </c>
      <c r="O539" t="str">
        <f t="shared" si="33"/>
        <v>Regelzone TransnetBW (gesamt)</v>
      </c>
    </row>
    <row r="540" spans="1:15" hidden="1" outlineLevel="1">
      <c r="A540" s="129" t="s">
        <v>1957</v>
      </c>
      <c r="B540" s="14" t="s">
        <v>2076</v>
      </c>
      <c r="C540" s="445">
        <v>2023</v>
      </c>
      <c r="D540" s="182">
        <v>0</v>
      </c>
      <c r="E540" s="181">
        <v>0</v>
      </c>
      <c r="F540" s="182">
        <v>-1613</v>
      </c>
      <c r="G540" s="181">
        <v>-87.26</v>
      </c>
      <c r="H540" s="182">
        <v>0</v>
      </c>
      <c r="I540" s="181">
        <v>0</v>
      </c>
      <c r="J540" s="183">
        <v>0</v>
      </c>
      <c r="K540" s="184">
        <v>0</v>
      </c>
      <c r="L540" s="191">
        <f t="shared" si="34"/>
        <v>-87.26</v>
      </c>
      <c r="M540" s="5" t="s">
        <v>1958</v>
      </c>
      <c r="O540" t="str">
        <f t="shared" ref="O540:O544" si="35">$A$474</f>
        <v>Regelzone TransnetBW (gesamt)</v>
      </c>
    </row>
    <row r="541" spans="1:15" hidden="1" outlineLevel="1">
      <c r="A541" s="129" t="s">
        <v>1957</v>
      </c>
      <c r="B541" s="14" t="s">
        <v>2076</v>
      </c>
      <c r="C541" s="445">
        <v>2024</v>
      </c>
      <c r="D541" s="182">
        <v>0</v>
      </c>
      <c r="E541" s="181">
        <v>0</v>
      </c>
      <c r="F541" s="182">
        <v>-810</v>
      </c>
      <c r="G541" s="181">
        <v>-43.82</v>
      </c>
      <c r="H541" s="182">
        <v>0</v>
      </c>
      <c r="I541" s="181">
        <v>-3.84</v>
      </c>
      <c r="J541" s="183">
        <v>0</v>
      </c>
      <c r="K541" s="184">
        <v>0</v>
      </c>
      <c r="L541" s="191">
        <f t="shared" si="34"/>
        <v>-47.66</v>
      </c>
      <c r="M541" s="5" t="s">
        <v>1958</v>
      </c>
      <c r="O541" t="str">
        <f t="shared" si="35"/>
        <v>Regelzone TransnetBW (gesamt)</v>
      </c>
    </row>
    <row r="542" spans="1:15" hidden="1" outlineLevel="1">
      <c r="A542" s="129" t="s">
        <v>1959</v>
      </c>
      <c r="B542" s="14" t="s">
        <v>2076</v>
      </c>
      <c r="C542" s="445">
        <v>2023</v>
      </c>
      <c r="D542" s="182">
        <v>0</v>
      </c>
      <c r="E542" s="181">
        <v>0</v>
      </c>
      <c r="F542" s="182">
        <v>0</v>
      </c>
      <c r="G542" s="181">
        <v>0</v>
      </c>
      <c r="H542" s="182">
        <v>-1</v>
      </c>
      <c r="I542" s="181">
        <v>-850.04</v>
      </c>
      <c r="J542" s="183">
        <v>0</v>
      </c>
      <c r="K542" s="184">
        <v>0</v>
      </c>
      <c r="L542" s="191">
        <f t="shared" si="34"/>
        <v>-850.04</v>
      </c>
      <c r="M542" s="5" t="s">
        <v>1960</v>
      </c>
      <c r="O542" t="str">
        <f t="shared" si="35"/>
        <v>Regelzone TransnetBW (gesamt)</v>
      </c>
    </row>
    <row r="543" spans="1:15" hidden="1" outlineLevel="1">
      <c r="A543" s="129" t="s">
        <v>1959</v>
      </c>
      <c r="B543" s="14" t="s">
        <v>2076</v>
      </c>
      <c r="C543" s="445">
        <v>2024</v>
      </c>
      <c r="D543" s="182">
        <v>0</v>
      </c>
      <c r="E543" s="181">
        <v>0</v>
      </c>
      <c r="F543" s="182">
        <v>0</v>
      </c>
      <c r="G543" s="181">
        <v>0</v>
      </c>
      <c r="H543" s="182">
        <v>0</v>
      </c>
      <c r="I543" s="181">
        <v>-3012.6</v>
      </c>
      <c r="J543" s="183">
        <v>0</v>
      </c>
      <c r="K543" s="184">
        <v>0</v>
      </c>
      <c r="L543" s="191">
        <f t="shared" si="34"/>
        <v>-3012.6</v>
      </c>
      <c r="M543" s="5" t="s">
        <v>1960</v>
      </c>
      <c r="O543" t="str">
        <f t="shared" si="35"/>
        <v>Regelzone TransnetBW (gesamt)</v>
      </c>
    </row>
    <row r="544" spans="1:15" hidden="1" outlineLevel="1">
      <c r="A544" s="129" t="s">
        <v>1961</v>
      </c>
      <c r="B544" s="14" t="s">
        <v>2079</v>
      </c>
      <c r="C544" s="445">
        <v>2023</v>
      </c>
      <c r="D544" s="182">
        <v>0</v>
      </c>
      <c r="E544" s="181">
        <v>0</v>
      </c>
      <c r="F544" s="182">
        <v>0</v>
      </c>
      <c r="G544" s="181">
        <v>0</v>
      </c>
      <c r="H544" s="182">
        <v>-68729</v>
      </c>
      <c r="I544" s="181">
        <v>-10996.64</v>
      </c>
      <c r="J544" s="183">
        <v>0</v>
      </c>
      <c r="K544" s="184">
        <v>0</v>
      </c>
      <c r="L544" s="191">
        <f t="shared" si="34"/>
        <v>-10996.64</v>
      </c>
      <c r="M544" s="5" t="s">
        <v>1962</v>
      </c>
      <c r="O544" t="str">
        <f t="shared" si="35"/>
        <v>Regelzone TransnetBW (gesamt)</v>
      </c>
    </row>
    <row r="545" spans="1:15" hidden="1" outlineLevel="1">
      <c r="A545" s="129" t="s">
        <v>1961</v>
      </c>
      <c r="B545" s="14" t="s">
        <v>2079</v>
      </c>
      <c r="C545" s="445">
        <v>2024</v>
      </c>
      <c r="D545" s="182">
        <v>0</v>
      </c>
      <c r="E545" s="181">
        <v>0</v>
      </c>
      <c r="F545" s="182">
        <v>0</v>
      </c>
      <c r="G545" s="181">
        <v>0</v>
      </c>
      <c r="H545" s="182">
        <v>-83939</v>
      </c>
      <c r="I545" s="181">
        <v>-13430.24</v>
      </c>
      <c r="J545" s="183">
        <v>0</v>
      </c>
      <c r="K545" s="184">
        <v>0</v>
      </c>
      <c r="L545" s="191">
        <f t="shared" si="34"/>
        <v>-13430.24</v>
      </c>
      <c r="M545" s="5" t="s">
        <v>1962</v>
      </c>
      <c r="O545" t="str">
        <f>$A$474</f>
        <v>Regelzone TransnetBW (gesamt)</v>
      </c>
    </row>
    <row r="546" spans="1:15" hidden="1" outlineLevel="1">
      <c r="A546" s="129" t="s">
        <v>1961</v>
      </c>
      <c r="B546" s="14" t="s">
        <v>2076</v>
      </c>
      <c r="C546" s="445">
        <v>2024</v>
      </c>
      <c r="D546" s="182">
        <v>0</v>
      </c>
      <c r="E546" s="181">
        <v>0</v>
      </c>
      <c r="F546" s="182">
        <v>0</v>
      </c>
      <c r="G546" s="181">
        <v>0</v>
      </c>
      <c r="H546" s="182">
        <v>11288</v>
      </c>
      <c r="I546" s="181">
        <v>1282.32</v>
      </c>
      <c r="J546" s="183">
        <v>0</v>
      </c>
      <c r="K546" s="184">
        <v>0</v>
      </c>
      <c r="L546" s="191">
        <f t="shared" si="34"/>
        <v>1282.32</v>
      </c>
      <c r="M546" s="5" t="s">
        <v>1962</v>
      </c>
      <c r="O546" t="str">
        <f>$A$474</f>
        <v>Regelzone TransnetBW (gesamt)</v>
      </c>
    </row>
    <row r="547" spans="1:15" hidden="1" outlineLevel="1">
      <c r="A547" s="129" t="s">
        <v>1963</v>
      </c>
      <c r="B547" s="14" t="s">
        <v>2076</v>
      </c>
      <c r="C547" s="445">
        <v>2022</v>
      </c>
      <c r="D547" s="182">
        <v>0</v>
      </c>
      <c r="E547" s="181">
        <v>0</v>
      </c>
      <c r="F547" s="182">
        <v>0</v>
      </c>
      <c r="G547" s="181">
        <v>0</v>
      </c>
      <c r="H547" s="182">
        <v>-58632</v>
      </c>
      <c r="I547" s="181">
        <v>-2441.52</v>
      </c>
      <c r="J547" s="183">
        <v>-1.44</v>
      </c>
      <c r="K547" s="184">
        <v>0</v>
      </c>
      <c r="L547" s="191">
        <f t="shared" si="34"/>
        <v>-2442.96</v>
      </c>
      <c r="M547" s="5" t="s">
        <v>1964</v>
      </c>
      <c r="O547" t="str">
        <f t="shared" ref="O547:O576" si="36">$A$474</f>
        <v>Regelzone TransnetBW (gesamt)</v>
      </c>
    </row>
    <row r="548" spans="1:15" hidden="1" outlineLevel="1">
      <c r="A548" s="129" t="s">
        <v>1963</v>
      </c>
      <c r="B548" s="14" t="s">
        <v>2076</v>
      </c>
      <c r="C548" s="445">
        <v>2023</v>
      </c>
      <c r="D548" s="182">
        <v>0</v>
      </c>
      <c r="E548" s="181">
        <v>0</v>
      </c>
      <c r="F548" s="182">
        <v>0</v>
      </c>
      <c r="G548" s="181">
        <v>0</v>
      </c>
      <c r="H548" s="182">
        <v>6023804</v>
      </c>
      <c r="I548" s="181">
        <v>722036.39</v>
      </c>
      <c r="J548" s="183">
        <v>0</v>
      </c>
      <c r="K548" s="184">
        <v>0</v>
      </c>
      <c r="L548" s="191">
        <f t="shared" si="34"/>
        <v>722036.39</v>
      </c>
      <c r="M548" s="5" t="s">
        <v>1964</v>
      </c>
      <c r="O548" t="str">
        <f t="shared" si="36"/>
        <v>Regelzone TransnetBW (gesamt)</v>
      </c>
    </row>
    <row r="549" spans="1:15" hidden="1" outlineLevel="1">
      <c r="A549" s="129" t="s">
        <v>1963</v>
      </c>
      <c r="B549" s="14" t="s">
        <v>2076</v>
      </c>
      <c r="C549" s="445">
        <v>2024</v>
      </c>
      <c r="D549" s="182">
        <v>0</v>
      </c>
      <c r="E549" s="181">
        <v>0</v>
      </c>
      <c r="F549" s="182">
        <v>0</v>
      </c>
      <c r="G549" s="181">
        <v>0</v>
      </c>
      <c r="H549" s="182">
        <v>14153770</v>
      </c>
      <c r="I549" s="181">
        <v>1688309.68</v>
      </c>
      <c r="J549" s="183">
        <v>0</v>
      </c>
      <c r="K549" s="184">
        <v>0</v>
      </c>
      <c r="L549" s="191">
        <f t="shared" si="34"/>
        <v>1688309.68</v>
      </c>
      <c r="M549" s="5" t="s">
        <v>1964</v>
      </c>
      <c r="O549" t="str">
        <f t="shared" si="36"/>
        <v>Regelzone TransnetBW (gesamt)</v>
      </c>
    </row>
    <row r="550" spans="1:15" hidden="1" outlineLevel="1">
      <c r="A550" s="129" t="s">
        <v>1967</v>
      </c>
      <c r="B550" s="14" t="s">
        <v>2076</v>
      </c>
      <c r="C550" s="445">
        <v>2022</v>
      </c>
      <c r="D550" s="182">
        <v>0</v>
      </c>
      <c r="E550" s="181">
        <v>0</v>
      </c>
      <c r="F550" s="182">
        <v>78490</v>
      </c>
      <c r="G550" s="181">
        <v>4246.3100000000004</v>
      </c>
      <c r="H550" s="182">
        <v>177346</v>
      </c>
      <c r="I550" s="181">
        <v>23253.68</v>
      </c>
      <c r="J550" s="183">
        <v>0</v>
      </c>
      <c r="K550" s="184">
        <v>0</v>
      </c>
      <c r="L550" s="191">
        <f t="shared" si="34"/>
        <v>27499.99</v>
      </c>
      <c r="M550" s="5" t="s">
        <v>1968</v>
      </c>
      <c r="O550" t="str">
        <f t="shared" si="36"/>
        <v>Regelzone TransnetBW (gesamt)</v>
      </c>
    </row>
    <row r="551" spans="1:15" hidden="1" outlineLevel="1">
      <c r="A551" s="129" t="s">
        <v>1967</v>
      </c>
      <c r="B551" s="14" t="s">
        <v>2076</v>
      </c>
      <c r="C551" s="445">
        <v>2023</v>
      </c>
      <c r="D551" s="182">
        <v>0</v>
      </c>
      <c r="E551" s="181">
        <v>0</v>
      </c>
      <c r="F551" s="182">
        <v>132555</v>
      </c>
      <c r="G551" s="181">
        <v>7171.23</v>
      </c>
      <c r="H551" s="182">
        <v>118920</v>
      </c>
      <c r="I551" s="181">
        <v>12975.16</v>
      </c>
      <c r="J551" s="183">
        <v>0</v>
      </c>
      <c r="K551" s="184">
        <v>0</v>
      </c>
      <c r="L551" s="191">
        <f t="shared" si="34"/>
        <v>20146.39</v>
      </c>
      <c r="M551" s="5" t="s">
        <v>1968</v>
      </c>
      <c r="O551" t="str">
        <f t="shared" si="36"/>
        <v>Regelzone TransnetBW (gesamt)</v>
      </c>
    </row>
    <row r="552" spans="1:15" hidden="1" outlineLevel="1">
      <c r="A552" s="129" t="s">
        <v>1967</v>
      </c>
      <c r="B552" s="14" t="s">
        <v>2076</v>
      </c>
      <c r="C552" s="445">
        <v>2024</v>
      </c>
      <c r="D552" s="182">
        <v>0</v>
      </c>
      <c r="E552" s="181">
        <v>0</v>
      </c>
      <c r="F552" s="182">
        <v>249826</v>
      </c>
      <c r="G552" s="181">
        <v>13515.58</v>
      </c>
      <c r="H552" s="182">
        <v>546781</v>
      </c>
      <c r="I552" s="181">
        <v>57721.58</v>
      </c>
      <c r="J552" s="183">
        <v>160734.53</v>
      </c>
      <c r="K552" s="184">
        <v>0</v>
      </c>
      <c r="L552" s="191">
        <f t="shared" si="34"/>
        <v>231971.69</v>
      </c>
      <c r="M552" s="5" t="s">
        <v>1968</v>
      </c>
      <c r="O552" t="str">
        <f t="shared" si="36"/>
        <v>Regelzone TransnetBW (gesamt)</v>
      </c>
    </row>
    <row r="553" spans="1:15" hidden="1" outlineLevel="1">
      <c r="A553" s="129" t="s">
        <v>1969</v>
      </c>
      <c r="B553" s="14" t="s">
        <v>2076</v>
      </c>
      <c r="C553" s="445">
        <v>2023</v>
      </c>
      <c r="D553" s="182">
        <v>0</v>
      </c>
      <c r="E553" s="181">
        <v>0</v>
      </c>
      <c r="F553" s="182">
        <v>0</v>
      </c>
      <c r="G553" s="181">
        <v>0</v>
      </c>
      <c r="H553" s="182">
        <v>77334</v>
      </c>
      <c r="I553" s="181">
        <v>9122.08</v>
      </c>
      <c r="J553" s="183">
        <v>0</v>
      </c>
      <c r="K553" s="184">
        <v>0</v>
      </c>
      <c r="L553" s="191">
        <f t="shared" si="34"/>
        <v>9122.08</v>
      </c>
      <c r="M553" s="5" t="s">
        <v>1970</v>
      </c>
      <c r="O553" t="str">
        <f t="shared" si="36"/>
        <v>Regelzone TransnetBW (gesamt)</v>
      </c>
    </row>
    <row r="554" spans="1:15" hidden="1" outlineLevel="1">
      <c r="A554" s="129" t="s">
        <v>1969</v>
      </c>
      <c r="B554" s="14" t="s">
        <v>2076</v>
      </c>
      <c r="C554" s="445">
        <v>2024</v>
      </c>
      <c r="D554" s="182">
        <v>0</v>
      </c>
      <c r="E554" s="181">
        <v>0</v>
      </c>
      <c r="F554" s="182">
        <v>0</v>
      </c>
      <c r="G554" s="181">
        <v>0</v>
      </c>
      <c r="H554" s="182">
        <v>90501</v>
      </c>
      <c r="I554" s="181">
        <v>13092.36</v>
      </c>
      <c r="J554" s="183">
        <v>0</v>
      </c>
      <c r="K554" s="184">
        <v>0</v>
      </c>
      <c r="L554" s="191">
        <f t="shared" si="34"/>
        <v>13092.36</v>
      </c>
      <c r="M554" s="5" t="s">
        <v>1970</v>
      </c>
      <c r="O554" t="str">
        <f t="shared" si="36"/>
        <v>Regelzone TransnetBW (gesamt)</v>
      </c>
    </row>
    <row r="555" spans="1:15" hidden="1" outlineLevel="1">
      <c r="A555" s="129" t="s">
        <v>1132</v>
      </c>
      <c r="B555" s="14" t="s">
        <v>2076</v>
      </c>
      <c r="C555" s="445">
        <v>2022</v>
      </c>
      <c r="D555" s="182">
        <v>0</v>
      </c>
      <c r="E555" s="181">
        <v>0</v>
      </c>
      <c r="F555" s="182">
        <v>0</v>
      </c>
      <c r="G555" s="181">
        <v>0</v>
      </c>
      <c r="H555" s="182">
        <v>20914</v>
      </c>
      <c r="I555" s="181">
        <v>1771.44</v>
      </c>
      <c r="J555" s="183">
        <v>0</v>
      </c>
      <c r="K555" s="184">
        <v>0</v>
      </c>
      <c r="L555" s="191">
        <f t="shared" si="34"/>
        <v>1771.44</v>
      </c>
      <c r="M555" s="5" t="s">
        <v>1133</v>
      </c>
      <c r="O555" t="str">
        <f t="shared" si="36"/>
        <v>Regelzone TransnetBW (gesamt)</v>
      </c>
    </row>
    <row r="556" spans="1:15" hidden="1" outlineLevel="1">
      <c r="A556" s="129" t="s">
        <v>1132</v>
      </c>
      <c r="B556" s="14" t="s">
        <v>2076</v>
      </c>
      <c r="C556" s="445">
        <v>2023</v>
      </c>
      <c r="D556" s="182">
        <v>0</v>
      </c>
      <c r="E556" s="181">
        <v>0</v>
      </c>
      <c r="F556" s="182">
        <v>0</v>
      </c>
      <c r="G556" s="181">
        <v>0</v>
      </c>
      <c r="H556" s="182">
        <v>24947</v>
      </c>
      <c r="I556" s="181">
        <v>2073.52</v>
      </c>
      <c r="J556" s="183">
        <v>0</v>
      </c>
      <c r="K556" s="184">
        <v>0</v>
      </c>
      <c r="L556" s="191">
        <f t="shared" si="34"/>
        <v>2073.52</v>
      </c>
      <c r="M556" s="5" t="s">
        <v>1133</v>
      </c>
      <c r="O556" t="str">
        <f t="shared" si="36"/>
        <v>Regelzone TransnetBW (gesamt)</v>
      </c>
    </row>
    <row r="557" spans="1:15" hidden="1" outlineLevel="1">
      <c r="A557" s="129" t="s">
        <v>1132</v>
      </c>
      <c r="B557" s="14" t="s">
        <v>2076</v>
      </c>
      <c r="C557" s="445">
        <v>2024</v>
      </c>
      <c r="D557" s="182">
        <v>0</v>
      </c>
      <c r="E557" s="181">
        <v>0</v>
      </c>
      <c r="F557" s="182">
        <v>-89910</v>
      </c>
      <c r="G557" s="181">
        <v>-3682.06</v>
      </c>
      <c r="H557" s="182">
        <v>240866</v>
      </c>
      <c r="I557" s="181">
        <v>11301.84</v>
      </c>
      <c r="J557" s="183">
        <v>0</v>
      </c>
      <c r="K557" s="184">
        <v>0</v>
      </c>
      <c r="L557" s="191">
        <f t="shared" si="34"/>
        <v>7619.7800000000007</v>
      </c>
      <c r="M557" s="5" t="s">
        <v>1133</v>
      </c>
      <c r="O557" t="str">
        <f t="shared" si="36"/>
        <v>Regelzone TransnetBW (gesamt)</v>
      </c>
    </row>
    <row r="558" spans="1:15" hidden="1" outlineLevel="1">
      <c r="A558" s="129" t="s">
        <v>1975</v>
      </c>
      <c r="B558" s="14" t="s">
        <v>2076</v>
      </c>
      <c r="C558" s="445">
        <v>2024</v>
      </c>
      <c r="D558" s="182">
        <v>0</v>
      </c>
      <c r="E558" s="181">
        <v>0</v>
      </c>
      <c r="F558" s="182">
        <v>0</v>
      </c>
      <c r="G558" s="181">
        <v>0</v>
      </c>
      <c r="H558" s="182">
        <v>55200</v>
      </c>
      <c r="I558" s="181">
        <v>8832</v>
      </c>
      <c r="J558" s="183">
        <v>0</v>
      </c>
      <c r="K558" s="184">
        <v>0</v>
      </c>
      <c r="L558" s="191">
        <f t="shared" si="34"/>
        <v>8832</v>
      </c>
      <c r="M558" s="5" t="s">
        <v>1976</v>
      </c>
      <c r="O558" t="str">
        <f t="shared" si="36"/>
        <v>Regelzone TransnetBW (gesamt)</v>
      </c>
    </row>
    <row r="559" spans="1:15" hidden="1" outlineLevel="1">
      <c r="A559" s="129" t="s">
        <v>1977</v>
      </c>
      <c r="B559" s="14" t="s">
        <v>2076</v>
      </c>
      <c r="C559" s="445">
        <v>2024</v>
      </c>
      <c r="D559" s="182">
        <v>0</v>
      </c>
      <c r="E559" s="181">
        <v>0</v>
      </c>
      <c r="F559" s="182">
        <v>0</v>
      </c>
      <c r="G559" s="181">
        <v>0</v>
      </c>
      <c r="H559" s="182">
        <v>-8002</v>
      </c>
      <c r="I559" s="181">
        <v>-633.28</v>
      </c>
      <c r="J559" s="183">
        <v>0</v>
      </c>
      <c r="K559" s="184">
        <v>0</v>
      </c>
      <c r="L559" s="191">
        <f t="shared" si="34"/>
        <v>-633.28</v>
      </c>
      <c r="M559" s="5" t="s">
        <v>1978</v>
      </c>
      <c r="O559" t="str">
        <f t="shared" si="36"/>
        <v>Regelzone TransnetBW (gesamt)</v>
      </c>
    </row>
    <row r="560" spans="1:15" hidden="1" outlineLevel="1">
      <c r="A560" s="129" t="s">
        <v>1983</v>
      </c>
      <c r="B560" s="14" t="s">
        <v>2076</v>
      </c>
      <c r="C560" s="445">
        <v>2022</v>
      </c>
      <c r="D560" s="182">
        <v>0</v>
      </c>
      <c r="E560" s="181">
        <v>0</v>
      </c>
      <c r="F560" s="182">
        <v>0</v>
      </c>
      <c r="G560" s="181">
        <v>0</v>
      </c>
      <c r="H560" s="182">
        <v>4919</v>
      </c>
      <c r="I560" s="181">
        <v>393.52</v>
      </c>
      <c r="J560" s="183">
        <v>0</v>
      </c>
      <c r="K560" s="184">
        <v>0</v>
      </c>
      <c r="L560" s="191">
        <f t="shared" si="34"/>
        <v>393.52</v>
      </c>
      <c r="M560" s="5" t="s">
        <v>1984</v>
      </c>
      <c r="O560" t="str">
        <f t="shared" si="36"/>
        <v>Regelzone TransnetBW (gesamt)</v>
      </c>
    </row>
    <row r="561" spans="1:15" hidden="1" outlineLevel="1">
      <c r="A561" s="129" t="s">
        <v>1983</v>
      </c>
      <c r="B561" s="14" t="s">
        <v>2076</v>
      </c>
      <c r="C561" s="445">
        <v>2023</v>
      </c>
      <c r="D561" s="182">
        <v>0</v>
      </c>
      <c r="E561" s="181">
        <v>0</v>
      </c>
      <c r="F561" s="182">
        <v>0</v>
      </c>
      <c r="G561" s="181">
        <v>0</v>
      </c>
      <c r="H561" s="182">
        <v>8000</v>
      </c>
      <c r="I561" s="181">
        <v>640</v>
      </c>
      <c r="J561" s="183">
        <v>0</v>
      </c>
      <c r="K561" s="184">
        <v>0</v>
      </c>
      <c r="L561" s="191">
        <f t="shared" si="34"/>
        <v>640</v>
      </c>
      <c r="M561" s="5" t="s">
        <v>1984</v>
      </c>
      <c r="O561" t="str">
        <f t="shared" si="36"/>
        <v>Regelzone TransnetBW (gesamt)</v>
      </c>
    </row>
    <row r="562" spans="1:15" hidden="1" outlineLevel="1">
      <c r="A562" s="129" t="s">
        <v>1983</v>
      </c>
      <c r="B562" s="14" t="s">
        <v>2076</v>
      </c>
      <c r="C562" s="445">
        <v>2024</v>
      </c>
      <c r="D562" s="182">
        <v>0</v>
      </c>
      <c r="E562" s="181">
        <v>0</v>
      </c>
      <c r="F562" s="182">
        <v>0</v>
      </c>
      <c r="G562" s="181">
        <v>0</v>
      </c>
      <c r="H562" s="182">
        <v>8000</v>
      </c>
      <c r="I562" s="181">
        <v>640</v>
      </c>
      <c r="J562" s="183">
        <v>0</v>
      </c>
      <c r="K562" s="184">
        <v>0</v>
      </c>
      <c r="L562" s="191">
        <f t="shared" si="34"/>
        <v>640</v>
      </c>
      <c r="M562" s="5" t="s">
        <v>1984</v>
      </c>
      <c r="O562" t="str">
        <f t="shared" si="36"/>
        <v>Regelzone TransnetBW (gesamt)</v>
      </c>
    </row>
    <row r="563" spans="1:15" hidden="1" outlineLevel="1">
      <c r="A563" s="129" t="s">
        <v>1987</v>
      </c>
      <c r="B563" s="14" t="s">
        <v>2076</v>
      </c>
      <c r="C563" s="445">
        <v>2024</v>
      </c>
      <c r="D563" s="182">
        <v>0</v>
      </c>
      <c r="E563" s="181">
        <v>0</v>
      </c>
      <c r="F563" s="182">
        <v>0</v>
      </c>
      <c r="G563" s="181">
        <v>0</v>
      </c>
      <c r="H563" s="182">
        <v>28841</v>
      </c>
      <c r="I563" s="181">
        <v>1763.52</v>
      </c>
      <c r="J563" s="183">
        <v>0</v>
      </c>
      <c r="K563" s="184">
        <v>0</v>
      </c>
      <c r="L563" s="191">
        <f t="shared" si="34"/>
        <v>1763.52</v>
      </c>
      <c r="M563" s="5" t="s">
        <v>1988</v>
      </c>
      <c r="O563" t="str">
        <f t="shared" si="36"/>
        <v>Regelzone TransnetBW (gesamt)</v>
      </c>
    </row>
    <row r="564" spans="1:15" hidden="1" outlineLevel="1">
      <c r="A564" s="129" t="s">
        <v>1991</v>
      </c>
      <c r="B564" s="14" t="s">
        <v>2076</v>
      </c>
      <c r="C564" s="445">
        <v>2022</v>
      </c>
      <c r="D564" s="182">
        <v>0</v>
      </c>
      <c r="E564" s="181">
        <v>0</v>
      </c>
      <c r="F564" s="182">
        <v>0</v>
      </c>
      <c r="G564" s="181">
        <v>0</v>
      </c>
      <c r="H564" s="182">
        <v>69260</v>
      </c>
      <c r="I564" s="181">
        <v>10524</v>
      </c>
      <c r="J564" s="183">
        <v>0</v>
      </c>
      <c r="K564" s="184">
        <v>0</v>
      </c>
      <c r="L564" s="191">
        <f t="shared" si="34"/>
        <v>10524</v>
      </c>
      <c r="M564" s="5" t="s">
        <v>1992</v>
      </c>
      <c r="O564" t="str">
        <f>$A$474</f>
        <v>Regelzone TransnetBW (gesamt)</v>
      </c>
    </row>
    <row r="565" spans="1:15" hidden="1" outlineLevel="1">
      <c r="A565" s="129" t="s">
        <v>1991</v>
      </c>
      <c r="B565" s="14" t="s">
        <v>2076</v>
      </c>
      <c r="C565" s="445">
        <v>2023</v>
      </c>
      <c r="D565" s="182">
        <v>0</v>
      </c>
      <c r="E565" s="181">
        <v>0</v>
      </c>
      <c r="F565" s="182">
        <v>0</v>
      </c>
      <c r="G565" s="181">
        <v>0</v>
      </c>
      <c r="H565" s="182">
        <v>64991</v>
      </c>
      <c r="I565" s="181">
        <v>8238.9599999999991</v>
      </c>
      <c r="J565" s="183">
        <v>0</v>
      </c>
      <c r="K565" s="184">
        <v>0</v>
      </c>
      <c r="L565" s="191">
        <f t="shared" si="34"/>
        <v>8238.9599999999991</v>
      </c>
      <c r="M565" s="5" t="s">
        <v>1992</v>
      </c>
      <c r="O565" t="str">
        <f t="shared" si="36"/>
        <v>Regelzone TransnetBW (gesamt)</v>
      </c>
    </row>
    <row r="566" spans="1:15" hidden="1" outlineLevel="1">
      <c r="A566" s="129" t="s">
        <v>1991</v>
      </c>
      <c r="B566" s="14" t="s">
        <v>2076</v>
      </c>
      <c r="C566" s="445">
        <v>2024</v>
      </c>
      <c r="D566" s="182">
        <v>0</v>
      </c>
      <c r="E566" s="181">
        <v>0</v>
      </c>
      <c r="F566" s="182">
        <v>0</v>
      </c>
      <c r="G566" s="181">
        <v>0</v>
      </c>
      <c r="H566" s="182">
        <v>71353</v>
      </c>
      <c r="I566" s="181">
        <v>22008.080000000002</v>
      </c>
      <c r="J566" s="183">
        <v>0</v>
      </c>
      <c r="K566" s="184">
        <v>0</v>
      </c>
      <c r="L566" s="191">
        <f t="shared" si="34"/>
        <v>22008.080000000002</v>
      </c>
      <c r="M566" s="5" t="s">
        <v>1992</v>
      </c>
      <c r="O566" t="str">
        <f t="shared" si="36"/>
        <v>Regelzone TransnetBW (gesamt)</v>
      </c>
    </row>
    <row r="567" spans="1:15" hidden="1" outlineLevel="1">
      <c r="A567" s="129" t="s">
        <v>1995</v>
      </c>
      <c r="B567" s="14" t="s">
        <v>2076</v>
      </c>
      <c r="C567" s="445">
        <v>2023</v>
      </c>
      <c r="D567" s="182">
        <v>0</v>
      </c>
      <c r="E567" s="181">
        <v>0</v>
      </c>
      <c r="F567" s="182">
        <v>0</v>
      </c>
      <c r="G567" s="181">
        <v>0</v>
      </c>
      <c r="H567" s="182">
        <v>0</v>
      </c>
      <c r="I567" s="181">
        <v>6620.88</v>
      </c>
      <c r="J567" s="183">
        <v>0</v>
      </c>
      <c r="K567" s="184">
        <v>0</v>
      </c>
      <c r="L567" s="191">
        <f t="shared" si="34"/>
        <v>6620.88</v>
      </c>
      <c r="M567" s="5" t="s">
        <v>1996</v>
      </c>
      <c r="O567" t="str">
        <f t="shared" si="36"/>
        <v>Regelzone TransnetBW (gesamt)</v>
      </c>
    </row>
    <row r="568" spans="1:15" hidden="1" outlineLevel="1">
      <c r="A568" s="129" t="s">
        <v>1995</v>
      </c>
      <c r="B568" s="14" t="s">
        <v>2076</v>
      </c>
      <c r="C568" s="445">
        <v>2024</v>
      </c>
      <c r="D568" s="182">
        <v>0</v>
      </c>
      <c r="E568" s="181">
        <v>0</v>
      </c>
      <c r="F568" s="182">
        <v>0</v>
      </c>
      <c r="G568" s="181">
        <v>0</v>
      </c>
      <c r="H568" s="182">
        <v>0</v>
      </c>
      <c r="I568" s="181">
        <v>4648.72</v>
      </c>
      <c r="J568" s="183">
        <v>0</v>
      </c>
      <c r="K568" s="184">
        <v>0</v>
      </c>
      <c r="L568" s="191">
        <f t="shared" si="34"/>
        <v>4648.72</v>
      </c>
      <c r="M568" s="5" t="s">
        <v>1996</v>
      </c>
      <c r="O568" t="str">
        <f t="shared" si="36"/>
        <v>Regelzone TransnetBW (gesamt)</v>
      </c>
    </row>
    <row r="569" spans="1:15" hidden="1" outlineLevel="1">
      <c r="A569" s="129" t="s">
        <v>1997</v>
      </c>
      <c r="B569" s="14" t="s">
        <v>2076</v>
      </c>
      <c r="C569" s="445">
        <v>2023</v>
      </c>
      <c r="D569" s="182">
        <v>0</v>
      </c>
      <c r="E569" s="181">
        <v>0</v>
      </c>
      <c r="F569" s="182">
        <v>0</v>
      </c>
      <c r="G569" s="181">
        <v>0</v>
      </c>
      <c r="H569" s="182">
        <v>-24150</v>
      </c>
      <c r="I569" s="181">
        <v>14068</v>
      </c>
      <c r="J569" s="183">
        <v>0</v>
      </c>
      <c r="K569" s="184">
        <v>0</v>
      </c>
      <c r="L569" s="191">
        <f t="shared" si="34"/>
        <v>14068</v>
      </c>
      <c r="M569" s="5" t="s">
        <v>1998</v>
      </c>
      <c r="O569" t="str">
        <f t="shared" si="36"/>
        <v>Regelzone TransnetBW (gesamt)</v>
      </c>
    </row>
    <row r="570" spans="1:15" hidden="1" outlineLevel="1">
      <c r="A570" s="129" t="s">
        <v>1997</v>
      </c>
      <c r="B570" s="14" t="s">
        <v>2076</v>
      </c>
      <c r="C570" s="445">
        <v>2024</v>
      </c>
      <c r="D570" s="182">
        <v>0</v>
      </c>
      <c r="E570" s="181">
        <v>0</v>
      </c>
      <c r="F570" s="182">
        <v>0</v>
      </c>
      <c r="G570" s="181">
        <v>0</v>
      </c>
      <c r="H570" s="182">
        <v>0</v>
      </c>
      <c r="I570" s="181">
        <v>16000</v>
      </c>
      <c r="J570" s="183">
        <v>0</v>
      </c>
      <c r="K570" s="184">
        <v>0</v>
      </c>
      <c r="L570" s="191">
        <f t="shared" si="34"/>
        <v>16000</v>
      </c>
      <c r="M570" s="5" t="s">
        <v>1998</v>
      </c>
      <c r="O570" t="str">
        <f t="shared" si="36"/>
        <v>Regelzone TransnetBW (gesamt)</v>
      </c>
    </row>
    <row r="571" spans="1:15" hidden="1" outlineLevel="1">
      <c r="A571" s="129" t="s">
        <v>2005</v>
      </c>
      <c r="B571" s="14" t="s">
        <v>2076</v>
      </c>
      <c r="C571" s="445">
        <v>2022</v>
      </c>
      <c r="D571" s="182">
        <v>0</v>
      </c>
      <c r="E571" s="181">
        <v>0</v>
      </c>
      <c r="F571" s="182">
        <v>0</v>
      </c>
      <c r="G571" s="181">
        <v>0</v>
      </c>
      <c r="H571" s="182">
        <v>0</v>
      </c>
      <c r="I571" s="181">
        <v>1590.64</v>
      </c>
      <c r="J571" s="183">
        <v>0</v>
      </c>
      <c r="K571" s="184">
        <v>0</v>
      </c>
      <c r="L571" s="191">
        <f t="shared" si="34"/>
        <v>1590.64</v>
      </c>
      <c r="M571" s="5" t="s">
        <v>2006</v>
      </c>
      <c r="O571" t="str">
        <f t="shared" si="36"/>
        <v>Regelzone TransnetBW (gesamt)</v>
      </c>
    </row>
    <row r="572" spans="1:15" hidden="1" outlineLevel="1">
      <c r="A572" s="129" t="s">
        <v>2005</v>
      </c>
      <c r="B572" s="14" t="s">
        <v>2076</v>
      </c>
      <c r="C572" s="445">
        <v>2023</v>
      </c>
      <c r="D572" s="182">
        <v>0</v>
      </c>
      <c r="E572" s="181">
        <v>0</v>
      </c>
      <c r="F572" s="182">
        <v>0</v>
      </c>
      <c r="G572" s="181">
        <v>0</v>
      </c>
      <c r="H572" s="182">
        <v>0</v>
      </c>
      <c r="I572" s="181">
        <v>17495.72</v>
      </c>
      <c r="J572" s="183">
        <v>0</v>
      </c>
      <c r="K572" s="184">
        <v>0</v>
      </c>
      <c r="L572" s="191">
        <f t="shared" si="34"/>
        <v>17495.72</v>
      </c>
      <c r="M572" s="5" t="s">
        <v>2006</v>
      </c>
      <c r="O572" t="str">
        <f t="shared" si="36"/>
        <v>Regelzone TransnetBW (gesamt)</v>
      </c>
    </row>
    <row r="573" spans="1:15" hidden="1" outlineLevel="1">
      <c r="A573" s="129" t="s">
        <v>2005</v>
      </c>
      <c r="B573" s="14" t="s">
        <v>2076</v>
      </c>
      <c r="C573" s="445">
        <v>2024</v>
      </c>
      <c r="D573" s="182">
        <v>0</v>
      </c>
      <c r="E573" s="181">
        <v>0</v>
      </c>
      <c r="F573" s="182">
        <v>0</v>
      </c>
      <c r="G573" s="181">
        <v>0</v>
      </c>
      <c r="H573" s="182">
        <v>103312</v>
      </c>
      <c r="I573" s="181">
        <v>30850.400000000001</v>
      </c>
      <c r="J573" s="183">
        <v>0</v>
      </c>
      <c r="K573" s="184">
        <v>0</v>
      </c>
      <c r="L573" s="191">
        <f t="shared" si="34"/>
        <v>30850.400000000001</v>
      </c>
      <c r="M573" s="5" t="s">
        <v>2006</v>
      </c>
      <c r="O573" t="str">
        <f t="shared" si="36"/>
        <v>Regelzone TransnetBW (gesamt)</v>
      </c>
    </row>
    <row r="574" spans="1:15" hidden="1" outlineLevel="1">
      <c r="A574" s="129" t="s">
        <v>2007</v>
      </c>
      <c r="B574" s="14" t="s">
        <v>2076</v>
      </c>
      <c r="C574" s="445">
        <v>2022</v>
      </c>
      <c r="D574" s="182">
        <v>0</v>
      </c>
      <c r="E574" s="181">
        <v>0</v>
      </c>
      <c r="F574" s="182">
        <v>0</v>
      </c>
      <c r="G574" s="181">
        <v>0</v>
      </c>
      <c r="H574" s="182">
        <v>0</v>
      </c>
      <c r="I574" s="181">
        <v>0</v>
      </c>
      <c r="J574" s="183">
        <v>121146.41</v>
      </c>
      <c r="K574" s="184">
        <v>0</v>
      </c>
      <c r="L574" s="191">
        <f t="shared" si="34"/>
        <v>121146.41</v>
      </c>
      <c r="M574" s="5" t="s">
        <v>2008</v>
      </c>
      <c r="O574" t="str">
        <f t="shared" si="36"/>
        <v>Regelzone TransnetBW (gesamt)</v>
      </c>
    </row>
    <row r="575" spans="1:15" hidden="1" outlineLevel="1">
      <c r="A575" s="129" t="s">
        <v>2007</v>
      </c>
      <c r="B575" s="14" t="s">
        <v>2076</v>
      </c>
      <c r="C575" s="445">
        <v>2023</v>
      </c>
      <c r="D575" s="182">
        <v>0</v>
      </c>
      <c r="E575" s="181">
        <v>0</v>
      </c>
      <c r="F575" s="182">
        <v>0</v>
      </c>
      <c r="G575" s="181">
        <v>0</v>
      </c>
      <c r="H575" s="182">
        <v>0</v>
      </c>
      <c r="I575" s="181">
        <v>0</v>
      </c>
      <c r="J575" s="183">
        <v>117805.88</v>
      </c>
      <c r="K575" s="184">
        <v>0</v>
      </c>
      <c r="L575" s="191">
        <f t="shared" si="34"/>
        <v>117805.88</v>
      </c>
      <c r="M575" s="5" t="s">
        <v>2008</v>
      </c>
      <c r="O575" t="str">
        <f t="shared" si="36"/>
        <v>Regelzone TransnetBW (gesamt)</v>
      </c>
    </row>
    <row r="576" spans="1:15" hidden="1" outlineLevel="1">
      <c r="A576" s="129" t="s">
        <v>2009</v>
      </c>
      <c r="B576" s="14" t="s">
        <v>2076</v>
      </c>
      <c r="C576" s="445">
        <v>2022</v>
      </c>
      <c r="D576" s="182">
        <v>0</v>
      </c>
      <c r="E576" s="181">
        <v>0</v>
      </c>
      <c r="F576" s="182">
        <v>0</v>
      </c>
      <c r="G576" s="181">
        <v>0</v>
      </c>
      <c r="H576" s="182">
        <v>33088</v>
      </c>
      <c r="I576" s="181">
        <v>4624.88</v>
      </c>
      <c r="J576" s="183">
        <v>0</v>
      </c>
      <c r="K576" s="184">
        <v>0</v>
      </c>
      <c r="L576" s="191">
        <f t="shared" si="34"/>
        <v>4624.88</v>
      </c>
      <c r="M576" s="5" t="s">
        <v>2010</v>
      </c>
      <c r="O576" t="str">
        <f t="shared" si="36"/>
        <v>Regelzone TransnetBW (gesamt)</v>
      </c>
    </row>
    <row r="577" spans="1:15" hidden="1" outlineLevel="1">
      <c r="A577" s="129" t="s">
        <v>2009</v>
      </c>
      <c r="B577" s="14" t="s">
        <v>2076</v>
      </c>
      <c r="C577" s="445">
        <v>2023</v>
      </c>
      <c r="D577" s="182">
        <v>0</v>
      </c>
      <c r="E577" s="181">
        <v>0</v>
      </c>
      <c r="F577" s="182">
        <v>919929</v>
      </c>
      <c r="G577" s="181">
        <v>40400.199999999997</v>
      </c>
      <c r="H577" s="182">
        <v>125144</v>
      </c>
      <c r="I577" s="181">
        <v>10517.32</v>
      </c>
      <c r="J577" s="183">
        <v>0</v>
      </c>
      <c r="K577" s="184">
        <v>0</v>
      </c>
      <c r="L577" s="191">
        <f t="shared" si="34"/>
        <v>50917.52</v>
      </c>
      <c r="M577" s="5" t="s">
        <v>2010</v>
      </c>
      <c r="O577" t="str">
        <f>$A$474</f>
        <v>Regelzone TransnetBW (gesamt)</v>
      </c>
    </row>
    <row r="578" spans="1:15" hidden="1" outlineLevel="1">
      <c r="A578" s="129" t="s">
        <v>2009</v>
      </c>
      <c r="B578" s="14" t="s">
        <v>2076</v>
      </c>
      <c r="C578" s="752">
        <v>2024</v>
      </c>
      <c r="D578" s="182">
        <v>0</v>
      </c>
      <c r="E578" s="181">
        <v>0</v>
      </c>
      <c r="F578" s="182">
        <v>652033</v>
      </c>
      <c r="G578" s="181">
        <v>30351.22</v>
      </c>
      <c r="H578" s="182">
        <v>788767</v>
      </c>
      <c r="I578" s="181">
        <v>64958.84</v>
      </c>
      <c r="J578" s="183">
        <v>0</v>
      </c>
      <c r="K578" s="184">
        <v>0</v>
      </c>
      <c r="L578" s="191">
        <f t="shared" si="34"/>
        <v>95310.06</v>
      </c>
      <c r="M578" s="5" t="s">
        <v>2010</v>
      </c>
      <c r="O578" t="str">
        <f t="shared" ref="O578:O589" si="37">$A$474</f>
        <v>Regelzone TransnetBW (gesamt)</v>
      </c>
    </row>
    <row r="579" spans="1:15" hidden="1" outlineLevel="1">
      <c r="A579" s="129" t="s">
        <v>2011</v>
      </c>
      <c r="B579" s="14" t="s">
        <v>2076</v>
      </c>
      <c r="C579" s="752">
        <v>2022</v>
      </c>
      <c r="D579" s="182">
        <v>0</v>
      </c>
      <c r="E579" s="181">
        <v>0</v>
      </c>
      <c r="F579" s="182">
        <v>0</v>
      </c>
      <c r="G579" s="181">
        <v>0</v>
      </c>
      <c r="H579" s="182">
        <v>-1439</v>
      </c>
      <c r="I579" s="181">
        <v>144.72</v>
      </c>
      <c r="J579" s="183">
        <v>0</v>
      </c>
      <c r="K579" s="184">
        <v>0</v>
      </c>
      <c r="L579" s="191">
        <f t="shared" si="34"/>
        <v>144.72</v>
      </c>
      <c r="M579" s="5" t="s">
        <v>2012</v>
      </c>
      <c r="O579" t="str">
        <f t="shared" si="37"/>
        <v>Regelzone TransnetBW (gesamt)</v>
      </c>
    </row>
    <row r="580" spans="1:15" hidden="1" outlineLevel="1">
      <c r="A580" s="129" t="s">
        <v>2011</v>
      </c>
      <c r="B580" s="14" t="s">
        <v>2076</v>
      </c>
      <c r="C580" s="752">
        <v>2023</v>
      </c>
      <c r="D580" s="182">
        <v>0</v>
      </c>
      <c r="E580" s="181">
        <v>0</v>
      </c>
      <c r="F580" s="182">
        <v>0</v>
      </c>
      <c r="G580" s="181">
        <v>0</v>
      </c>
      <c r="H580" s="182">
        <v>34446</v>
      </c>
      <c r="I580" s="181">
        <v>5721.28</v>
      </c>
      <c r="J580" s="183">
        <v>0</v>
      </c>
      <c r="K580" s="184">
        <v>0</v>
      </c>
      <c r="L580" s="191">
        <f t="shared" si="34"/>
        <v>5721.28</v>
      </c>
      <c r="M580" s="5" t="s">
        <v>2012</v>
      </c>
      <c r="O580" t="str">
        <f t="shared" si="37"/>
        <v>Regelzone TransnetBW (gesamt)</v>
      </c>
    </row>
    <row r="581" spans="1:15" hidden="1" outlineLevel="1">
      <c r="A581" s="129" t="s">
        <v>2011</v>
      </c>
      <c r="B581" s="14" t="s">
        <v>2076</v>
      </c>
      <c r="C581" s="752">
        <v>2024</v>
      </c>
      <c r="D581" s="182">
        <v>0</v>
      </c>
      <c r="E581" s="181">
        <v>0</v>
      </c>
      <c r="F581" s="182">
        <v>-3458</v>
      </c>
      <c r="G581" s="181">
        <v>-187.08</v>
      </c>
      <c r="H581" s="182">
        <v>171159</v>
      </c>
      <c r="I581" s="181">
        <v>29125.52</v>
      </c>
      <c r="J581" s="183">
        <v>0</v>
      </c>
      <c r="K581" s="184">
        <v>0</v>
      </c>
      <c r="L581" s="191">
        <f t="shared" si="34"/>
        <v>28938.44</v>
      </c>
      <c r="M581" s="5" t="s">
        <v>2012</v>
      </c>
      <c r="O581" t="str">
        <f t="shared" si="37"/>
        <v>Regelzone TransnetBW (gesamt)</v>
      </c>
    </row>
    <row r="582" spans="1:15" hidden="1" outlineLevel="1">
      <c r="A582" s="129" t="s">
        <v>1314</v>
      </c>
      <c r="B582" s="14" t="s">
        <v>2076</v>
      </c>
      <c r="C582" s="752">
        <v>2024</v>
      </c>
      <c r="D582" s="182">
        <v>0</v>
      </c>
      <c r="E582" s="181">
        <v>0</v>
      </c>
      <c r="F582" s="182">
        <v>0</v>
      </c>
      <c r="G582" s="181">
        <v>0</v>
      </c>
      <c r="H582" s="182">
        <v>5329733</v>
      </c>
      <c r="I582" s="181">
        <v>270947.84000000003</v>
      </c>
      <c r="J582" s="183">
        <v>0</v>
      </c>
      <c r="K582" s="184">
        <v>0</v>
      </c>
      <c r="L582" s="191">
        <f t="shared" si="34"/>
        <v>270947.84000000003</v>
      </c>
      <c r="M582" s="5" t="s">
        <v>1315</v>
      </c>
      <c r="O582" t="str">
        <f t="shared" si="37"/>
        <v>Regelzone TransnetBW (gesamt)</v>
      </c>
    </row>
    <row r="583" spans="1:15" hidden="1" outlineLevel="1">
      <c r="A583" s="129" t="s">
        <v>2023</v>
      </c>
      <c r="B583" s="14" t="s">
        <v>2076</v>
      </c>
      <c r="C583" s="752">
        <v>2022</v>
      </c>
      <c r="D583" s="182">
        <v>0</v>
      </c>
      <c r="E583" s="181">
        <v>0</v>
      </c>
      <c r="F583" s="182">
        <v>0</v>
      </c>
      <c r="G583" s="181">
        <v>0</v>
      </c>
      <c r="H583" s="182">
        <v>100000</v>
      </c>
      <c r="I583" s="181">
        <v>14545.12</v>
      </c>
      <c r="J583" s="183">
        <v>0</v>
      </c>
      <c r="K583" s="184">
        <v>0</v>
      </c>
      <c r="L583" s="191">
        <f t="shared" si="34"/>
        <v>14545.12</v>
      </c>
      <c r="M583" s="5" t="s">
        <v>2024</v>
      </c>
      <c r="O583" t="str">
        <f t="shared" si="37"/>
        <v>Regelzone TransnetBW (gesamt)</v>
      </c>
    </row>
    <row r="584" spans="1:15" hidden="1" outlineLevel="1">
      <c r="A584" s="129" t="s">
        <v>2023</v>
      </c>
      <c r="B584" s="14" t="s">
        <v>2076</v>
      </c>
      <c r="C584" s="752">
        <v>2023</v>
      </c>
      <c r="D584" s="182">
        <v>0</v>
      </c>
      <c r="E584" s="181">
        <v>0</v>
      </c>
      <c r="F584" s="182">
        <v>65036</v>
      </c>
      <c r="G584" s="181">
        <v>3518.45</v>
      </c>
      <c r="H584" s="182">
        <v>280000</v>
      </c>
      <c r="I584" s="181">
        <v>31726.880000000001</v>
      </c>
      <c r="J584" s="183">
        <v>0</v>
      </c>
      <c r="K584" s="184">
        <v>0</v>
      </c>
      <c r="L584" s="191">
        <f t="shared" si="34"/>
        <v>35245.33</v>
      </c>
      <c r="M584" s="5" t="s">
        <v>2024</v>
      </c>
      <c r="O584" t="str">
        <f t="shared" si="37"/>
        <v>Regelzone TransnetBW (gesamt)</v>
      </c>
    </row>
    <row r="585" spans="1:15" hidden="1" outlineLevel="1">
      <c r="A585" s="129" t="s">
        <v>2023</v>
      </c>
      <c r="B585" s="14" t="s">
        <v>2076</v>
      </c>
      <c r="C585" s="752">
        <v>2024</v>
      </c>
      <c r="D585" s="182">
        <v>0</v>
      </c>
      <c r="E585" s="181">
        <v>0</v>
      </c>
      <c r="F585" s="182">
        <v>347917</v>
      </c>
      <c r="G585" s="181">
        <v>18822.310000000001</v>
      </c>
      <c r="H585" s="182">
        <v>722588</v>
      </c>
      <c r="I585" s="181">
        <v>81587.759999999995</v>
      </c>
      <c r="J585" s="183">
        <v>-1636.67</v>
      </c>
      <c r="K585" s="184">
        <v>0</v>
      </c>
      <c r="L585" s="191">
        <f t="shared" si="34"/>
        <v>98773.4</v>
      </c>
      <c r="M585" s="5" t="s">
        <v>2024</v>
      </c>
      <c r="O585" t="str">
        <f t="shared" si="37"/>
        <v>Regelzone TransnetBW (gesamt)</v>
      </c>
    </row>
    <row r="586" spans="1:15" hidden="1" outlineLevel="1">
      <c r="A586" s="129" t="s">
        <v>2027</v>
      </c>
      <c r="B586" s="14" t="s">
        <v>2076</v>
      </c>
      <c r="C586" s="752">
        <v>2021</v>
      </c>
      <c r="D586" s="182">
        <v>0</v>
      </c>
      <c r="E586" s="181">
        <v>0</v>
      </c>
      <c r="F586" s="182">
        <v>6205</v>
      </c>
      <c r="G586" s="181">
        <v>335.69</v>
      </c>
      <c r="H586" s="182">
        <v>24950</v>
      </c>
      <c r="I586" s="181">
        <v>1740.36</v>
      </c>
      <c r="J586" s="183">
        <v>-45.94</v>
      </c>
      <c r="K586" s="184">
        <v>0</v>
      </c>
      <c r="L586" s="191">
        <f t="shared" si="34"/>
        <v>2030.1099999999997</v>
      </c>
      <c r="M586" s="5" t="s">
        <v>2028</v>
      </c>
      <c r="O586" t="str">
        <f t="shared" si="37"/>
        <v>Regelzone TransnetBW (gesamt)</v>
      </c>
    </row>
    <row r="587" spans="1:15" hidden="1" outlineLevel="1">
      <c r="A587" s="129" t="s">
        <v>2027</v>
      </c>
      <c r="B587" s="14" t="s">
        <v>2076</v>
      </c>
      <c r="C587" s="752">
        <v>2022</v>
      </c>
      <c r="D587" s="182">
        <v>0</v>
      </c>
      <c r="E587" s="181">
        <v>0</v>
      </c>
      <c r="F587" s="182">
        <v>241662</v>
      </c>
      <c r="G587" s="181">
        <v>13073.93</v>
      </c>
      <c r="H587" s="182">
        <v>185848</v>
      </c>
      <c r="I587" s="181">
        <v>9116.8799999999992</v>
      </c>
      <c r="J587" s="183">
        <v>0</v>
      </c>
      <c r="K587" s="184">
        <v>0</v>
      </c>
      <c r="L587" s="191">
        <f t="shared" si="34"/>
        <v>22190.809999999998</v>
      </c>
      <c r="M587" s="5" t="s">
        <v>2028</v>
      </c>
      <c r="O587" t="str">
        <f t="shared" si="37"/>
        <v>Regelzone TransnetBW (gesamt)</v>
      </c>
    </row>
    <row r="588" spans="1:15" hidden="1" outlineLevel="1">
      <c r="A588" s="129" t="s">
        <v>2027</v>
      </c>
      <c r="B588" s="14" t="s">
        <v>2076</v>
      </c>
      <c r="C588" s="752">
        <v>2023</v>
      </c>
      <c r="D588" s="182">
        <v>0</v>
      </c>
      <c r="E588" s="181">
        <v>0</v>
      </c>
      <c r="F588" s="182">
        <v>346514</v>
      </c>
      <c r="G588" s="181">
        <v>18746.41</v>
      </c>
      <c r="H588" s="182">
        <v>660638</v>
      </c>
      <c r="I588" s="181">
        <v>59333.46</v>
      </c>
      <c r="J588" s="183">
        <v>-582.97</v>
      </c>
      <c r="K588" s="184">
        <v>0</v>
      </c>
      <c r="L588" s="191">
        <f t="shared" si="34"/>
        <v>77496.899999999994</v>
      </c>
      <c r="M588" s="5" t="s">
        <v>2028</v>
      </c>
      <c r="O588" t="str">
        <f t="shared" si="37"/>
        <v>Regelzone TransnetBW (gesamt)</v>
      </c>
    </row>
    <row r="589" spans="1:15" hidden="1" outlineLevel="1">
      <c r="A589" s="129" t="s">
        <v>2027</v>
      </c>
      <c r="B589" s="14" t="s">
        <v>2076</v>
      </c>
      <c r="C589" s="752">
        <v>2024</v>
      </c>
      <c r="D589" s="182">
        <v>0</v>
      </c>
      <c r="E589" s="181">
        <v>0</v>
      </c>
      <c r="F589" s="182">
        <v>822776</v>
      </c>
      <c r="G589" s="181">
        <v>44512.19</v>
      </c>
      <c r="H589" s="182">
        <v>2053247</v>
      </c>
      <c r="I589" s="181">
        <v>170471.05</v>
      </c>
      <c r="J589" s="183">
        <v>-122.3</v>
      </c>
      <c r="K589" s="184">
        <v>0</v>
      </c>
      <c r="L589" s="191">
        <f t="shared" si="34"/>
        <v>214860.94</v>
      </c>
      <c r="M589" s="5" t="s">
        <v>2028</v>
      </c>
      <c r="O589" t="str">
        <f t="shared" si="37"/>
        <v>Regelzone TransnetBW (gesamt)</v>
      </c>
    </row>
    <row r="590" spans="1:15" hidden="1" outlineLevel="1">
      <c r="A590" s="129" t="s">
        <v>2031</v>
      </c>
      <c r="B590" s="14" t="s">
        <v>2076</v>
      </c>
      <c r="C590" s="752">
        <v>2022</v>
      </c>
      <c r="D590" s="182">
        <v>0</v>
      </c>
      <c r="E590" s="181">
        <v>0</v>
      </c>
      <c r="F590" s="182">
        <v>28953</v>
      </c>
      <c r="G590" s="181">
        <v>1566.35</v>
      </c>
      <c r="H590" s="182">
        <v>280073</v>
      </c>
      <c r="I590" s="181">
        <v>31012.400000000001</v>
      </c>
      <c r="J590" s="183">
        <v>0</v>
      </c>
      <c r="K590" s="184">
        <v>0</v>
      </c>
      <c r="L590" s="191">
        <f t="shared" si="34"/>
        <v>32578.75</v>
      </c>
      <c r="M590" s="5" t="s">
        <v>2032</v>
      </c>
      <c r="O590" t="str">
        <f t="shared" ref="O590:O599" si="38">$A$474</f>
        <v>Regelzone TransnetBW (gesamt)</v>
      </c>
    </row>
    <row r="591" spans="1:15" hidden="1" outlineLevel="1">
      <c r="A591" s="132" t="s">
        <v>2031</v>
      </c>
      <c r="B591" s="14" t="s">
        <v>2076</v>
      </c>
      <c r="C591" s="752">
        <v>2023</v>
      </c>
      <c r="D591" s="182">
        <v>0</v>
      </c>
      <c r="E591" s="181">
        <v>0</v>
      </c>
      <c r="F591" s="182">
        <v>-28484</v>
      </c>
      <c r="G591" s="181">
        <v>-1540.99</v>
      </c>
      <c r="H591" s="182">
        <v>102419</v>
      </c>
      <c r="I591" s="181">
        <v>20279.560000000001</v>
      </c>
      <c r="J591" s="183">
        <v>0</v>
      </c>
      <c r="K591" s="184">
        <v>0</v>
      </c>
      <c r="L591" s="191">
        <f t="shared" si="34"/>
        <v>18738.57</v>
      </c>
      <c r="M591" s="5" t="s">
        <v>2032</v>
      </c>
      <c r="O591" t="str">
        <f t="shared" si="38"/>
        <v>Regelzone TransnetBW (gesamt)</v>
      </c>
    </row>
    <row r="592" spans="1:15" hidden="1" outlineLevel="1">
      <c r="A592" s="132" t="s">
        <v>2031</v>
      </c>
      <c r="B592" s="14" t="s">
        <v>2076</v>
      </c>
      <c r="C592" s="752">
        <v>2024</v>
      </c>
      <c r="D592" s="182">
        <v>0</v>
      </c>
      <c r="E592" s="181">
        <v>0</v>
      </c>
      <c r="F592" s="182">
        <v>0</v>
      </c>
      <c r="G592" s="181">
        <v>0</v>
      </c>
      <c r="H592" s="182">
        <v>126286</v>
      </c>
      <c r="I592" s="181">
        <v>19007.12</v>
      </c>
      <c r="J592" s="183">
        <v>0</v>
      </c>
      <c r="K592" s="184">
        <v>0</v>
      </c>
      <c r="L592" s="191">
        <f t="shared" si="34"/>
        <v>19007.12</v>
      </c>
      <c r="M592" s="5" t="s">
        <v>2032</v>
      </c>
      <c r="O592" t="str">
        <f t="shared" si="38"/>
        <v>Regelzone TransnetBW (gesamt)</v>
      </c>
    </row>
    <row r="593" spans="1:15" hidden="1" outlineLevel="1">
      <c r="A593" s="132" t="s">
        <v>819</v>
      </c>
      <c r="B593" s="14" t="s">
        <v>2076</v>
      </c>
      <c r="C593" s="752">
        <v>2021</v>
      </c>
      <c r="D593" s="182">
        <v>0</v>
      </c>
      <c r="E593" s="181">
        <v>0</v>
      </c>
      <c r="F593" s="182">
        <v>16081</v>
      </c>
      <c r="G593" s="181">
        <v>869.98</v>
      </c>
      <c r="H593" s="182">
        <v>21375</v>
      </c>
      <c r="I593" s="181">
        <v>3420</v>
      </c>
      <c r="J593" s="183">
        <v>-173.67</v>
      </c>
      <c r="K593" s="184">
        <v>0</v>
      </c>
      <c r="L593" s="191">
        <f t="shared" si="34"/>
        <v>4116.3099999999995</v>
      </c>
      <c r="M593" s="5" t="s">
        <v>820</v>
      </c>
      <c r="O593" t="str">
        <f t="shared" si="38"/>
        <v>Regelzone TransnetBW (gesamt)</v>
      </c>
    </row>
    <row r="594" spans="1:15" hidden="1" outlineLevel="1">
      <c r="A594" s="132" t="s">
        <v>819</v>
      </c>
      <c r="B594" s="14" t="s">
        <v>2076</v>
      </c>
      <c r="C594" s="752">
        <v>2022</v>
      </c>
      <c r="D594" s="182">
        <v>0</v>
      </c>
      <c r="E594" s="181">
        <v>0</v>
      </c>
      <c r="F594" s="182">
        <v>39952</v>
      </c>
      <c r="G594" s="181">
        <v>2161.4</v>
      </c>
      <c r="H594" s="182">
        <v>36458</v>
      </c>
      <c r="I594" s="181">
        <v>5833.28</v>
      </c>
      <c r="J594" s="183">
        <v>-364.09</v>
      </c>
      <c r="K594" s="184">
        <v>0</v>
      </c>
      <c r="L594" s="191">
        <f t="shared" si="34"/>
        <v>7630.59</v>
      </c>
      <c r="M594" s="5" t="s">
        <v>820</v>
      </c>
      <c r="O594" t="str">
        <f t="shared" si="38"/>
        <v>Regelzone TransnetBW (gesamt)</v>
      </c>
    </row>
    <row r="595" spans="1:15" hidden="1" outlineLevel="1">
      <c r="A595" s="132" t="s">
        <v>819</v>
      </c>
      <c r="B595" s="14" t="s">
        <v>2076</v>
      </c>
      <c r="C595" s="752">
        <v>2023</v>
      </c>
      <c r="D595" s="182">
        <v>0</v>
      </c>
      <c r="E595" s="181">
        <v>0</v>
      </c>
      <c r="F595" s="182">
        <v>1648639</v>
      </c>
      <c r="G595" s="181">
        <v>65145.17</v>
      </c>
      <c r="H595" s="182">
        <v>66156</v>
      </c>
      <c r="I595" s="181">
        <v>8033.76</v>
      </c>
      <c r="J595" s="183">
        <v>-18.899999999999999</v>
      </c>
      <c r="K595" s="184">
        <v>0</v>
      </c>
      <c r="L595" s="191">
        <f t="shared" si="34"/>
        <v>73160.03</v>
      </c>
      <c r="M595" s="5" t="s">
        <v>820</v>
      </c>
      <c r="O595" t="str">
        <f t="shared" si="38"/>
        <v>Regelzone TransnetBW (gesamt)</v>
      </c>
    </row>
    <row r="596" spans="1:15" hidden="1" outlineLevel="1">
      <c r="A596" s="132" t="s">
        <v>2037</v>
      </c>
      <c r="B596" s="14" t="s">
        <v>2076</v>
      </c>
      <c r="C596" s="752">
        <v>2023</v>
      </c>
      <c r="D596" s="182">
        <v>0</v>
      </c>
      <c r="E596" s="181">
        <v>0</v>
      </c>
      <c r="F596" s="182">
        <v>192500</v>
      </c>
      <c r="G596" s="181">
        <v>10414.25</v>
      </c>
      <c r="H596" s="182">
        <v>-730</v>
      </c>
      <c r="I596" s="181">
        <v>9404.2800000000007</v>
      </c>
      <c r="J596" s="183">
        <v>0</v>
      </c>
      <c r="K596" s="184">
        <v>0</v>
      </c>
      <c r="L596" s="191">
        <f t="shared" si="34"/>
        <v>19818.53</v>
      </c>
      <c r="M596" s="5" t="s">
        <v>2038</v>
      </c>
      <c r="O596" t="str">
        <f t="shared" si="38"/>
        <v>Regelzone TransnetBW (gesamt)</v>
      </c>
    </row>
    <row r="597" spans="1:15" hidden="1" outlineLevel="1">
      <c r="A597" s="132" t="s">
        <v>2037</v>
      </c>
      <c r="B597" s="14" t="s">
        <v>2076</v>
      </c>
      <c r="C597" s="752">
        <v>2024</v>
      </c>
      <c r="D597" s="182">
        <v>0</v>
      </c>
      <c r="E597" s="181">
        <v>0</v>
      </c>
      <c r="F597" s="182">
        <v>273385</v>
      </c>
      <c r="G597" s="181">
        <v>14790.13</v>
      </c>
      <c r="H597" s="182">
        <v>-13443</v>
      </c>
      <c r="I597" s="181">
        <v>8587.76</v>
      </c>
      <c r="J597" s="183">
        <v>0</v>
      </c>
      <c r="K597" s="184">
        <v>0</v>
      </c>
      <c r="L597" s="191">
        <f t="shared" si="34"/>
        <v>23377.89</v>
      </c>
      <c r="M597" s="5" t="s">
        <v>2038</v>
      </c>
      <c r="O597" t="str">
        <f t="shared" si="38"/>
        <v>Regelzone TransnetBW (gesamt)</v>
      </c>
    </row>
    <row r="598" spans="1:15" hidden="1" outlineLevel="1">
      <c r="A598" s="132" t="s">
        <v>2041</v>
      </c>
      <c r="B598" s="14" t="s">
        <v>2076</v>
      </c>
      <c r="C598" s="752">
        <v>2024</v>
      </c>
      <c r="D598" s="182">
        <v>0</v>
      </c>
      <c r="E598" s="181">
        <v>0</v>
      </c>
      <c r="F598" s="182">
        <v>215717</v>
      </c>
      <c r="G598" s="181">
        <v>11670.28</v>
      </c>
      <c r="H598" s="182">
        <v>3266245</v>
      </c>
      <c r="I598" s="181">
        <v>197236.57</v>
      </c>
      <c r="J598" s="183">
        <v>0</v>
      </c>
      <c r="K598" s="184">
        <v>0</v>
      </c>
      <c r="L598" s="191">
        <f t="shared" si="34"/>
        <v>208906.85</v>
      </c>
      <c r="M598" s="5" t="s">
        <v>2042</v>
      </c>
      <c r="O598" t="str">
        <f t="shared" si="38"/>
        <v>Regelzone TransnetBW (gesamt)</v>
      </c>
    </row>
    <row r="599" spans="1:15" ht="13.5" hidden="1" outlineLevel="1" thickBot="1">
      <c r="A599" s="461"/>
      <c r="B599" s="173"/>
      <c r="C599" s="462"/>
      <c r="D599" s="182"/>
      <c r="E599" s="181"/>
      <c r="F599" s="182"/>
      <c r="G599" s="181"/>
      <c r="H599" s="182"/>
      <c r="I599" s="181"/>
      <c r="J599" s="183"/>
      <c r="K599" s="184"/>
      <c r="L599" s="191">
        <f t="shared" si="34"/>
        <v>0</v>
      </c>
      <c r="M599" s="5"/>
      <c r="O599" t="str">
        <f t="shared" si="38"/>
        <v>Regelzone TransnetBW (gesamt)</v>
      </c>
    </row>
    <row r="600" spans="1:15" ht="13.5" collapsed="1" thickBot="1">
      <c r="A600" s="458" t="s">
        <v>2047</v>
      </c>
      <c r="B600" s="459"/>
      <c r="C600" s="460"/>
      <c r="D600" s="241">
        <f t="shared" ref="D600:L600" si="39">D11+D104+D296+D474</f>
        <v>912616.23399999994</v>
      </c>
      <c r="E600" s="229">
        <f t="shared" si="39"/>
        <v>52722.64</v>
      </c>
      <c r="F600" s="241">
        <f t="shared" si="39"/>
        <v>170492956.359</v>
      </c>
      <c r="G600" s="229">
        <f t="shared" si="39"/>
        <v>7541089.0099999988</v>
      </c>
      <c r="H600" s="241">
        <f t="shared" si="39"/>
        <v>1554529359.418</v>
      </c>
      <c r="I600" s="229">
        <f t="shared" si="39"/>
        <v>81251462.150000006</v>
      </c>
      <c r="J600" s="456">
        <f t="shared" si="39"/>
        <v>2629415.5299999979</v>
      </c>
      <c r="K600" s="456">
        <f t="shared" si="39"/>
        <v>0</v>
      </c>
      <c r="L600" s="456">
        <f t="shared" si="39"/>
        <v>91474689.329999998</v>
      </c>
    </row>
    <row r="601" spans="1:15">
      <c r="A601" s="9"/>
      <c r="B601" s="2"/>
      <c r="C601" s="2"/>
      <c r="D601" s="253"/>
      <c r="E601" s="253"/>
      <c r="F601" s="253"/>
      <c r="G601" s="253"/>
      <c r="H601" s="253"/>
      <c r="I601" s="253"/>
      <c r="J601" s="253"/>
      <c r="K601" s="253"/>
      <c r="L601" s="253"/>
    </row>
    <row r="602" spans="1:15">
      <c r="A602" s="9"/>
      <c r="B602" s="2"/>
      <c r="C602" s="2"/>
      <c r="D602" s="176"/>
      <c r="E602" s="176"/>
      <c r="F602" s="176"/>
      <c r="G602" s="176"/>
      <c r="H602" s="176"/>
      <c r="I602" s="176"/>
      <c r="J602" s="176"/>
      <c r="K602" s="176"/>
      <c r="L602" s="176"/>
    </row>
    <row r="603" spans="1:15" hidden="1">
      <c r="A603" s="9"/>
      <c r="B603" s="2"/>
      <c r="C603" s="2"/>
      <c r="D603" s="253"/>
      <c r="E603" s="253"/>
      <c r="F603" s="253"/>
      <c r="G603" s="253"/>
      <c r="H603" s="253"/>
      <c r="I603" s="253"/>
      <c r="J603" s="253"/>
      <c r="K603" s="253"/>
      <c r="L603" s="253"/>
    </row>
    <row r="604" spans="1:15" hidden="1">
      <c r="A604" s="9"/>
      <c r="B604" s="2"/>
      <c r="C604" s="2"/>
      <c r="D604" s="176"/>
      <c r="E604" s="176"/>
      <c r="F604" s="176"/>
      <c r="G604" s="176"/>
      <c r="H604" s="176"/>
      <c r="I604" s="176"/>
      <c r="J604" s="176"/>
      <c r="K604" s="176"/>
      <c r="L604" s="176"/>
    </row>
    <row r="605" spans="1:15" hidden="1">
      <c r="A605" s="9"/>
      <c r="B605" s="2"/>
      <c r="C605" s="2"/>
      <c r="D605" s="176"/>
      <c r="E605" s="176"/>
      <c r="F605" s="176"/>
      <c r="G605" s="176"/>
      <c r="H605" s="176"/>
      <c r="I605" s="176"/>
      <c r="J605" s="176"/>
      <c r="K605" s="176"/>
      <c r="L605" s="176"/>
    </row>
    <row r="606" spans="1:15" hidden="1">
      <c r="A606" s="9"/>
      <c r="B606" s="2"/>
      <c r="C606" s="2"/>
      <c r="D606" s="176"/>
      <c r="E606" s="176"/>
      <c r="F606" s="176"/>
      <c r="G606" s="176"/>
      <c r="H606" s="176"/>
      <c r="I606" s="176"/>
      <c r="J606" s="176"/>
      <c r="K606" s="176"/>
      <c r="L606" s="176"/>
    </row>
    <row r="607" spans="1:15" hidden="1">
      <c r="A607" s="9"/>
      <c r="B607" s="2"/>
      <c r="C607" s="2"/>
      <c r="D607" s="253"/>
      <c r="E607" s="253"/>
      <c r="F607" s="253"/>
      <c r="G607" s="253"/>
      <c r="H607" s="253"/>
      <c r="I607" s="253"/>
      <c r="J607" s="253"/>
      <c r="K607" s="253"/>
      <c r="L607" s="176"/>
    </row>
    <row r="608" spans="1:15" hidden="1">
      <c r="A608" s="9"/>
      <c r="B608" s="2"/>
      <c r="C608" s="2"/>
      <c r="D608" s="253"/>
      <c r="E608" s="253"/>
      <c r="F608" s="253"/>
      <c r="G608" s="253"/>
      <c r="H608" s="253"/>
      <c r="I608" s="253"/>
      <c r="J608" s="253"/>
      <c r="K608" s="253"/>
      <c r="L608" s="253"/>
    </row>
    <row r="609" spans="1:15" hidden="1">
      <c r="A609" s="9"/>
      <c r="B609" s="2"/>
      <c r="C609" s="2"/>
      <c r="D609" s="253"/>
      <c r="E609" s="253"/>
      <c r="F609" s="253"/>
      <c r="G609" s="253"/>
      <c r="H609" s="253"/>
      <c r="I609" s="253"/>
      <c r="J609" s="253"/>
      <c r="K609" s="253"/>
      <c r="L609" s="253"/>
    </row>
    <row r="610" spans="1:15" hidden="1">
      <c r="A610" s="9"/>
      <c r="B610" s="2"/>
      <c r="C610" s="2"/>
      <c r="D610" s="176"/>
      <c r="E610" s="176"/>
      <c r="F610" s="176"/>
      <c r="G610" s="176"/>
      <c r="H610" s="176"/>
      <c r="I610" s="176"/>
      <c r="J610" s="176"/>
      <c r="K610" s="176"/>
      <c r="L610" s="176"/>
    </row>
    <row r="611" spans="1:15" hidden="1">
      <c r="A611" s="9"/>
      <c r="B611" s="2"/>
      <c r="C611" s="2"/>
      <c r="D611" s="253"/>
      <c r="E611" s="253"/>
      <c r="F611" s="253"/>
      <c r="G611" s="253"/>
      <c r="H611" s="253"/>
      <c r="I611" s="253"/>
      <c r="J611" s="253"/>
      <c r="K611" s="253"/>
      <c r="L611" s="253"/>
    </row>
    <row r="612" spans="1:15" hidden="1">
      <c r="A612" s="9"/>
      <c r="B612" s="2"/>
      <c r="C612" s="2"/>
      <c r="D612" s="176"/>
      <c r="E612" s="176"/>
      <c r="F612" s="176"/>
      <c r="G612" s="176"/>
      <c r="H612" s="176"/>
      <c r="I612" s="176"/>
      <c r="J612" s="176"/>
      <c r="K612" s="176"/>
      <c r="L612" s="176"/>
    </row>
    <row r="613" spans="1:15" hidden="1">
      <c r="A613" s="9"/>
      <c r="B613" s="2"/>
      <c r="C613" s="2"/>
      <c r="D613" s="176"/>
      <c r="E613" s="176"/>
      <c r="F613" s="176"/>
      <c r="G613" s="176"/>
      <c r="H613" s="176"/>
      <c r="I613" s="176"/>
      <c r="J613" s="176"/>
      <c r="K613" s="176"/>
      <c r="L613" s="176"/>
    </row>
    <row r="614" spans="1:15" hidden="1">
      <c r="A614" s="9"/>
      <c r="B614" s="2"/>
      <c r="C614" s="2"/>
      <c r="D614" s="253"/>
      <c r="E614" s="253"/>
      <c r="F614" s="253"/>
      <c r="G614" s="253"/>
      <c r="H614" s="253"/>
      <c r="I614" s="253"/>
      <c r="J614" s="253"/>
      <c r="K614" s="253"/>
      <c r="L614" s="253"/>
    </row>
    <row r="615" spans="1:15" hidden="1">
      <c r="A615" s="9"/>
      <c r="B615" s="2"/>
      <c r="C615" s="2"/>
      <c r="D615" s="176"/>
      <c r="E615" s="176"/>
      <c r="F615" s="176"/>
      <c r="G615" s="176"/>
      <c r="H615" s="176"/>
      <c r="I615" s="176"/>
      <c r="J615" s="176"/>
      <c r="K615" s="176"/>
      <c r="L615" s="176"/>
    </row>
    <row r="616" spans="1:15">
      <c r="A616" s="9"/>
      <c r="B616" s="2"/>
      <c r="C616" s="2"/>
      <c r="D616" s="176"/>
      <c r="E616" s="176"/>
      <c r="F616" s="176"/>
      <c r="G616" s="176"/>
      <c r="H616" s="176"/>
      <c r="I616" s="176"/>
      <c r="J616" s="176"/>
      <c r="K616" s="176"/>
      <c r="L616" s="176"/>
    </row>
    <row r="617" spans="1:15">
      <c r="A617" s="1738" t="s">
        <v>2080</v>
      </c>
      <c r="B617" s="2"/>
      <c r="C617" s="2"/>
      <c r="D617" s="176"/>
      <c r="E617" s="176"/>
      <c r="F617" s="176"/>
      <c r="G617" s="176"/>
      <c r="H617" s="176"/>
      <c r="I617" s="176"/>
      <c r="J617" s="176"/>
      <c r="K617" s="176"/>
      <c r="L617" s="176"/>
    </row>
    <row r="618" spans="1:15" ht="13.5" thickBot="1">
      <c r="A618" s="9"/>
      <c r="B618" s="2"/>
      <c r="C618" s="2"/>
      <c r="D618" s="176"/>
      <c r="E618" s="176"/>
      <c r="F618" s="176"/>
      <c r="G618" s="176"/>
      <c r="H618" s="176"/>
      <c r="I618" s="176"/>
      <c r="J618" s="176"/>
      <c r="K618" s="176"/>
      <c r="L618" s="176"/>
    </row>
    <row r="619" spans="1:15" ht="38.25">
      <c r="A619" s="947"/>
      <c r="B619" s="957" t="s">
        <v>2070</v>
      </c>
      <c r="C619" s="958" t="s">
        <v>2071</v>
      </c>
      <c r="D619" s="451" t="s">
        <v>2551</v>
      </c>
      <c r="E619" s="371"/>
      <c r="F619" s="176"/>
      <c r="G619" s="176"/>
      <c r="H619" s="176"/>
      <c r="I619" s="176"/>
      <c r="J619" s="176"/>
      <c r="K619" s="176"/>
      <c r="L619" s="176"/>
    </row>
    <row r="620" spans="1:15" ht="13.5" thickBot="1">
      <c r="A620" s="959"/>
      <c r="B620" s="467"/>
      <c r="C620" s="960"/>
      <c r="D620" s="581" t="s">
        <v>2054</v>
      </c>
    </row>
    <row r="621" spans="1:15" ht="25.5">
      <c r="A621" s="129" t="s">
        <v>455</v>
      </c>
      <c r="B621" s="67"/>
      <c r="C621" s="952"/>
      <c r="D621" s="179">
        <f>SUM(D622:D624)</f>
        <v>2960</v>
      </c>
      <c r="E621" s="372"/>
      <c r="F621" s="176"/>
      <c r="G621" s="176"/>
      <c r="H621" s="176"/>
      <c r="I621" s="176"/>
      <c r="J621" s="176"/>
      <c r="K621" s="176"/>
      <c r="L621" s="176"/>
    </row>
    <row r="622" spans="1:15" ht="25.5" hidden="1" outlineLevel="1">
      <c r="A622" s="130" t="s">
        <v>506</v>
      </c>
      <c r="B622" s="14">
        <v>7</v>
      </c>
      <c r="C622" s="131">
        <v>2023</v>
      </c>
      <c r="D622" s="183">
        <v>-240</v>
      </c>
      <c r="E622" s="372" t="s">
        <v>507</v>
      </c>
      <c r="F622" s="176"/>
      <c r="G622" s="176"/>
      <c r="H622" s="176"/>
      <c r="I622" s="176"/>
      <c r="J622" s="176"/>
      <c r="K622" s="176"/>
      <c r="L622" s="176"/>
      <c r="O622" t="str">
        <f>$A$621</f>
        <v>Regelzone 50Hertz (gesamt)</v>
      </c>
    </row>
    <row r="623" spans="1:15" ht="25.5" hidden="1" outlineLevel="1">
      <c r="A623" s="130" t="s">
        <v>682</v>
      </c>
      <c r="B623" s="14">
        <v>7</v>
      </c>
      <c r="C623" s="131">
        <v>2023</v>
      </c>
      <c r="D623" s="183">
        <v>-10000</v>
      </c>
      <c r="E623" s="372" t="s">
        <v>683</v>
      </c>
      <c r="F623" s="176"/>
      <c r="G623" s="176"/>
      <c r="H623" s="176"/>
      <c r="I623" s="176"/>
      <c r="J623" s="176"/>
      <c r="K623" s="176"/>
      <c r="L623" s="176"/>
      <c r="O623" t="str">
        <f t="shared" ref="O623:O624" si="40">$A$621</f>
        <v>Regelzone 50Hertz (gesamt)</v>
      </c>
    </row>
    <row r="624" spans="1:15" ht="25.5" hidden="1" outlineLevel="1">
      <c r="A624" s="130" t="s">
        <v>728</v>
      </c>
      <c r="B624" s="14">
        <v>7</v>
      </c>
      <c r="C624" s="131">
        <v>2023</v>
      </c>
      <c r="D624" s="183">
        <v>13200</v>
      </c>
      <c r="E624" s="372" t="s">
        <v>729</v>
      </c>
      <c r="F624" s="176"/>
      <c r="G624" s="176"/>
      <c r="H624" s="176"/>
      <c r="I624" s="176"/>
      <c r="J624" s="176"/>
      <c r="K624" s="176"/>
      <c r="L624" s="176"/>
      <c r="O624" t="str">
        <f t="shared" si="40"/>
        <v>Regelzone 50Hertz (gesamt)</v>
      </c>
    </row>
    <row r="625" spans="1:15" ht="25.5" collapsed="1">
      <c r="A625" s="129" t="s">
        <v>774</v>
      </c>
      <c r="B625" s="67"/>
      <c r="C625" s="952"/>
      <c r="D625" s="179">
        <f>SUM(D626:D629)</f>
        <v>-16227.5</v>
      </c>
      <c r="E625" s="372"/>
    </row>
    <row r="626" spans="1:15" hidden="1" outlineLevel="1">
      <c r="A626" s="129" t="s">
        <v>819</v>
      </c>
      <c r="B626" s="69">
        <v>7</v>
      </c>
      <c r="C626" s="953">
        <v>2023</v>
      </c>
      <c r="D626" s="188">
        <v>-3360</v>
      </c>
      <c r="E626" s="372" t="s">
        <v>820</v>
      </c>
      <c r="O626" t="str">
        <f>$A$625</f>
        <v>Regelzone Amprion (gesamt)</v>
      </c>
    </row>
    <row r="627" spans="1:15" hidden="1" outlineLevel="1">
      <c r="A627" s="1600" t="s">
        <v>839</v>
      </c>
      <c r="B627" s="1601">
        <v>1</v>
      </c>
      <c r="C627" s="1602">
        <v>2023</v>
      </c>
      <c r="D627" s="1603">
        <v>-12500</v>
      </c>
      <c r="E627" t="s">
        <v>840</v>
      </c>
      <c r="O627" t="str">
        <f t="shared" ref="O627:O629" si="41">$A$625</f>
        <v>Regelzone Amprion (gesamt)</v>
      </c>
    </row>
    <row r="628" spans="1:15" hidden="1" outlineLevel="1">
      <c r="A628" t="s">
        <v>839</v>
      </c>
      <c r="B628" s="1601">
        <v>7</v>
      </c>
      <c r="C628" s="1602">
        <v>2023</v>
      </c>
      <c r="D628" s="1603">
        <v>-9932.5</v>
      </c>
      <c r="E628" t="s">
        <v>840</v>
      </c>
      <c r="O628" t="str">
        <f>$A$625</f>
        <v>Regelzone Amprion (gesamt)</v>
      </c>
    </row>
    <row r="629" spans="1:15" ht="25.5" hidden="1" outlineLevel="1">
      <c r="A629" s="129" t="s">
        <v>839</v>
      </c>
      <c r="B629" s="69">
        <v>7</v>
      </c>
      <c r="C629" s="953">
        <v>2024</v>
      </c>
      <c r="D629" s="188">
        <v>9565</v>
      </c>
      <c r="E629" s="372" t="s">
        <v>840</v>
      </c>
      <c r="O629" t="str">
        <f t="shared" si="41"/>
        <v>Regelzone Amprion (gesamt)</v>
      </c>
    </row>
    <row r="630" spans="1:15" ht="25.5" collapsed="1">
      <c r="A630" s="129" t="s">
        <v>1220</v>
      </c>
      <c r="B630" s="67"/>
      <c r="C630" s="952"/>
      <c r="D630" s="190">
        <f>SUM(D631:D638)</f>
        <v>-107458.72</v>
      </c>
      <c r="E630" s="372"/>
    </row>
    <row r="631" spans="1:15" ht="38.25" hidden="1" outlineLevel="1">
      <c r="A631" s="671" t="s">
        <v>1588</v>
      </c>
      <c r="B631" s="672">
        <v>7</v>
      </c>
      <c r="C631" s="674">
        <v>2024</v>
      </c>
      <c r="D631" s="1599">
        <v>-2.72</v>
      </c>
      <c r="E631" s="678" t="s">
        <v>1589</v>
      </c>
      <c r="O631" t="str">
        <f>$A$630</f>
        <v>Regelzone TenneT (gesamt)</v>
      </c>
    </row>
    <row r="632" spans="1:15" ht="25.5" hidden="1" outlineLevel="1">
      <c r="A632" s="671" t="s">
        <v>1681</v>
      </c>
      <c r="B632" s="672">
        <v>7</v>
      </c>
      <c r="C632" s="674">
        <v>2023</v>
      </c>
      <c r="D632" s="1599">
        <v>-2400</v>
      </c>
      <c r="E632" s="678" t="s">
        <v>1682</v>
      </c>
      <c r="O632" t="str">
        <f t="shared" ref="O632" si="42">$A$630</f>
        <v>Regelzone TenneT (gesamt)</v>
      </c>
    </row>
    <row r="633" spans="1:15" ht="25.5" hidden="1" outlineLevel="1">
      <c r="A633" s="671" t="s">
        <v>1681</v>
      </c>
      <c r="B633" s="672">
        <v>7</v>
      </c>
      <c r="C633" s="674">
        <v>2024</v>
      </c>
      <c r="D633" s="1599">
        <v>-200</v>
      </c>
      <c r="E633" s="678" t="s">
        <v>1682</v>
      </c>
      <c r="O633" t="str">
        <f t="shared" ref="O633:O638" si="43">$A$630</f>
        <v>Regelzone TenneT (gesamt)</v>
      </c>
    </row>
    <row r="634" spans="1:15" ht="38.25" hidden="1" outlineLevel="1">
      <c r="A634" s="671" t="s">
        <v>1558</v>
      </c>
      <c r="B634" s="672">
        <v>7</v>
      </c>
      <c r="C634" s="674">
        <v>2024</v>
      </c>
      <c r="D634" s="1599">
        <v>-280</v>
      </c>
      <c r="E634" s="678" t="s">
        <v>1559</v>
      </c>
      <c r="O634" t="str">
        <f t="shared" si="43"/>
        <v>Regelzone TenneT (gesamt)</v>
      </c>
    </row>
    <row r="635" spans="1:15" ht="25.5" hidden="1" outlineLevel="1">
      <c r="A635" s="671" t="s">
        <v>1516</v>
      </c>
      <c r="B635" s="672">
        <v>7</v>
      </c>
      <c r="C635" s="674">
        <v>2023</v>
      </c>
      <c r="D635" s="1599">
        <v>-2000</v>
      </c>
      <c r="E635" s="678" t="s">
        <v>1517</v>
      </c>
      <c r="O635" t="str">
        <f t="shared" si="43"/>
        <v>Regelzone TenneT (gesamt)</v>
      </c>
    </row>
    <row r="636" spans="1:15" ht="25.5" hidden="1" outlineLevel="1">
      <c r="A636" s="671" t="s">
        <v>1516</v>
      </c>
      <c r="B636" s="672">
        <v>7</v>
      </c>
      <c r="C636" s="674">
        <v>2024</v>
      </c>
      <c r="D636" s="1599">
        <v>-99978</v>
      </c>
      <c r="E636" s="678" t="s">
        <v>1517</v>
      </c>
      <c r="O636" t="str">
        <f t="shared" si="43"/>
        <v>Regelzone TenneT (gesamt)</v>
      </c>
    </row>
    <row r="637" spans="1:15" ht="38.25" hidden="1" outlineLevel="1">
      <c r="A637" s="671" t="s">
        <v>879</v>
      </c>
      <c r="B637" s="672">
        <v>7</v>
      </c>
      <c r="C637" s="674">
        <v>2023</v>
      </c>
      <c r="D637" s="1599">
        <v>-1944</v>
      </c>
      <c r="E637" s="678" t="s">
        <v>880</v>
      </c>
      <c r="O637" t="str">
        <f t="shared" si="43"/>
        <v>Regelzone TenneT (gesamt)</v>
      </c>
    </row>
    <row r="638" spans="1:15" ht="38.25" hidden="1" outlineLevel="1">
      <c r="A638" s="671" t="s">
        <v>879</v>
      </c>
      <c r="B638" s="672">
        <v>7</v>
      </c>
      <c r="C638" s="674">
        <v>2024</v>
      </c>
      <c r="D638" s="1599">
        <v>-654</v>
      </c>
      <c r="E638" s="678" t="s">
        <v>880</v>
      </c>
      <c r="O638" t="str">
        <f t="shared" si="43"/>
        <v>Regelzone TenneT (gesamt)</v>
      </c>
    </row>
    <row r="639" spans="1:15" ht="39" collapsed="1" thickBot="1">
      <c r="A639" s="954" t="s">
        <v>1828</v>
      </c>
      <c r="B639" s="955"/>
      <c r="C639" s="956"/>
      <c r="D639" s="466">
        <f>SUM(D640:D647)</f>
        <v>-17341.72</v>
      </c>
      <c r="E639" s="745"/>
    </row>
    <row r="640" spans="1:15" ht="71.25" hidden="1" outlineLevel="1">
      <c r="A640" s="129" t="s">
        <v>1863</v>
      </c>
      <c r="B640" s="14" t="s">
        <v>2076</v>
      </c>
      <c r="C640" s="131">
        <v>2023</v>
      </c>
      <c r="D640" s="183">
        <v>-1680</v>
      </c>
      <c r="E640" s="1559" t="s">
        <v>1864</v>
      </c>
      <c r="O640" t="str">
        <f t="shared" ref="O640:O645" si="44">$A$474</f>
        <v>Regelzone TransnetBW (gesamt)</v>
      </c>
    </row>
    <row r="641" spans="1:15" ht="71.25" hidden="1" outlineLevel="1">
      <c r="A641" s="129" t="s">
        <v>1863</v>
      </c>
      <c r="B641" s="14" t="s">
        <v>2076</v>
      </c>
      <c r="C641" s="131">
        <v>2024</v>
      </c>
      <c r="D641" s="183">
        <v>-1680</v>
      </c>
      <c r="E641" s="1559" t="s">
        <v>1864</v>
      </c>
      <c r="O641" t="str">
        <f t="shared" si="44"/>
        <v>Regelzone TransnetBW (gesamt)</v>
      </c>
    </row>
    <row r="642" spans="1:15" ht="28.5" hidden="1" outlineLevel="1">
      <c r="A642" s="129" t="s">
        <v>977</v>
      </c>
      <c r="B642" s="14" t="s">
        <v>2076</v>
      </c>
      <c r="C642" s="131">
        <v>2023</v>
      </c>
      <c r="D642" s="183">
        <v>-7468</v>
      </c>
      <c r="E642" s="1559" t="s">
        <v>978</v>
      </c>
      <c r="O642" t="str">
        <f t="shared" si="44"/>
        <v>Regelzone TransnetBW (gesamt)</v>
      </c>
    </row>
    <row r="643" spans="1:15" ht="28.5" hidden="1" outlineLevel="1">
      <c r="A643" s="129" t="s">
        <v>977</v>
      </c>
      <c r="B643" s="14" t="s">
        <v>2076</v>
      </c>
      <c r="C643" s="131">
        <v>2024</v>
      </c>
      <c r="D643" s="183">
        <v>-4085.72</v>
      </c>
      <c r="E643" s="1559" t="s">
        <v>978</v>
      </c>
      <c r="O643" t="str">
        <f t="shared" si="44"/>
        <v>Regelzone TransnetBW (gesamt)</v>
      </c>
    </row>
    <row r="644" spans="1:15" ht="28.5" hidden="1" outlineLevel="1">
      <c r="A644" s="129" t="s">
        <v>2027</v>
      </c>
      <c r="B644" s="14" t="s">
        <v>2076</v>
      </c>
      <c r="C644" s="131">
        <v>2023</v>
      </c>
      <c r="D644" s="183">
        <v>-672</v>
      </c>
      <c r="E644" s="1559" t="s">
        <v>2028</v>
      </c>
      <c r="O644" t="str">
        <f t="shared" si="44"/>
        <v>Regelzone TransnetBW (gesamt)</v>
      </c>
    </row>
    <row r="645" spans="1:15" ht="28.5" hidden="1" outlineLevel="1">
      <c r="A645" s="129" t="s">
        <v>2027</v>
      </c>
      <c r="B645" s="14" t="s">
        <v>2076</v>
      </c>
      <c r="C645" s="131">
        <v>2024</v>
      </c>
      <c r="D645" s="183">
        <v>-1756</v>
      </c>
      <c r="E645" s="1559" t="s">
        <v>2028</v>
      </c>
      <c r="O645" t="str">
        <f t="shared" si="44"/>
        <v>Regelzone TransnetBW (gesamt)</v>
      </c>
    </row>
    <row r="646" spans="1:15" hidden="1" outlineLevel="1">
      <c r="A646" s="129"/>
      <c r="B646" s="14"/>
      <c r="C646" s="131"/>
      <c r="D646" s="183"/>
      <c r="E646" s="372"/>
    </row>
    <row r="647" spans="1:15" ht="13.5" hidden="1" outlineLevel="1" thickBot="1">
      <c r="A647" s="129"/>
      <c r="B647" s="14"/>
      <c r="C647" s="131"/>
      <c r="D647" s="183"/>
      <c r="E647" s="372"/>
    </row>
    <row r="648" spans="1:15" ht="13.5" collapsed="1" thickBot="1">
      <c r="A648" s="463" t="s">
        <v>2047</v>
      </c>
      <c r="B648" s="464"/>
      <c r="C648" s="465"/>
      <c r="D648" s="456">
        <f>D621+D625+D630+D639</f>
        <v>-138067.94</v>
      </c>
      <c r="E648" s="313"/>
    </row>
    <row r="651" spans="1:15">
      <c r="A651" s="373" t="s">
        <v>2081</v>
      </c>
      <c r="B651" s="373"/>
      <c r="C651" s="373"/>
      <c r="D651" s="37"/>
      <c r="E651" s="37"/>
      <c r="F651" s="37"/>
      <c r="G651" s="37"/>
      <c r="H651" s="37"/>
      <c r="I651" s="37"/>
    </row>
    <row r="652" spans="1:15">
      <c r="A652" s="373" t="s">
        <v>2082</v>
      </c>
      <c r="B652" s="373"/>
      <c r="C652" s="373"/>
      <c r="D652" s="37"/>
      <c r="E652" s="37"/>
      <c r="F652" s="37"/>
      <c r="G652" s="37"/>
      <c r="H652" s="37"/>
      <c r="I652" s="37"/>
    </row>
    <row r="653" spans="1:15">
      <c r="A653" s="373" t="s">
        <v>2083</v>
      </c>
      <c r="B653" s="373"/>
      <c r="C653" s="373"/>
      <c r="D653" s="37"/>
      <c r="E653" s="37"/>
      <c r="F653" s="37"/>
      <c r="G653" s="37"/>
      <c r="H653" s="37"/>
      <c r="I653" s="37"/>
    </row>
    <row r="654" spans="1:15">
      <c r="A654" s="373" t="s">
        <v>2084</v>
      </c>
      <c r="B654" s="373"/>
      <c r="C654" s="373"/>
      <c r="D654" s="37"/>
      <c r="E654" s="37"/>
      <c r="F654" s="37"/>
      <c r="G654" s="37"/>
      <c r="H654" s="37"/>
      <c r="I654" s="37"/>
    </row>
    <row r="655" spans="1:15">
      <c r="A655" s="373" t="s">
        <v>2085</v>
      </c>
      <c r="B655" s="373"/>
      <c r="C655" s="373"/>
      <c r="D655" s="37"/>
      <c r="E655" s="37"/>
      <c r="F655" s="37"/>
      <c r="G655" s="37"/>
      <c r="H655" s="37"/>
      <c r="I655" s="37"/>
    </row>
    <row r="656" spans="1:15">
      <c r="A656" s="373" t="s">
        <v>2086</v>
      </c>
      <c r="B656" s="373"/>
      <c r="C656" s="373"/>
      <c r="D656" s="37"/>
      <c r="E656" s="37"/>
      <c r="F656" s="37"/>
      <c r="G656" s="37"/>
      <c r="H656" s="37"/>
      <c r="I656" s="37"/>
    </row>
    <row r="657" spans="1:9">
      <c r="A657" s="373" t="s">
        <v>2087</v>
      </c>
      <c r="B657" s="373"/>
      <c r="C657" s="373"/>
      <c r="D657" s="37"/>
      <c r="E657" s="37"/>
      <c r="F657" s="37"/>
      <c r="G657" s="37"/>
      <c r="H657" s="37"/>
      <c r="I657" s="37"/>
    </row>
    <row r="658" spans="1:9">
      <c r="A658" s="373" t="s">
        <v>2088</v>
      </c>
      <c r="B658" s="373"/>
      <c r="C658" s="373"/>
      <c r="D658" s="37"/>
      <c r="E658" s="37"/>
      <c r="F658" s="37"/>
      <c r="G658" s="37"/>
      <c r="H658" s="37"/>
      <c r="I658" s="37"/>
    </row>
  </sheetData>
  <sortState xmlns:xlrd2="http://schemas.microsoft.com/office/spreadsheetml/2017/richdata2" ref="A475:L599">
    <sortCondition descending="1" ref="A475:A599"/>
  </sortState>
  <mergeCells count="7">
    <mergeCell ref="A3:L3"/>
    <mergeCell ref="D8:E8"/>
    <mergeCell ref="F8:G8"/>
    <mergeCell ref="H8:I8"/>
    <mergeCell ref="L8:L9"/>
    <mergeCell ref="J8:J9"/>
    <mergeCell ref="K8:K9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scale="71" orientation="landscape" r:id="rId1"/>
  <headerFooter differentOddEven="1" scaleWithDoc="0">
    <oddHeader>&amp;L&amp;G</oddHeader>
    <oddFooter>&amp;R&amp;UAnlage 1c
&amp;USeite &amp;P</oddFooter>
    <evenHeader>&amp;L&amp;G&amp;C&amp;"Calibri"&amp;10&amp;K000000 Intern (Internal)&amp;1#_x000D_</evenHeader>
    <evenFooter>&amp;R&amp;UAnlage 1c&amp;U
Seite &amp;P</evenFooter>
  </headerFooter>
  <rowBreaks count="1" manualBreakCount="1">
    <brk id="614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1B47-3F5F-40A8-B731-04A6E3C5056F}">
  <sheetPr codeName="Tabelle9"/>
  <dimension ref="A1:I14"/>
  <sheetViews>
    <sheetView view="pageLayout" zoomScaleNormal="100" workbookViewId="0">
      <selection activeCell="E928" sqref="E928"/>
    </sheetView>
  </sheetViews>
  <sheetFormatPr baseColWidth="10" defaultColWidth="8.140625" defaultRowHeight="12.75"/>
  <cols>
    <col min="1" max="1" width="30" customWidth="1"/>
    <col min="2" max="4" width="35.85546875" customWidth="1"/>
    <col min="7" max="7" width="12" customWidth="1"/>
    <col min="9" max="9" width="10.42578125" bestFit="1" customWidth="1"/>
  </cols>
  <sheetData>
    <row r="1" spans="1:9">
      <c r="A1" s="1733" t="s">
        <v>2089</v>
      </c>
      <c r="D1" s="29"/>
      <c r="G1" s="29"/>
      <c r="I1" s="21"/>
    </row>
    <row r="3" spans="1:9">
      <c r="A3" s="13" t="str">
        <f>"Kalenderjahr "&amp;Hinweise!B3&amp;""</f>
        <v>Kalenderjahr 2025</v>
      </c>
      <c r="D3" s="29">
        <f>'Anlage 1a_Zuschlagszahlungen_NB'!E1</f>
        <v>46280</v>
      </c>
    </row>
    <row r="4" spans="1:9">
      <c r="A4" s="45"/>
    </row>
    <row r="5" spans="1:9" ht="13.5" thickBot="1">
      <c r="A5" s="45"/>
    </row>
    <row r="6" spans="1:9">
      <c r="A6" s="490"/>
      <c r="B6" s="248" t="s">
        <v>2090</v>
      </c>
      <c r="C6" s="245"/>
      <c r="D6" s="245"/>
    </row>
    <row r="7" spans="1:9" s="8" customFormat="1" ht="13.5" thickBot="1">
      <c r="A7" s="550"/>
      <c r="B7" s="579" t="s">
        <v>2054</v>
      </c>
      <c r="C7" s="23"/>
      <c r="D7" s="23"/>
      <c r="E7" s="23"/>
      <c r="F7" s="23"/>
      <c r="G7" s="24"/>
    </row>
    <row r="8" spans="1:9">
      <c r="A8" s="939" t="s">
        <v>455</v>
      </c>
      <c r="B8" s="303">
        <v>-643781</v>
      </c>
      <c r="C8" s="246"/>
      <c r="D8" s="246"/>
      <c r="E8" s="24"/>
      <c r="F8" s="24"/>
      <c r="G8" s="24"/>
      <c r="H8" s="24"/>
      <c r="I8" s="24"/>
    </row>
    <row r="9" spans="1:9">
      <c r="A9" s="933" t="s">
        <v>774</v>
      </c>
      <c r="B9" s="453">
        <v>0</v>
      </c>
      <c r="C9" s="246"/>
      <c r="D9" s="246"/>
      <c r="E9" s="24"/>
      <c r="F9" s="24"/>
      <c r="G9" s="24"/>
      <c r="H9" s="24"/>
      <c r="I9" s="24"/>
    </row>
    <row r="10" spans="1:9">
      <c r="A10" s="932" t="s">
        <v>1220</v>
      </c>
      <c r="B10" s="454">
        <v>0</v>
      </c>
      <c r="C10" s="452"/>
      <c r="D10" s="246"/>
      <c r="E10" s="24"/>
      <c r="F10" s="24"/>
      <c r="G10" s="24"/>
      <c r="H10" s="24"/>
      <c r="I10" s="24"/>
    </row>
    <row r="11" spans="1:9">
      <c r="A11" s="933" t="s">
        <v>1828</v>
      </c>
      <c r="B11" s="455">
        <v>-137336</v>
      </c>
      <c r="C11" s="70"/>
      <c r="D11" s="246"/>
      <c r="E11" s="24"/>
      <c r="F11" s="24"/>
      <c r="G11" s="24"/>
      <c r="H11" s="24"/>
      <c r="I11" s="24"/>
    </row>
    <row r="12" spans="1:9" ht="13.5" thickBot="1">
      <c r="A12" s="935" t="s">
        <v>2047</v>
      </c>
      <c r="B12" s="155">
        <f>B8+B9+B10+B11</f>
        <v>-781117</v>
      </c>
      <c r="C12" s="10"/>
      <c r="D12" s="10"/>
      <c r="E12" s="24"/>
      <c r="F12" s="24"/>
      <c r="G12" s="24"/>
      <c r="H12" s="24"/>
      <c r="I12" s="24"/>
    </row>
    <row r="13" spans="1:9">
      <c r="A13" s="22"/>
      <c r="B13" s="23"/>
      <c r="E13" s="23"/>
      <c r="F13" s="23"/>
      <c r="G13" s="24"/>
      <c r="H13" s="23"/>
      <c r="I13" s="24"/>
    </row>
    <row r="14" spans="1:9">
      <c r="A14" s="22"/>
      <c r="B14" s="23"/>
      <c r="C14" s="23"/>
      <c r="D14" s="23"/>
      <c r="E14" s="23"/>
      <c r="F14" s="23"/>
      <c r="G14" s="24"/>
    </row>
  </sheetData>
  <pageMargins left="0.98425196850393704" right="0.78740157480314965" top="1.1023622047244095" bottom="0.74803149606299213" header="0.31496062992125984" footer="0.31496062992125984"/>
  <pageSetup paperSize="9" scale="91" orientation="landscape" r:id="rId1"/>
  <headerFooter scaleWithDoc="0">
    <oddHeader>&amp;L&amp;G</oddHeader>
    <oddFooter>&amp;R&amp;UAnlage 1d&amp;U
Seite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0E6C-335F-45EF-A8FA-9D85496290BF}">
  <sheetPr codeName="Tabelle10">
    <pageSetUpPr fitToPage="1"/>
  </sheetPr>
  <dimension ref="A1:I60"/>
  <sheetViews>
    <sheetView view="pageLayout" zoomScaleNormal="90" workbookViewId="0">
      <selection activeCell="C15" sqref="C15"/>
    </sheetView>
  </sheetViews>
  <sheetFormatPr baseColWidth="10" defaultColWidth="8.140625" defaultRowHeight="12.75"/>
  <cols>
    <col min="1" max="1" width="30" customWidth="1"/>
    <col min="2" max="4" width="35.85546875" customWidth="1"/>
    <col min="7" max="7" width="12" customWidth="1"/>
    <col min="9" max="9" width="10.42578125" bestFit="1" customWidth="1"/>
  </cols>
  <sheetData>
    <row r="1" spans="1:9">
      <c r="A1" s="13" t="s">
        <v>2091</v>
      </c>
      <c r="D1" s="29"/>
      <c r="G1" s="29"/>
      <c r="I1" s="21"/>
    </row>
    <row r="3" spans="1:9">
      <c r="A3" s="13" t="str">
        <f>"Kalenderjahr "&amp;Hinweise!B3&amp;""</f>
        <v>Kalenderjahr 2025</v>
      </c>
      <c r="D3" s="29">
        <f>'Anlage 1a_Zuschlagszahlungen_NB'!E1</f>
        <v>46280</v>
      </c>
    </row>
    <row r="4" spans="1:9">
      <c r="A4" s="13"/>
      <c r="D4" s="29"/>
    </row>
    <row r="5" spans="1:9" ht="13.5" thickBot="1">
      <c r="A5" s="45"/>
    </row>
    <row r="6" spans="1:9">
      <c r="A6" s="247"/>
      <c r="B6" s="84" t="s">
        <v>2092</v>
      </c>
      <c r="C6" s="376" t="s">
        <v>2093</v>
      </c>
      <c r="D6" s="248" t="s">
        <v>2047</v>
      </c>
    </row>
    <row r="7" spans="1:9" s="8" customFormat="1" ht="13.5" thickBot="1">
      <c r="A7" s="403"/>
      <c r="B7" s="579" t="s">
        <v>2054</v>
      </c>
      <c r="C7" s="579" t="s">
        <v>2054</v>
      </c>
      <c r="D7" s="579" t="s">
        <v>2054</v>
      </c>
      <c r="E7" s="24"/>
      <c r="F7" s="24"/>
      <c r="G7" s="24"/>
      <c r="H7" s="24"/>
      <c r="I7" s="24"/>
    </row>
    <row r="8" spans="1:9">
      <c r="A8" s="374" t="s">
        <v>455</v>
      </c>
      <c r="B8" s="324">
        <v>38375494</v>
      </c>
      <c r="C8" s="149">
        <v>864864</v>
      </c>
      <c r="D8" s="304">
        <f>SUM(B8:C8)</f>
        <v>39240358</v>
      </c>
      <c r="E8" s="24"/>
      <c r="F8" s="24"/>
      <c r="G8" s="24"/>
      <c r="H8" s="24"/>
      <c r="I8" s="24"/>
    </row>
    <row r="9" spans="1:9">
      <c r="A9" s="249" t="s">
        <v>774</v>
      </c>
      <c r="B9" s="148">
        <v>82690096</v>
      </c>
      <c r="C9" s="149">
        <v>3014963</v>
      </c>
      <c r="D9" s="304">
        <f>SUM(B9:C9)</f>
        <v>85705059</v>
      </c>
      <c r="E9" s="24"/>
      <c r="F9" s="24"/>
      <c r="G9" s="24"/>
      <c r="H9" s="24"/>
      <c r="I9" s="24"/>
    </row>
    <row r="10" spans="1:9">
      <c r="A10" s="374" t="s">
        <v>1220</v>
      </c>
      <c r="B10" s="150">
        <v>81847676</v>
      </c>
      <c r="C10" s="151">
        <v>3843768</v>
      </c>
      <c r="D10" s="304">
        <f t="shared" ref="D10" si="0">SUM(B10:C10)</f>
        <v>85691444</v>
      </c>
      <c r="E10" s="24"/>
      <c r="F10" s="24"/>
      <c r="G10" s="24"/>
      <c r="H10" s="24"/>
      <c r="I10" s="24"/>
    </row>
    <row r="11" spans="1:9" ht="13.5" thickBot="1">
      <c r="A11" s="249" t="s">
        <v>1828</v>
      </c>
      <c r="B11" s="148">
        <v>63929681</v>
      </c>
      <c r="C11" s="148">
        <v>899873</v>
      </c>
      <c r="D11" s="303">
        <f>SUM(B11:C11)</f>
        <v>64829554</v>
      </c>
      <c r="E11" s="24"/>
      <c r="F11" s="24"/>
      <c r="G11" s="24"/>
      <c r="H11" s="24"/>
      <c r="I11" s="24"/>
    </row>
    <row r="12" spans="1:9" ht="13.5" thickBot="1">
      <c r="A12" s="375" t="s">
        <v>2047</v>
      </c>
      <c r="B12" s="318">
        <f>B8+B9+B10+B11</f>
        <v>266842947</v>
      </c>
      <c r="C12" s="319">
        <f>C8+C9+C10+C11</f>
        <v>8623468</v>
      </c>
      <c r="D12" s="320">
        <f>D8+D9+D10+D11</f>
        <v>275466415</v>
      </c>
      <c r="E12" s="23"/>
      <c r="F12" s="23"/>
      <c r="G12" s="24"/>
      <c r="H12" s="23"/>
      <c r="I12" s="24"/>
    </row>
    <row r="13" spans="1:9">
      <c r="A13" s="2"/>
      <c r="B13" s="10"/>
      <c r="C13" s="10"/>
      <c r="D13" s="10"/>
      <c r="E13" s="23"/>
      <c r="F13" s="23"/>
      <c r="G13" s="24"/>
      <c r="H13" s="23"/>
      <c r="I13" s="24"/>
    </row>
    <row r="14" spans="1:9">
      <c r="A14" s="22"/>
      <c r="B14" s="23"/>
      <c r="E14" s="23"/>
      <c r="F14" s="23"/>
      <c r="G14" s="24"/>
    </row>
    <row r="15" spans="1:9">
      <c r="A15" s="13" t="str">
        <f>"Kalenderjahr "&amp;Hinweise!B3-1&amp;""</f>
        <v>Kalenderjahr 2024</v>
      </c>
      <c r="D15" s="29"/>
    </row>
    <row r="16" spans="1:9">
      <c r="A16" s="13"/>
      <c r="D16" s="29"/>
    </row>
    <row r="17" spans="1:4" ht="13.5" thickBot="1">
      <c r="A17" s="45"/>
    </row>
    <row r="18" spans="1:4">
      <c r="A18" s="247"/>
      <c r="B18" s="84" t="s">
        <v>2092</v>
      </c>
      <c r="C18" s="376" t="s">
        <v>2093</v>
      </c>
      <c r="D18" s="248" t="s">
        <v>2047</v>
      </c>
    </row>
    <row r="19" spans="1:4" s="8" customFormat="1" ht="13.5" thickBot="1">
      <c r="A19" s="403"/>
      <c r="B19" s="579" t="s">
        <v>2054</v>
      </c>
      <c r="C19" s="579" t="s">
        <v>2054</v>
      </c>
      <c r="D19" s="579" t="s">
        <v>2054</v>
      </c>
    </row>
    <row r="20" spans="1:4">
      <c r="A20" s="374" t="s">
        <v>455</v>
      </c>
      <c r="B20" s="324">
        <v>0</v>
      </c>
      <c r="C20" s="149">
        <v>0</v>
      </c>
      <c r="D20" s="304">
        <f>SUM(B20:C20)</f>
        <v>0</v>
      </c>
    </row>
    <row r="21" spans="1:4">
      <c r="A21" s="249" t="s">
        <v>774</v>
      </c>
      <c r="B21" s="148">
        <v>100955</v>
      </c>
      <c r="C21" s="149">
        <v>0</v>
      </c>
      <c r="D21" s="304">
        <f t="shared" ref="D21:D23" si="1">SUM(B21:C21)</f>
        <v>100955</v>
      </c>
    </row>
    <row r="22" spans="1:4">
      <c r="A22" s="374" t="s">
        <v>1220</v>
      </c>
      <c r="B22" s="150">
        <v>10084230</v>
      </c>
      <c r="C22" s="151">
        <v>512710</v>
      </c>
      <c r="D22" s="304">
        <f t="shared" si="1"/>
        <v>10596940</v>
      </c>
    </row>
    <row r="23" spans="1:4" ht="13.5" thickBot="1">
      <c r="A23" s="249" t="s">
        <v>1828</v>
      </c>
      <c r="B23" s="148">
        <v>195454</v>
      </c>
      <c r="C23" s="148">
        <v>0</v>
      </c>
      <c r="D23" s="303">
        <f t="shared" si="1"/>
        <v>195454</v>
      </c>
    </row>
    <row r="24" spans="1:4" ht="13.5" thickBot="1">
      <c r="A24" s="375" t="s">
        <v>2047</v>
      </c>
      <c r="B24" s="318">
        <f>B20+B21+B22+B23</f>
        <v>10380639</v>
      </c>
      <c r="C24" s="319">
        <f>C20+C21+C22+C23</f>
        <v>512710</v>
      </c>
      <c r="D24" s="320">
        <f>D20+D21+D22+D23</f>
        <v>10893349</v>
      </c>
    </row>
    <row r="25" spans="1:4">
      <c r="A25" s="2"/>
      <c r="B25" s="10"/>
      <c r="C25" s="10"/>
      <c r="D25" s="10"/>
    </row>
    <row r="26" spans="1:4">
      <c r="A26" s="22"/>
      <c r="B26" s="23"/>
    </row>
    <row r="27" spans="1:4">
      <c r="A27" s="13" t="str">
        <f>"Kalenderjahr "&amp;Hinweise!B3-2&amp;""</f>
        <v>Kalenderjahr 2023</v>
      </c>
      <c r="C27" s="23"/>
      <c r="D27" s="29"/>
    </row>
    <row r="28" spans="1:4">
      <c r="A28" s="13"/>
      <c r="C28" s="23"/>
      <c r="D28" s="29"/>
    </row>
    <row r="29" spans="1:4" ht="13.5" thickBot="1">
      <c r="A29" s="45"/>
    </row>
    <row r="30" spans="1:4">
      <c r="A30" s="247"/>
      <c r="B30" s="84" t="s">
        <v>2092</v>
      </c>
      <c r="C30" s="376" t="s">
        <v>2093</v>
      </c>
      <c r="D30" s="248" t="s">
        <v>2047</v>
      </c>
    </row>
    <row r="31" spans="1:4" s="8" customFormat="1" ht="13.5" thickBot="1">
      <c r="A31" s="403"/>
      <c r="B31" s="579" t="s">
        <v>2054</v>
      </c>
      <c r="C31" s="579" t="s">
        <v>2054</v>
      </c>
      <c r="D31" s="579" t="s">
        <v>2054</v>
      </c>
    </row>
    <row r="32" spans="1:4">
      <c r="A32" s="374" t="s">
        <v>455</v>
      </c>
      <c r="B32" s="324">
        <v>31674</v>
      </c>
      <c r="C32" s="149">
        <v>0</v>
      </c>
      <c r="D32" s="304">
        <f>SUM(B32:C32)</f>
        <v>31674</v>
      </c>
    </row>
    <row r="33" spans="1:4">
      <c r="A33" s="249" t="s">
        <v>774</v>
      </c>
      <c r="B33" s="148">
        <v>-137916</v>
      </c>
      <c r="C33" s="149">
        <v>0</v>
      </c>
      <c r="D33" s="304">
        <f t="shared" ref="D33:D35" si="2">SUM(B33:C33)</f>
        <v>-137916</v>
      </c>
    </row>
    <row r="34" spans="1:4">
      <c r="A34" s="374" t="s">
        <v>1220</v>
      </c>
      <c r="B34" s="150">
        <v>824570</v>
      </c>
      <c r="C34" s="151">
        <v>0</v>
      </c>
      <c r="D34" s="304">
        <f t="shared" si="2"/>
        <v>824570</v>
      </c>
    </row>
    <row r="35" spans="1:4" ht="13.5" thickBot="1">
      <c r="A35" s="249" t="s">
        <v>1828</v>
      </c>
      <c r="B35" s="148">
        <v>-184467</v>
      </c>
      <c r="C35" s="148">
        <v>0</v>
      </c>
      <c r="D35" s="303">
        <f t="shared" si="2"/>
        <v>-184467</v>
      </c>
    </row>
    <row r="36" spans="1:4" ht="13.5" thickBot="1">
      <c r="A36" s="375" t="s">
        <v>2047</v>
      </c>
      <c r="B36" s="318">
        <f>B32+B33+B34+B35</f>
        <v>533861</v>
      </c>
      <c r="C36" s="319">
        <f>C32+C33+C34+C35</f>
        <v>0</v>
      </c>
      <c r="D36" s="320">
        <f>D32+D33+D34+D35</f>
        <v>533861</v>
      </c>
    </row>
    <row r="37" spans="1:4">
      <c r="A37" s="2"/>
      <c r="B37" s="10"/>
      <c r="C37" s="10"/>
      <c r="D37" s="10"/>
    </row>
    <row r="38" spans="1:4">
      <c r="A38" s="2"/>
      <c r="B38" s="10"/>
      <c r="C38" s="10"/>
      <c r="D38" s="10"/>
    </row>
    <row r="39" spans="1:4">
      <c r="A39" s="13" t="str">
        <f>"Kalenderjahr "&amp;Hinweise!B3-3&amp;""</f>
        <v>Kalenderjahr 2022</v>
      </c>
      <c r="D39" s="29"/>
    </row>
    <row r="40" spans="1:4">
      <c r="A40" s="13"/>
      <c r="D40" s="29"/>
    </row>
    <row r="41" spans="1:4" ht="13.5" thickBot="1">
      <c r="A41" s="45"/>
    </row>
    <row r="42" spans="1:4">
      <c r="A42" s="247"/>
      <c r="B42" s="84" t="s">
        <v>2092</v>
      </c>
      <c r="C42" s="376" t="s">
        <v>2093</v>
      </c>
      <c r="D42" s="248" t="s">
        <v>2047</v>
      </c>
    </row>
    <row r="43" spans="1:4" s="8" customFormat="1" ht="13.5" thickBot="1">
      <c r="A43" s="403"/>
      <c r="B43" s="579" t="s">
        <v>2054</v>
      </c>
      <c r="C43" s="579" t="s">
        <v>2054</v>
      </c>
      <c r="D43" s="579" t="s">
        <v>2054</v>
      </c>
    </row>
    <row r="44" spans="1:4">
      <c r="A44" s="374" t="s">
        <v>455</v>
      </c>
      <c r="B44" s="324">
        <v>0</v>
      </c>
      <c r="C44" s="149">
        <v>0</v>
      </c>
      <c r="D44" s="304">
        <f>SUM(B44:C44)</f>
        <v>0</v>
      </c>
    </row>
    <row r="45" spans="1:4">
      <c r="A45" s="249" t="s">
        <v>774</v>
      </c>
      <c r="B45" s="148">
        <v>-200110</v>
      </c>
      <c r="C45" s="149">
        <v>0</v>
      </c>
      <c r="D45" s="304">
        <f t="shared" ref="D45:D47" si="3">SUM(B45:C45)</f>
        <v>-200110</v>
      </c>
    </row>
    <row r="46" spans="1:4">
      <c r="A46" s="374" t="s">
        <v>1220</v>
      </c>
      <c r="B46" s="150">
        <v>0</v>
      </c>
      <c r="C46" s="151">
        <v>0</v>
      </c>
      <c r="D46" s="304">
        <f t="shared" si="3"/>
        <v>0</v>
      </c>
    </row>
    <row r="47" spans="1:4" ht="13.5" thickBot="1">
      <c r="A47" s="249" t="s">
        <v>1828</v>
      </c>
      <c r="B47" s="148">
        <v>38195</v>
      </c>
      <c r="C47" s="148">
        <v>0</v>
      </c>
      <c r="D47" s="303">
        <f t="shared" si="3"/>
        <v>38195</v>
      </c>
    </row>
    <row r="48" spans="1:4" ht="13.5" thickBot="1">
      <c r="A48" s="375" t="s">
        <v>2047</v>
      </c>
      <c r="B48" s="318">
        <f>B44+B45+B46+B47</f>
        <v>-161915</v>
      </c>
      <c r="C48" s="319">
        <f>C44+C45+C46+C47</f>
        <v>0</v>
      </c>
      <c r="D48" s="320">
        <f>D44+D45+D46+D47</f>
        <v>-161915</v>
      </c>
    </row>
    <row r="51" spans="1:4">
      <c r="A51" s="11" t="str">
        <f>"Kalenderjahr "&amp;Hinweise!B3-4&amp;""</f>
        <v>Kalenderjahr 2021</v>
      </c>
      <c r="D51" s="29"/>
    </row>
    <row r="52" spans="1:4">
      <c r="A52" s="11"/>
      <c r="D52" s="29"/>
    </row>
    <row r="53" spans="1:4" ht="13.5" thickBot="1">
      <c r="A53" s="1505"/>
    </row>
    <row r="54" spans="1:4">
      <c r="A54" s="1506"/>
      <c r="B54" s="84" t="s">
        <v>2092</v>
      </c>
      <c r="C54" s="376" t="s">
        <v>2093</v>
      </c>
      <c r="D54" s="248" t="s">
        <v>2047</v>
      </c>
    </row>
    <row r="55" spans="1:4" ht="13.5" thickBot="1">
      <c r="A55" s="1507"/>
      <c r="B55" s="579" t="s">
        <v>2054</v>
      </c>
      <c r="C55" s="579" t="s">
        <v>2054</v>
      </c>
      <c r="D55" s="579" t="s">
        <v>2054</v>
      </c>
    </row>
    <row r="56" spans="1:4">
      <c r="A56" s="408" t="s">
        <v>455</v>
      </c>
      <c r="B56" s="1508">
        <v>-272902</v>
      </c>
      <c r="C56" s="151">
        <v>0</v>
      </c>
      <c r="D56" s="1509">
        <f>SUM(B56:C56)</f>
        <v>-272902</v>
      </c>
    </row>
    <row r="57" spans="1:4">
      <c r="A57" s="1511" t="s">
        <v>774</v>
      </c>
      <c r="B57" s="150">
        <v>-13800</v>
      </c>
      <c r="C57" s="151">
        <v>0</v>
      </c>
      <c r="D57" s="1509">
        <f>SUM(B57:C57)</f>
        <v>-13800</v>
      </c>
    </row>
    <row r="58" spans="1:4">
      <c r="A58" s="408" t="s">
        <v>1220</v>
      </c>
      <c r="B58" s="150">
        <v>0</v>
      </c>
      <c r="C58" s="151">
        <v>0</v>
      </c>
      <c r="D58" s="1509">
        <f>SUM(B58:C58)</f>
        <v>0</v>
      </c>
    </row>
    <row r="59" spans="1:4" ht="13.5" thickBot="1">
      <c r="A59" s="1511" t="s">
        <v>1828</v>
      </c>
      <c r="B59" s="150">
        <v>0</v>
      </c>
      <c r="C59" s="150">
        <v>0</v>
      </c>
      <c r="D59" s="1510">
        <f>SUM(B59:C59)</f>
        <v>0</v>
      </c>
    </row>
    <row r="60" spans="1:4" ht="13.5" thickBot="1">
      <c r="A60" s="375" t="s">
        <v>2047</v>
      </c>
      <c r="B60" s="318">
        <f>B56+B57+B58+B59</f>
        <v>-286702</v>
      </c>
      <c r="C60" s="319">
        <f>C56+C57+C58+C59</f>
        <v>0</v>
      </c>
      <c r="D60" s="320">
        <f>D56+D57+D58+D59</f>
        <v>-286702</v>
      </c>
    </row>
  </sheetData>
  <pageMargins left="0.98425196850393704" right="0.78740157480314965" top="1.1023622047244095" bottom="0.74803149606299213" header="0.31496062992125984" footer="0.31496062992125984"/>
  <pageSetup paperSize="9" scale="61" orientation="landscape" r:id="rId1"/>
  <headerFooter scaleWithDoc="0">
    <oddHeader>&amp;L&amp;G</oddHeader>
    <oddFooter>&amp;R&amp;UAnlage 1e&amp;U
Seite &amp;P</oddFooter>
  </headerFooter>
  <rowBreaks count="1" manualBreakCount="1">
    <brk id="38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450A-FF18-47E8-AC68-8B7974814D6B}">
  <sheetPr codeName="Tabelle8">
    <pageSetUpPr fitToPage="1"/>
  </sheetPr>
  <dimension ref="A1:P48"/>
  <sheetViews>
    <sheetView view="pageLayout" zoomScaleNormal="96" workbookViewId="0">
      <selection activeCell="Q1" sqref="Q1"/>
    </sheetView>
  </sheetViews>
  <sheetFormatPr baseColWidth="10" defaultColWidth="4.140625" defaultRowHeight="12.75" outlineLevelRow="2" outlineLevelCol="1"/>
  <cols>
    <col min="1" max="1" width="30" customWidth="1"/>
    <col min="2" max="2" width="35.85546875" customWidth="1"/>
    <col min="3" max="3" width="23.7109375" bestFit="1" customWidth="1"/>
    <col min="4" max="4" width="21.42578125" bestFit="1" customWidth="1"/>
    <col min="5" max="5" width="21.42578125" hidden="1" customWidth="1" outlineLevel="1"/>
    <col min="6" max="6" width="21.42578125" style="89" hidden="1" customWidth="1" outlineLevel="1"/>
    <col min="7" max="7" width="17.42578125" hidden="1" customWidth="1" outlineLevel="1"/>
    <col min="8" max="8" width="15.28515625" style="89" hidden="1" customWidth="1" outlineLevel="1"/>
    <col min="9" max="9" width="17.42578125" hidden="1" customWidth="1" outlineLevel="1"/>
    <col min="10" max="10" width="15.28515625" style="89" hidden="1" customWidth="1" outlineLevel="1"/>
    <col min="11" max="11" width="17.42578125" hidden="1" customWidth="1" outlineLevel="1"/>
    <col min="12" max="12" width="15.28515625" style="89" hidden="1" customWidth="1" outlineLevel="1"/>
    <col min="13" max="13" width="4.140625" customWidth="1" collapsed="1"/>
    <col min="14" max="14" width="10.5703125" style="321" hidden="1" customWidth="1" outlineLevel="1"/>
    <col min="15" max="15" width="13.85546875" style="321" hidden="1" customWidth="1" outlineLevel="1"/>
    <col min="16" max="16" width="4.140625" collapsed="1"/>
    <col min="21" max="21" width="23.85546875" customWidth="1"/>
  </cols>
  <sheetData>
    <row r="1" spans="1:15" s="8" customFormat="1" ht="24" customHeight="1">
      <c r="A1" s="1786" t="s">
        <v>2094</v>
      </c>
      <c r="B1" s="1786"/>
      <c r="C1" s="1786"/>
      <c r="D1" s="1786"/>
      <c r="E1" s="523"/>
      <c r="F1" s="18"/>
      <c r="H1" s="18"/>
      <c r="J1" s="18"/>
      <c r="K1" s="523"/>
      <c r="L1" s="18"/>
      <c r="N1" s="524"/>
      <c r="O1" s="524"/>
    </row>
    <row r="3" spans="1:15">
      <c r="A3" s="13" t="str">
        <f>"Kalenderjahr "&amp;Hinweise!B3&amp;""</f>
        <v>Kalenderjahr 2025</v>
      </c>
      <c r="D3" s="29">
        <f>'Anlage 1a_Zuschlagszahlungen_NB'!E1</f>
        <v>46280</v>
      </c>
      <c r="E3" s="29"/>
    </row>
    <row r="4" spans="1:15">
      <c r="A4" s="13"/>
      <c r="D4" s="29"/>
      <c r="E4" s="29"/>
    </row>
    <row r="5" spans="1:15" s="44" customFormat="1" ht="52.5" customHeight="1">
      <c r="A5" s="1791" t="str">
        <f>CONCATENATE("Diese Tabelle gibt die Zuschlagszahlungen, Abzüge, Boni, Pflichtverstöße, Pönalen und WKNS für ",Hinweise!$B$3," nach Kategorien wieder. Dies ist eine Zusammenfassung aus den Tabellenblättern 1a, 1b, 1d und 1e)")</f>
        <v>Diese Tabelle gibt die Zuschlagszahlungen, Abzüge, Boni, Pflichtverstöße, Pönalen und WKNS für 2025 nach Kategorien wieder. Dies ist eine Zusammenfassung aus den Tabellenblättern 1a, 1b, 1d und 1e)</v>
      </c>
      <c r="B5" s="1792"/>
      <c r="C5" s="1792"/>
      <c r="D5" s="1792"/>
      <c r="E5" s="571"/>
      <c r="F5" s="1611"/>
      <c r="G5" s="1781"/>
      <c r="H5" s="1781"/>
      <c r="I5" s="1781"/>
      <c r="J5" s="1781"/>
      <c r="K5" s="1781"/>
      <c r="L5" s="1781"/>
      <c r="N5" s="570" t="s">
        <v>448</v>
      </c>
      <c r="O5" s="570"/>
    </row>
    <row r="6" spans="1:15" ht="13.5" thickBot="1">
      <c r="A6" s="45"/>
      <c r="N6" s="322"/>
      <c r="O6" s="322"/>
    </row>
    <row r="7" spans="1:15" s="28" customFormat="1" ht="13.5" customHeight="1" thickBot="1">
      <c r="A7" s="1784" t="s">
        <v>2095</v>
      </c>
      <c r="B7" s="1784" t="s">
        <v>2096</v>
      </c>
      <c r="C7" s="1779" t="s">
        <v>2097</v>
      </c>
      <c r="D7" s="1780"/>
      <c r="E7" s="1779" t="s">
        <v>98</v>
      </c>
      <c r="F7" s="1780"/>
      <c r="G7" s="1779" t="s">
        <v>99</v>
      </c>
      <c r="H7" s="1779"/>
      <c r="I7" s="1779" t="s">
        <v>100</v>
      </c>
      <c r="J7" s="1779"/>
      <c r="K7" s="1785" t="s">
        <v>101</v>
      </c>
      <c r="L7" s="1780"/>
      <c r="N7" s="322" t="s">
        <v>2098</v>
      </c>
      <c r="O7" s="322" t="s">
        <v>2099</v>
      </c>
    </row>
    <row r="8" spans="1:15" ht="36" customHeight="1" thickBot="1">
      <c r="A8" s="1784">
        <v>0</v>
      </c>
      <c r="B8" s="1784">
        <v>0</v>
      </c>
      <c r="C8" s="518" t="s">
        <v>2100</v>
      </c>
      <c r="D8" s="519" t="s">
        <v>2101</v>
      </c>
      <c r="E8" s="522" t="s">
        <v>2102</v>
      </c>
      <c r="F8" s="1612" t="s">
        <v>2103</v>
      </c>
      <c r="G8" s="521" t="s">
        <v>2102</v>
      </c>
      <c r="H8" s="1606" t="s">
        <v>2103</v>
      </c>
      <c r="I8" s="521" t="s">
        <v>2104</v>
      </c>
      <c r="J8" s="1606" t="s">
        <v>2103</v>
      </c>
      <c r="K8" s="520" t="s">
        <v>2102</v>
      </c>
      <c r="L8" s="1606" t="s">
        <v>2105</v>
      </c>
    </row>
    <row r="9" spans="1:15" hidden="1" outlineLevel="1">
      <c r="A9" s="256" t="s">
        <v>2106</v>
      </c>
      <c r="B9" s="257" t="s">
        <v>2107</v>
      </c>
      <c r="C9" s="262"/>
      <c r="D9" s="259"/>
      <c r="E9" s="1456"/>
      <c r="F9" s="259"/>
      <c r="G9" s="262"/>
      <c r="H9" s="259"/>
      <c r="I9" s="260"/>
      <c r="J9" s="261"/>
      <c r="K9" s="258"/>
      <c r="L9" s="259"/>
    </row>
    <row r="10" spans="1:15" hidden="1" outlineLevel="1">
      <c r="A10" s="263" t="s">
        <v>2108</v>
      </c>
      <c r="B10" s="264" t="s">
        <v>2109</v>
      </c>
      <c r="C10" s="269"/>
      <c r="D10" s="266"/>
      <c r="E10" s="973"/>
      <c r="F10" s="266"/>
      <c r="G10" s="269"/>
      <c r="H10" s="266"/>
      <c r="I10" s="267"/>
      <c r="J10" s="268"/>
      <c r="K10" s="265"/>
      <c r="L10" s="266"/>
    </row>
    <row r="11" spans="1:15" ht="13.5" hidden="1" outlineLevel="1" thickBot="1">
      <c r="A11" s="296" t="s">
        <v>2110</v>
      </c>
      <c r="B11" s="279" t="s">
        <v>2111</v>
      </c>
      <c r="C11" s="301"/>
      <c r="D11" s="298"/>
      <c r="E11" s="974"/>
      <c r="F11" s="1613"/>
      <c r="G11" s="301"/>
      <c r="H11" s="298"/>
      <c r="I11" s="299"/>
      <c r="J11" s="300"/>
      <c r="K11" s="297"/>
      <c r="L11" s="298"/>
    </row>
    <row r="12" spans="1:15" ht="25.5" hidden="1" outlineLevel="1">
      <c r="A12" s="273" t="s">
        <v>411</v>
      </c>
      <c r="B12" s="257" t="s">
        <v>2112</v>
      </c>
      <c r="C12" s="302">
        <f>E12+G12+I12+K12</f>
        <v>9196586.0969999991</v>
      </c>
      <c r="D12" s="643">
        <f>F12+H12+J12+L12</f>
        <v>172526.55</v>
      </c>
      <c r="E12" s="1457">
        <f>SUMIF(Input_Zuschlagszahlungen_KAT!$W:$W,'Anlage 1f_ZuschlagszahlungenKAT'!$A12,Input_Zuschlagszahlungen_KAT!N:N)</f>
        <v>0</v>
      </c>
      <c r="F12" s="643">
        <f>SUMIF(Input_Zuschlagszahlungen_KAT!$W:$W,'Anlage 1f_ZuschlagszahlungenKAT'!$A12,Input_Zuschlagszahlungen_KAT!O:O)</f>
        <v>0</v>
      </c>
      <c r="G12" s="1457">
        <f>SUMIF(Input_Zuschlagszahlungen_KAT!$W:$W,'Anlage 1f_ZuschlagszahlungenKAT'!$A12,Input_Zuschlagszahlungen_KAT!P:P)</f>
        <v>0</v>
      </c>
      <c r="H12" s="643">
        <f>SUMIF(Input_Zuschlagszahlungen_KAT!$W:$W,'Anlage 1f_ZuschlagszahlungenKAT'!$A12,Input_Zuschlagszahlungen_KAT!Q:Q)</f>
        <v>0</v>
      </c>
      <c r="I12" s="1457">
        <f>SUMIF(Input_Zuschlagszahlungen_KAT!$W:$W,'Anlage 1f_ZuschlagszahlungenKAT'!$A12,Input_Zuschlagszahlungen_KAT!R:R)</f>
        <v>9185242.0969999991</v>
      </c>
      <c r="J12" s="643">
        <f>SUMIF(Input_Zuschlagszahlungen_KAT!$W:$W,'Anlage 1f_ZuschlagszahlungenKAT'!$A12,Input_Zuschlagszahlungen_KAT!S:S)</f>
        <v>171946.87</v>
      </c>
      <c r="K12" s="1457">
        <f>SUMIF(Input_Zuschlagszahlungen_KAT!$W:$W,'Anlage 1f_ZuschlagszahlungenKAT'!$A12,Input_Zuschlagszahlungen_KAT!T:T)</f>
        <v>11344</v>
      </c>
      <c r="L12" s="643">
        <f>SUMIF(Input_Zuschlagszahlungen_KAT!$W:$W,'Anlage 1f_ZuschlagszahlungenKAT'!$A12,Input_Zuschlagszahlungen_KAT!U:U)</f>
        <v>579.67999999999995</v>
      </c>
    </row>
    <row r="13" spans="1:15" ht="25.5" hidden="1" outlineLevel="1">
      <c r="A13" s="270" t="s">
        <v>417</v>
      </c>
      <c r="B13" s="264" t="s">
        <v>2113</v>
      </c>
      <c r="C13" s="278">
        <f t="shared" ref="C13:C21" si="0">E13+G13+I13+K13</f>
        <v>94333.58</v>
      </c>
      <c r="D13" s="644">
        <f t="shared" ref="D13:D16" si="1">F13+H13+J13+L13</f>
        <v>4820.4399999999996</v>
      </c>
      <c r="E13" s="1458">
        <f>SUMIF(Input_Zuschlagszahlungen_KAT!$W:$W,'Anlage 1f_ZuschlagszahlungenKAT'!$A13,Input_Zuschlagszahlungen_KAT!N:N)</f>
        <v>0</v>
      </c>
      <c r="F13" s="644">
        <f>SUMIF(Input_Zuschlagszahlungen_KAT!$W:$W,'Anlage 1f_ZuschlagszahlungenKAT'!$A13,Input_Zuschlagszahlungen_KAT!O:O)</f>
        <v>0</v>
      </c>
      <c r="G13" s="1458">
        <f>SUMIF(Input_Zuschlagszahlungen_KAT!$W:$W,'Anlage 1f_ZuschlagszahlungenKAT'!$A13,Input_Zuschlagszahlungen_KAT!P:P)</f>
        <v>0</v>
      </c>
      <c r="H13" s="644">
        <f>SUMIF(Input_Zuschlagszahlungen_KAT!$W:$W,'Anlage 1f_ZuschlagszahlungenKAT'!$A13,Input_Zuschlagszahlungen_KAT!Q:Q)</f>
        <v>0</v>
      </c>
      <c r="I13" s="1458">
        <f>SUMIF(Input_Zuschlagszahlungen_KAT!$W:$W,'Anlage 1f_ZuschlagszahlungenKAT'!$A13,Input_Zuschlagszahlungen_KAT!R:R)</f>
        <v>94333.58</v>
      </c>
      <c r="J13" s="644">
        <f>SUMIF(Input_Zuschlagszahlungen_KAT!$W:$W,'Anlage 1f_ZuschlagszahlungenKAT'!$A13,Input_Zuschlagszahlungen_KAT!S:S)</f>
        <v>4820.4399999999996</v>
      </c>
      <c r="K13" s="1458">
        <f>SUMIF(Input_Zuschlagszahlungen_KAT!$W:$W,'Anlage 1f_ZuschlagszahlungenKAT'!$A13,Input_Zuschlagszahlungen_KAT!T:T)</f>
        <v>0</v>
      </c>
      <c r="L13" s="644">
        <f>SUMIF(Input_Zuschlagszahlungen_KAT!$W:$W,'Anlage 1f_ZuschlagszahlungenKAT'!$A13,Input_Zuschlagszahlungen_KAT!U:U)</f>
        <v>0</v>
      </c>
    </row>
    <row r="14" spans="1:15" ht="38.25" hidden="1" outlineLevel="1">
      <c r="A14" s="270" t="s">
        <v>421</v>
      </c>
      <c r="B14" s="264" t="s">
        <v>2113</v>
      </c>
      <c r="C14" s="278">
        <f t="shared" si="0"/>
        <v>5414577</v>
      </c>
      <c r="D14" s="644">
        <f t="shared" si="1"/>
        <v>134228.01</v>
      </c>
      <c r="E14" s="1458">
        <f>SUMIF(Input_Zuschlagszahlungen_KAT!$W:$W,'Anlage 1f_ZuschlagszahlungenKAT'!$A14,Input_Zuschlagszahlungen_KAT!N:N)</f>
        <v>325499</v>
      </c>
      <c r="F14" s="644">
        <f>SUMIF(Input_Zuschlagszahlungen_KAT!$W:$W,'Anlage 1f_ZuschlagszahlungenKAT'!$A14,Input_Zuschlagszahlungen_KAT!O:O)</f>
        <v>7651.9400000000005</v>
      </c>
      <c r="G14" s="1458">
        <f>SUMIF(Input_Zuschlagszahlungen_KAT!$W:$W,'Anlage 1f_ZuschlagszahlungenKAT'!$A14,Input_Zuschlagszahlungen_KAT!P:P)</f>
        <v>1404326</v>
      </c>
      <c r="H14" s="644">
        <f>SUMIF(Input_Zuschlagszahlungen_KAT!$W:$W,'Anlage 1f_ZuschlagszahlungenKAT'!$A14,Input_Zuschlagszahlungen_KAT!Q:Q)</f>
        <v>34995.230000000003</v>
      </c>
      <c r="I14" s="1458">
        <f>SUMIF(Input_Zuschlagszahlungen_KAT!$W:$W,'Anlage 1f_ZuschlagszahlungenKAT'!$A14,Input_Zuschlagszahlungen_KAT!R:R)</f>
        <v>2753109</v>
      </c>
      <c r="J14" s="644">
        <f>SUMIF(Input_Zuschlagszahlungen_KAT!$W:$W,'Anlage 1f_ZuschlagszahlungenKAT'!$A14,Input_Zuschlagszahlungen_KAT!S:S)</f>
        <v>72016.34</v>
      </c>
      <c r="K14" s="1458">
        <f>SUMIF(Input_Zuschlagszahlungen_KAT!$W:$W,'Anlage 1f_ZuschlagszahlungenKAT'!$A14,Input_Zuschlagszahlungen_KAT!T:T)</f>
        <v>931643</v>
      </c>
      <c r="L14" s="644">
        <f>SUMIF(Input_Zuschlagszahlungen_KAT!$W:$W,'Anlage 1f_ZuschlagszahlungenKAT'!$A14,Input_Zuschlagszahlungen_KAT!U:U)</f>
        <v>19564.5</v>
      </c>
    </row>
    <row r="15" spans="1:15" ht="25.5" hidden="1" outlineLevel="1">
      <c r="A15" s="270" t="s">
        <v>426</v>
      </c>
      <c r="B15" s="264" t="s">
        <v>2114</v>
      </c>
      <c r="C15" s="278">
        <f t="shared" si="0"/>
        <v>0</v>
      </c>
      <c r="D15" s="644">
        <f t="shared" si="1"/>
        <v>0</v>
      </c>
      <c r="E15" s="1458">
        <f>SUMIF(Input_Zuschlagszahlungen_KAT!$W:$W,'Anlage 1f_ZuschlagszahlungenKAT'!$A15,Input_Zuschlagszahlungen_KAT!N:N)</f>
        <v>0</v>
      </c>
      <c r="F15" s="644">
        <f>SUMIF(Input_Zuschlagszahlungen_KAT!$W:$W,'Anlage 1f_ZuschlagszahlungenKAT'!$A15,Input_Zuschlagszahlungen_KAT!O:O)</f>
        <v>0</v>
      </c>
      <c r="G15" s="1458">
        <f>SUMIF(Input_Zuschlagszahlungen_KAT!$W:$W,'Anlage 1f_ZuschlagszahlungenKAT'!$A15,Input_Zuschlagszahlungen_KAT!P:P)</f>
        <v>0</v>
      </c>
      <c r="H15" s="644">
        <f>SUMIF(Input_Zuschlagszahlungen_KAT!$W:$W,'Anlage 1f_ZuschlagszahlungenKAT'!$A15,Input_Zuschlagszahlungen_KAT!Q:Q)</f>
        <v>0</v>
      </c>
      <c r="I15" s="1458">
        <f>SUMIF(Input_Zuschlagszahlungen_KAT!$W:$W,'Anlage 1f_ZuschlagszahlungenKAT'!$A15,Input_Zuschlagszahlungen_KAT!R:R)</f>
        <v>0</v>
      </c>
      <c r="J15" s="644">
        <f>SUMIF(Input_Zuschlagszahlungen_KAT!$W:$W,'Anlage 1f_ZuschlagszahlungenKAT'!$A15,Input_Zuschlagszahlungen_KAT!S:S)</f>
        <v>0</v>
      </c>
      <c r="K15" s="1458">
        <f>SUMIF(Input_Zuschlagszahlungen_KAT!$W:$W,'Anlage 1f_ZuschlagszahlungenKAT'!$A15,Input_Zuschlagszahlungen_KAT!T:T)</f>
        <v>0</v>
      </c>
      <c r="L15" s="644">
        <f>SUMIF(Input_Zuschlagszahlungen_KAT!$W:$W,'Anlage 1f_ZuschlagszahlungenKAT'!$A15,Input_Zuschlagszahlungen_KAT!U:U)</f>
        <v>0</v>
      </c>
    </row>
    <row r="16" spans="1:15" ht="26.25" hidden="1" outlineLevel="1" thickBot="1">
      <c r="A16" s="271" t="s">
        <v>430</v>
      </c>
      <c r="B16" s="272" t="s">
        <v>2115</v>
      </c>
      <c r="C16" s="286">
        <f t="shared" si="0"/>
        <v>249569147</v>
      </c>
      <c r="D16" s="645">
        <f t="shared" si="1"/>
        <v>3781602.26</v>
      </c>
      <c r="E16" s="1459">
        <f>SUMIF(Input_Zuschlagszahlungen_KAT!$W:$W,'Anlage 1f_ZuschlagszahlungenKAT'!$A16,Input_Zuschlagszahlungen_KAT!N:N)</f>
        <v>110394000</v>
      </c>
      <c r="F16" s="645">
        <f>SUMIF(Input_Zuschlagszahlungen_KAT!$W:$W,'Anlage 1f_ZuschlagszahlungenKAT'!$A16,Input_Zuschlagszahlungen_KAT!O:O)</f>
        <v>1666559.0699999998</v>
      </c>
      <c r="G16" s="1459">
        <f>SUMIF(Input_Zuschlagszahlungen_KAT!$W:$W,'Anlage 1f_ZuschlagszahlungenKAT'!$A16,Input_Zuschlagszahlungen_KAT!P:P)</f>
        <v>81196861</v>
      </c>
      <c r="H16" s="645">
        <f>SUMIF(Input_Zuschlagszahlungen_KAT!$W:$W,'Anlage 1f_ZuschlagszahlungenKAT'!$A16,Input_Zuschlagszahlungen_KAT!Q:Q)</f>
        <v>1229968.5499999998</v>
      </c>
      <c r="I16" s="1459">
        <f>SUMIF(Input_Zuschlagszahlungen_KAT!$W:$W,'Anlage 1f_ZuschlagszahlungenKAT'!$A16,Input_Zuschlagszahlungen_KAT!R:R)</f>
        <v>53895891</v>
      </c>
      <c r="J16" s="645">
        <f>SUMIF(Input_Zuschlagszahlungen_KAT!$W:$W,'Anlage 1f_ZuschlagszahlungenKAT'!$A16,Input_Zuschlagszahlungen_KAT!S:S)</f>
        <v>818537.48</v>
      </c>
      <c r="K16" s="1459">
        <f>SUMIF(Input_Zuschlagszahlungen_KAT!$W:$W,'Anlage 1f_ZuschlagszahlungenKAT'!$A16,Input_Zuschlagszahlungen_KAT!T:T)</f>
        <v>4082395</v>
      </c>
      <c r="L16" s="645">
        <f>SUMIF(Input_Zuschlagszahlungen_KAT!$W:$W,'Anlage 1f_ZuschlagszahlungenKAT'!$A16,Input_Zuschlagszahlungen_KAT!U:U)</f>
        <v>66537.16</v>
      </c>
    </row>
    <row r="17" spans="1:12" ht="25.5" hidden="1" outlineLevel="1">
      <c r="A17" s="282" t="s">
        <v>338</v>
      </c>
      <c r="B17" s="283" t="s">
        <v>2116</v>
      </c>
      <c r="C17" s="302">
        <f>E17+G17+I17+K17</f>
        <v>283696507.95300001</v>
      </c>
      <c r="D17" s="643">
        <f>F17+H17+J17+L17</f>
        <v>12180781.439999998</v>
      </c>
      <c r="E17" s="1460">
        <f>SUMIF(Input_Zuschlagszahlungen_KAT!$W:$W,'Anlage 1f_ZuschlagszahlungenKAT'!$A17,Input_Zuschlagszahlungen_KAT!N:N)</f>
        <v>39652929</v>
      </c>
      <c r="F17" s="1607">
        <f>SUMIF(Input_Zuschlagszahlungen_KAT!$W:$W,'Anlage 1f_ZuschlagszahlungenKAT'!$A17,Input_Zuschlagszahlungen_KAT!O:O)</f>
        <v>1803204.3299999998</v>
      </c>
      <c r="G17" s="1460">
        <f>SUMIF(Input_Zuschlagszahlungen_KAT!$W:$W,'Anlage 1f_ZuschlagszahlungenKAT'!$A17,Input_Zuschlagszahlungen_KAT!P:P)</f>
        <v>76517228</v>
      </c>
      <c r="H17" s="1607">
        <f>SUMIF(Input_Zuschlagszahlungen_KAT!$W:$W,'Anlage 1f_ZuschlagszahlungenKAT'!$A17,Input_Zuschlagszahlungen_KAT!Q:Q)</f>
        <v>3268395.15</v>
      </c>
      <c r="I17" s="1460">
        <f>SUMIF(Input_Zuschlagszahlungen_KAT!$W:$W,'Anlage 1f_ZuschlagszahlungenKAT'!$A17,Input_Zuschlagszahlungen_KAT!R:R)</f>
        <v>109794146.95300001</v>
      </c>
      <c r="J17" s="1607">
        <f>SUMIF(Input_Zuschlagszahlungen_KAT!$W:$W,'Anlage 1f_ZuschlagszahlungenKAT'!$A17,Input_Zuschlagszahlungen_KAT!S:S)</f>
        <v>4685231.3299999973</v>
      </c>
      <c r="K17" s="1460">
        <f>SUMIF(Input_Zuschlagszahlungen_KAT!$W:$W,'Anlage 1f_ZuschlagszahlungenKAT'!$A17,Input_Zuschlagszahlungen_KAT!T:T)</f>
        <v>57732204</v>
      </c>
      <c r="L17" s="1607">
        <f>SUMIF(Input_Zuschlagszahlungen_KAT!$W:$W,'Anlage 1f_ZuschlagszahlungenKAT'!$A17,Input_Zuschlagszahlungen_KAT!U:U)</f>
        <v>2423950.63</v>
      </c>
    </row>
    <row r="18" spans="1:12" ht="26.25" hidden="1" customHeight="1" outlineLevel="1" thickBot="1">
      <c r="A18" s="270" t="s">
        <v>348</v>
      </c>
      <c r="B18" s="264" t="s">
        <v>2117</v>
      </c>
      <c r="C18" s="278">
        <f t="shared" si="0"/>
        <v>9142068.4000000004</v>
      </c>
      <c r="D18" s="644">
        <f t="shared" ref="D18:D35" si="2">F18+H18+J18+L18</f>
        <v>494585.89</v>
      </c>
      <c r="E18" s="1458">
        <f>SUMIF(Input_Zuschlagszahlungen_KAT!$W:$W,'Anlage 1f_ZuschlagszahlungenKAT'!$A18,Input_Zuschlagszahlungen_KAT!N:N)</f>
        <v>1874</v>
      </c>
      <c r="F18" s="644">
        <f>SUMIF(Input_Zuschlagszahlungen_KAT!$W:$W,'Anlage 1f_ZuschlagszahlungenKAT'!$A18,Input_Zuschlagszahlungen_KAT!O:O)</f>
        <v>101.38</v>
      </c>
      <c r="G18" s="1458">
        <f>SUMIF(Input_Zuschlagszahlungen_KAT!$W:$W,'Anlage 1f_ZuschlagszahlungenKAT'!$A18,Input_Zuschlagszahlungen_KAT!P:P)</f>
        <v>15875</v>
      </c>
      <c r="H18" s="644">
        <f>SUMIF(Input_Zuschlagszahlungen_KAT!$W:$W,'Anlage 1f_ZuschlagszahlungenKAT'!$A18,Input_Zuschlagszahlungen_KAT!Q:Q)</f>
        <v>858.83999999999992</v>
      </c>
      <c r="I18" s="1458">
        <f>SUMIF(Input_Zuschlagszahlungen_KAT!$W:$W,'Anlage 1f_ZuschlagszahlungenKAT'!$A18,Input_Zuschlagszahlungen_KAT!R:R)</f>
        <v>326084.40000000002</v>
      </c>
      <c r="J18" s="644">
        <f>SUMIF(Input_Zuschlagszahlungen_KAT!$W:$W,'Anlage 1f_ZuschlagszahlungenKAT'!$A18,Input_Zuschlagszahlungen_KAT!S:S)</f>
        <v>17641.16</v>
      </c>
      <c r="K18" s="1458">
        <f>SUMIF(Input_Zuschlagszahlungen_KAT!$W:$W,'Anlage 1f_ZuschlagszahlungenKAT'!$A18,Input_Zuschlagszahlungen_KAT!T:T)</f>
        <v>8798235</v>
      </c>
      <c r="L18" s="644">
        <f>SUMIF(Input_Zuschlagszahlungen_KAT!$W:$W,'Anlage 1f_ZuschlagszahlungenKAT'!$A18,Input_Zuschlagszahlungen_KAT!U:U)</f>
        <v>475984.51</v>
      </c>
    </row>
    <row r="19" spans="1:12" ht="25.5" hidden="1" outlineLevel="1">
      <c r="A19" s="270" t="s">
        <v>352</v>
      </c>
      <c r="B19" s="264" t="s">
        <v>2118</v>
      </c>
      <c r="C19" s="278">
        <f t="shared" si="0"/>
        <v>1288871549.2590001</v>
      </c>
      <c r="D19" s="644">
        <f t="shared" si="2"/>
        <v>27400227.030000001</v>
      </c>
      <c r="E19" s="1458">
        <f>SUMIF(Input_Zuschlagszahlungen_KAT!$W:$W,'Anlage 1f_ZuschlagszahlungenKAT'!$A19,Input_Zuschlagszahlungen_KAT!N:N)</f>
        <v>555</v>
      </c>
      <c r="F19" s="644">
        <f>SUMIF(Input_Zuschlagszahlungen_KAT!$W:$W,'Anlage 1f_ZuschlagszahlungenKAT'!$A19,Input_Zuschlagszahlungen_KAT!O:O)</f>
        <v>30.03</v>
      </c>
      <c r="G19" s="1458">
        <f>SUMIF(Input_Zuschlagszahlungen_KAT!$W:$W,'Anlage 1f_ZuschlagszahlungenKAT'!$A19,Input_Zuschlagszahlungen_KAT!P:P)</f>
        <v>385313752</v>
      </c>
      <c r="H19" s="644">
        <f>SUMIF(Input_Zuschlagszahlungen_KAT!$W:$W,'Anlage 1f_ZuschlagszahlungenKAT'!$A19,Input_Zuschlagszahlungen_KAT!Q:Q)</f>
        <v>8245607.4600000009</v>
      </c>
      <c r="I19" s="1458">
        <f>SUMIF(Input_Zuschlagszahlungen_KAT!$W:$W,'Anlage 1f_ZuschlagszahlungenKAT'!$A19,Input_Zuschlagszahlungen_KAT!R:R)</f>
        <v>64357644.259000003</v>
      </c>
      <c r="J19" s="644">
        <f>SUMIF(Input_Zuschlagszahlungen_KAT!$W:$W,'Anlage 1f_ZuschlagszahlungenKAT'!$A19,Input_Zuschlagszahlungen_KAT!S:S)</f>
        <v>1464186.99</v>
      </c>
      <c r="K19" s="1458">
        <f>SUMIF(Input_Zuschlagszahlungen_KAT!$W:$W,'Anlage 1f_ZuschlagszahlungenKAT'!$A19,Input_Zuschlagszahlungen_KAT!T:T)</f>
        <v>839199598</v>
      </c>
      <c r="L19" s="644">
        <f>SUMIF(Input_Zuschlagszahlungen_KAT!$W:$W,'Anlage 1f_ZuschlagszahlungenKAT'!$A19,Input_Zuschlagszahlungen_KAT!U:U)</f>
        <v>17690402.550000001</v>
      </c>
    </row>
    <row r="20" spans="1:12" ht="25.5" hidden="1" outlineLevel="1">
      <c r="A20" s="270" t="s">
        <v>374</v>
      </c>
      <c r="B20" s="264" t="s">
        <v>2119</v>
      </c>
      <c r="C20" s="278">
        <f t="shared" si="0"/>
        <v>406639651.48199999</v>
      </c>
      <c r="D20" s="644">
        <f t="shared" si="2"/>
        <v>9947378.290000001</v>
      </c>
      <c r="E20" s="1458">
        <f>SUMIF(Input_Zuschlagszahlungen_KAT!$W:$W,'Anlage 1f_ZuschlagszahlungenKAT'!$A20,Input_Zuschlagszahlungen_KAT!N:N)</f>
        <v>62709024</v>
      </c>
      <c r="F20" s="644">
        <f>SUMIF(Input_Zuschlagszahlungen_KAT!$W:$W,'Anlage 1f_ZuschlagszahlungenKAT'!$A20,Input_Zuschlagszahlungen_KAT!O:O)</f>
        <v>1668217.2000000002</v>
      </c>
      <c r="G20" s="1458">
        <f>SUMIF(Input_Zuschlagszahlungen_KAT!$W:$W,'Anlage 1f_ZuschlagszahlungenKAT'!$A20,Input_Zuschlagszahlungen_KAT!P:P)</f>
        <v>150951942</v>
      </c>
      <c r="H20" s="644">
        <f>SUMIF(Input_Zuschlagszahlungen_KAT!$W:$W,'Anlage 1f_ZuschlagszahlungenKAT'!$A20,Input_Zuschlagszahlungen_KAT!Q:Q)</f>
        <v>3574314.4800000004</v>
      </c>
      <c r="I20" s="1458">
        <f>SUMIF(Input_Zuschlagszahlungen_KAT!$W:$W,'Anlage 1f_ZuschlagszahlungenKAT'!$A20,Input_Zuschlagszahlungen_KAT!R:R)</f>
        <v>141434140.48199999</v>
      </c>
      <c r="J20" s="644">
        <f>SUMIF(Input_Zuschlagszahlungen_KAT!$W:$W,'Anlage 1f_ZuschlagszahlungenKAT'!$A20,Input_Zuschlagszahlungen_KAT!S:S)</f>
        <v>3345469.87</v>
      </c>
      <c r="K20" s="1458">
        <f>SUMIF(Input_Zuschlagszahlungen_KAT!$W:$W,'Anlage 1f_ZuschlagszahlungenKAT'!$A20,Input_Zuschlagszahlungen_KAT!T:T)</f>
        <v>51544545</v>
      </c>
      <c r="L20" s="644">
        <f>SUMIF(Input_Zuschlagszahlungen_KAT!$W:$W,'Anlage 1f_ZuschlagszahlungenKAT'!$A20,Input_Zuschlagszahlungen_KAT!U:U)</f>
        <v>1359376.74</v>
      </c>
    </row>
    <row r="21" spans="1:12" ht="26.25" hidden="1" outlineLevel="1" thickBot="1">
      <c r="A21" s="270" t="s">
        <v>395</v>
      </c>
      <c r="B21" s="264" t="s">
        <v>2120</v>
      </c>
      <c r="C21" s="278">
        <f t="shared" si="0"/>
        <v>18191153</v>
      </c>
      <c r="D21" s="644">
        <f t="shared" si="2"/>
        <v>408970.78</v>
      </c>
      <c r="E21" s="1458">
        <f>SUMIF(Input_Zuschlagszahlungen_KAT!$W:$W,'Anlage 1f_ZuschlagszahlungenKAT'!$A21,Input_Zuschlagszahlungen_KAT!N:N)</f>
        <v>0</v>
      </c>
      <c r="F21" s="644">
        <f>SUMIF(Input_Zuschlagszahlungen_KAT!$W:$W,'Anlage 1f_ZuschlagszahlungenKAT'!$A21,Input_Zuschlagszahlungen_KAT!O:O)</f>
        <v>0</v>
      </c>
      <c r="G21" s="1458">
        <f>SUMIF(Input_Zuschlagszahlungen_KAT!$W:$W,'Anlage 1f_ZuschlagszahlungenKAT'!$A21,Input_Zuschlagszahlungen_KAT!P:P)</f>
        <v>18191153</v>
      </c>
      <c r="H21" s="644">
        <f>SUMIF(Input_Zuschlagszahlungen_KAT!$W:$W,'Anlage 1f_ZuschlagszahlungenKAT'!$A21,Input_Zuschlagszahlungen_KAT!Q:Q)</f>
        <v>408970.78</v>
      </c>
      <c r="I21" s="1458">
        <f>SUMIF(Input_Zuschlagszahlungen_KAT!$W:$W,'Anlage 1f_ZuschlagszahlungenKAT'!$A21,Input_Zuschlagszahlungen_KAT!R:R)</f>
        <v>0</v>
      </c>
      <c r="J21" s="644">
        <f>SUMIF(Input_Zuschlagszahlungen_KAT!$W:$W,'Anlage 1f_ZuschlagszahlungenKAT'!$A21,Input_Zuschlagszahlungen_KAT!S:S)</f>
        <v>0</v>
      </c>
      <c r="K21" s="1458">
        <f>SUMIF(Input_Zuschlagszahlungen_KAT!$W:$W,'Anlage 1f_ZuschlagszahlungenKAT'!$A21,Input_Zuschlagszahlungen_KAT!T:T)</f>
        <v>0</v>
      </c>
      <c r="L21" s="644">
        <f>SUMIF(Input_Zuschlagszahlungen_KAT!$W:$W,'Anlage 1f_ZuschlagszahlungenKAT'!$A21,Input_Zuschlagszahlungen_KAT!U:U)</f>
        <v>0</v>
      </c>
    </row>
    <row r="22" spans="1:12" ht="39" hidden="1" outlineLevel="2" thickBot="1">
      <c r="A22" s="1497" t="s">
        <v>406</v>
      </c>
      <c r="B22" s="1498" t="s">
        <v>2121</v>
      </c>
      <c r="C22" s="280"/>
      <c r="D22" s="1461">
        <f>F22+H22+J22+L22</f>
        <v>0</v>
      </c>
      <c r="E22" s="1462">
        <f>SUMIF(Input_Zuschlagszahlungen_KAT!$W:$W,'Anlage 1f_ZuschlagszahlungenKAT'!$A22,Input_Zuschlagszahlungen_KAT!N:N)</f>
        <v>0</v>
      </c>
      <c r="F22" s="1614">
        <f>SUMIF(Input_Zuschlagszahlungen_KAT!$W:$W,'Anlage 1f_ZuschlagszahlungenKAT'!$A22,Input_Zuschlagszahlungen_KAT!O:O)</f>
        <v>0</v>
      </c>
      <c r="G22" s="1463">
        <f>SUMIF(Input_Zuschlagszahlungen_KAT!$W:$W,'Anlage 1f_ZuschlagszahlungenKAT'!$A22,Input_Zuschlagszahlungen_KAT!P:P)</f>
        <v>0</v>
      </c>
      <c r="H22" s="1461">
        <f>SUMIF(Input_Zuschlagszahlungen_KAT!$W:$W,'Anlage 1f_ZuschlagszahlungenKAT'!$A22,Input_Zuschlagszahlungen_KAT!Q:Q)</f>
        <v>0</v>
      </c>
      <c r="I22" s="1464">
        <f>SUMIF(Input_Zuschlagszahlungen_KAT!$W:$W,'Anlage 1f_ZuschlagszahlungenKAT'!$A22,Input_Zuschlagszahlungen_KAT!R:R)</f>
        <v>0</v>
      </c>
      <c r="J22" s="1465">
        <f>SUMIF(Input_Zuschlagszahlungen_KAT!$W:$W,'Anlage 1f_ZuschlagszahlungenKAT'!$A22,Input_Zuschlagszahlungen_KAT!S:S)</f>
        <v>0</v>
      </c>
      <c r="K22" s="1466">
        <f>SUMIF(Input_Zuschlagszahlungen_KAT!$W:$W,'Anlage 1f_ZuschlagszahlungenKAT'!$A22,Input_Zuschlagszahlungen_KAT!T:T)</f>
        <v>0</v>
      </c>
      <c r="L22" s="1461">
        <f>SUMIF(Input_Zuschlagszahlungen_KAT!$W:$W,'Anlage 1f_ZuschlagszahlungenKAT'!$A22,Input_Zuschlagszahlungen_KAT!U:U)</f>
        <v>0</v>
      </c>
    </row>
    <row r="23" spans="1:12" ht="51" hidden="1" outlineLevel="1" collapsed="1">
      <c r="A23" s="287" t="s">
        <v>171</v>
      </c>
      <c r="B23" s="359" t="s">
        <v>2122</v>
      </c>
      <c r="C23" s="302">
        <f>E23+G23+I23+K23</f>
        <v>1707782918.737</v>
      </c>
      <c r="D23" s="643">
        <f t="shared" si="2"/>
        <v>102217184.77999999</v>
      </c>
      <c r="E23" s="302">
        <f>SUMIF(Input_Zuschlagszahlungen_KAT!$W:$W,'Anlage 1f_ZuschlagszahlungenKAT'!$A23,Input_Zuschlagszahlungen_KAT!N:N)</f>
        <v>504178226</v>
      </c>
      <c r="F23" s="1607">
        <f>SUMIF(Input_Zuschlagszahlungen_KAT!$W:$W,'Anlage 1f_ZuschlagszahlungenKAT'!$A23,Input_Zuschlagszahlungen_KAT!O:O)</f>
        <v>31092502.34</v>
      </c>
      <c r="G23" s="302">
        <f>SUMIF(Input_Zuschlagszahlungen_KAT!$W:$W,'Anlage 1f_ZuschlagszahlungenKAT'!$A23,Input_Zuschlagszahlungen_KAT!P:P)</f>
        <v>670120214</v>
      </c>
      <c r="H23" s="643">
        <f>SUMIF(Input_Zuschlagszahlungen_KAT!$W:$W,'Anlage 1f_ZuschlagszahlungenKAT'!$A23,Input_Zuschlagszahlungen_KAT!Q:Q)</f>
        <v>33086904.519999996</v>
      </c>
      <c r="I23" s="302">
        <f>SUMIF(Input_Zuschlagszahlungen_KAT!$W:$W,'Anlage 1f_ZuschlagszahlungenKAT'!$A23,Input_Zuschlagszahlungen_KAT!R:R)</f>
        <v>371197670.73699999</v>
      </c>
      <c r="J23" s="643">
        <f>SUMIF(Input_Zuschlagszahlungen_KAT!$W:$W,'Anlage 1f_ZuschlagszahlungenKAT'!$A23,Input_Zuschlagszahlungen_KAT!S:S)</f>
        <v>27503659.729999993</v>
      </c>
      <c r="K23" s="302">
        <f>SUMIF(Input_Zuschlagszahlungen_KAT!$W:$W,'Anlage 1f_ZuschlagszahlungenKAT'!$A23,Input_Zuschlagszahlungen_KAT!T:T)</f>
        <v>162286808</v>
      </c>
      <c r="L23" s="643">
        <f>SUMIF(Input_Zuschlagszahlungen_KAT!$W:$W,'Anlage 1f_ZuschlagszahlungenKAT'!$A23,Input_Zuschlagszahlungen_KAT!U:U)</f>
        <v>10534118.189999999</v>
      </c>
    </row>
    <row r="24" spans="1:12" ht="38.25" hidden="1" outlineLevel="1">
      <c r="A24" s="294" t="s">
        <v>180</v>
      </c>
      <c r="B24" s="360" t="s">
        <v>2123</v>
      </c>
      <c r="C24" s="278">
        <f t="shared" ref="C24:C28" si="3">E24+G24+I24+K24</f>
        <v>19224987491.181</v>
      </c>
      <c r="D24" s="644">
        <f t="shared" si="2"/>
        <v>692251955.03999996</v>
      </c>
      <c r="E24" s="278">
        <f>SUMIF(Input_Zuschlagszahlungen_KAT!$W:$W,'Anlage 1f_ZuschlagszahlungenKAT'!$A24,Input_Zuschlagszahlungen_KAT!N:N)</f>
        <v>6039747803</v>
      </c>
      <c r="F24" s="644">
        <f>SUMIF(Input_Zuschlagszahlungen_KAT!$W:$W,'Anlage 1f_ZuschlagszahlungenKAT'!$A24,Input_Zuschlagszahlungen_KAT!O:O)</f>
        <v>216329368.88999996</v>
      </c>
      <c r="G24" s="278">
        <f>SUMIF(Input_Zuschlagszahlungen_KAT!$W:$W,'Anlage 1f_ZuschlagszahlungenKAT'!$A24,Input_Zuschlagszahlungen_KAT!P:P)</f>
        <v>6366796036</v>
      </c>
      <c r="H24" s="644">
        <f>SUMIF(Input_Zuschlagszahlungen_KAT!$W:$W,'Anlage 1f_ZuschlagszahlungenKAT'!$A24,Input_Zuschlagszahlungen_KAT!Q:Q)</f>
        <v>225292516.68000001</v>
      </c>
      <c r="I24" s="278">
        <f>SUMIF(Input_Zuschlagszahlungen_KAT!$W:$W,'Anlage 1f_ZuschlagszahlungenKAT'!$A24,Input_Zuschlagszahlungen_KAT!R:R)</f>
        <v>6098686692.1810007</v>
      </c>
      <c r="J24" s="644">
        <f>SUMIF(Input_Zuschlagszahlungen_KAT!$W:$W,'Anlage 1f_ZuschlagszahlungenKAT'!$A24,Input_Zuschlagszahlungen_KAT!S:S)</f>
        <v>219806182.08000001</v>
      </c>
      <c r="K24" s="278">
        <f>SUMIF(Input_Zuschlagszahlungen_KAT!$W:$W,'Anlage 1f_ZuschlagszahlungenKAT'!$A24,Input_Zuschlagszahlungen_KAT!T:T)</f>
        <v>719756960</v>
      </c>
      <c r="L24" s="644">
        <f>SUMIF(Input_Zuschlagszahlungen_KAT!$W:$W,'Anlage 1f_ZuschlagszahlungenKAT'!$A24,Input_Zuschlagszahlungen_KAT!U:U)</f>
        <v>30823887.389999993</v>
      </c>
    </row>
    <row r="25" spans="1:12" ht="51" hidden="1" outlineLevel="1">
      <c r="A25" s="275" t="s">
        <v>251</v>
      </c>
      <c r="B25" s="361" t="s">
        <v>2124</v>
      </c>
      <c r="C25" s="278">
        <f t="shared" si="3"/>
        <v>306146827.65099996</v>
      </c>
      <c r="D25" s="644">
        <f t="shared" si="2"/>
        <v>12017942.13000001</v>
      </c>
      <c r="E25" s="278">
        <f>SUMIF(Input_Zuschlagszahlungen_KAT!$W:$W,'Anlage 1f_ZuschlagszahlungenKAT'!$A25,Input_Zuschlagszahlungen_KAT!N:N)</f>
        <v>43580785</v>
      </c>
      <c r="F25" s="644">
        <f>SUMIF(Input_Zuschlagszahlungen_KAT!$W:$W,'Anlage 1f_ZuschlagszahlungenKAT'!$A25,Input_Zuschlagszahlungen_KAT!O:O)</f>
        <v>1711537.0199999998</v>
      </c>
      <c r="G25" s="278">
        <f>SUMIF(Input_Zuschlagszahlungen_KAT!$W:$W,'Anlage 1f_ZuschlagszahlungenKAT'!$A25,Input_Zuschlagszahlungen_KAT!P:P)</f>
        <v>85071559</v>
      </c>
      <c r="H25" s="644">
        <f>SUMIF(Input_Zuschlagszahlungen_KAT!$W:$W,'Anlage 1f_ZuschlagszahlungenKAT'!$A25,Input_Zuschlagszahlungen_KAT!Q:Q)</f>
        <v>3322901.8600000008</v>
      </c>
      <c r="I25" s="278">
        <f>SUMIF(Input_Zuschlagszahlungen_KAT!$W:$W,'Anlage 1f_ZuschlagszahlungenKAT'!$A25,Input_Zuschlagszahlungen_KAT!R:R)</f>
        <v>112287034.65099995</v>
      </c>
      <c r="J25" s="644">
        <f>SUMIF(Input_Zuschlagszahlungen_KAT!$W:$W,'Anlage 1f_ZuschlagszahlungenKAT'!$A25,Input_Zuschlagszahlungen_KAT!S:S)</f>
        <v>4425196.2000000104</v>
      </c>
      <c r="K25" s="278">
        <f>SUMIF(Input_Zuschlagszahlungen_KAT!$W:$W,'Anlage 1f_ZuschlagszahlungenKAT'!$A25,Input_Zuschlagszahlungen_KAT!T:T)</f>
        <v>65207449</v>
      </c>
      <c r="L25" s="644">
        <f>SUMIF(Input_Zuschlagszahlungen_KAT!$W:$W,'Anlage 1f_ZuschlagszahlungenKAT'!$A25,Input_Zuschlagszahlungen_KAT!U:U)</f>
        <v>2558307.0499999998</v>
      </c>
    </row>
    <row r="26" spans="1:12" ht="63.75" hidden="1" outlineLevel="1">
      <c r="A26" s="275" t="s">
        <v>261</v>
      </c>
      <c r="B26" s="361" t="s">
        <v>2125</v>
      </c>
      <c r="C26" s="278">
        <f t="shared" si="3"/>
        <v>90407059.879000008</v>
      </c>
      <c r="D26" s="644">
        <f t="shared" si="2"/>
        <v>1894978.3900000001</v>
      </c>
      <c r="E26" s="278">
        <f>SUMIF(Input_Zuschlagszahlungen_KAT!$W:$W,'Anlage 1f_ZuschlagszahlungenKAT'!$A26,Input_Zuschlagszahlungen_KAT!N:N)</f>
        <v>5176216</v>
      </c>
      <c r="F26" s="644">
        <f>SUMIF(Input_Zuschlagszahlungen_KAT!$W:$W,'Anlage 1f_ZuschlagszahlungenKAT'!$A26,Input_Zuschlagszahlungen_KAT!O:O)</f>
        <v>133818.98000000001</v>
      </c>
      <c r="G26" s="278">
        <f>SUMIF(Input_Zuschlagszahlungen_KAT!$W:$W,'Anlage 1f_ZuschlagszahlungenKAT'!$A26,Input_Zuschlagszahlungen_KAT!P:P)</f>
        <v>52677671</v>
      </c>
      <c r="H26" s="644">
        <f>SUMIF(Input_Zuschlagszahlungen_KAT!$W:$W,'Anlage 1f_ZuschlagszahlungenKAT'!$A26,Input_Zuschlagszahlungen_KAT!Q:Q)</f>
        <v>859458.89999999991</v>
      </c>
      <c r="I26" s="278">
        <f>SUMIF(Input_Zuschlagszahlungen_KAT!$W:$W,'Anlage 1f_ZuschlagszahlungenKAT'!$A26,Input_Zuschlagszahlungen_KAT!R:R)</f>
        <v>20193401.879000001</v>
      </c>
      <c r="J26" s="644">
        <f>SUMIF(Input_Zuschlagszahlungen_KAT!$W:$W,'Anlage 1f_ZuschlagszahlungenKAT'!$A26,Input_Zuschlagszahlungen_KAT!S:S)</f>
        <v>536242.20000000007</v>
      </c>
      <c r="K26" s="278">
        <f>SUMIF(Input_Zuschlagszahlungen_KAT!$W:$W,'Anlage 1f_ZuschlagszahlungenKAT'!$A26,Input_Zuschlagszahlungen_KAT!T:T)</f>
        <v>12359771</v>
      </c>
      <c r="L26" s="644">
        <f>SUMIF(Input_Zuschlagszahlungen_KAT!$W:$W,'Anlage 1f_ZuschlagszahlungenKAT'!$A26,Input_Zuschlagszahlungen_KAT!U:U)</f>
        <v>365458.31000000006</v>
      </c>
    </row>
    <row r="27" spans="1:12" ht="76.5" hidden="1" outlineLevel="1">
      <c r="A27" s="275" t="s">
        <v>283</v>
      </c>
      <c r="B27" s="361" t="s">
        <v>2126</v>
      </c>
      <c r="C27" s="278">
        <f t="shared" si="3"/>
        <v>210785688</v>
      </c>
      <c r="D27" s="644">
        <f t="shared" si="2"/>
        <v>4620718.5</v>
      </c>
      <c r="E27" s="278">
        <f>SUMIF(Input_Zuschlagszahlungen_KAT!$W:$W,'Anlage 1f_ZuschlagszahlungenKAT'!$A27,Input_Zuschlagszahlungen_KAT!N:N)</f>
        <v>40638603</v>
      </c>
      <c r="F27" s="644">
        <f>SUMIF(Input_Zuschlagszahlungen_KAT!$W:$W,'Anlage 1f_ZuschlagszahlungenKAT'!$A27,Input_Zuschlagszahlungen_KAT!O:O)</f>
        <v>875783.38</v>
      </c>
      <c r="G27" s="278">
        <f>SUMIF(Input_Zuschlagszahlungen_KAT!$W:$W,'Anlage 1f_ZuschlagszahlungenKAT'!$A27,Input_Zuschlagszahlungen_KAT!P:P)</f>
        <v>257819</v>
      </c>
      <c r="H27" s="644">
        <f>SUMIF(Input_Zuschlagszahlungen_KAT!$W:$W,'Anlage 1f_ZuschlagszahlungenKAT'!$A27,Input_Zuschlagszahlungen_KAT!Q:Q)</f>
        <v>13948</v>
      </c>
      <c r="I27" s="278">
        <f>SUMIF(Input_Zuschlagszahlungen_KAT!$W:$W,'Anlage 1f_ZuschlagszahlungenKAT'!$A27,Input_Zuschlagszahlungen_KAT!R:R)</f>
        <v>113789532</v>
      </c>
      <c r="J27" s="644">
        <f>SUMIF(Input_Zuschlagszahlungen_KAT!$W:$W,'Anlage 1f_ZuschlagszahlungenKAT'!$A27,Input_Zuschlagszahlungen_KAT!S:S)</f>
        <v>2514753.98</v>
      </c>
      <c r="K27" s="278">
        <f>SUMIF(Input_Zuschlagszahlungen_KAT!$W:$W,'Anlage 1f_ZuschlagszahlungenKAT'!$A27,Input_Zuschlagszahlungen_KAT!T:T)</f>
        <v>56099734</v>
      </c>
      <c r="L27" s="644">
        <f>SUMIF(Input_Zuschlagszahlungen_KAT!$W:$W,'Anlage 1f_ZuschlagszahlungenKAT'!$A27,Input_Zuschlagszahlungen_KAT!U:U)</f>
        <v>1216233.1400000001</v>
      </c>
    </row>
    <row r="28" spans="1:12" ht="25.5" hidden="1" outlineLevel="1">
      <c r="A28" s="295" t="s">
        <v>302</v>
      </c>
      <c r="B28" s="361" t="s">
        <v>2127</v>
      </c>
      <c r="C28" s="278">
        <f t="shared" si="3"/>
        <v>515193050.17400002</v>
      </c>
      <c r="D28" s="644">
        <f t="shared" si="2"/>
        <v>64690562.640000001</v>
      </c>
      <c r="E28" s="278">
        <f>SUMIF(Input_Zuschlagszahlungen_KAT!$W:$W,'Anlage 1f_ZuschlagszahlungenKAT'!$A28,Input_Zuschlagszahlungen_KAT!N:N)</f>
        <v>89766159</v>
      </c>
      <c r="F28" s="644">
        <f>SUMIF(Input_Zuschlagszahlungen_KAT!$W:$W,'Anlage 1f_ZuschlagszahlungenKAT'!$A28,Input_Zuschlagszahlungen_KAT!O:O)</f>
        <v>11982747.359999999</v>
      </c>
      <c r="G28" s="278">
        <f>SUMIF(Input_Zuschlagszahlungen_KAT!$W:$W,'Anlage 1f_ZuschlagszahlungenKAT'!$A28,Input_Zuschlagszahlungen_KAT!P:P)</f>
        <v>145316311</v>
      </c>
      <c r="H28" s="644">
        <f>SUMIF(Input_Zuschlagszahlungen_KAT!$W:$W,'Anlage 1f_ZuschlagszahlungenKAT'!$A28,Input_Zuschlagszahlungen_KAT!Q:Q)</f>
        <v>17832610.640000001</v>
      </c>
      <c r="I28" s="278">
        <f>SUMIF(Input_Zuschlagszahlungen_KAT!$W:$W,'Anlage 1f_ZuschlagszahlungenKAT'!$A28,Input_Zuschlagszahlungen_KAT!R:R)</f>
        <v>160756972.17400002</v>
      </c>
      <c r="J28" s="644">
        <f>SUMIF(Input_Zuschlagszahlungen_KAT!$W:$W,'Anlage 1f_ZuschlagszahlungenKAT'!$A28,Input_Zuschlagszahlungen_KAT!S:S)</f>
        <v>19562660.399999999</v>
      </c>
      <c r="K28" s="278">
        <f>SUMIF(Input_Zuschlagszahlungen_KAT!$W:$W,'Anlage 1f_ZuschlagszahlungenKAT'!$A28,Input_Zuschlagszahlungen_KAT!T:T)</f>
        <v>119353608</v>
      </c>
      <c r="L28" s="644">
        <f>SUMIF(Input_Zuschlagszahlungen_KAT!$W:$W,'Anlage 1f_ZuschlagszahlungenKAT'!$A28,Input_Zuschlagszahlungen_KAT!U:U)</f>
        <v>15312544.239999998</v>
      </c>
    </row>
    <row r="29" spans="1:12" ht="51" hidden="1" outlineLevel="1">
      <c r="A29" s="275" t="s">
        <v>309</v>
      </c>
      <c r="B29" s="361" t="s">
        <v>2128</v>
      </c>
      <c r="C29" s="354"/>
      <c r="D29" s="644">
        <f t="shared" si="2"/>
        <v>10604.32</v>
      </c>
      <c r="E29" s="354"/>
      <c r="F29" s="644">
        <f>SUMIF(Input_Zuschlagszahlungen_KAT!$W:$W,'Anlage 1f_ZuschlagszahlungenKAT'!$A29,Input_Zuschlagszahlungen_KAT!O:O)</f>
        <v>77.88</v>
      </c>
      <c r="G29" s="354"/>
      <c r="H29" s="644">
        <f>SUMIF(Input_Zuschlagszahlungen_KAT!$W:$W,'Anlage 1f_ZuschlagszahlungenKAT'!$A29,Input_Zuschlagszahlungen_KAT!Q:Q)</f>
        <v>326.44</v>
      </c>
      <c r="I29" s="354"/>
      <c r="J29" s="644">
        <f>SUMIF(Input_Zuschlagszahlungen_KAT!$W:$W,'Anlage 1f_ZuschlagszahlungenKAT'!$A29,Input_Zuschlagszahlungen_KAT!S:S)</f>
        <v>10200</v>
      </c>
      <c r="K29" s="354"/>
      <c r="L29" s="644">
        <f>SUMIF(Input_Zuschlagszahlungen_KAT!$W:$W,'Anlage 1f_ZuschlagszahlungenKAT'!$A29,Input_Zuschlagszahlungen_KAT!U:U)</f>
        <v>0</v>
      </c>
    </row>
    <row r="30" spans="1:12" ht="51.75" hidden="1" outlineLevel="1" thickBot="1">
      <c r="A30" s="271" t="s">
        <v>314</v>
      </c>
      <c r="B30" s="362" t="s">
        <v>2129</v>
      </c>
      <c r="C30" s="280"/>
      <c r="D30" s="645">
        <f t="shared" si="2"/>
        <v>-1490212.78</v>
      </c>
      <c r="E30" s="280"/>
      <c r="F30" s="645">
        <f>SUMIF(Input_Zuschlagszahlungen_KAT!$W:$W,'Anlage 1f_ZuschlagszahlungenKAT'!$A30,Input_Zuschlagszahlungen_KAT!O:O)</f>
        <v>-74278.490000000005</v>
      </c>
      <c r="G30" s="280"/>
      <c r="H30" s="645">
        <f>SUMIF(Input_Zuschlagszahlungen_KAT!$W:$W,'Anlage 1f_ZuschlagszahlungenKAT'!$A30,Input_Zuschlagszahlungen_KAT!Q:Q)</f>
        <v>-1129790.7</v>
      </c>
      <c r="I30" s="280"/>
      <c r="J30" s="645">
        <f>SUMIF(Input_Zuschlagszahlungen_KAT!$W:$W,'Anlage 1f_ZuschlagszahlungenKAT'!$A30,Input_Zuschlagszahlungen_KAT!S:S)</f>
        <v>-257053.7900000001</v>
      </c>
      <c r="K30" s="280"/>
      <c r="L30" s="645">
        <f>SUMIF(Input_Zuschlagszahlungen_KAT!$W:$W,'Anlage 1f_ZuschlagszahlungenKAT'!$A30,Input_Zuschlagszahlungen_KAT!U:U)</f>
        <v>-29089.8</v>
      </c>
    </row>
    <row r="31" spans="1:12" ht="51" hidden="1" outlineLevel="1">
      <c r="A31" s="273" t="s">
        <v>322</v>
      </c>
      <c r="B31" s="357" t="s">
        <v>2130</v>
      </c>
      <c r="C31" s="276"/>
      <c r="D31" s="643">
        <f t="shared" si="2"/>
        <v>-397627.05999999994</v>
      </c>
      <c r="E31" s="276"/>
      <c r="F31" s="643">
        <f>SUMIF(Input_Zuschlagszahlungen_KAT!$W:$W,'Anlage 1f_ZuschlagszahlungenKAT'!$A31,Input_Zuschlagszahlungen_KAT!O:O)</f>
        <v>-39123.46</v>
      </c>
      <c r="G31" s="276"/>
      <c r="H31" s="643">
        <f>SUMIF(Input_Zuschlagszahlungen_KAT!$W:$W,'Anlage 1f_ZuschlagszahlungenKAT'!$A31,Input_Zuschlagszahlungen_KAT!Q:Q)</f>
        <v>-158508.04999999999</v>
      </c>
      <c r="I31" s="276"/>
      <c r="J31" s="643">
        <f>SUMIF(Input_Zuschlagszahlungen_KAT!$W:$W,'Anlage 1f_ZuschlagszahlungenKAT'!$A31,Input_Zuschlagszahlungen_KAT!S:S)</f>
        <v>-127925.83</v>
      </c>
      <c r="K31" s="276"/>
      <c r="L31" s="643">
        <f>SUMIF(Input_Zuschlagszahlungen_KAT!$W:$W,'Anlage 1f_ZuschlagszahlungenKAT'!$A31,Input_Zuschlagszahlungen_KAT!U:U)</f>
        <v>-72069.72</v>
      </c>
    </row>
    <row r="32" spans="1:12" ht="51.75" hidden="1" outlineLevel="1" thickBot="1">
      <c r="A32" s="355" t="s">
        <v>318</v>
      </c>
      <c r="B32" s="358" t="s">
        <v>2131</v>
      </c>
      <c r="C32" s="363"/>
      <c r="D32" s="645">
        <f>F32+H32+J32+L32</f>
        <v>-44459.33</v>
      </c>
      <c r="E32" s="356"/>
      <c r="F32" s="1608">
        <f>SUMIF(Input_Zuschlagszahlungen_KAT!$W:$W,'Anlage 1f_ZuschlagszahlungenKAT'!$A32,Input_Zuschlagszahlungen_KAT!O:O)</f>
        <v>-10037.31</v>
      </c>
      <c r="G32" s="356"/>
      <c r="H32" s="1608">
        <f>SUMIF(Input_Zuschlagszahlungen_KAT!$W:$W,'Anlage 1f_ZuschlagszahlungenKAT'!$A32,Input_Zuschlagszahlungen_KAT!Q:Q)</f>
        <v>-13981.38</v>
      </c>
      <c r="I32" s="356"/>
      <c r="J32" s="1608">
        <f>SUMIF(Input_Zuschlagszahlungen_KAT!$W:$W,'Anlage 1f_ZuschlagszahlungenKAT'!$A32,Input_Zuschlagszahlungen_KAT!S:S)</f>
        <v>-17445.14</v>
      </c>
      <c r="K32" s="356"/>
      <c r="L32" s="1608">
        <f>SUMIF(Input_Zuschlagszahlungen_KAT!$W:$W,'Anlage 1f_ZuschlagszahlungenKAT'!$A32,Input_Zuschlagszahlungen_KAT!U:U)</f>
        <v>-2995.5</v>
      </c>
    </row>
    <row r="33" spans="1:15" ht="25.5" hidden="1" outlineLevel="1">
      <c r="A33" s="287" t="s">
        <v>122</v>
      </c>
      <c r="B33" s="359" t="s">
        <v>2132</v>
      </c>
      <c r="C33" s="276"/>
      <c r="D33" s="643">
        <f t="shared" si="2"/>
        <v>19980927.68</v>
      </c>
      <c r="E33" s="276"/>
      <c r="F33" s="643">
        <f>SUMIF(Input_Zuschlagszahlungen_KAT!$W:$W,'Anlage 1f_ZuschlagszahlungenKAT'!$A33,Input_Zuschlagszahlungen_KAT!O:O)</f>
        <v>0</v>
      </c>
      <c r="G33" s="276"/>
      <c r="H33" s="643">
        <f>SUMIF(Input_Zuschlagszahlungen_KAT!$W:$W,'Anlage 1f_ZuschlagszahlungenKAT'!$A33,Input_Zuschlagszahlungen_KAT!Q:Q)</f>
        <v>0</v>
      </c>
      <c r="I33" s="276"/>
      <c r="J33" s="643">
        <f>SUMIF(Input_Zuschlagszahlungen_KAT!$W:$W,'Anlage 1f_ZuschlagszahlungenKAT'!$A33,Input_Zuschlagszahlungen_KAT!S:S)</f>
        <v>19980927.68</v>
      </c>
      <c r="K33" s="276"/>
      <c r="L33" s="643">
        <f>SUMIF(Input_Zuschlagszahlungen_KAT!$W:$W,'Anlage 1f_ZuschlagszahlungenKAT'!$A33,Input_Zuschlagszahlungen_KAT!U:U)</f>
        <v>0</v>
      </c>
    </row>
    <row r="34" spans="1:15" ht="26.25" hidden="1" outlineLevel="1" thickBot="1">
      <c r="A34" s="275" t="s">
        <v>155</v>
      </c>
      <c r="B34" s="361" t="s">
        <v>2133</v>
      </c>
      <c r="C34" s="1467"/>
      <c r="D34" s="1468">
        <f>F34+H34+J34+L34</f>
        <v>0</v>
      </c>
      <c r="E34" s="354"/>
      <c r="F34" s="644">
        <f>SUMIF(Input_Zuschlagszahlungen_KAT!$W:$W,'Anlage 1f_ZuschlagszahlungenKAT'!$A34,Input_Zuschlagszahlungen_KAT!O:O)</f>
        <v>0</v>
      </c>
      <c r="G34" s="354"/>
      <c r="H34" s="644">
        <f>SUMIF(Input_Zuschlagszahlungen_KAT!$W:$W,'Anlage 1f_ZuschlagszahlungenKAT'!$A34,Input_Zuschlagszahlungen_KAT!Q:Q)</f>
        <v>0</v>
      </c>
      <c r="I34" s="354"/>
      <c r="J34" s="644">
        <f>SUMIF(Input_Zuschlagszahlungen_KAT!$W:$W,'Anlage 1f_ZuschlagszahlungenKAT'!$A34,Input_Zuschlagszahlungen_KAT!S:S)</f>
        <v>0</v>
      </c>
      <c r="K34" s="354"/>
      <c r="L34" s="644">
        <f>SUMIF(Input_Zuschlagszahlungen_KAT!$W:$W,'Anlage 1f_ZuschlagszahlungenKAT'!$A34,Input_Zuschlagszahlungen_KAT!U:U)</f>
        <v>0</v>
      </c>
    </row>
    <row r="35" spans="1:15" ht="13.5" hidden="1" outlineLevel="1" thickBot="1">
      <c r="A35" s="970" t="s">
        <v>160</v>
      </c>
      <c r="B35" s="971" t="s">
        <v>2134</v>
      </c>
      <c r="C35" s="363"/>
      <c r="D35" s="972">
        <f t="shared" si="2"/>
        <v>37396200</v>
      </c>
      <c r="E35" s="363"/>
      <c r="F35" s="972">
        <f>SUMIF(Input_Zuschlagszahlungen_KAT!$W:$W,'Anlage 1f_ZuschlagszahlungenKAT'!$A35,Input_Zuschlagszahlungen_KAT!O:O)</f>
        <v>22501200</v>
      </c>
      <c r="G35" s="363"/>
      <c r="H35" s="972">
        <f>SUMIF(Input_Zuschlagszahlungen_KAT!$W:$W,'Anlage 1f_ZuschlagszahlungenKAT'!$A35,Input_Zuschlagszahlungen_KAT!Q:Q)</f>
        <v>0</v>
      </c>
      <c r="I35" s="363"/>
      <c r="J35" s="972">
        <f>SUMIF(Input_Zuschlagszahlungen_KAT!$W:$W,'Anlage 1f_ZuschlagszahlungenKAT'!$A35,Input_Zuschlagszahlungen_KAT!S:S)</f>
        <v>14895000</v>
      </c>
      <c r="K35" s="363"/>
      <c r="L35" s="972">
        <f>SUMIF(Input_Zuschlagszahlungen_KAT!$W:$W,'Anlage 1f_ZuschlagszahlungenKAT'!$A35,Input_Zuschlagszahlungen_KAT!U:U)</f>
        <v>0</v>
      </c>
    </row>
    <row r="36" spans="1:15" s="315" customFormat="1" ht="30.75" customHeight="1" collapsed="1" thickBot="1">
      <c r="A36" s="1787" t="s">
        <v>2135</v>
      </c>
      <c r="B36" s="1788"/>
      <c r="C36" s="353">
        <f>SUM(C12:C16)</f>
        <v>264274643.67699999</v>
      </c>
      <c r="D36" s="646">
        <f>SUM(D12:D16)</f>
        <v>4093177.26</v>
      </c>
      <c r="E36" s="353">
        <f t="shared" ref="E36:H36" si="4">SUM(E12:E16)</f>
        <v>110719499</v>
      </c>
      <c r="F36" s="646">
        <f t="shared" si="4"/>
        <v>1674211.0099999998</v>
      </c>
      <c r="G36" s="353">
        <f t="shared" si="4"/>
        <v>82601187</v>
      </c>
      <c r="H36" s="646">
        <f t="shared" si="4"/>
        <v>1264963.7799999998</v>
      </c>
      <c r="I36" s="353">
        <f>SUM(I12:I16)</f>
        <v>65928575.677000001</v>
      </c>
      <c r="J36" s="646">
        <f t="shared" ref="J36:L36" si="5">SUM(J12:J16)</f>
        <v>1067321.1299999999</v>
      </c>
      <c r="K36" s="353">
        <f t="shared" si="5"/>
        <v>5025382</v>
      </c>
      <c r="L36" s="646">
        <f t="shared" si="5"/>
        <v>86681.34</v>
      </c>
      <c r="N36" s="323" t="b">
        <f>ROUND(C36,0)=ROUND('Anlage 1a_Zuschlagszahlungen_NB'!B839,0)</f>
        <v>1</v>
      </c>
      <c r="O36" s="323" t="b">
        <f>ROUND(D36,0)=ROUND('Anlage 1a_Zuschlagszahlungen_NB'!B1678,0)</f>
        <v>1</v>
      </c>
    </row>
    <row r="37" spans="1:15" ht="29.25" customHeight="1" thickBot="1">
      <c r="A37" s="1787" t="s">
        <v>2136</v>
      </c>
      <c r="B37" s="1788"/>
      <c r="C37" s="353">
        <f>SUM(C17:C21)</f>
        <v>2006540930.0939999</v>
      </c>
      <c r="D37" s="646">
        <f>SUM(D17:D22)</f>
        <v>50431943.43</v>
      </c>
      <c r="E37" s="353">
        <f>SUM(E17:E21)</f>
        <v>102364382</v>
      </c>
      <c r="F37" s="646">
        <f>SUM(F17:F22)</f>
        <v>3471552.94</v>
      </c>
      <c r="G37" s="353">
        <f>SUM(G17:G21)</f>
        <v>630989950</v>
      </c>
      <c r="H37" s="646">
        <f>SUM(H17:H22)</f>
        <v>15498146.710000001</v>
      </c>
      <c r="I37" s="353">
        <f>SUM(I17:I21)</f>
        <v>315912016.09399998</v>
      </c>
      <c r="J37" s="646">
        <f>SUM(J17:J22)</f>
        <v>9512529.3499999978</v>
      </c>
      <c r="K37" s="353">
        <f>SUM(K17:K21)</f>
        <v>957274582</v>
      </c>
      <c r="L37" s="646">
        <f>SUM(L17:L22)</f>
        <v>21949714.43</v>
      </c>
      <c r="N37" s="323" t="b">
        <f>ROUND(C37,0)=ROUND('Anlage 1a_Zuschlagszahlungen_NB'!C839,0)</f>
        <v>1</v>
      </c>
      <c r="O37" s="323" t="b">
        <f>ROUND(D37,0)=ROUND('Anlage 1a_Zuschlagszahlungen_NB'!C1678,0)</f>
        <v>1</v>
      </c>
    </row>
    <row r="38" spans="1:15" s="28" customFormat="1" ht="24" customHeight="1" thickBot="1">
      <c r="A38" s="1789" t="s">
        <v>2137</v>
      </c>
      <c r="B38" s="1790"/>
      <c r="C38" s="318">
        <f>SUM(C23:C28)</f>
        <v>22055303035.622002</v>
      </c>
      <c r="D38" s="441">
        <f>SUM(D23:D30)</f>
        <v>876213733.01999998</v>
      </c>
      <c r="E38" s="318">
        <f>SUM(E23:E28)</f>
        <v>6723087792</v>
      </c>
      <c r="F38" s="441">
        <f>SUM(F23:F30)</f>
        <v>262051557.35999995</v>
      </c>
      <c r="G38" s="366">
        <f>SUM(G23:G28)</f>
        <v>7320239610</v>
      </c>
      <c r="H38" s="1609">
        <f>SUM(H23:H30)</f>
        <v>279278876.34000003</v>
      </c>
      <c r="I38" s="318">
        <f>SUM(I23:I28)</f>
        <v>6876911303.6220007</v>
      </c>
      <c r="J38" s="441">
        <f>SUM(J23:J30)</f>
        <v>274101840.79999995</v>
      </c>
      <c r="K38" s="366">
        <f>SUM(K23:K28)</f>
        <v>1135064330</v>
      </c>
      <c r="L38" s="441">
        <f>SUM(L23:L30)</f>
        <v>60781458.519999996</v>
      </c>
      <c r="N38" s="322" t="b">
        <f>ROUND(C38,0)=ROUND('Anlage 1a_Zuschlagszahlungen_NB'!D839,0)</f>
        <v>1</v>
      </c>
      <c r="O38" s="322" t="b">
        <f>ROUND(D38,0)=ROUND('Anlage 1a_Zuschlagszahlungen_NB'!D1678,0)</f>
        <v>1</v>
      </c>
    </row>
    <row r="39" spans="1:15" s="28" customFormat="1" ht="22.5" customHeight="1">
      <c r="A39" s="1787" t="s">
        <v>2138</v>
      </c>
      <c r="B39" s="1788"/>
      <c r="C39" s="316"/>
      <c r="D39" s="441">
        <f>SUM(D31:D32)</f>
        <v>-442086.38999999996</v>
      </c>
      <c r="E39" s="365"/>
      <c r="F39" s="441">
        <f>SUM(F31:F32)</f>
        <v>-49160.77</v>
      </c>
      <c r="G39" s="365"/>
      <c r="H39" s="441">
        <f>SUM(H31:H32)</f>
        <v>-172489.43</v>
      </c>
      <c r="I39" s="367"/>
      <c r="J39" s="1609">
        <f>SUM(J31:J32)</f>
        <v>-145370.97</v>
      </c>
      <c r="K39" s="365"/>
      <c r="L39" s="441">
        <f>SUM(L31:L32)</f>
        <v>-75065.22</v>
      </c>
      <c r="N39" s="322"/>
      <c r="O39" s="322" t="b">
        <f>ROUND(D39,0)=ROUND('Anlage 1b_Abzüge, Pflicht, Boni'!B86,0)</f>
        <v>1</v>
      </c>
    </row>
    <row r="40" spans="1:15" s="28" customFormat="1" ht="22.5" customHeight="1" thickBot="1">
      <c r="A40" s="1787" t="s">
        <v>2139</v>
      </c>
      <c r="B40" s="1788"/>
      <c r="C40" s="316"/>
      <c r="D40" s="441">
        <f>SUM(D33:D35)</f>
        <v>57377127.68</v>
      </c>
      <c r="E40" s="365"/>
      <c r="F40" s="441">
        <f t="shared" ref="F40" si="6">SUM(F33:F35)</f>
        <v>22501200</v>
      </c>
      <c r="G40" s="365"/>
      <c r="H40" s="441">
        <f t="shared" ref="H40" si="7">SUM(H33:H35)</f>
        <v>0</v>
      </c>
      <c r="I40" s="367"/>
      <c r="J40" s="1609">
        <f t="shared" ref="J40" si="8">SUM(J33:J35)</f>
        <v>34875927.68</v>
      </c>
      <c r="K40" s="365"/>
      <c r="L40" s="441">
        <f>SUM(L33:L35)</f>
        <v>0</v>
      </c>
      <c r="N40" s="322"/>
      <c r="O40" s="322" t="b">
        <f>ROUND(D40,0)=ROUND('Anlage 1b_Abzüge, Pflicht, Boni'!D86,0)</f>
        <v>1</v>
      </c>
    </row>
    <row r="41" spans="1:15" ht="39" thickBot="1">
      <c r="A41" s="1520" t="s">
        <v>328</v>
      </c>
      <c r="B41" s="290" t="s">
        <v>2140</v>
      </c>
      <c r="C41" s="293"/>
      <c r="D41" s="647">
        <f>F41+H41+J41+L41</f>
        <v>-6608.8000000000029</v>
      </c>
      <c r="E41" s="293"/>
      <c r="F41" s="1610">
        <f>SUMIF(Input_Zuschlagszahlungen_KAT!$W:$W,'Anlage 1f_ZuschlagszahlungenKAT'!$A41,Input_Zuschlagszahlungen_KAT!O:O)</f>
        <v>3300</v>
      </c>
      <c r="G41" s="292"/>
      <c r="H41" s="1610">
        <f>SUMIF(Input_Zuschlagszahlungen_KAT!$W:$W,'Anlage 1f_ZuschlagszahlungenKAT'!$A41,Input_Zuschlagszahlungen_KAT!Q:Q)</f>
        <v>-14700</v>
      </c>
      <c r="I41" s="292"/>
      <c r="J41" s="1610">
        <f>SUMIF(Input_Zuschlagszahlungen_KAT!$W:$W,'Anlage 1f_ZuschlagszahlungenKAT'!$A41,Input_Zuschlagszahlungen_KAT!S:S)</f>
        <v>7275.1999999999971</v>
      </c>
      <c r="K41" s="291"/>
      <c r="L41" s="1610">
        <f>SUMIF(Input_Zuschlagszahlungen_KAT!$W:$W,'Anlage 1f_ZuschlagszahlungenKAT'!$A41,Input_Zuschlagszahlungen_KAT!U:U)</f>
        <v>-2484</v>
      </c>
      <c r="O41" s="322" t="b">
        <f>ROUND(D41,0)=ROUND('Anlage 1b_Abzüge, Pflicht, Boni'!C86,0)</f>
        <v>1</v>
      </c>
    </row>
    <row r="42" spans="1:15" ht="13.5" thickBot="1">
      <c r="A42" s="1782"/>
      <c r="B42" s="1783"/>
      <c r="C42" s="316"/>
      <c r="D42" s="320"/>
      <c r="E42" s="364"/>
      <c r="F42" s="320"/>
      <c r="G42" s="364"/>
      <c r="H42" s="320"/>
      <c r="I42" s="317"/>
      <c r="J42" s="367"/>
      <c r="K42" s="364"/>
      <c r="L42" s="320"/>
    </row>
    <row r="43" spans="1:15" ht="39" thickBot="1">
      <c r="A43" s="289" t="s">
        <v>2141</v>
      </c>
      <c r="B43" s="290" t="s">
        <v>2142</v>
      </c>
      <c r="C43" s="293"/>
      <c r="D43" s="647">
        <f>F43+H43+J43+L43</f>
        <v>-781117</v>
      </c>
      <c r="E43" s="293"/>
      <c r="F43" s="1610">
        <f>'Anlage 1d_Pönalen'!B8</f>
        <v>-643781</v>
      </c>
      <c r="G43" s="292"/>
      <c r="H43" s="1610">
        <f>'Anlage 1d_Pönalen'!B9</f>
        <v>0</v>
      </c>
      <c r="I43" s="292"/>
      <c r="J43" s="1610">
        <f>'Anlage 1d_Pönalen'!B10</f>
        <v>0</v>
      </c>
      <c r="K43" s="291"/>
      <c r="L43" s="1610">
        <f>'Anlage 1d_Pönalen'!B11</f>
        <v>-137336</v>
      </c>
      <c r="O43" s="369" t="b">
        <f>D43='Anlage 1d_Pönalen'!B12</f>
        <v>1</v>
      </c>
    </row>
    <row r="44" spans="1:15" ht="13.5" thickBot="1">
      <c r="A44" s="1782"/>
      <c r="B44" s="1783"/>
      <c r="C44" s="316"/>
      <c r="D44" s="320"/>
      <c r="E44" s="364"/>
      <c r="F44" s="320"/>
      <c r="G44" s="364"/>
      <c r="H44" s="320"/>
      <c r="I44" s="317"/>
      <c r="J44" s="367"/>
      <c r="K44" s="364"/>
      <c r="L44" s="320"/>
    </row>
    <row r="45" spans="1:15" ht="37.5" customHeight="1">
      <c r="A45" s="273" t="s">
        <v>2143</v>
      </c>
      <c r="B45" s="1499" t="s">
        <v>2144</v>
      </c>
      <c r="C45" s="276"/>
      <c r="D45" s="648">
        <f>F45+H45+J45+L45</f>
        <v>266842947</v>
      </c>
      <c r="E45" s="276"/>
      <c r="F45" s="643">
        <f>'Anlage 1e_WKNS'!B8</f>
        <v>38375494</v>
      </c>
      <c r="G45" s="277"/>
      <c r="H45" s="643">
        <f>'Anlage 1e_WKNS'!B9</f>
        <v>82690096</v>
      </c>
      <c r="I45" s="277"/>
      <c r="J45" s="643">
        <f>'Anlage 1e_WKNS'!B10</f>
        <v>81847676</v>
      </c>
      <c r="K45" s="288"/>
      <c r="L45" s="643">
        <f>'Anlage 1e_WKNS'!B11</f>
        <v>63929681</v>
      </c>
    </row>
    <row r="46" spans="1:15" ht="39" customHeight="1" thickBot="1">
      <c r="A46" s="271" t="s">
        <v>2145</v>
      </c>
      <c r="B46" s="1500" t="s">
        <v>2146</v>
      </c>
      <c r="C46" s="280"/>
      <c r="D46" s="649">
        <f>F46+H46+J46+L46</f>
        <v>8623468</v>
      </c>
      <c r="E46" s="280"/>
      <c r="F46" s="645">
        <f>'Anlage 1e_WKNS'!C8</f>
        <v>864864</v>
      </c>
      <c r="G46" s="274"/>
      <c r="H46" s="645">
        <f>'Anlage 1e_WKNS'!C9</f>
        <v>3014963</v>
      </c>
      <c r="I46" s="274"/>
      <c r="J46" s="645">
        <f>'Anlage 1e_WKNS'!C10</f>
        <v>3843768</v>
      </c>
      <c r="K46" s="281"/>
      <c r="L46" s="645">
        <f>'Anlage 1e_WKNS'!C11</f>
        <v>899873</v>
      </c>
    </row>
    <row r="47" spans="1:15" s="28" customFormat="1" ht="22.5" customHeight="1" thickBot="1">
      <c r="A47" s="1787" t="s">
        <v>2147</v>
      </c>
      <c r="B47" s="1788"/>
      <c r="C47" s="316"/>
      <c r="D47" s="441">
        <f>SUM(D45:D46)</f>
        <v>275466415</v>
      </c>
      <c r="E47" s="365"/>
      <c r="F47" s="441">
        <f>SUM(F45:F46)</f>
        <v>39240358</v>
      </c>
      <c r="G47" s="365"/>
      <c r="H47" s="441">
        <f>SUM(H45:H46)</f>
        <v>85705059</v>
      </c>
      <c r="I47" s="367"/>
      <c r="J47" s="1609">
        <f>SUM(J45:J46)</f>
        <v>85691444</v>
      </c>
      <c r="K47" s="365"/>
      <c r="L47" s="441">
        <f>SUM(L45:L46)</f>
        <v>64829554</v>
      </c>
      <c r="N47" s="322"/>
      <c r="O47" s="322" t="b">
        <f>D47='Anlage 1e_WKNS'!D12</f>
        <v>1</v>
      </c>
    </row>
    <row r="48" spans="1:15" ht="20.25" customHeight="1" thickBot="1">
      <c r="A48" s="284"/>
      <c r="B48" s="285"/>
      <c r="C48" s="368">
        <f>SUM(C36:C38)</f>
        <v>24326118609.393002</v>
      </c>
      <c r="D48" s="650">
        <f>SUM(D36:D46)</f>
        <v>1262352584.2</v>
      </c>
      <c r="E48" s="368">
        <f>SUM(E36:E38)</f>
        <v>6936171673</v>
      </c>
      <c r="F48" s="650">
        <f>SUM(F36:F46)</f>
        <v>328249237.53999996</v>
      </c>
      <c r="G48" s="368">
        <f>SUM(G36:G38)</f>
        <v>8033830747</v>
      </c>
      <c r="H48" s="650">
        <f>SUM(H36:H46)</f>
        <v>381559856.40000004</v>
      </c>
      <c r="I48" s="368">
        <f>SUM(I36:I38)</f>
        <v>7258751895.3930006</v>
      </c>
      <c r="J48" s="650">
        <f>SUM(J36:J46)</f>
        <v>405110967.18999994</v>
      </c>
      <c r="K48" s="368">
        <f>SUM(K36:K38)</f>
        <v>2097364294</v>
      </c>
      <c r="L48" s="650">
        <f>SUM(L36:L46)</f>
        <v>147432523.06999999</v>
      </c>
    </row>
  </sheetData>
  <sheetProtection algorithmName="SHA-512" hashValue="I3dZu90/P5gcp28iVBJNedio/diqEgVcky0FufCVFNzBbVyJdzANu00mhppNOC8oEuLHFDzAB2YfjEIi3v3W7w==" saltValue="oLR5lUsqpEIf/MtpmiIZcA==" spinCount="100000" sheet="1" objects="1" scenarios="1"/>
  <mergeCells count="18">
    <mergeCell ref="A1:D1"/>
    <mergeCell ref="A47:B47"/>
    <mergeCell ref="A38:B38"/>
    <mergeCell ref="A37:B37"/>
    <mergeCell ref="A36:B36"/>
    <mergeCell ref="A39:B39"/>
    <mergeCell ref="A40:B40"/>
    <mergeCell ref="A5:D5"/>
    <mergeCell ref="E7:F7"/>
    <mergeCell ref="G5:L5"/>
    <mergeCell ref="A42:B42"/>
    <mergeCell ref="A44:B44"/>
    <mergeCell ref="C7:D7"/>
    <mergeCell ref="A7:A8"/>
    <mergeCell ref="B7:B8"/>
    <mergeCell ref="G7:H7"/>
    <mergeCell ref="I7:J7"/>
    <mergeCell ref="K7:L7"/>
  </mergeCells>
  <pageMargins left="0.98425196850393704" right="0.78740157480314965" top="1.299212598425197" bottom="0.74803149606299213" header="0.31496062992125984" footer="0.31496062992125984"/>
  <pageSetup paperSize="9" scale="86" orientation="landscape" r:id="rId1"/>
  <headerFooter scaleWithDoc="0">
    <oddHeader>&amp;L&amp;G</oddHeader>
    <oddFooter>&amp;R&amp;UAnlage 1f&amp;U
Seite &amp;P</oddFooter>
  </headerFooter>
  <ignoredErrors>
    <ignoredError sqref="D37:D38 D48 F48" formula="1"/>
    <ignoredError sqref="E36:F36 F38:F40 E37" formulaRange="1"/>
    <ignoredError sqref="E38 F37" formula="1" formulaRange="1"/>
  </ignoredError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EB8B-127E-4CFC-B660-6F79EA83AC6D}">
  <sheetPr>
    <pageSetUpPr fitToPage="1"/>
  </sheetPr>
  <dimension ref="A2:Q134"/>
  <sheetViews>
    <sheetView view="pageLayout" zoomScaleNormal="110" workbookViewId="0">
      <selection activeCell="H33" sqref="H33"/>
    </sheetView>
  </sheetViews>
  <sheetFormatPr baseColWidth="10" defaultColWidth="7.7109375" defaultRowHeight="12.75" outlineLevelRow="2"/>
  <cols>
    <col min="1" max="1" width="8.140625" customWidth="1"/>
    <col min="2" max="2" width="7" customWidth="1"/>
    <col min="3" max="3" width="14.28515625" style="174" customWidth="1"/>
    <col min="4" max="4" width="12.7109375" style="174" customWidth="1"/>
    <col min="5" max="5" width="14.42578125" style="174" customWidth="1"/>
    <col min="6" max="6" width="12.7109375" style="174" customWidth="1"/>
    <col min="7" max="7" width="14.5703125" style="174" customWidth="1"/>
    <col min="8" max="8" width="12.7109375" style="174" customWidth="1"/>
    <col min="9" max="9" width="15.42578125" style="174" customWidth="1"/>
    <col min="10" max="10" width="12.7109375" style="174" customWidth="1"/>
    <col min="11" max="12" width="14.28515625" style="174" customWidth="1"/>
    <col min="13" max="13" width="11.140625" customWidth="1"/>
    <col min="15" max="15" width="69.42578125" customWidth="1"/>
  </cols>
  <sheetData>
    <row r="2" spans="1:14">
      <c r="A2" s="11" t="str">
        <f>"Nachträgliche Korrekturen nach § 20 Abs. 1 EnFG auf Basis der Prüfungsvermerke der ÜNB für die Abrechnung des Kalenderjahres "&amp;Hinweise!$B$3</f>
        <v>Nachträgliche Korrekturen nach § 20 Abs. 1 EnFG auf Basis der Prüfungsvermerke der ÜNB für die Abrechnung des Kalenderjahres 2025</v>
      </c>
      <c r="B2" s="2"/>
      <c r="C2" s="176"/>
      <c r="D2" s="176"/>
      <c r="E2" s="176"/>
      <c r="F2" s="176"/>
      <c r="G2" s="176"/>
      <c r="H2" s="176"/>
      <c r="I2" s="176"/>
      <c r="J2" s="176"/>
      <c r="K2" s="176"/>
      <c r="L2" s="237">
        <f>'Anlage 1a_Zuschlagszahlungen_NB'!E1</f>
        <v>46280</v>
      </c>
    </row>
    <row r="3" spans="1:14" s="8" customFormat="1">
      <c r="A3" s="1793" t="s">
        <v>2063</v>
      </c>
      <c r="B3" s="1793"/>
      <c r="C3" s="1793"/>
      <c r="D3" s="1793"/>
      <c r="E3" s="1793"/>
      <c r="F3" s="1793"/>
      <c r="G3" s="1793"/>
      <c r="H3" s="1793"/>
      <c r="I3" s="1793"/>
      <c r="J3" s="1793"/>
      <c r="K3" s="1793"/>
      <c r="L3" s="1793"/>
    </row>
    <row r="4" spans="1:14">
      <c r="A4" s="370" t="s">
        <v>2064</v>
      </c>
      <c r="B4" s="2"/>
      <c r="C4" s="176"/>
      <c r="D4" s="176"/>
      <c r="E4" s="176"/>
      <c r="F4" s="176"/>
      <c r="G4" s="176"/>
      <c r="H4" s="176"/>
      <c r="I4" s="176"/>
      <c r="J4" s="176"/>
      <c r="K4" s="176"/>
      <c r="L4" s="175"/>
    </row>
    <row r="5" spans="1:14">
      <c r="A5" s="16"/>
      <c r="B5" s="2"/>
      <c r="C5" s="176"/>
      <c r="D5" s="176"/>
      <c r="E5" s="176"/>
      <c r="F5" s="176"/>
      <c r="G5" s="176"/>
      <c r="H5" s="176"/>
      <c r="I5" s="176"/>
      <c r="J5" s="176"/>
      <c r="K5" s="176"/>
      <c r="L5" s="175"/>
    </row>
    <row r="6" spans="1:14">
      <c r="A6" s="308" t="s">
        <v>2148</v>
      </c>
      <c r="B6" s="2"/>
      <c r="C6" s="176"/>
      <c r="D6" s="176"/>
      <c r="E6" s="176"/>
      <c r="F6" s="176"/>
      <c r="G6" s="176"/>
      <c r="H6" s="176"/>
      <c r="I6" s="176"/>
      <c r="J6" s="176"/>
      <c r="K6" s="176"/>
      <c r="L6" s="175"/>
    </row>
    <row r="7" spans="1:14">
      <c r="A7" s="308"/>
      <c r="B7" s="2"/>
      <c r="C7" s="176"/>
      <c r="D7" s="176"/>
      <c r="E7" s="176"/>
      <c r="F7" s="176"/>
      <c r="G7" s="176"/>
      <c r="H7" s="176"/>
      <c r="I7" s="176"/>
      <c r="J7" s="176"/>
      <c r="K7" s="176"/>
      <c r="L7" s="175"/>
    </row>
    <row r="8" spans="1:14" ht="13.5" thickBot="1">
      <c r="A8" s="11"/>
      <c r="B8" s="2"/>
      <c r="C8" s="176"/>
      <c r="D8" s="176"/>
      <c r="E8" s="176"/>
      <c r="F8" s="176"/>
      <c r="G8" s="176"/>
      <c r="H8" s="176"/>
      <c r="I8" s="176"/>
      <c r="J8" s="176"/>
      <c r="K8" s="176"/>
      <c r="L8" s="175"/>
    </row>
    <row r="9" spans="1:14" ht="43.5" customHeight="1" thickBot="1">
      <c r="A9" s="8"/>
      <c r="B9" s="2"/>
      <c r="C9" s="1772" t="s">
        <v>455</v>
      </c>
      <c r="D9" s="1773"/>
      <c r="E9" s="1774" t="s">
        <v>774</v>
      </c>
      <c r="F9" s="1773"/>
      <c r="G9" s="1772" t="s">
        <v>1220</v>
      </c>
      <c r="H9" s="1773"/>
      <c r="I9" s="1772" t="s">
        <v>1828</v>
      </c>
      <c r="J9" s="1773"/>
      <c r="K9" s="1772" t="s">
        <v>2047</v>
      </c>
      <c r="L9" s="1773"/>
    </row>
    <row r="10" spans="1:14" ht="51">
      <c r="A10" s="947" t="s">
        <v>2071</v>
      </c>
      <c r="B10" s="949" t="s">
        <v>2070</v>
      </c>
      <c r="C10" s="447" t="s">
        <v>2149</v>
      </c>
      <c r="D10" s="448" t="s">
        <v>2150</v>
      </c>
      <c r="E10" s="447" t="s">
        <v>2149</v>
      </c>
      <c r="F10" s="448" t="s">
        <v>2150</v>
      </c>
      <c r="G10" s="447" t="s">
        <v>2149</v>
      </c>
      <c r="H10" s="448" t="s">
        <v>2150</v>
      </c>
      <c r="I10" s="447" t="s">
        <v>2149</v>
      </c>
      <c r="J10" s="448" t="s">
        <v>2150</v>
      </c>
      <c r="K10" s="449" t="s">
        <v>2149</v>
      </c>
      <c r="L10" s="450" t="s">
        <v>2150</v>
      </c>
    </row>
    <row r="11" spans="1:14" ht="13.5" thickBot="1">
      <c r="A11" s="961"/>
      <c r="B11" s="484"/>
      <c r="C11" s="480" t="s">
        <v>2054</v>
      </c>
      <c r="D11" s="481" t="s">
        <v>2054</v>
      </c>
      <c r="E11" s="480" t="s">
        <v>2054</v>
      </c>
      <c r="F11" s="481" t="s">
        <v>2054</v>
      </c>
      <c r="G11" s="480" t="s">
        <v>2054</v>
      </c>
      <c r="H11" s="481" t="s">
        <v>2054</v>
      </c>
      <c r="I11" s="480" t="s">
        <v>2054</v>
      </c>
      <c r="J11" s="481" t="s">
        <v>2054</v>
      </c>
      <c r="K11" s="436" t="s">
        <v>2054</v>
      </c>
      <c r="L11" s="438" t="s">
        <v>2054</v>
      </c>
    </row>
    <row r="12" spans="1:14">
      <c r="A12" s="975">
        <v>2024</v>
      </c>
      <c r="B12" s="457"/>
      <c r="C12" s="476">
        <f>SUM(C13:C18)</f>
        <v>12189498.579999996</v>
      </c>
      <c r="D12" s="477">
        <f>'Anlage 1e_WKNS'!D20</f>
        <v>0</v>
      </c>
      <c r="E12" s="476">
        <f>SUM(E13:E18)</f>
        <v>19569659.580000002</v>
      </c>
      <c r="F12" s="477">
        <f>'Anlage 1e_WKNS'!D21</f>
        <v>100955</v>
      </c>
      <c r="G12" s="476">
        <f>SUM(G13:G18)</f>
        <v>18120826.629999999</v>
      </c>
      <c r="H12" s="477">
        <f>'Anlage 1e_WKNS'!D22</f>
        <v>10596940</v>
      </c>
      <c r="I12" s="476">
        <f>SUM(I13:I18)</f>
        <v>5675154.0499999998</v>
      </c>
      <c r="J12" s="477">
        <f>'Anlage 1e_WKNS'!D23</f>
        <v>195454</v>
      </c>
      <c r="K12" s="904">
        <f>C12+E12+G12+I12</f>
        <v>55555138.839999989</v>
      </c>
      <c r="L12" s="901">
        <f>D12+F12+H12+J12</f>
        <v>10893349</v>
      </c>
      <c r="M12" s="5"/>
      <c r="N12" s="5"/>
    </row>
    <row r="13" spans="1:14" hidden="1" outlineLevel="1">
      <c r="A13" s="130">
        <f>$A$12</f>
        <v>2024</v>
      </c>
      <c r="B13" s="468" t="s">
        <v>2079</v>
      </c>
      <c r="C13" s="469">
        <f>SUMIFS('Anlage 1c_Korrekturen_NB'!$L$11:$L$600,'Anlage 1c_Korrekturen_NB'!$O$11:$O$600,'Anlage 1g_Korrekturen_KG'!C$9,'Anlage 1c_Korrekturen_NB'!$B$11:$B$600,'Anlage 1g_Korrekturen_KG'!$B13,'Anlage 1c_Korrekturen_NB'!$C$11:$C$600,'Anlage 1g_Korrekturen_KG'!$A13)</f>
        <v>-55109.24</v>
      </c>
      <c r="D13" s="470"/>
      <c r="E13" s="906">
        <f>SUMIFS('Anlage 1c_Korrekturen_NB'!$L$11:$L$600,'Anlage 1c_Korrekturen_NB'!$O$11:$O$600,'Anlage 1g_Korrekturen_KG'!E$9,'Anlage 1c_Korrekturen_NB'!$B$11:$B$600,'Anlage 1g_Korrekturen_KG'!$B13,'Anlage 1c_Korrekturen_NB'!$C$11:$C$600,'Anlage 1g_Korrekturen_KG'!$A13)</f>
        <v>-117418.3</v>
      </c>
      <c r="F13" s="470"/>
      <c r="G13" s="469">
        <v>-11532.5</v>
      </c>
      <c r="H13" s="470"/>
      <c r="I13" s="469">
        <f>SUMIFS('Anlage 1c_Korrekturen_NB'!$L$11:$L$600,'Anlage 1c_Korrekturen_NB'!$O$11:$O$600,'Anlage 1g_Korrekturen_KG'!I$9,'Anlage 1c_Korrekturen_NB'!$B$11:$B$600,'Anlage 1g_Korrekturen_KG'!$B13,'Anlage 1c_Korrekturen_NB'!$C$11:$C$600,'Anlage 1g_Korrekturen_KG'!$A13)</f>
        <v>-13430.24</v>
      </c>
      <c r="J13" s="470"/>
      <c r="K13" s="905">
        <f>C13+E13+G13+I13</f>
        <v>-197490.28</v>
      </c>
      <c r="L13" s="902"/>
      <c r="M13" s="5"/>
      <c r="N13" s="5"/>
    </row>
    <row r="14" spans="1:14" hidden="1" outlineLevel="1">
      <c r="A14" s="130">
        <f t="shared" ref="A14:A18" si="0">$A$12</f>
        <v>2024</v>
      </c>
      <c r="B14" s="468">
        <v>2</v>
      </c>
      <c r="C14" s="469">
        <f>SUMIFS('Anlage 1c_Korrekturen_NB'!$L$11:$L$600,'Anlage 1c_Korrekturen_NB'!$O$11:$O$600,'Anlage 1g_Korrekturen_KG'!C$9,'Anlage 1c_Korrekturen_NB'!$B$11:$B$600,'Anlage 1g_Korrekturen_KG'!$B14,'Anlage 1c_Korrekturen_NB'!$C$11:$C$600,'Anlage 1g_Korrekturen_KG'!$A14)</f>
        <v>0</v>
      </c>
      <c r="D14" s="470"/>
      <c r="E14" s="469">
        <f>SUMIFS('Anlage 1c_Korrekturen_NB'!$L$11:$L$600,'Anlage 1c_Korrekturen_NB'!$O$11:$O$600,'Anlage 1g_Korrekturen_KG'!E$9,'Anlage 1c_Korrekturen_NB'!$B$11:$B$600,'Anlage 1g_Korrekturen_KG'!$B14,'Anlage 1c_Korrekturen_NB'!$C$11:$C$600,'Anlage 1g_Korrekturen_KG'!$A14)</f>
        <v>0</v>
      </c>
      <c r="F14" s="470"/>
      <c r="G14" s="469">
        <v>0</v>
      </c>
      <c r="H14" s="470"/>
      <c r="I14" s="469">
        <f>SUMIFS('Anlage 1c_Korrekturen_NB'!$L$11:$L$600,'Anlage 1c_Korrekturen_NB'!$O$11:$O$600,'Anlage 1g_Korrekturen_KG'!I$9,'Anlage 1c_Korrekturen_NB'!$B$11:$B$600,'Anlage 1g_Korrekturen_KG'!$B14,'Anlage 1c_Korrekturen_NB'!$C$11:$C$600,'Anlage 1g_Korrekturen_KG'!$A14)</f>
        <v>0</v>
      </c>
      <c r="J14" s="470"/>
      <c r="K14" s="905">
        <f t="shared" ref="K14:K74" si="1">C14+E14+G14+I14</f>
        <v>0</v>
      </c>
      <c r="L14" s="902"/>
      <c r="M14" s="5"/>
      <c r="N14" s="5"/>
    </row>
    <row r="15" spans="1:14" hidden="1" outlineLevel="1">
      <c r="A15" s="130">
        <f t="shared" si="0"/>
        <v>2024</v>
      </c>
      <c r="B15" s="468">
        <v>3</v>
      </c>
      <c r="C15" s="469">
        <f>SUMIFS('Anlage 1c_Korrekturen_NB'!$L$11:$L$600,'Anlage 1c_Korrekturen_NB'!$O$11:$O$600,'Anlage 1g_Korrekturen_KG'!C$9,'Anlage 1c_Korrekturen_NB'!$B$11:$B$600,'Anlage 1g_Korrekturen_KG'!$B15,'Anlage 1c_Korrekturen_NB'!$C$11:$C$600,'Anlage 1g_Korrekturen_KG'!$A15)</f>
        <v>0</v>
      </c>
      <c r="D15" s="470"/>
      <c r="E15" s="469">
        <f>SUMIFS('Anlage 1c_Korrekturen_NB'!$L$11:$L$600,'Anlage 1c_Korrekturen_NB'!$O$11:$O$600,'Anlage 1g_Korrekturen_KG'!E$9,'Anlage 1c_Korrekturen_NB'!$B$11:$B$600,'Anlage 1g_Korrekturen_KG'!$B15,'Anlage 1c_Korrekturen_NB'!$C$11:$C$600,'Anlage 1g_Korrekturen_KG'!$A15)</f>
        <v>0</v>
      </c>
      <c r="F15" s="470"/>
      <c r="G15" s="469">
        <v>0</v>
      </c>
      <c r="H15" s="470"/>
      <c r="I15" s="469">
        <f>SUMIFS('Anlage 1c_Korrekturen_NB'!$L$11:$L$600,'Anlage 1c_Korrekturen_NB'!$O$11:$O$600,'Anlage 1g_Korrekturen_KG'!I$9,'Anlage 1c_Korrekturen_NB'!$B$11:$B$600,'Anlage 1g_Korrekturen_KG'!$B15,'Anlage 1c_Korrekturen_NB'!$C$11:$C$600,'Anlage 1g_Korrekturen_KG'!$A15)</f>
        <v>0</v>
      </c>
      <c r="J15" s="470"/>
      <c r="K15" s="905">
        <f t="shared" si="1"/>
        <v>0</v>
      </c>
      <c r="L15" s="902"/>
      <c r="M15" s="5"/>
      <c r="N15" s="5"/>
    </row>
    <row r="16" spans="1:14" hidden="1" outlineLevel="1">
      <c r="A16" s="130">
        <f t="shared" si="0"/>
        <v>2024</v>
      </c>
      <c r="B16" s="468">
        <v>4</v>
      </c>
      <c r="C16" s="469">
        <f>SUMIFS('Anlage 1c_Korrekturen_NB'!$L$11:$L$600,'Anlage 1c_Korrekturen_NB'!$O$11:$O$600,'Anlage 1g_Korrekturen_KG'!C$9,'Anlage 1c_Korrekturen_NB'!$B$11:$B$600,'Anlage 1g_Korrekturen_KG'!$B16,'Anlage 1c_Korrekturen_NB'!$C$11:$C$600,'Anlage 1g_Korrekturen_KG'!$A16)</f>
        <v>0</v>
      </c>
      <c r="D16" s="470"/>
      <c r="E16" s="469">
        <f>SUMIFS('Anlage 1c_Korrekturen_NB'!$L$11:$L$600,'Anlage 1c_Korrekturen_NB'!$O$11:$O$600,'Anlage 1g_Korrekturen_KG'!E$9,'Anlage 1c_Korrekturen_NB'!$B$11:$B$600,'Anlage 1g_Korrekturen_KG'!$B16,'Anlage 1c_Korrekturen_NB'!$C$11:$C$600,'Anlage 1g_Korrekturen_KG'!$A16)</f>
        <v>0</v>
      </c>
      <c r="F16" s="470"/>
      <c r="G16" s="469">
        <v>0</v>
      </c>
      <c r="H16" s="470"/>
      <c r="I16" s="469">
        <f>SUMIFS('Anlage 1c_Korrekturen_NB'!$L$11:$L$600,'Anlage 1c_Korrekturen_NB'!$O$11:$O$600,'Anlage 1g_Korrekturen_KG'!I$9,'Anlage 1c_Korrekturen_NB'!$B$11:$B$600,'Anlage 1g_Korrekturen_KG'!$B16,'Anlage 1c_Korrekturen_NB'!$C$11:$C$600,'Anlage 1g_Korrekturen_KG'!$A16)</f>
        <v>0</v>
      </c>
      <c r="J16" s="470"/>
      <c r="K16" s="905">
        <f t="shared" si="1"/>
        <v>0</v>
      </c>
      <c r="L16" s="902"/>
      <c r="M16" s="5"/>
      <c r="N16" s="5"/>
    </row>
    <row r="17" spans="1:17" hidden="1" outlineLevel="1">
      <c r="A17" s="130">
        <f t="shared" si="0"/>
        <v>2024</v>
      </c>
      <c r="B17" s="468">
        <v>5</v>
      </c>
      <c r="C17" s="469">
        <f>SUMIFS('Anlage 1c_Korrekturen_NB'!$L$11:$L$600,'Anlage 1c_Korrekturen_NB'!$O$11:$O$600,'Anlage 1g_Korrekturen_KG'!C$9,'Anlage 1c_Korrekturen_NB'!$B$11:$B$600,'Anlage 1g_Korrekturen_KG'!$B17,'Anlage 1c_Korrekturen_NB'!$C$11:$C$600,'Anlage 1g_Korrekturen_KG'!$A17)</f>
        <v>0</v>
      </c>
      <c r="D17" s="470"/>
      <c r="E17" s="906">
        <f>SUMIFS('Anlage 1c_Korrekturen_NB'!$L$11:$L$600,'Anlage 1c_Korrekturen_NB'!$O$11:$O$600,'Anlage 1g_Korrekturen_KG'!E$9,'Anlage 1c_Korrekturen_NB'!$B$11:$B$600,'Anlage 1g_Korrekturen_KG'!$B17,'Anlage 1c_Korrekturen_NB'!$C$11:$C$600,'Anlage 1g_Korrekturen_KG'!$A17)</f>
        <v>16161.6</v>
      </c>
      <c r="F17" s="470"/>
      <c r="G17" s="469">
        <v>0</v>
      </c>
      <c r="H17" s="470"/>
      <c r="I17" s="469">
        <f>SUMIFS('Anlage 1c_Korrekturen_NB'!$L$11:$L$600,'Anlage 1c_Korrekturen_NB'!$O$11:$O$600,'Anlage 1g_Korrekturen_KG'!I$9,'Anlage 1c_Korrekturen_NB'!$B$11:$B$600,'Anlage 1g_Korrekturen_KG'!$B17,'Anlage 1c_Korrekturen_NB'!$C$11:$C$600,'Anlage 1g_Korrekturen_KG'!$A17)</f>
        <v>0</v>
      </c>
      <c r="J17" s="470"/>
      <c r="K17" s="905">
        <f t="shared" si="1"/>
        <v>16161.6</v>
      </c>
      <c r="L17" s="902"/>
      <c r="M17" s="5"/>
      <c r="N17" s="5"/>
    </row>
    <row r="18" spans="1:17" hidden="1" outlineLevel="1">
      <c r="A18" s="130">
        <f t="shared" si="0"/>
        <v>2024</v>
      </c>
      <c r="B18" s="468">
        <v>7</v>
      </c>
      <c r="C18" s="469">
        <f>SUMIFS('Anlage 1c_Korrekturen_NB'!$L$11:$L$600,'Anlage 1c_Korrekturen_NB'!$O$11:$O$600,'Anlage 1g_Korrekturen_KG'!C$9,'Anlage 1c_Korrekturen_NB'!$B$11:$B$600,'Anlage 1g_Korrekturen_KG'!$B18,'Anlage 1c_Korrekturen_NB'!$C$11:$C$600,'Anlage 1g_Korrekturen_KG'!$A18)</f>
        <v>12244607.819999997</v>
      </c>
      <c r="D18" s="470"/>
      <c r="E18" s="906">
        <f>SUMIFS('Anlage 1c_Korrekturen_NB'!$L$11:$L$600,'Anlage 1c_Korrekturen_NB'!$O$11:$O$600,'Anlage 1g_Korrekturen_KG'!E$9,'Anlage 1c_Korrekturen_NB'!$B$11:$B$600,'Anlage 1g_Korrekturen_KG'!$B18,'Anlage 1c_Korrekturen_NB'!$C$11:$C$600,'Anlage 1g_Korrekturen_KG'!$A18)</f>
        <v>19670916.280000001</v>
      </c>
      <c r="F18" s="470"/>
      <c r="G18" s="469">
        <v>18132359.129999999</v>
      </c>
      <c r="H18" s="470"/>
      <c r="I18" s="469">
        <f>SUMIFS('Anlage 1c_Korrekturen_NB'!$L$11:$L$600,'Anlage 1c_Korrekturen_NB'!$O$11:$O$600,'Anlage 1g_Korrekturen_KG'!I$9,'Anlage 1c_Korrekturen_NB'!$B$11:$B$600,'Anlage 1g_Korrekturen_KG'!$B18,'Anlage 1c_Korrekturen_NB'!$C$11:$C$600,'Anlage 1g_Korrekturen_KG'!$A18)</f>
        <v>5688584.29</v>
      </c>
      <c r="J18" s="470"/>
      <c r="K18" s="905">
        <f t="shared" si="1"/>
        <v>55736467.519999996</v>
      </c>
      <c r="L18" s="902"/>
      <c r="M18" s="5"/>
      <c r="N18" s="5"/>
    </row>
    <row r="19" spans="1:17" collapsed="1">
      <c r="A19" s="975">
        <v>2023</v>
      </c>
      <c r="B19" s="457"/>
      <c r="C19" s="476">
        <f>SUM(C20:C25)</f>
        <v>9891790.7599999998</v>
      </c>
      <c r="D19" s="477">
        <f>'Anlage 1e_WKNS'!D32</f>
        <v>31674</v>
      </c>
      <c r="E19" s="476">
        <f>SUM(E20:E25)</f>
        <v>6192146.7499999981</v>
      </c>
      <c r="F19" s="477">
        <f>'Anlage 1e_WKNS'!D33</f>
        <v>-137916</v>
      </c>
      <c r="G19" s="476">
        <f>SUM(G20:G25)</f>
        <v>2241573</v>
      </c>
      <c r="H19" s="477">
        <f>'Anlage 1e_WKNS'!D34</f>
        <v>824570</v>
      </c>
      <c r="I19" s="476">
        <f>SUM(I20:I25)</f>
        <v>1787861.99</v>
      </c>
      <c r="J19" s="477">
        <f>'Anlage 1e_WKNS'!D35</f>
        <v>-184467</v>
      </c>
      <c r="K19" s="904">
        <f t="shared" si="1"/>
        <v>20113372.499999996</v>
      </c>
      <c r="L19" s="901">
        <f>D19+F19+H19+J19</f>
        <v>533861</v>
      </c>
      <c r="M19" s="5"/>
      <c r="N19" s="5"/>
      <c r="Q19" s="119"/>
    </row>
    <row r="20" spans="1:17" hidden="1" outlineLevel="1">
      <c r="A20" s="129">
        <f>$A$19</f>
        <v>2023</v>
      </c>
      <c r="B20" s="468" t="s">
        <v>2079</v>
      </c>
      <c r="C20" s="469">
        <f>SUMIFS('Anlage 1c_Korrekturen_NB'!$L$11:$L$600,'Anlage 1c_Korrekturen_NB'!$O$11:$O$600,'Anlage 1g_Korrekturen_KG'!C$9,'Anlage 1c_Korrekturen_NB'!$B$11:$B$600,'Anlage 1g_Korrekturen_KG'!$B20,'Anlage 1c_Korrekturen_NB'!$C$11:$C$600,'Anlage 1g_Korrekturen_KG'!$A20)</f>
        <v>-86397.709999999992</v>
      </c>
      <c r="D20" s="470"/>
      <c r="E20" s="906">
        <f>SUMIFS('Anlage 1c_Korrekturen_NB'!$L$11:$L$600,'Anlage 1c_Korrekturen_NB'!$O$11:$O$600,'Anlage 1g_Korrekturen_KG'!E$9,'Anlage 1c_Korrekturen_NB'!$B$11:$B$600,'Anlage 1g_Korrekturen_KG'!$B20,'Anlage 1c_Korrekturen_NB'!$C$11:$C$600,'Anlage 1g_Korrekturen_KG'!$A20)</f>
        <v>-161612.66999999998</v>
      </c>
      <c r="F20" s="470"/>
      <c r="G20" s="469">
        <v>-5386.22</v>
      </c>
      <c r="H20" s="470"/>
      <c r="I20" s="469">
        <f>SUMIFS('Anlage 1c_Korrekturen_NB'!$L$11:$L$600,'Anlage 1c_Korrekturen_NB'!$O$11:$O$600,'Anlage 1g_Korrekturen_KG'!I$9,'Anlage 1c_Korrekturen_NB'!$B$11:$B$600,'Anlage 1g_Korrekturen_KG'!$B20,'Anlage 1c_Korrekturen_NB'!$C$11:$C$600,'Anlage 1g_Korrekturen_KG'!$A20)</f>
        <v>-10996.64</v>
      </c>
      <c r="J20" s="470"/>
      <c r="K20" s="905">
        <f t="shared" si="1"/>
        <v>-264393.24</v>
      </c>
      <c r="L20" s="902"/>
      <c r="M20" s="5"/>
      <c r="N20" s="5"/>
    </row>
    <row r="21" spans="1:17" hidden="1" outlineLevel="1">
      <c r="A21" s="129">
        <f t="shared" ref="A21:A25" si="2">$A$19</f>
        <v>2023</v>
      </c>
      <c r="B21" s="468">
        <v>2</v>
      </c>
      <c r="C21" s="469">
        <f>SUMIFS('Anlage 1c_Korrekturen_NB'!$L$11:$L$600,'Anlage 1c_Korrekturen_NB'!$O$11:$O$600,'Anlage 1g_Korrekturen_KG'!C$9,'Anlage 1c_Korrekturen_NB'!$B$11:$B$600,'Anlage 1g_Korrekturen_KG'!$B21,'Anlage 1c_Korrekturen_NB'!$C$11:$C$600,'Anlage 1g_Korrekturen_KG'!$A21)</f>
        <v>0</v>
      </c>
      <c r="D21" s="470"/>
      <c r="E21" s="906">
        <f>SUMIFS('Anlage 1c_Korrekturen_NB'!$L$11:$L$600,'Anlage 1c_Korrekturen_NB'!$O$11:$O$600,'Anlage 1g_Korrekturen_KG'!E$9,'Anlage 1c_Korrekturen_NB'!$B$11:$B$600,'Anlage 1g_Korrekturen_KG'!$B21,'Anlage 1c_Korrekturen_NB'!$C$11:$C$600,'Anlage 1g_Korrekturen_KG'!$A21)</f>
        <v>0</v>
      </c>
      <c r="F21" s="470"/>
      <c r="G21" s="469">
        <v>0</v>
      </c>
      <c r="H21" s="470"/>
      <c r="I21" s="469">
        <f>SUMIFS('Anlage 1c_Korrekturen_NB'!$L$11:$L$600,'Anlage 1c_Korrekturen_NB'!$O$11:$O$600,'Anlage 1g_Korrekturen_KG'!I$9,'Anlage 1c_Korrekturen_NB'!$B$11:$B$600,'Anlage 1g_Korrekturen_KG'!$B21,'Anlage 1c_Korrekturen_NB'!$C$11:$C$600,'Anlage 1g_Korrekturen_KG'!$A21)</f>
        <v>0</v>
      </c>
      <c r="J21" s="470"/>
      <c r="K21" s="905">
        <f t="shared" si="1"/>
        <v>0</v>
      </c>
      <c r="L21" s="902"/>
      <c r="M21" s="5"/>
      <c r="N21" s="5"/>
    </row>
    <row r="22" spans="1:17" hidden="1" outlineLevel="1">
      <c r="A22" s="129">
        <f t="shared" si="2"/>
        <v>2023</v>
      </c>
      <c r="B22" s="468">
        <v>3</v>
      </c>
      <c r="C22" s="469">
        <f>SUMIFS('Anlage 1c_Korrekturen_NB'!$L$11:$L$600,'Anlage 1c_Korrekturen_NB'!$O$11:$O$600,'Anlage 1g_Korrekturen_KG'!C$9,'Anlage 1c_Korrekturen_NB'!$B$11:$B$600,'Anlage 1g_Korrekturen_KG'!$B22,'Anlage 1c_Korrekturen_NB'!$C$11:$C$600,'Anlage 1g_Korrekturen_KG'!$A22)</f>
        <v>0</v>
      </c>
      <c r="D22" s="470"/>
      <c r="E22" s="906">
        <f>SUMIFS('Anlage 1c_Korrekturen_NB'!$L$11:$L$600,'Anlage 1c_Korrekturen_NB'!$O$11:$O$600,'Anlage 1g_Korrekturen_KG'!E$9,'Anlage 1c_Korrekturen_NB'!$B$11:$B$600,'Anlage 1g_Korrekturen_KG'!$B22,'Anlage 1c_Korrekturen_NB'!$C$11:$C$600,'Anlage 1g_Korrekturen_KG'!$A22)</f>
        <v>0</v>
      </c>
      <c r="F22" s="470"/>
      <c r="G22" s="469">
        <v>0</v>
      </c>
      <c r="H22" s="470"/>
      <c r="I22" s="469">
        <f>SUMIFS('Anlage 1c_Korrekturen_NB'!$L$11:$L$600,'Anlage 1c_Korrekturen_NB'!$O$11:$O$600,'Anlage 1g_Korrekturen_KG'!I$9,'Anlage 1c_Korrekturen_NB'!$B$11:$B$600,'Anlage 1g_Korrekturen_KG'!$B22,'Anlage 1c_Korrekturen_NB'!$C$11:$C$600,'Anlage 1g_Korrekturen_KG'!$A22)</f>
        <v>0</v>
      </c>
      <c r="J22" s="470"/>
      <c r="K22" s="905">
        <f t="shared" si="1"/>
        <v>0</v>
      </c>
      <c r="L22" s="902"/>
      <c r="M22" s="5"/>
      <c r="N22" s="5"/>
    </row>
    <row r="23" spans="1:17" hidden="1" outlineLevel="1">
      <c r="A23" s="129">
        <f t="shared" si="2"/>
        <v>2023</v>
      </c>
      <c r="B23" s="468">
        <v>4</v>
      </c>
      <c r="C23" s="469">
        <f>SUMIFS('Anlage 1c_Korrekturen_NB'!$L$11:$L$600,'Anlage 1c_Korrekturen_NB'!$O$11:$O$600,'Anlage 1g_Korrekturen_KG'!C$9,'Anlage 1c_Korrekturen_NB'!$B$11:$B$600,'Anlage 1g_Korrekturen_KG'!$B23,'Anlage 1c_Korrekturen_NB'!$C$11:$C$600,'Anlage 1g_Korrekturen_KG'!$A23)</f>
        <v>0</v>
      </c>
      <c r="D23" s="470"/>
      <c r="E23" s="906">
        <f>SUMIFS('Anlage 1c_Korrekturen_NB'!$L$11:$L$600,'Anlage 1c_Korrekturen_NB'!$O$11:$O$600,'Anlage 1g_Korrekturen_KG'!E$9,'Anlage 1c_Korrekturen_NB'!$B$11:$B$600,'Anlage 1g_Korrekturen_KG'!$B23,'Anlage 1c_Korrekturen_NB'!$C$11:$C$600,'Anlage 1g_Korrekturen_KG'!$A23)</f>
        <v>0</v>
      </c>
      <c r="F23" s="470"/>
      <c r="G23" s="469">
        <v>0</v>
      </c>
      <c r="H23" s="470"/>
      <c r="I23" s="469">
        <f>SUMIFS('Anlage 1c_Korrekturen_NB'!$L$11:$L$600,'Anlage 1c_Korrekturen_NB'!$O$11:$O$600,'Anlage 1g_Korrekturen_KG'!I$9,'Anlage 1c_Korrekturen_NB'!$B$11:$B$600,'Anlage 1g_Korrekturen_KG'!$B23,'Anlage 1c_Korrekturen_NB'!$C$11:$C$600,'Anlage 1g_Korrekturen_KG'!$A23)</f>
        <v>0</v>
      </c>
      <c r="J23" s="470"/>
      <c r="K23" s="905">
        <f t="shared" si="1"/>
        <v>0</v>
      </c>
      <c r="L23" s="902"/>
      <c r="M23" s="5"/>
      <c r="N23" s="5"/>
    </row>
    <row r="24" spans="1:17" hidden="1" outlineLevel="1">
      <c r="A24" s="129">
        <f t="shared" si="2"/>
        <v>2023</v>
      </c>
      <c r="B24" s="468">
        <v>5</v>
      </c>
      <c r="C24" s="469">
        <f>SUMIFS('Anlage 1c_Korrekturen_NB'!$L$11:$L$600,'Anlage 1c_Korrekturen_NB'!$O$11:$O$600,'Anlage 1g_Korrekturen_KG'!C$9,'Anlage 1c_Korrekturen_NB'!$B$11:$B$600,'Anlage 1g_Korrekturen_KG'!$B24,'Anlage 1c_Korrekturen_NB'!$C$11:$C$600,'Anlage 1g_Korrekturen_KG'!$A24)</f>
        <v>0</v>
      </c>
      <c r="D24" s="470"/>
      <c r="E24" s="906">
        <f>SUMIFS('Anlage 1c_Korrekturen_NB'!$L$11:$L$600,'Anlage 1c_Korrekturen_NB'!$O$11:$O$600,'Anlage 1g_Korrekturen_KG'!E$9,'Anlage 1c_Korrekturen_NB'!$B$11:$B$600,'Anlage 1g_Korrekturen_KG'!$B24,'Anlage 1c_Korrekturen_NB'!$C$11:$C$600,'Anlage 1g_Korrekturen_KG'!$A24)</f>
        <v>679.17</v>
      </c>
      <c r="F24" s="470"/>
      <c r="G24" s="469">
        <v>0</v>
      </c>
      <c r="H24" s="470"/>
      <c r="I24" s="469">
        <f>SUMIFS('Anlage 1c_Korrekturen_NB'!$L$11:$L$600,'Anlage 1c_Korrekturen_NB'!$O$11:$O$600,'Anlage 1g_Korrekturen_KG'!I$9,'Anlage 1c_Korrekturen_NB'!$B$11:$B$600,'Anlage 1g_Korrekturen_KG'!$B24,'Anlage 1c_Korrekturen_NB'!$C$11:$C$600,'Anlage 1g_Korrekturen_KG'!$A24)</f>
        <v>0</v>
      </c>
      <c r="J24" s="470"/>
      <c r="K24" s="905">
        <f t="shared" si="1"/>
        <v>679.17</v>
      </c>
      <c r="L24" s="902"/>
      <c r="M24" s="5"/>
      <c r="N24" s="5"/>
    </row>
    <row r="25" spans="1:17" hidden="1" outlineLevel="1">
      <c r="A25" s="129">
        <f t="shared" si="2"/>
        <v>2023</v>
      </c>
      <c r="B25" s="468">
        <v>7</v>
      </c>
      <c r="C25" s="469">
        <f>SUMIFS('Anlage 1c_Korrekturen_NB'!$L$11:$L$600,'Anlage 1c_Korrekturen_NB'!$O$11:$O$600,'Anlage 1g_Korrekturen_KG'!C$9,'Anlage 1c_Korrekturen_NB'!$B$11:$B$600,'Anlage 1g_Korrekturen_KG'!$B25,'Anlage 1c_Korrekturen_NB'!$C$11:$C$600,'Anlage 1g_Korrekturen_KG'!$A25)</f>
        <v>9978188.4700000007</v>
      </c>
      <c r="D25" s="470"/>
      <c r="E25" s="906">
        <f>SUMIFS('Anlage 1c_Korrekturen_NB'!$L$11:$L$600,'Anlage 1c_Korrekturen_NB'!$O$11:$O$600,'Anlage 1g_Korrekturen_KG'!E$9,'Anlage 1c_Korrekturen_NB'!$B$11:$B$600,'Anlage 1g_Korrekturen_KG'!$B25,'Anlage 1c_Korrekturen_NB'!$C$11:$C$600,'Anlage 1g_Korrekturen_KG'!$A25)</f>
        <v>6353080.2499999981</v>
      </c>
      <c r="F25" s="470"/>
      <c r="G25" s="469">
        <v>2246959.2200000002</v>
      </c>
      <c r="H25" s="470"/>
      <c r="I25" s="469">
        <f>SUMIFS('Anlage 1c_Korrekturen_NB'!$L$11:$L$600,'Anlage 1c_Korrekturen_NB'!$O$11:$O$600,'Anlage 1g_Korrekturen_KG'!I$9,'Anlage 1c_Korrekturen_NB'!$B$11:$B$600,'Anlage 1g_Korrekturen_KG'!$B25,'Anlage 1c_Korrekturen_NB'!$C$11:$C$600,'Anlage 1g_Korrekturen_KG'!$A25)</f>
        <v>1798858.63</v>
      </c>
      <c r="J25" s="470"/>
      <c r="K25" s="905">
        <f t="shared" si="1"/>
        <v>20377086.569999997</v>
      </c>
      <c r="L25" s="902"/>
      <c r="M25" s="5"/>
      <c r="N25" s="5"/>
    </row>
    <row r="26" spans="1:17" collapsed="1">
      <c r="A26" s="975">
        <v>2022</v>
      </c>
      <c r="B26" s="457"/>
      <c r="C26" s="476">
        <f>SUM(C27:C32)</f>
        <v>9119947.9199999999</v>
      </c>
      <c r="D26" s="477">
        <f>'Anlage 1e_WKNS'!D44</f>
        <v>0</v>
      </c>
      <c r="E26" s="476">
        <f>SUM(E27:E32)</f>
        <v>2066062.64</v>
      </c>
      <c r="F26" s="477">
        <f>'Anlage 1e_WKNS'!D45</f>
        <v>-200110</v>
      </c>
      <c r="G26" s="476">
        <f>SUM(G27:G32)</f>
        <v>2347903.88</v>
      </c>
      <c r="H26" s="477">
        <f>'Anlage 1e_WKNS'!D46</f>
        <v>0</v>
      </c>
      <c r="I26" s="476">
        <f>SUM(I27:I32)</f>
        <v>2064.2700000000877</v>
      </c>
      <c r="J26" s="477">
        <f>'Anlage 1e_WKNS'!D47</f>
        <v>38195</v>
      </c>
      <c r="K26" s="904">
        <f t="shared" si="1"/>
        <v>13535978.710000001</v>
      </c>
      <c r="L26" s="901">
        <f>D26+F26+H26+J26</f>
        <v>-161915</v>
      </c>
      <c r="M26" s="5"/>
      <c r="N26" s="5"/>
    </row>
    <row r="27" spans="1:17" hidden="1" outlineLevel="1">
      <c r="A27" s="475">
        <f>$A$26</f>
        <v>2022</v>
      </c>
      <c r="B27" s="468" t="s">
        <v>2079</v>
      </c>
      <c r="C27" s="469">
        <f>SUMIFS('Anlage 1c_Korrekturen_NB'!$L$11:$L$600,'Anlage 1c_Korrekturen_NB'!$O$11:$O$600,'Anlage 1g_Korrekturen_KG'!C$9,'Anlage 1c_Korrekturen_NB'!$B$11:$B$600,'Anlage 1g_Korrekturen_KG'!$B27,'Anlage 1c_Korrekturen_NB'!$C$11:$C$600,'Anlage 1g_Korrekturen_KG'!$A27)</f>
        <v>-413095.31000000017</v>
      </c>
      <c r="D27" s="446"/>
      <c r="E27" s="906">
        <f>SUMIFS('Anlage 1c_Korrekturen_NB'!$L$11:$L$600,'Anlage 1c_Korrekturen_NB'!$O$11:$O$600,'Anlage 1g_Korrekturen_KG'!E$9,'Anlage 1c_Korrekturen_NB'!$B$11:$B$600,'Anlage 1g_Korrekturen_KG'!$B27,'Anlage 1c_Korrekturen_NB'!$C$11:$C$600,'Anlage 1g_Korrekturen_KG'!$A27)</f>
        <v>-31473.33</v>
      </c>
      <c r="F27" s="446"/>
      <c r="G27" s="469">
        <v>-242932.92</v>
      </c>
      <c r="H27" s="446"/>
      <c r="I27" s="469">
        <f>SUMIFS('Anlage 1c_Korrekturen_NB'!$L$11:$L$600,'Anlage 1c_Korrekturen_NB'!$O$11:$O$600,'Anlage 1g_Korrekturen_KG'!I$9,'Anlage 1c_Korrekturen_NB'!$B$11:$B$600,'Anlage 1g_Korrekturen_KG'!$B27,'Anlage 1c_Korrekturen_NB'!$C$11:$C$600,'Anlage 1g_Korrekturen_KG'!$A27)</f>
        <v>0</v>
      </c>
      <c r="J27" s="446"/>
      <c r="K27" s="906">
        <f t="shared" si="1"/>
        <v>-687501.56000000017</v>
      </c>
      <c r="L27" s="901">
        <f t="shared" ref="L27:L82" si="3">D27+F27+H27+J27</f>
        <v>0</v>
      </c>
      <c r="N27" s="5"/>
    </row>
    <row r="28" spans="1:17" hidden="1" outlineLevel="1">
      <c r="A28" s="475">
        <f t="shared" ref="A28:A32" si="4">$A$26</f>
        <v>2022</v>
      </c>
      <c r="B28" s="468">
        <v>2</v>
      </c>
      <c r="C28" s="469">
        <f>SUMIFS('Anlage 1c_Korrekturen_NB'!$L$11:$L$600,'Anlage 1c_Korrekturen_NB'!$O$11:$O$600,'Anlage 1g_Korrekturen_KG'!C$9,'Anlage 1c_Korrekturen_NB'!$B$11:$B$600,'Anlage 1g_Korrekturen_KG'!$B28,'Anlage 1c_Korrekturen_NB'!$C$11:$C$600,'Anlage 1g_Korrekturen_KG'!$A28)</f>
        <v>0</v>
      </c>
      <c r="D28" s="446"/>
      <c r="E28" s="906">
        <f>SUMIFS('Anlage 1c_Korrekturen_NB'!$L$11:$L$600,'Anlage 1c_Korrekturen_NB'!$O$11:$O$600,'Anlage 1g_Korrekturen_KG'!E$9,'Anlage 1c_Korrekturen_NB'!$B$11:$B$600,'Anlage 1g_Korrekturen_KG'!$B28,'Anlage 1c_Korrekturen_NB'!$C$11:$C$600,'Anlage 1g_Korrekturen_KG'!$A28)</f>
        <v>0</v>
      </c>
      <c r="F28" s="446"/>
      <c r="G28" s="469">
        <v>0</v>
      </c>
      <c r="H28" s="446"/>
      <c r="I28" s="469">
        <f>SUMIFS('Anlage 1c_Korrekturen_NB'!$L$11:$L$600,'Anlage 1c_Korrekturen_NB'!$O$11:$O$600,'Anlage 1g_Korrekturen_KG'!I$9,'Anlage 1c_Korrekturen_NB'!$B$11:$B$600,'Anlage 1g_Korrekturen_KG'!$B28,'Anlage 1c_Korrekturen_NB'!$C$11:$C$600,'Anlage 1g_Korrekturen_KG'!$A28)</f>
        <v>0</v>
      </c>
      <c r="J28" s="446"/>
      <c r="K28" s="906">
        <f t="shared" si="1"/>
        <v>0</v>
      </c>
      <c r="L28" s="901">
        <f t="shared" si="3"/>
        <v>0</v>
      </c>
      <c r="N28" s="5"/>
    </row>
    <row r="29" spans="1:17" hidden="1" outlineLevel="1">
      <c r="A29" s="475">
        <f t="shared" si="4"/>
        <v>2022</v>
      </c>
      <c r="B29" s="468">
        <v>3</v>
      </c>
      <c r="C29" s="469">
        <f>SUMIFS('Anlage 1c_Korrekturen_NB'!$L$11:$L$600,'Anlage 1c_Korrekturen_NB'!$O$11:$O$600,'Anlage 1g_Korrekturen_KG'!C$9,'Anlage 1c_Korrekturen_NB'!$B$11:$B$600,'Anlage 1g_Korrekturen_KG'!$B29,'Anlage 1c_Korrekturen_NB'!$C$11:$C$600,'Anlage 1g_Korrekturen_KG'!$A29)</f>
        <v>0</v>
      </c>
      <c r="D29" s="446"/>
      <c r="E29" s="906">
        <f>SUMIFS('Anlage 1c_Korrekturen_NB'!$L$11:$L$600,'Anlage 1c_Korrekturen_NB'!$O$11:$O$600,'Anlage 1g_Korrekturen_KG'!E$9,'Anlage 1c_Korrekturen_NB'!$B$11:$B$600,'Anlage 1g_Korrekturen_KG'!$B29,'Anlage 1c_Korrekturen_NB'!$C$11:$C$600,'Anlage 1g_Korrekturen_KG'!$A29)</f>
        <v>0</v>
      </c>
      <c r="F29" s="446"/>
      <c r="G29" s="469">
        <v>0</v>
      </c>
      <c r="H29" s="446"/>
      <c r="I29" s="469">
        <f>SUMIFS('Anlage 1c_Korrekturen_NB'!$L$11:$L$600,'Anlage 1c_Korrekturen_NB'!$O$11:$O$600,'Anlage 1g_Korrekturen_KG'!I$9,'Anlage 1c_Korrekturen_NB'!$B$11:$B$600,'Anlage 1g_Korrekturen_KG'!$B29,'Anlage 1c_Korrekturen_NB'!$C$11:$C$600,'Anlage 1g_Korrekturen_KG'!$A29)</f>
        <v>0</v>
      </c>
      <c r="J29" s="446"/>
      <c r="K29" s="906">
        <f t="shared" si="1"/>
        <v>0</v>
      </c>
      <c r="L29" s="901">
        <f t="shared" si="3"/>
        <v>0</v>
      </c>
      <c r="N29" s="5"/>
    </row>
    <row r="30" spans="1:17" hidden="1" outlineLevel="1">
      <c r="A30" s="475">
        <f t="shared" si="4"/>
        <v>2022</v>
      </c>
      <c r="B30" s="468">
        <v>4</v>
      </c>
      <c r="C30" s="469">
        <f>SUMIFS('Anlage 1c_Korrekturen_NB'!$L$11:$L$600,'Anlage 1c_Korrekturen_NB'!$O$11:$O$600,'Anlage 1g_Korrekturen_KG'!C$9,'Anlage 1c_Korrekturen_NB'!$B$11:$B$600,'Anlage 1g_Korrekturen_KG'!$B30,'Anlage 1c_Korrekturen_NB'!$C$11:$C$600,'Anlage 1g_Korrekturen_KG'!$A30)</f>
        <v>0</v>
      </c>
      <c r="D30" s="446"/>
      <c r="E30" s="906">
        <f>SUMIFS('Anlage 1c_Korrekturen_NB'!$L$11:$L$600,'Anlage 1c_Korrekturen_NB'!$O$11:$O$600,'Anlage 1g_Korrekturen_KG'!E$9,'Anlage 1c_Korrekturen_NB'!$B$11:$B$600,'Anlage 1g_Korrekturen_KG'!$B30,'Anlage 1c_Korrekturen_NB'!$C$11:$C$600,'Anlage 1g_Korrekturen_KG'!$A30)</f>
        <v>0</v>
      </c>
      <c r="F30" s="446"/>
      <c r="G30" s="469">
        <v>0</v>
      </c>
      <c r="H30" s="446"/>
      <c r="I30" s="469">
        <f>SUMIFS('Anlage 1c_Korrekturen_NB'!$L$11:$L$600,'Anlage 1c_Korrekturen_NB'!$O$11:$O$600,'Anlage 1g_Korrekturen_KG'!I$9,'Anlage 1c_Korrekturen_NB'!$B$11:$B$600,'Anlage 1g_Korrekturen_KG'!$B30,'Anlage 1c_Korrekturen_NB'!$C$11:$C$600,'Anlage 1g_Korrekturen_KG'!$A30)</f>
        <v>0</v>
      </c>
      <c r="J30" s="446"/>
      <c r="K30" s="906">
        <f t="shared" si="1"/>
        <v>0</v>
      </c>
      <c r="L30" s="901">
        <f t="shared" si="3"/>
        <v>0</v>
      </c>
      <c r="N30" s="5"/>
    </row>
    <row r="31" spans="1:17" hidden="1" outlineLevel="1">
      <c r="A31" s="475">
        <f t="shared" si="4"/>
        <v>2022</v>
      </c>
      <c r="B31" s="468">
        <v>5</v>
      </c>
      <c r="C31" s="469">
        <f>SUMIFS('Anlage 1c_Korrekturen_NB'!$L$11:$L$600,'Anlage 1c_Korrekturen_NB'!$O$11:$O$600,'Anlage 1g_Korrekturen_KG'!C$9,'Anlage 1c_Korrekturen_NB'!$B$11:$B$600,'Anlage 1g_Korrekturen_KG'!$B31,'Anlage 1c_Korrekturen_NB'!$C$11:$C$600,'Anlage 1g_Korrekturen_KG'!$A31)</f>
        <v>11130.52</v>
      </c>
      <c r="D31" s="446"/>
      <c r="E31" s="906">
        <f>SUMIFS('Anlage 1c_Korrekturen_NB'!$L$11:$L$600,'Anlage 1c_Korrekturen_NB'!$O$11:$O$600,'Anlage 1g_Korrekturen_KG'!E$9,'Anlage 1c_Korrekturen_NB'!$B$11:$B$600,'Anlage 1g_Korrekturen_KG'!$B31,'Anlage 1c_Korrekturen_NB'!$C$11:$C$600,'Anlage 1g_Korrekturen_KG'!$A31)</f>
        <v>337898.51</v>
      </c>
      <c r="F31" s="446"/>
      <c r="G31" s="469">
        <v>0</v>
      </c>
      <c r="H31" s="446"/>
      <c r="I31" s="469">
        <f>SUMIFS('Anlage 1c_Korrekturen_NB'!$L$11:$L$600,'Anlage 1c_Korrekturen_NB'!$O$11:$O$600,'Anlage 1g_Korrekturen_KG'!I$9,'Anlage 1c_Korrekturen_NB'!$B$11:$B$600,'Anlage 1g_Korrekturen_KG'!$B31,'Anlage 1c_Korrekturen_NB'!$C$11:$C$600,'Anlage 1g_Korrekturen_KG'!$A31)</f>
        <v>0</v>
      </c>
      <c r="J31" s="446"/>
      <c r="K31" s="906">
        <f t="shared" si="1"/>
        <v>349029.03</v>
      </c>
      <c r="L31" s="901">
        <f t="shared" si="3"/>
        <v>0</v>
      </c>
      <c r="N31" s="5"/>
    </row>
    <row r="32" spans="1:17" hidden="1" outlineLevel="1">
      <c r="A32" s="475">
        <f t="shared" si="4"/>
        <v>2022</v>
      </c>
      <c r="B32" s="468">
        <v>7</v>
      </c>
      <c r="C32" s="469">
        <f>SUMIFS('Anlage 1c_Korrekturen_NB'!$L$11:$L$600,'Anlage 1c_Korrekturen_NB'!$O$11:$O$600,'Anlage 1g_Korrekturen_KG'!C$9,'Anlage 1c_Korrekturen_NB'!$B$11:$B$600,'Anlage 1g_Korrekturen_KG'!$B32,'Anlage 1c_Korrekturen_NB'!$C$11:$C$600,'Anlage 1g_Korrekturen_KG'!$A32)</f>
        <v>9521912.7100000009</v>
      </c>
      <c r="D32" s="446"/>
      <c r="E32" s="906">
        <f>SUMIFS('Anlage 1c_Korrekturen_NB'!$L$11:$L$600,'Anlage 1c_Korrekturen_NB'!$O$11:$O$600,'Anlage 1g_Korrekturen_KG'!E$9,'Anlage 1c_Korrekturen_NB'!$B$11:$B$600,'Anlage 1g_Korrekturen_KG'!$B32,'Anlage 1c_Korrekturen_NB'!$C$11:$C$600,'Anlage 1g_Korrekturen_KG'!$A32)</f>
        <v>1759637.46</v>
      </c>
      <c r="F32" s="446"/>
      <c r="G32" s="469">
        <v>2590836.7999999998</v>
      </c>
      <c r="H32" s="446"/>
      <c r="I32" s="469">
        <f>SUMIFS('Anlage 1c_Korrekturen_NB'!$L$11:$L$600,'Anlage 1c_Korrekturen_NB'!$O$11:$O$600,'Anlage 1g_Korrekturen_KG'!I$9,'Anlage 1c_Korrekturen_NB'!$B$11:$B$600,'Anlage 1g_Korrekturen_KG'!$B32,'Anlage 1c_Korrekturen_NB'!$C$11:$C$600,'Anlage 1g_Korrekturen_KG'!$A32)</f>
        <v>2064.2700000000877</v>
      </c>
      <c r="J32" s="446"/>
      <c r="K32" s="906">
        <f t="shared" si="1"/>
        <v>13874451.240000002</v>
      </c>
      <c r="L32" s="901">
        <f t="shared" si="3"/>
        <v>0</v>
      </c>
      <c r="N32" s="5"/>
    </row>
    <row r="33" spans="1:16" collapsed="1">
      <c r="A33" s="975">
        <v>2021</v>
      </c>
      <c r="B33" s="457"/>
      <c r="C33" s="476">
        <f>SUM(C34:C39)</f>
        <v>1226979.8200000003</v>
      </c>
      <c r="D33" s="477">
        <f>'Anlage 1e_WKNS'!D56</f>
        <v>-272902</v>
      </c>
      <c r="E33" s="1604">
        <f>SUM(E34:E39)</f>
        <v>256178.79000000004</v>
      </c>
      <c r="F33" s="477">
        <f>'Anlage 1e_WKNS'!D57</f>
        <v>-13800</v>
      </c>
      <c r="G33" s="476">
        <f>SUM(G34:G39)</f>
        <v>417837.14999999997</v>
      </c>
      <c r="H33" s="477">
        <f>'Anlage 1e_WKNS'!D58</f>
        <v>0</v>
      </c>
      <c r="I33" s="476">
        <f>SUM(I34:I39)</f>
        <v>49254.62</v>
      </c>
      <c r="J33" s="477">
        <f>'Anlage 1e_WKNS'!D59</f>
        <v>0</v>
      </c>
      <c r="K33" s="904">
        <f t="shared" si="1"/>
        <v>1950250.3800000004</v>
      </c>
      <c r="L33" s="901">
        <f t="shared" si="3"/>
        <v>-286702</v>
      </c>
      <c r="M33" s="5"/>
      <c r="N33" s="5"/>
      <c r="P33" s="119"/>
    </row>
    <row r="34" spans="1:16" hidden="1" outlineLevel="1">
      <c r="A34" s="472">
        <f>$A$33</f>
        <v>2021</v>
      </c>
      <c r="B34" s="468" t="s">
        <v>2079</v>
      </c>
      <c r="C34" s="469">
        <f>SUMIFS('Anlage 1c_Korrekturen_NB'!$L$11:$L$600,'Anlage 1c_Korrekturen_NB'!$O$11:$O$600,'Anlage 1g_Korrekturen_KG'!C$9,'Anlage 1c_Korrekturen_NB'!$B$11:$B$600,'Anlage 1g_Korrekturen_KG'!$B34,'Anlage 1c_Korrekturen_NB'!$C$11:$C$600,'Anlage 1g_Korrekturen_KG'!$A34)</f>
        <v>-694348.16</v>
      </c>
      <c r="D34" s="470"/>
      <c r="E34" s="469">
        <v>0</v>
      </c>
      <c r="F34" s="470"/>
      <c r="G34" s="469">
        <v>-30474.89</v>
      </c>
      <c r="H34" s="470"/>
      <c r="I34" s="469">
        <f>SUMIFS('Anlage 1c_Korrekturen_NB'!$L$11:$L$600,'Anlage 1c_Korrekturen_NB'!$O$11:$O$600,'Anlage 1g_Korrekturen_KG'!I$9,'Anlage 1c_Korrekturen_NB'!$B$11:$B$600,'Anlage 1g_Korrekturen_KG'!$B34,'Anlage 1c_Korrekturen_NB'!$C$11:$C$600,'Anlage 1g_Korrekturen_KG'!$A34)</f>
        <v>0</v>
      </c>
      <c r="J34" s="470"/>
      <c r="K34" s="905">
        <f t="shared" si="1"/>
        <v>-724823.05</v>
      </c>
      <c r="L34" s="901">
        <f t="shared" si="3"/>
        <v>0</v>
      </c>
      <c r="M34" s="5"/>
      <c r="N34" s="5"/>
    </row>
    <row r="35" spans="1:16" hidden="1" outlineLevel="1">
      <c r="A35" s="472">
        <f t="shared" ref="A35:A39" si="5">$A$33</f>
        <v>2021</v>
      </c>
      <c r="B35" s="468">
        <v>2</v>
      </c>
      <c r="C35" s="469">
        <f>SUMIFS('Anlage 1c_Korrekturen_NB'!$L$11:$L$600,'Anlage 1c_Korrekturen_NB'!$O$11:$O$600,'Anlage 1g_Korrekturen_KG'!C$9,'Anlage 1c_Korrekturen_NB'!$B$11:$B$600,'Anlage 1g_Korrekturen_KG'!$B35,'Anlage 1c_Korrekturen_NB'!$C$11:$C$600,'Anlage 1g_Korrekturen_KG'!$A35)</f>
        <v>0</v>
      </c>
      <c r="D35" s="470"/>
      <c r="E35" s="469">
        <f>SUMIFS('Anlage 1c_Korrekturen_NB'!$L$11:$L$600,'Anlage 1c_Korrekturen_NB'!$O$11:$O$600,'Anlage 1g_Korrekturen_KG'!E$9,'Anlage 1c_Korrekturen_NB'!$B$11:$B$600,'Anlage 1g_Korrekturen_KG'!$B35,'Anlage 1c_Korrekturen_NB'!$C$11:$C$600,'Anlage 1g_Korrekturen_KG'!$A35)</f>
        <v>0</v>
      </c>
      <c r="F35" s="470"/>
      <c r="G35" s="469">
        <v>0</v>
      </c>
      <c r="H35" s="470"/>
      <c r="I35" s="469">
        <f>SUMIFS('Anlage 1c_Korrekturen_NB'!$L$11:$L$600,'Anlage 1c_Korrekturen_NB'!$O$11:$O$600,'Anlage 1g_Korrekturen_KG'!I$9,'Anlage 1c_Korrekturen_NB'!$B$11:$B$600,'Anlage 1g_Korrekturen_KG'!$B35,'Anlage 1c_Korrekturen_NB'!$C$11:$C$600,'Anlage 1g_Korrekturen_KG'!$A35)</f>
        <v>0</v>
      </c>
      <c r="J35" s="470"/>
      <c r="K35" s="905">
        <f t="shared" si="1"/>
        <v>0</v>
      </c>
      <c r="L35" s="901">
        <f t="shared" si="3"/>
        <v>0</v>
      </c>
      <c r="M35" s="5"/>
      <c r="N35" s="5"/>
    </row>
    <row r="36" spans="1:16" hidden="1" outlineLevel="1">
      <c r="A36" s="472">
        <f t="shared" si="5"/>
        <v>2021</v>
      </c>
      <c r="B36" s="468">
        <v>3</v>
      </c>
      <c r="C36" s="469">
        <f>SUMIFS('Anlage 1c_Korrekturen_NB'!$L$11:$L$600,'Anlage 1c_Korrekturen_NB'!$O$11:$O$600,'Anlage 1g_Korrekturen_KG'!C$9,'Anlage 1c_Korrekturen_NB'!$B$11:$B$600,'Anlage 1g_Korrekturen_KG'!$B36,'Anlage 1c_Korrekturen_NB'!$C$11:$C$600,'Anlage 1g_Korrekturen_KG'!$A36)</f>
        <v>0</v>
      </c>
      <c r="D36" s="470"/>
      <c r="E36" s="469">
        <f>SUMIFS('Anlage 1c_Korrekturen_NB'!$L$11:$L$600,'Anlage 1c_Korrekturen_NB'!$O$11:$O$600,'Anlage 1g_Korrekturen_KG'!E$9,'Anlage 1c_Korrekturen_NB'!$B$11:$B$600,'Anlage 1g_Korrekturen_KG'!$B36,'Anlage 1c_Korrekturen_NB'!$C$11:$C$600,'Anlage 1g_Korrekturen_KG'!$A36)</f>
        <v>0</v>
      </c>
      <c r="F36" s="470"/>
      <c r="G36" s="469">
        <v>0</v>
      </c>
      <c r="H36" s="470"/>
      <c r="I36" s="469">
        <f>SUMIFS('Anlage 1c_Korrekturen_NB'!$L$11:$L$600,'Anlage 1c_Korrekturen_NB'!$O$11:$O$600,'Anlage 1g_Korrekturen_KG'!I$9,'Anlage 1c_Korrekturen_NB'!$B$11:$B$600,'Anlage 1g_Korrekturen_KG'!$B36,'Anlage 1c_Korrekturen_NB'!$C$11:$C$600,'Anlage 1g_Korrekturen_KG'!$A36)</f>
        <v>0</v>
      </c>
      <c r="J36" s="470"/>
      <c r="K36" s="905">
        <f t="shared" si="1"/>
        <v>0</v>
      </c>
      <c r="L36" s="901">
        <f t="shared" si="3"/>
        <v>0</v>
      </c>
      <c r="M36" s="5"/>
      <c r="N36" s="5"/>
    </row>
    <row r="37" spans="1:16" hidden="1" outlineLevel="1">
      <c r="A37" s="472">
        <f t="shared" si="5"/>
        <v>2021</v>
      </c>
      <c r="B37" s="468">
        <v>4</v>
      </c>
      <c r="C37" s="469">
        <f>SUMIFS('Anlage 1c_Korrekturen_NB'!$L$11:$L$600,'Anlage 1c_Korrekturen_NB'!$O$11:$O$600,'Anlage 1g_Korrekturen_KG'!C$9,'Anlage 1c_Korrekturen_NB'!$B$11:$B$600,'Anlage 1g_Korrekturen_KG'!$B37,'Anlage 1c_Korrekturen_NB'!$C$11:$C$600,'Anlage 1g_Korrekturen_KG'!$A37)</f>
        <v>0</v>
      </c>
      <c r="D37" s="470"/>
      <c r="E37" s="469">
        <f>SUMIFS('Anlage 1c_Korrekturen_NB'!$L$11:$L$600,'Anlage 1c_Korrekturen_NB'!$O$11:$O$600,'Anlage 1g_Korrekturen_KG'!E$9,'Anlage 1c_Korrekturen_NB'!$B$11:$B$600,'Anlage 1g_Korrekturen_KG'!$B37,'Anlage 1c_Korrekturen_NB'!$C$11:$C$600,'Anlage 1g_Korrekturen_KG'!$A37)</f>
        <v>0</v>
      </c>
      <c r="F37" s="470"/>
      <c r="G37" s="469">
        <v>0</v>
      </c>
      <c r="H37" s="470"/>
      <c r="I37" s="469">
        <f>SUMIFS('Anlage 1c_Korrekturen_NB'!$L$11:$L$600,'Anlage 1c_Korrekturen_NB'!$O$11:$O$600,'Anlage 1g_Korrekturen_KG'!I$9,'Anlage 1c_Korrekturen_NB'!$B$11:$B$600,'Anlage 1g_Korrekturen_KG'!$B37,'Anlage 1c_Korrekturen_NB'!$C$11:$C$600,'Anlage 1g_Korrekturen_KG'!$A37)</f>
        <v>0</v>
      </c>
      <c r="J37" s="470"/>
      <c r="K37" s="905">
        <f t="shared" si="1"/>
        <v>0</v>
      </c>
      <c r="L37" s="901">
        <f t="shared" si="3"/>
        <v>0</v>
      </c>
      <c r="M37" s="5"/>
      <c r="N37" s="5"/>
    </row>
    <row r="38" spans="1:16" hidden="1" outlineLevel="1">
      <c r="A38" s="472">
        <f t="shared" si="5"/>
        <v>2021</v>
      </c>
      <c r="B38" s="468">
        <v>5</v>
      </c>
      <c r="C38" s="469">
        <f>SUMIFS('Anlage 1c_Korrekturen_NB'!$L$11:$L$600,'Anlage 1c_Korrekturen_NB'!$O$11:$O$600,'Anlage 1g_Korrekturen_KG'!C$9,'Anlage 1c_Korrekturen_NB'!$B$11:$B$600,'Anlage 1g_Korrekturen_KG'!$B38,'Anlage 1c_Korrekturen_NB'!$C$11:$C$600,'Anlage 1g_Korrekturen_KG'!$A38)</f>
        <v>0</v>
      </c>
      <c r="D38" s="470"/>
      <c r="E38" s="469">
        <f>SUMIFS('Anlage 1c_Korrekturen_NB'!$L$11:$L$600,'Anlage 1c_Korrekturen_NB'!$O$11:$O$600,'Anlage 1g_Korrekturen_KG'!E$9,'Anlage 1c_Korrekturen_NB'!$B$11:$B$600,'Anlage 1g_Korrekturen_KG'!$B38,'Anlage 1c_Korrekturen_NB'!$C$11:$C$600,'Anlage 1g_Korrekturen_KG'!$A38)</f>
        <v>0</v>
      </c>
      <c r="F38" s="470"/>
      <c r="G38" s="469">
        <v>0</v>
      </c>
      <c r="H38" s="470"/>
      <c r="I38" s="469">
        <f>SUMIFS('Anlage 1c_Korrekturen_NB'!$L$11:$L$600,'Anlage 1c_Korrekturen_NB'!$O$11:$O$600,'Anlage 1g_Korrekturen_KG'!I$9,'Anlage 1c_Korrekturen_NB'!$B$11:$B$600,'Anlage 1g_Korrekturen_KG'!$B38,'Anlage 1c_Korrekturen_NB'!$C$11:$C$600,'Anlage 1g_Korrekturen_KG'!$A38)</f>
        <v>0</v>
      </c>
      <c r="J38" s="470"/>
      <c r="K38" s="905">
        <f t="shared" si="1"/>
        <v>0</v>
      </c>
      <c r="L38" s="901">
        <f t="shared" si="3"/>
        <v>0</v>
      </c>
      <c r="M38" s="5"/>
      <c r="N38" s="5"/>
    </row>
    <row r="39" spans="1:16" hidden="1" outlineLevel="1">
      <c r="A39" s="472">
        <f t="shared" si="5"/>
        <v>2021</v>
      </c>
      <c r="B39" s="468">
        <v>7</v>
      </c>
      <c r="C39" s="469">
        <f>SUMIFS('Anlage 1c_Korrekturen_NB'!$L$11:$L$600,'Anlage 1c_Korrekturen_NB'!$O$11:$O$600,'Anlage 1g_Korrekturen_KG'!C$9,'Anlage 1c_Korrekturen_NB'!$B$11:$B$600,'Anlage 1g_Korrekturen_KG'!$B39,'Anlage 1c_Korrekturen_NB'!$C$11:$C$600,'Anlage 1g_Korrekturen_KG'!$A39)</f>
        <v>1921327.9800000004</v>
      </c>
      <c r="D39" s="470"/>
      <c r="E39" s="469">
        <f>SUMIFS('Anlage 1c_Korrekturen_NB'!$L$11:$L$600,'Anlage 1c_Korrekturen_NB'!$O$11:$O$600,'Anlage 1g_Korrekturen_KG'!E$9,'Anlage 1c_Korrekturen_NB'!$B$11:$B$600,'Anlage 1g_Korrekturen_KG'!$B39,'Anlage 1c_Korrekturen_NB'!$C$11:$C$600,'Anlage 1g_Korrekturen_KG'!$A39)</f>
        <v>256178.79000000004</v>
      </c>
      <c r="F39" s="470"/>
      <c r="G39" s="469">
        <v>448312.04</v>
      </c>
      <c r="H39" s="470"/>
      <c r="I39" s="469">
        <f>SUMIFS('Anlage 1c_Korrekturen_NB'!$L$11:$L$600,'Anlage 1c_Korrekturen_NB'!$O$11:$O$600,'Anlage 1g_Korrekturen_KG'!I$9,'Anlage 1c_Korrekturen_NB'!$B$11:$B$600,'Anlage 1g_Korrekturen_KG'!$B39,'Anlage 1c_Korrekturen_NB'!$C$11:$C$600,'Anlage 1g_Korrekturen_KG'!$A39)</f>
        <v>49254.62</v>
      </c>
      <c r="J39" s="470"/>
      <c r="K39" s="905">
        <f t="shared" si="1"/>
        <v>2675073.4300000006</v>
      </c>
      <c r="L39" s="901">
        <f t="shared" si="3"/>
        <v>0</v>
      </c>
      <c r="M39" s="5"/>
      <c r="N39" s="5"/>
    </row>
    <row r="40" spans="1:16" collapsed="1">
      <c r="A40" s="975">
        <v>2020</v>
      </c>
      <c r="B40" s="457"/>
      <c r="C40" s="476">
        <f>SUM(C41:C46)</f>
        <v>42641.600000000006</v>
      </c>
      <c r="D40" s="477"/>
      <c r="E40" s="476">
        <f>SUM(E41:E46)</f>
        <v>0</v>
      </c>
      <c r="F40" s="477"/>
      <c r="G40" s="476">
        <f>SUM(G41:G46)</f>
        <v>-12305.06</v>
      </c>
      <c r="H40" s="477"/>
      <c r="I40" s="476">
        <f>SUM(I41:I46)</f>
        <v>0</v>
      </c>
      <c r="J40" s="477"/>
      <c r="K40" s="904">
        <f t="shared" ref="K40:K67" si="6">C40+E40+G40+I40</f>
        <v>30336.540000000008</v>
      </c>
      <c r="L40" s="901">
        <f t="shared" si="3"/>
        <v>0</v>
      </c>
      <c r="M40" s="5"/>
      <c r="N40" s="5"/>
      <c r="P40" s="119"/>
    </row>
    <row r="41" spans="1:16" hidden="1" outlineLevel="1">
      <c r="A41" s="472">
        <f>$A$40</f>
        <v>2020</v>
      </c>
      <c r="B41" s="468" t="s">
        <v>2079</v>
      </c>
      <c r="C41" s="469">
        <f>SUMIFS('Anlage 1c_Korrekturen_NB'!$L$11:$L$600,'Anlage 1c_Korrekturen_NB'!$O$11:$O$600,'Anlage 1g_Korrekturen_KG'!C$9,'Anlage 1c_Korrekturen_NB'!$B$11:$B$600,'Anlage 1g_Korrekturen_KG'!$B41,'Anlage 1c_Korrekturen_NB'!$C$11:$C$600,'Anlage 1g_Korrekturen_KG'!$A41)</f>
        <v>0</v>
      </c>
      <c r="D41" s="470"/>
      <c r="E41" s="469">
        <f>SUMIFS('Anlage 1c_Korrekturen_NB'!$L$11:$L$600,'Anlage 1c_Korrekturen_NB'!$O$11:$O$600,'Anlage 1g_Korrekturen_KG'!E$9,'Anlage 1c_Korrekturen_NB'!$B$11:$B$600,'Anlage 1g_Korrekturen_KG'!$B41,'Anlage 1c_Korrekturen_NB'!$C$11:$C$600,'Anlage 1g_Korrekturen_KG'!$A41)</f>
        <v>0</v>
      </c>
      <c r="F41" s="470"/>
      <c r="G41" s="469">
        <v>0</v>
      </c>
      <c r="H41" s="470"/>
      <c r="I41" s="469">
        <f>SUMIFS('Anlage 1c_Korrekturen_NB'!$L$11:$L$600,'Anlage 1c_Korrekturen_NB'!$O$11:$O$600,'Anlage 1g_Korrekturen_KG'!I$9,'Anlage 1c_Korrekturen_NB'!$B$11:$B$600,'Anlage 1g_Korrekturen_KG'!$B41,'Anlage 1c_Korrekturen_NB'!$C$11:$C$600,'Anlage 1g_Korrekturen_KG'!$A41)</f>
        <v>0</v>
      </c>
      <c r="J41" s="470"/>
      <c r="K41" s="905">
        <f t="shared" si="6"/>
        <v>0</v>
      </c>
      <c r="L41" s="901">
        <f t="shared" si="3"/>
        <v>0</v>
      </c>
      <c r="M41" s="5"/>
      <c r="N41" s="5"/>
    </row>
    <row r="42" spans="1:16" hidden="1" outlineLevel="1">
      <c r="A42" s="472">
        <f t="shared" ref="A42:A46" si="7">$A$40</f>
        <v>2020</v>
      </c>
      <c r="B42" s="468">
        <v>2</v>
      </c>
      <c r="C42" s="469">
        <f>SUMIFS('Anlage 1c_Korrekturen_NB'!$L$11:$L$600,'Anlage 1c_Korrekturen_NB'!$O$11:$O$600,'Anlage 1g_Korrekturen_KG'!C$9,'Anlage 1c_Korrekturen_NB'!$B$11:$B$600,'Anlage 1g_Korrekturen_KG'!$B42,'Anlage 1c_Korrekturen_NB'!$C$11:$C$600,'Anlage 1g_Korrekturen_KG'!$A42)</f>
        <v>0</v>
      </c>
      <c r="D42" s="470"/>
      <c r="E42" s="469">
        <f>SUMIFS('Anlage 1c_Korrekturen_NB'!$L$11:$L$600,'Anlage 1c_Korrekturen_NB'!$O$11:$O$600,'Anlage 1g_Korrekturen_KG'!E$9,'Anlage 1c_Korrekturen_NB'!$B$11:$B$600,'Anlage 1g_Korrekturen_KG'!$B42,'Anlage 1c_Korrekturen_NB'!$C$11:$C$600,'Anlage 1g_Korrekturen_KG'!$A42)</f>
        <v>0</v>
      </c>
      <c r="F42" s="470"/>
      <c r="G42" s="469">
        <v>0</v>
      </c>
      <c r="H42" s="470"/>
      <c r="I42" s="469">
        <f>SUMIFS('Anlage 1c_Korrekturen_NB'!$L$11:$L$600,'Anlage 1c_Korrekturen_NB'!$O$11:$O$600,'Anlage 1g_Korrekturen_KG'!I$9,'Anlage 1c_Korrekturen_NB'!$B$11:$B$600,'Anlage 1g_Korrekturen_KG'!$B42,'Anlage 1c_Korrekturen_NB'!$C$11:$C$600,'Anlage 1g_Korrekturen_KG'!$A42)</f>
        <v>0</v>
      </c>
      <c r="J42" s="470"/>
      <c r="K42" s="905">
        <f t="shared" si="6"/>
        <v>0</v>
      </c>
      <c r="L42" s="901">
        <f t="shared" si="3"/>
        <v>0</v>
      </c>
      <c r="M42" s="5"/>
      <c r="N42" s="5"/>
    </row>
    <row r="43" spans="1:16" hidden="1" outlineLevel="1">
      <c r="A43" s="472">
        <f t="shared" si="7"/>
        <v>2020</v>
      </c>
      <c r="B43" s="468">
        <v>3</v>
      </c>
      <c r="C43" s="469">
        <f>SUMIFS('Anlage 1c_Korrekturen_NB'!$L$11:$L$600,'Anlage 1c_Korrekturen_NB'!$O$11:$O$600,'Anlage 1g_Korrekturen_KG'!C$9,'Anlage 1c_Korrekturen_NB'!$B$11:$B$600,'Anlage 1g_Korrekturen_KG'!$B43,'Anlage 1c_Korrekturen_NB'!$C$11:$C$600,'Anlage 1g_Korrekturen_KG'!$A43)</f>
        <v>0</v>
      </c>
      <c r="D43" s="470"/>
      <c r="E43" s="469">
        <f>SUMIFS('Anlage 1c_Korrekturen_NB'!$L$11:$L$600,'Anlage 1c_Korrekturen_NB'!$O$11:$O$600,'Anlage 1g_Korrekturen_KG'!E$9,'Anlage 1c_Korrekturen_NB'!$B$11:$B$600,'Anlage 1g_Korrekturen_KG'!$B43,'Anlage 1c_Korrekturen_NB'!$C$11:$C$600,'Anlage 1g_Korrekturen_KG'!$A43)</f>
        <v>0</v>
      </c>
      <c r="F43" s="470"/>
      <c r="G43" s="469">
        <v>0</v>
      </c>
      <c r="H43" s="470"/>
      <c r="I43" s="469">
        <f>SUMIFS('Anlage 1c_Korrekturen_NB'!$L$11:$L$600,'Anlage 1c_Korrekturen_NB'!$O$11:$O$600,'Anlage 1g_Korrekturen_KG'!I$9,'Anlage 1c_Korrekturen_NB'!$B$11:$B$600,'Anlage 1g_Korrekturen_KG'!$B43,'Anlage 1c_Korrekturen_NB'!$C$11:$C$600,'Anlage 1g_Korrekturen_KG'!$A43)</f>
        <v>0</v>
      </c>
      <c r="J43" s="470"/>
      <c r="K43" s="905">
        <f t="shared" si="6"/>
        <v>0</v>
      </c>
      <c r="L43" s="901">
        <f t="shared" si="3"/>
        <v>0</v>
      </c>
      <c r="M43" s="5"/>
      <c r="N43" s="5"/>
    </row>
    <row r="44" spans="1:16" hidden="1" outlineLevel="1">
      <c r="A44" s="472">
        <f t="shared" si="7"/>
        <v>2020</v>
      </c>
      <c r="B44" s="468">
        <v>4</v>
      </c>
      <c r="C44" s="469">
        <f>SUMIFS('Anlage 1c_Korrekturen_NB'!$L$11:$L$600,'Anlage 1c_Korrekturen_NB'!$O$11:$O$600,'Anlage 1g_Korrekturen_KG'!C$9,'Anlage 1c_Korrekturen_NB'!$B$11:$B$600,'Anlage 1g_Korrekturen_KG'!$B44,'Anlage 1c_Korrekturen_NB'!$C$11:$C$600,'Anlage 1g_Korrekturen_KG'!$A44)</f>
        <v>0</v>
      </c>
      <c r="D44" s="470"/>
      <c r="E44" s="469">
        <f>SUMIFS('Anlage 1c_Korrekturen_NB'!$L$11:$L$600,'Anlage 1c_Korrekturen_NB'!$O$11:$O$600,'Anlage 1g_Korrekturen_KG'!E$9,'Anlage 1c_Korrekturen_NB'!$B$11:$B$600,'Anlage 1g_Korrekturen_KG'!$B44,'Anlage 1c_Korrekturen_NB'!$C$11:$C$600,'Anlage 1g_Korrekturen_KG'!$A44)</f>
        <v>0</v>
      </c>
      <c r="F44" s="470"/>
      <c r="G44" s="469">
        <v>0</v>
      </c>
      <c r="H44" s="470"/>
      <c r="I44" s="469">
        <f>SUMIFS('Anlage 1c_Korrekturen_NB'!$L$11:$L$600,'Anlage 1c_Korrekturen_NB'!$O$11:$O$600,'Anlage 1g_Korrekturen_KG'!I$9,'Anlage 1c_Korrekturen_NB'!$B$11:$B$600,'Anlage 1g_Korrekturen_KG'!$B44,'Anlage 1c_Korrekturen_NB'!$C$11:$C$600,'Anlage 1g_Korrekturen_KG'!$A44)</f>
        <v>0</v>
      </c>
      <c r="J44" s="470"/>
      <c r="K44" s="905">
        <f t="shared" si="6"/>
        <v>0</v>
      </c>
      <c r="L44" s="901">
        <f t="shared" si="3"/>
        <v>0</v>
      </c>
      <c r="M44" s="5"/>
      <c r="N44" s="5"/>
    </row>
    <row r="45" spans="1:16" hidden="1" outlineLevel="1">
      <c r="A45" s="472">
        <f t="shared" si="7"/>
        <v>2020</v>
      </c>
      <c r="B45" s="468">
        <v>5</v>
      </c>
      <c r="C45" s="469">
        <f>SUMIFS('Anlage 1c_Korrekturen_NB'!$L$11:$L$600,'Anlage 1c_Korrekturen_NB'!$O$11:$O$600,'Anlage 1g_Korrekturen_KG'!C$9,'Anlage 1c_Korrekturen_NB'!$B$11:$B$600,'Anlage 1g_Korrekturen_KG'!$B45,'Anlage 1c_Korrekturen_NB'!$C$11:$C$600,'Anlage 1g_Korrekturen_KG'!$A45)</f>
        <v>0</v>
      </c>
      <c r="D45" s="470"/>
      <c r="E45" s="469">
        <f>SUMIFS('Anlage 1c_Korrekturen_NB'!$L$11:$L$600,'Anlage 1c_Korrekturen_NB'!$O$11:$O$600,'Anlage 1g_Korrekturen_KG'!E$9,'Anlage 1c_Korrekturen_NB'!$B$11:$B$600,'Anlage 1g_Korrekturen_KG'!$B45,'Anlage 1c_Korrekturen_NB'!$C$11:$C$600,'Anlage 1g_Korrekturen_KG'!$A45)</f>
        <v>0</v>
      </c>
      <c r="F45" s="470"/>
      <c r="G45" s="469">
        <v>0</v>
      </c>
      <c r="H45" s="470"/>
      <c r="I45" s="469">
        <f>SUMIFS('Anlage 1c_Korrekturen_NB'!$L$11:$L$600,'Anlage 1c_Korrekturen_NB'!$O$11:$O$600,'Anlage 1g_Korrekturen_KG'!I$9,'Anlage 1c_Korrekturen_NB'!$B$11:$B$600,'Anlage 1g_Korrekturen_KG'!$B45,'Anlage 1c_Korrekturen_NB'!$C$11:$C$600,'Anlage 1g_Korrekturen_KG'!$A45)</f>
        <v>0</v>
      </c>
      <c r="J45" s="470"/>
      <c r="K45" s="905">
        <f t="shared" si="6"/>
        <v>0</v>
      </c>
      <c r="L45" s="901">
        <f t="shared" si="3"/>
        <v>0</v>
      </c>
      <c r="M45" s="5"/>
      <c r="N45" s="5"/>
    </row>
    <row r="46" spans="1:16" hidden="1" outlineLevel="1">
      <c r="A46" s="473">
        <f t="shared" si="7"/>
        <v>2020</v>
      </c>
      <c r="B46" s="474">
        <v>7</v>
      </c>
      <c r="C46" s="469">
        <f>SUMIFS('Anlage 1c_Korrekturen_NB'!$L$11:$L$600,'Anlage 1c_Korrekturen_NB'!$O$11:$O$600,'Anlage 1g_Korrekturen_KG'!C$9,'Anlage 1c_Korrekturen_NB'!$B$11:$B$600,'Anlage 1g_Korrekturen_KG'!$B46,'Anlage 1c_Korrekturen_NB'!$C$11:$C$600,'Anlage 1g_Korrekturen_KG'!$A46)</f>
        <v>42641.600000000006</v>
      </c>
      <c r="D46" s="470"/>
      <c r="E46" s="469">
        <f>SUMIFS('Anlage 1c_Korrekturen_NB'!$L$11:$L$600,'Anlage 1c_Korrekturen_NB'!$O$11:$O$600,'Anlage 1g_Korrekturen_KG'!E$9,'Anlage 1c_Korrekturen_NB'!$B$11:$B$600,'Anlage 1g_Korrekturen_KG'!$B46,'Anlage 1c_Korrekturen_NB'!$C$11:$C$600,'Anlage 1g_Korrekturen_KG'!$A46)</f>
        <v>0</v>
      </c>
      <c r="F46" s="470"/>
      <c r="G46" s="469">
        <v>-12305.06</v>
      </c>
      <c r="H46" s="470"/>
      <c r="I46" s="469">
        <f>SUMIFS('Anlage 1c_Korrekturen_NB'!$L$11:$L$600,'Anlage 1c_Korrekturen_NB'!$O$11:$O$600,'Anlage 1g_Korrekturen_KG'!I$9,'Anlage 1c_Korrekturen_NB'!$B$11:$B$600,'Anlage 1g_Korrekturen_KG'!$B46,'Anlage 1c_Korrekturen_NB'!$C$11:$C$600,'Anlage 1g_Korrekturen_KG'!$A46)</f>
        <v>0</v>
      </c>
      <c r="J46" s="470"/>
      <c r="K46" s="905">
        <f t="shared" si="6"/>
        <v>30336.540000000008</v>
      </c>
      <c r="L46" s="901">
        <f t="shared" si="3"/>
        <v>0</v>
      </c>
      <c r="M46" s="5"/>
      <c r="N46" s="5"/>
    </row>
    <row r="47" spans="1:16" collapsed="1">
      <c r="A47" s="975">
        <v>2019</v>
      </c>
      <c r="B47" s="457"/>
      <c r="C47" s="476">
        <f>SUM(C48:C53)</f>
        <v>0</v>
      </c>
      <c r="D47" s="477"/>
      <c r="E47" s="1604">
        <f>SUM(E48:E53)</f>
        <v>-277.52999999999997</v>
      </c>
      <c r="F47" s="477"/>
      <c r="G47" s="476">
        <f>SUM(G48:G53)</f>
        <v>639.41</v>
      </c>
      <c r="H47" s="477"/>
      <c r="I47" s="476">
        <f>SUM(I48:I53)</f>
        <v>14451.7</v>
      </c>
      <c r="J47" s="477"/>
      <c r="K47" s="904">
        <f t="shared" ref="K47:K53" si="8">C47+E47+G47+I47</f>
        <v>14813.58</v>
      </c>
      <c r="L47" s="901">
        <f t="shared" si="3"/>
        <v>0</v>
      </c>
      <c r="M47" s="5"/>
      <c r="N47" s="5"/>
      <c r="P47" s="119"/>
    </row>
    <row r="48" spans="1:16" hidden="1" outlineLevel="1">
      <c r="A48" s="472">
        <f>$A$47</f>
        <v>2019</v>
      </c>
      <c r="B48" s="468" t="s">
        <v>2079</v>
      </c>
      <c r="C48" s="469">
        <f>SUMIFS('Anlage 1c_Korrekturen_NB'!$L$11:$L$600,'Anlage 1c_Korrekturen_NB'!$O$11:$O$600,'Anlage 1g_Korrekturen_KG'!C$9,'Anlage 1c_Korrekturen_NB'!$B$11:$B$600,'Anlage 1g_Korrekturen_KG'!$B48,'Anlage 1c_Korrekturen_NB'!$C$11:$C$600,'Anlage 1g_Korrekturen_KG'!$A48)</f>
        <v>0</v>
      </c>
      <c r="D48" s="470"/>
      <c r="E48" s="469">
        <f>SUMIFS('Anlage 1c_Korrekturen_NB'!$L$11:$L$600,'Anlage 1c_Korrekturen_NB'!$O$11:$O$600,'Anlage 1g_Korrekturen_KG'!E$9,'Anlage 1c_Korrekturen_NB'!$B$11:$B$600,'Anlage 1g_Korrekturen_KG'!$B48,'Anlage 1c_Korrekturen_NB'!$C$11:$C$600,'Anlage 1g_Korrekturen_KG'!$A48)</f>
        <v>-277.52999999999997</v>
      </c>
      <c r="F48" s="470"/>
      <c r="G48" s="469">
        <v>0</v>
      </c>
      <c r="H48" s="470"/>
      <c r="I48" s="469">
        <f>SUMIFS('Anlage 1c_Korrekturen_NB'!$L$11:$L$600,'Anlage 1c_Korrekturen_NB'!$O$11:$O$600,'Anlage 1g_Korrekturen_KG'!I$9,'Anlage 1c_Korrekturen_NB'!$B$11:$B$600,'Anlage 1g_Korrekturen_KG'!$B48,'Anlage 1c_Korrekturen_NB'!$C$11:$C$600,'Anlage 1g_Korrekturen_KG'!$A48)</f>
        <v>0</v>
      </c>
      <c r="J48" s="470"/>
      <c r="K48" s="905">
        <f t="shared" si="8"/>
        <v>-277.52999999999997</v>
      </c>
      <c r="L48" s="901">
        <f t="shared" si="3"/>
        <v>0</v>
      </c>
      <c r="M48" s="5"/>
      <c r="N48" s="5"/>
    </row>
    <row r="49" spans="1:16" hidden="1" outlineLevel="1">
      <c r="A49" s="472">
        <f t="shared" ref="A49:A53" si="9">$A$47</f>
        <v>2019</v>
      </c>
      <c r="B49" s="468">
        <v>2</v>
      </c>
      <c r="C49" s="469">
        <f>SUMIFS('Anlage 1c_Korrekturen_NB'!$L$11:$L$600,'Anlage 1c_Korrekturen_NB'!$O$11:$O$600,'Anlage 1g_Korrekturen_KG'!C$9,'Anlage 1c_Korrekturen_NB'!$B$11:$B$600,'Anlage 1g_Korrekturen_KG'!$B49,'Anlage 1c_Korrekturen_NB'!$C$11:$C$600,'Anlage 1g_Korrekturen_KG'!$A49)</f>
        <v>0</v>
      </c>
      <c r="D49" s="470"/>
      <c r="E49" s="469">
        <f>SUMIFS('Anlage 1c_Korrekturen_NB'!$L$11:$L$600,'Anlage 1c_Korrekturen_NB'!$O$11:$O$600,'Anlage 1g_Korrekturen_KG'!E$9,'Anlage 1c_Korrekturen_NB'!$B$11:$B$600,'Anlage 1g_Korrekturen_KG'!$B49,'Anlage 1c_Korrekturen_NB'!$C$11:$C$600,'Anlage 1g_Korrekturen_KG'!$A49)</f>
        <v>0</v>
      </c>
      <c r="F49" s="470"/>
      <c r="G49" s="469">
        <v>0</v>
      </c>
      <c r="H49" s="470"/>
      <c r="I49" s="469">
        <f>SUMIFS('Anlage 1c_Korrekturen_NB'!$L$11:$L$600,'Anlage 1c_Korrekturen_NB'!$O$11:$O$600,'Anlage 1g_Korrekturen_KG'!I$9,'Anlage 1c_Korrekturen_NB'!$B$11:$B$600,'Anlage 1g_Korrekturen_KG'!$B49,'Anlage 1c_Korrekturen_NB'!$C$11:$C$600,'Anlage 1g_Korrekturen_KG'!$A49)</f>
        <v>0</v>
      </c>
      <c r="J49" s="470"/>
      <c r="K49" s="905">
        <f t="shared" si="8"/>
        <v>0</v>
      </c>
      <c r="L49" s="901">
        <f t="shared" si="3"/>
        <v>0</v>
      </c>
      <c r="M49" s="5"/>
      <c r="N49" s="5"/>
    </row>
    <row r="50" spans="1:16" hidden="1" outlineLevel="1">
      <c r="A50" s="472">
        <f t="shared" si="9"/>
        <v>2019</v>
      </c>
      <c r="B50" s="468">
        <v>3</v>
      </c>
      <c r="C50" s="469">
        <f>SUMIFS('Anlage 1c_Korrekturen_NB'!$L$11:$L$600,'Anlage 1c_Korrekturen_NB'!$O$11:$O$600,'Anlage 1g_Korrekturen_KG'!C$9,'Anlage 1c_Korrekturen_NB'!$B$11:$B$600,'Anlage 1g_Korrekturen_KG'!$B50,'Anlage 1c_Korrekturen_NB'!$C$11:$C$600,'Anlage 1g_Korrekturen_KG'!$A50)</f>
        <v>0</v>
      </c>
      <c r="D50" s="470"/>
      <c r="E50" s="469">
        <f>SUMIFS('Anlage 1c_Korrekturen_NB'!$L$11:$L$600,'Anlage 1c_Korrekturen_NB'!$O$11:$O$600,'Anlage 1g_Korrekturen_KG'!E$9,'Anlage 1c_Korrekturen_NB'!$B$11:$B$600,'Anlage 1g_Korrekturen_KG'!$B50,'Anlage 1c_Korrekturen_NB'!$C$11:$C$600,'Anlage 1g_Korrekturen_KG'!$A50)</f>
        <v>0</v>
      </c>
      <c r="F50" s="470"/>
      <c r="G50" s="469">
        <v>0</v>
      </c>
      <c r="H50" s="470"/>
      <c r="I50" s="469">
        <f>SUMIFS('Anlage 1c_Korrekturen_NB'!$L$11:$L$600,'Anlage 1c_Korrekturen_NB'!$O$11:$O$600,'Anlage 1g_Korrekturen_KG'!I$9,'Anlage 1c_Korrekturen_NB'!$B$11:$B$600,'Anlage 1g_Korrekturen_KG'!$B50,'Anlage 1c_Korrekturen_NB'!$C$11:$C$600,'Anlage 1g_Korrekturen_KG'!$A50)</f>
        <v>0</v>
      </c>
      <c r="J50" s="470"/>
      <c r="K50" s="905">
        <f t="shared" si="8"/>
        <v>0</v>
      </c>
      <c r="L50" s="901">
        <f t="shared" si="3"/>
        <v>0</v>
      </c>
      <c r="M50" s="5"/>
      <c r="N50" s="5"/>
    </row>
    <row r="51" spans="1:16" hidden="1" outlineLevel="1">
      <c r="A51" s="472">
        <f t="shared" si="9"/>
        <v>2019</v>
      </c>
      <c r="B51" s="468">
        <v>4</v>
      </c>
      <c r="C51" s="469">
        <f>SUMIFS('Anlage 1c_Korrekturen_NB'!$L$11:$L$600,'Anlage 1c_Korrekturen_NB'!$O$11:$O$600,'Anlage 1g_Korrekturen_KG'!C$9,'Anlage 1c_Korrekturen_NB'!$B$11:$B$600,'Anlage 1g_Korrekturen_KG'!$B51,'Anlage 1c_Korrekturen_NB'!$C$11:$C$600,'Anlage 1g_Korrekturen_KG'!$A51)</f>
        <v>0</v>
      </c>
      <c r="D51" s="470"/>
      <c r="E51" s="469">
        <f>SUMIFS('Anlage 1c_Korrekturen_NB'!$L$11:$L$600,'Anlage 1c_Korrekturen_NB'!$O$11:$O$600,'Anlage 1g_Korrekturen_KG'!E$9,'Anlage 1c_Korrekturen_NB'!$B$11:$B$600,'Anlage 1g_Korrekturen_KG'!$B51,'Anlage 1c_Korrekturen_NB'!$C$11:$C$600,'Anlage 1g_Korrekturen_KG'!$A51)</f>
        <v>0</v>
      </c>
      <c r="F51" s="470"/>
      <c r="G51" s="469">
        <v>0</v>
      </c>
      <c r="H51" s="470"/>
      <c r="I51" s="469">
        <f>SUMIFS('Anlage 1c_Korrekturen_NB'!$L$11:$L$600,'Anlage 1c_Korrekturen_NB'!$O$11:$O$600,'Anlage 1g_Korrekturen_KG'!I$9,'Anlage 1c_Korrekturen_NB'!$B$11:$B$600,'Anlage 1g_Korrekturen_KG'!$B51,'Anlage 1c_Korrekturen_NB'!$C$11:$C$600,'Anlage 1g_Korrekturen_KG'!$A51)</f>
        <v>0</v>
      </c>
      <c r="J51" s="470"/>
      <c r="K51" s="905">
        <f t="shared" si="8"/>
        <v>0</v>
      </c>
      <c r="L51" s="901">
        <f t="shared" si="3"/>
        <v>0</v>
      </c>
      <c r="M51" s="5"/>
      <c r="N51" s="5"/>
    </row>
    <row r="52" spans="1:16" hidden="1" outlineLevel="1">
      <c r="A52" s="472">
        <f t="shared" si="9"/>
        <v>2019</v>
      </c>
      <c r="B52" s="468">
        <v>5</v>
      </c>
      <c r="C52" s="469">
        <f>SUMIFS('Anlage 1c_Korrekturen_NB'!$L$11:$L$600,'Anlage 1c_Korrekturen_NB'!$O$11:$O$600,'Anlage 1g_Korrekturen_KG'!C$9,'Anlage 1c_Korrekturen_NB'!$B$11:$B$600,'Anlage 1g_Korrekturen_KG'!$B52,'Anlage 1c_Korrekturen_NB'!$C$11:$C$600,'Anlage 1g_Korrekturen_KG'!$A52)</f>
        <v>0</v>
      </c>
      <c r="D52" s="470"/>
      <c r="E52" s="469">
        <f>SUMIFS('Anlage 1c_Korrekturen_NB'!$L$11:$L$600,'Anlage 1c_Korrekturen_NB'!$O$11:$O$600,'Anlage 1g_Korrekturen_KG'!E$9,'Anlage 1c_Korrekturen_NB'!$B$11:$B$600,'Anlage 1g_Korrekturen_KG'!$B52,'Anlage 1c_Korrekturen_NB'!$C$11:$C$600,'Anlage 1g_Korrekturen_KG'!$A52)</f>
        <v>0</v>
      </c>
      <c r="F52" s="470"/>
      <c r="G52" s="469">
        <v>0</v>
      </c>
      <c r="H52" s="470"/>
      <c r="I52" s="469">
        <f>SUMIFS('Anlage 1c_Korrekturen_NB'!$L$11:$L$600,'Anlage 1c_Korrekturen_NB'!$O$11:$O$600,'Anlage 1g_Korrekturen_KG'!I$9,'Anlage 1c_Korrekturen_NB'!$B$11:$B$600,'Anlage 1g_Korrekturen_KG'!$B52,'Anlage 1c_Korrekturen_NB'!$C$11:$C$600,'Anlage 1g_Korrekturen_KG'!$A52)</f>
        <v>0</v>
      </c>
      <c r="J52" s="470"/>
      <c r="K52" s="905">
        <f t="shared" si="8"/>
        <v>0</v>
      </c>
      <c r="L52" s="901">
        <f t="shared" si="3"/>
        <v>0</v>
      </c>
      <c r="M52" s="5"/>
      <c r="N52" s="5"/>
    </row>
    <row r="53" spans="1:16" hidden="1" outlineLevel="1">
      <c r="A53" s="473">
        <f t="shared" si="9"/>
        <v>2019</v>
      </c>
      <c r="B53" s="474">
        <v>7</v>
      </c>
      <c r="C53" s="469">
        <f>SUMIFS('Anlage 1c_Korrekturen_NB'!$L$11:$L$600,'Anlage 1c_Korrekturen_NB'!$O$11:$O$600,'Anlage 1g_Korrekturen_KG'!C$9,'Anlage 1c_Korrekturen_NB'!$B$11:$B$600,'Anlage 1g_Korrekturen_KG'!$B53,'Anlage 1c_Korrekturen_NB'!$C$11:$C$600,'Anlage 1g_Korrekturen_KG'!$A53)</f>
        <v>0</v>
      </c>
      <c r="D53" s="470"/>
      <c r="E53" s="469">
        <f>SUMIFS('Anlage 1c_Korrekturen_NB'!$L$11:$L$600,'Anlage 1c_Korrekturen_NB'!$O$11:$O$600,'Anlage 1g_Korrekturen_KG'!E$9,'Anlage 1c_Korrekturen_NB'!$B$11:$B$600,'Anlage 1g_Korrekturen_KG'!$B53,'Anlage 1c_Korrekturen_NB'!$C$11:$C$600,'Anlage 1g_Korrekturen_KG'!$A53)</f>
        <v>0</v>
      </c>
      <c r="F53" s="470"/>
      <c r="G53" s="469">
        <v>639.41</v>
      </c>
      <c r="H53" s="470"/>
      <c r="I53" s="469">
        <f>SUMIFS('Anlage 1c_Korrekturen_NB'!$L$11:$L$600,'Anlage 1c_Korrekturen_NB'!$O$11:$O$600,'Anlage 1g_Korrekturen_KG'!I$9,'Anlage 1c_Korrekturen_NB'!$B$11:$B$600,'Anlage 1g_Korrekturen_KG'!$B53,'Anlage 1c_Korrekturen_NB'!$C$11:$C$600,'Anlage 1g_Korrekturen_KG'!$A53)</f>
        <v>14451.7</v>
      </c>
      <c r="J53" s="470"/>
      <c r="K53" s="905">
        <f t="shared" si="8"/>
        <v>15091.11</v>
      </c>
      <c r="L53" s="901">
        <f t="shared" si="3"/>
        <v>0</v>
      </c>
      <c r="M53" s="5"/>
      <c r="N53" s="5"/>
    </row>
    <row r="54" spans="1:16" collapsed="1">
      <c r="A54" s="975">
        <v>2018</v>
      </c>
      <c r="B54" s="457"/>
      <c r="C54" s="476">
        <f>SUM(C55:C60)</f>
        <v>0</v>
      </c>
      <c r="D54" s="477"/>
      <c r="E54" s="476">
        <f>SUM(E55:E60)</f>
        <v>0</v>
      </c>
      <c r="F54" s="477"/>
      <c r="G54" s="476">
        <f>SUM(G55:G60)</f>
        <v>0</v>
      </c>
      <c r="H54" s="477"/>
      <c r="I54" s="476">
        <f>SUM(I55:I60)</f>
        <v>80172.679999999993</v>
      </c>
      <c r="J54" s="477"/>
      <c r="K54" s="904">
        <f t="shared" si="6"/>
        <v>80172.679999999993</v>
      </c>
      <c r="L54" s="901">
        <f t="shared" si="3"/>
        <v>0</v>
      </c>
      <c r="M54" s="5"/>
      <c r="N54" s="5"/>
      <c r="P54" s="119"/>
    </row>
    <row r="55" spans="1:16" hidden="1" outlineLevel="1">
      <c r="A55" s="472">
        <f>$A$54</f>
        <v>2018</v>
      </c>
      <c r="B55" s="468" t="s">
        <v>2079</v>
      </c>
      <c r="C55" s="469">
        <f>SUMIFS('Anlage 1c_Korrekturen_NB'!$L$11:$L$600,'Anlage 1c_Korrekturen_NB'!$O$11:$O$600,'Anlage 1g_Korrekturen_KG'!C$9,'Anlage 1c_Korrekturen_NB'!$B$11:$B$600,'Anlage 1g_Korrekturen_KG'!$B55,'Anlage 1c_Korrekturen_NB'!$C$11:$C$600,'Anlage 1g_Korrekturen_KG'!$A55)</f>
        <v>0</v>
      </c>
      <c r="D55" s="470"/>
      <c r="E55" s="469">
        <f>SUMIFS('Anlage 1c_Korrekturen_NB'!$L$11:$L$600,'Anlage 1c_Korrekturen_NB'!$O$11:$O$600,'Anlage 1g_Korrekturen_KG'!E$9,'Anlage 1c_Korrekturen_NB'!$B$11:$B$600,'Anlage 1g_Korrekturen_KG'!$B55,'Anlage 1c_Korrekturen_NB'!$C$11:$C$600,'Anlage 1g_Korrekturen_KG'!$A55)</f>
        <v>0</v>
      </c>
      <c r="F55" s="470"/>
      <c r="G55" s="469">
        <f>SUMIFS('Anlage 1c_Korrekturen_NB'!$L$11:$L$600,'Anlage 1c_Korrekturen_NB'!$O$11:$O$600,'Anlage 1g_Korrekturen_KG'!G$9,'Anlage 1c_Korrekturen_NB'!$B$11:$B$600,'Anlage 1g_Korrekturen_KG'!$B55,'Anlage 1c_Korrekturen_NB'!$C$11:$C$600,'Anlage 1g_Korrekturen_KG'!$A55)</f>
        <v>0</v>
      </c>
      <c r="H55" s="470"/>
      <c r="I55" s="469">
        <f>SUMIFS('Anlage 1c_Korrekturen_NB'!$L$11:$L$600,'Anlage 1c_Korrekturen_NB'!$O$11:$O$600,'Anlage 1g_Korrekturen_KG'!I$9,'Anlage 1c_Korrekturen_NB'!$B$11:$B$600,'Anlage 1g_Korrekturen_KG'!$B55,'Anlage 1c_Korrekturen_NB'!$C$11:$C$600,'Anlage 1g_Korrekturen_KG'!$A55)</f>
        <v>0</v>
      </c>
      <c r="J55" s="470"/>
      <c r="K55" s="905">
        <f t="shared" si="6"/>
        <v>0</v>
      </c>
      <c r="L55" s="901">
        <f t="shared" si="3"/>
        <v>0</v>
      </c>
      <c r="M55" s="5"/>
      <c r="N55" s="5"/>
    </row>
    <row r="56" spans="1:16" hidden="1" outlineLevel="1">
      <c r="A56" s="472">
        <f t="shared" ref="A56:A60" si="10">$A$54</f>
        <v>2018</v>
      </c>
      <c r="B56" s="468">
        <v>2</v>
      </c>
      <c r="C56" s="469">
        <f>SUMIFS('Anlage 1c_Korrekturen_NB'!$L$11:$L$600,'Anlage 1c_Korrekturen_NB'!$O$11:$O$600,'Anlage 1g_Korrekturen_KG'!C$9,'Anlage 1c_Korrekturen_NB'!$B$11:$B$600,'Anlage 1g_Korrekturen_KG'!$B56,'Anlage 1c_Korrekturen_NB'!$C$11:$C$600,'Anlage 1g_Korrekturen_KG'!$A56)</f>
        <v>0</v>
      </c>
      <c r="D56" s="470"/>
      <c r="E56" s="469">
        <f>SUMIFS('Anlage 1c_Korrekturen_NB'!$L$11:$L$600,'Anlage 1c_Korrekturen_NB'!$O$11:$O$600,'Anlage 1g_Korrekturen_KG'!E$9,'Anlage 1c_Korrekturen_NB'!$B$11:$B$600,'Anlage 1g_Korrekturen_KG'!$B56,'Anlage 1c_Korrekturen_NB'!$C$11:$C$600,'Anlage 1g_Korrekturen_KG'!$A56)</f>
        <v>0</v>
      </c>
      <c r="F56" s="470"/>
      <c r="G56" s="469">
        <f>SUMIFS('Anlage 1c_Korrekturen_NB'!$L$11:$L$600,'Anlage 1c_Korrekturen_NB'!$O$11:$O$600,'Anlage 1g_Korrekturen_KG'!G$9,'Anlage 1c_Korrekturen_NB'!$B$11:$B$600,'Anlage 1g_Korrekturen_KG'!$B56,'Anlage 1c_Korrekturen_NB'!$C$11:$C$600,'Anlage 1g_Korrekturen_KG'!$A56)</f>
        <v>0</v>
      </c>
      <c r="H56" s="470"/>
      <c r="I56" s="469">
        <f>SUMIFS('Anlage 1c_Korrekturen_NB'!$L$11:$L$600,'Anlage 1c_Korrekturen_NB'!$O$11:$O$600,'Anlage 1g_Korrekturen_KG'!I$9,'Anlage 1c_Korrekturen_NB'!$B$11:$B$600,'Anlage 1g_Korrekturen_KG'!$B56,'Anlage 1c_Korrekturen_NB'!$C$11:$C$600,'Anlage 1g_Korrekturen_KG'!$A56)</f>
        <v>0</v>
      </c>
      <c r="J56" s="470"/>
      <c r="K56" s="905">
        <f t="shared" si="6"/>
        <v>0</v>
      </c>
      <c r="L56" s="901">
        <f t="shared" si="3"/>
        <v>0</v>
      </c>
      <c r="M56" s="5"/>
      <c r="N56" s="5"/>
    </row>
    <row r="57" spans="1:16" hidden="1" outlineLevel="1">
      <c r="A57" s="472">
        <f t="shared" si="10"/>
        <v>2018</v>
      </c>
      <c r="B57" s="468">
        <v>3</v>
      </c>
      <c r="C57" s="469">
        <f>SUMIFS('Anlage 1c_Korrekturen_NB'!$L$11:$L$600,'Anlage 1c_Korrekturen_NB'!$O$11:$O$600,'Anlage 1g_Korrekturen_KG'!C$9,'Anlage 1c_Korrekturen_NB'!$B$11:$B$600,'Anlage 1g_Korrekturen_KG'!$B57,'Anlage 1c_Korrekturen_NB'!$C$11:$C$600,'Anlage 1g_Korrekturen_KG'!$A57)</f>
        <v>0</v>
      </c>
      <c r="D57" s="470"/>
      <c r="E57" s="469">
        <f>SUMIFS('Anlage 1c_Korrekturen_NB'!$L$11:$L$600,'Anlage 1c_Korrekturen_NB'!$O$11:$O$600,'Anlage 1g_Korrekturen_KG'!E$9,'Anlage 1c_Korrekturen_NB'!$B$11:$B$600,'Anlage 1g_Korrekturen_KG'!$B57,'Anlage 1c_Korrekturen_NB'!$C$11:$C$600,'Anlage 1g_Korrekturen_KG'!$A57)</f>
        <v>0</v>
      </c>
      <c r="F57" s="470"/>
      <c r="G57" s="469">
        <f>SUMIFS('Anlage 1c_Korrekturen_NB'!$L$11:$L$600,'Anlage 1c_Korrekturen_NB'!$O$11:$O$600,'Anlage 1g_Korrekturen_KG'!G$9,'Anlage 1c_Korrekturen_NB'!$B$11:$B$600,'Anlage 1g_Korrekturen_KG'!$B57,'Anlage 1c_Korrekturen_NB'!$C$11:$C$600,'Anlage 1g_Korrekturen_KG'!$A57)</f>
        <v>0</v>
      </c>
      <c r="H57" s="470"/>
      <c r="I57" s="469">
        <f>SUMIFS('Anlage 1c_Korrekturen_NB'!$L$11:$L$600,'Anlage 1c_Korrekturen_NB'!$O$11:$O$600,'Anlage 1g_Korrekturen_KG'!I$9,'Anlage 1c_Korrekturen_NB'!$B$11:$B$600,'Anlage 1g_Korrekturen_KG'!$B57,'Anlage 1c_Korrekturen_NB'!$C$11:$C$600,'Anlage 1g_Korrekturen_KG'!$A57)</f>
        <v>0</v>
      </c>
      <c r="J57" s="470"/>
      <c r="K57" s="905">
        <f t="shared" si="6"/>
        <v>0</v>
      </c>
      <c r="L57" s="901">
        <f t="shared" si="3"/>
        <v>0</v>
      </c>
      <c r="M57" s="5"/>
      <c r="N57" s="5"/>
    </row>
    <row r="58" spans="1:16" hidden="1" outlineLevel="1">
      <c r="A58" s="472">
        <f t="shared" si="10"/>
        <v>2018</v>
      </c>
      <c r="B58" s="468">
        <v>4</v>
      </c>
      <c r="C58" s="469">
        <f>SUMIFS('Anlage 1c_Korrekturen_NB'!$L$11:$L$600,'Anlage 1c_Korrekturen_NB'!$O$11:$O$600,'Anlage 1g_Korrekturen_KG'!C$9,'Anlage 1c_Korrekturen_NB'!$B$11:$B$600,'Anlage 1g_Korrekturen_KG'!$B58,'Anlage 1c_Korrekturen_NB'!$C$11:$C$600,'Anlage 1g_Korrekturen_KG'!$A58)</f>
        <v>0</v>
      </c>
      <c r="D58" s="470"/>
      <c r="E58" s="469">
        <f>SUMIFS('Anlage 1c_Korrekturen_NB'!$L$11:$L$600,'Anlage 1c_Korrekturen_NB'!$O$11:$O$600,'Anlage 1g_Korrekturen_KG'!E$9,'Anlage 1c_Korrekturen_NB'!$B$11:$B$600,'Anlage 1g_Korrekturen_KG'!$B58,'Anlage 1c_Korrekturen_NB'!$C$11:$C$600,'Anlage 1g_Korrekturen_KG'!$A58)</f>
        <v>0</v>
      </c>
      <c r="F58" s="470"/>
      <c r="G58" s="469">
        <f>SUMIFS('Anlage 1c_Korrekturen_NB'!$L$11:$L$600,'Anlage 1c_Korrekturen_NB'!$O$11:$O$600,'Anlage 1g_Korrekturen_KG'!G$9,'Anlage 1c_Korrekturen_NB'!$B$11:$B$600,'Anlage 1g_Korrekturen_KG'!$B58,'Anlage 1c_Korrekturen_NB'!$C$11:$C$600,'Anlage 1g_Korrekturen_KG'!$A58)</f>
        <v>0</v>
      </c>
      <c r="H58" s="470"/>
      <c r="I58" s="469">
        <f>SUMIFS('Anlage 1c_Korrekturen_NB'!$L$11:$L$600,'Anlage 1c_Korrekturen_NB'!$O$11:$O$600,'Anlage 1g_Korrekturen_KG'!I$9,'Anlage 1c_Korrekturen_NB'!$B$11:$B$600,'Anlage 1g_Korrekturen_KG'!$B58,'Anlage 1c_Korrekturen_NB'!$C$11:$C$600,'Anlage 1g_Korrekturen_KG'!$A58)</f>
        <v>0</v>
      </c>
      <c r="J58" s="470"/>
      <c r="K58" s="905">
        <f t="shared" si="6"/>
        <v>0</v>
      </c>
      <c r="L58" s="901">
        <f t="shared" si="3"/>
        <v>0</v>
      </c>
      <c r="M58" s="5"/>
      <c r="N58" s="5"/>
    </row>
    <row r="59" spans="1:16" hidden="1" outlineLevel="1">
      <c r="A59" s="472">
        <f t="shared" si="10"/>
        <v>2018</v>
      </c>
      <c r="B59" s="468">
        <v>5</v>
      </c>
      <c r="C59" s="469">
        <f>SUMIFS('Anlage 1c_Korrekturen_NB'!$L$11:$L$600,'Anlage 1c_Korrekturen_NB'!$O$11:$O$600,'Anlage 1g_Korrekturen_KG'!C$9,'Anlage 1c_Korrekturen_NB'!$B$11:$B$600,'Anlage 1g_Korrekturen_KG'!$B59,'Anlage 1c_Korrekturen_NB'!$C$11:$C$600,'Anlage 1g_Korrekturen_KG'!$A59)</f>
        <v>0</v>
      </c>
      <c r="D59" s="470"/>
      <c r="E59" s="469">
        <f>SUMIFS('Anlage 1c_Korrekturen_NB'!$L$11:$L$600,'Anlage 1c_Korrekturen_NB'!$O$11:$O$600,'Anlage 1g_Korrekturen_KG'!E$9,'Anlage 1c_Korrekturen_NB'!$B$11:$B$600,'Anlage 1g_Korrekturen_KG'!$B59,'Anlage 1c_Korrekturen_NB'!$C$11:$C$600,'Anlage 1g_Korrekturen_KG'!$A59)</f>
        <v>0</v>
      </c>
      <c r="F59" s="470"/>
      <c r="G59" s="469">
        <f>SUMIFS('Anlage 1c_Korrekturen_NB'!$L$11:$L$600,'Anlage 1c_Korrekturen_NB'!$O$11:$O$600,'Anlage 1g_Korrekturen_KG'!G$9,'Anlage 1c_Korrekturen_NB'!$B$11:$B$600,'Anlage 1g_Korrekturen_KG'!$B59,'Anlage 1c_Korrekturen_NB'!$C$11:$C$600,'Anlage 1g_Korrekturen_KG'!$A59)</f>
        <v>0</v>
      </c>
      <c r="H59" s="470"/>
      <c r="I59" s="469">
        <f>SUMIFS('Anlage 1c_Korrekturen_NB'!$L$11:$L$600,'Anlage 1c_Korrekturen_NB'!$O$11:$O$600,'Anlage 1g_Korrekturen_KG'!I$9,'Anlage 1c_Korrekturen_NB'!$B$11:$B$600,'Anlage 1g_Korrekturen_KG'!$B59,'Anlage 1c_Korrekturen_NB'!$C$11:$C$600,'Anlage 1g_Korrekturen_KG'!$A59)</f>
        <v>0</v>
      </c>
      <c r="J59" s="470"/>
      <c r="K59" s="905">
        <f t="shared" si="6"/>
        <v>0</v>
      </c>
      <c r="L59" s="901">
        <f t="shared" si="3"/>
        <v>0</v>
      </c>
      <c r="M59" s="5"/>
      <c r="N59" s="5"/>
    </row>
    <row r="60" spans="1:16" hidden="1" outlineLevel="1">
      <c r="A60" s="473">
        <f t="shared" si="10"/>
        <v>2018</v>
      </c>
      <c r="B60" s="474">
        <v>7</v>
      </c>
      <c r="C60" s="469">
        <f>SUMIFS('Anlage 1c_Korrekturen_NB'!$L$11:$L$600,'Anlage 1c_Korrekturen_NB'!$O$11:$O$600,'Anlage 1g_Korrekturen_KG'!C$9,'Anlage 1c_Korrekturen_NB'!$B$11:$B$600,'Anlage 1g_Korrekturen_KG'!$B60,'Anlage 1c_Korrekturen_NB'!$C$11:$C$600,'Anlage 1g_Korrekturen_KG'!$A60)</f>
        <v>0</v>
      </c>
      <c r="D60" s="470"/>
      <c r="E60" s="469">
        <f>SUMIFS('Anlage 1c_Korrekturen_NB'!$L$11:$L$600,'Anlage 1c_Korrekturen_NB'!$O$11:$O$600,'Anlage 1g_Korrekturen_KG'!E$9,'Anlage 1c_Korrekturen_NB'!$B$11:$B$600,'Anlage 1g_Korrekturen_KG'!$B60,'Anlage 1c_Korrekturen_NB'!$C$11:$C$600,'Anlage 1g_Korrekturen_KG'!$A60)</f>
        <v>0</v>
      </c>
      <c r="F60" s="470"/>
      <c r="G60" s="469">
        <f>SUMIFS('Anlage 1c_Korrekturen_NB'!$L$11:$L$600,'Anlage 1c_Korrekturen_NB'!$O$11:$O$600,'Anlage 1g_Korrekturen_KG'!G$9,'Anlage 1c_Korrekturen_NB'!$B$11:$B$600,'Anlage 1g_Korrekturen_KG'!$B60,'Anlage 1c_Korrekturen_NB'!$C$11:$C$600,'Anlage 1g_Korrekturen_KG'!$A60)</f>
        <v>0</v>
      </c>
      <c r="H60" s="470"/>
      <c r="I60" s="469">
        <f>SUMIFS('Anlage 1c_Korrekturen_NB'!$L$11:$L$600,'Anlage 1c_Korrekturen_NB'!$O$11:$O$600,'Anlage 1g_Korrekturen_KG'!I$9,'Anlage 1c_Korrekturen_NB'!$B$11:$B$600,'Anlage 1g_Korrekturen_KG'!$B60,'Anlage 1c_Korrekturen_NB'!$C$11:$C$600,'Anlage 1g_Korrekturen_KG'!$A60)</f>
        <v>80172.679999999993</v>
      </c>
      <c r="J60" s="470"/>
      <c r="K60" s="905">
        <f t="shared" si="6"/>
        <v>80172.679999999993</v>
      </c>
      <c r="L60" s="901">
        <f t="shared" si="3"/>
        <v>0</v>
      </c>
      <c r="M60" s="5"/>
      <c r="N60" s="5"/>
    </row>
    <row r="61" spans="1:16" collapsed="1">
      <c r="A61" s="975">
        <v>2017</v>
      </c>
      <c r="B61" s="457"/>
      <c r="C61" s="476">
        <f>SUM(C62:C67)</f>
        <v>0</v>
      </c>
      <c r="D61" s="477"/>
      <c r="E61" s="476">
        <f>SUM(E62:E67)</f>
        <v>0</v>
      </c>
      <c r="F61" s="477"/>
      <c r="G61" s="476">
        <f>SUM(G62:G67)</f>
        <v>0</v>
      </c>
      <c r="H61" s="477"/>
      <c r="I61" s="476">
        <f>SUM(I62:I67)</f>
        <v>83295.42</v>
      </c>
      <c r="J61" s="477"/>
      <c r="K61" s="904">
        <f t="shared" si="6"/>
        <v>83295.42</v>
      </c>
      <c r="L61" s="901">
        <f t="shared" si="3"/>
        <v>0</v>
      </c>
      <c r="M61" s="5"/>
      <c r="N61" s="5"/>
      <c r="P61" s="119"/>
    </row>
    <row r="62" spans="1:16" hidden="1" outlineLevel="1">
      <c r="A62" s="472">
        <f>$A$61</f>
        <v>2017</v>
      </c>
      <c r="B62" s="468" t="s">
        <v>2079</v>
      </c>
      <c r="C62" s="469">
        <f>SUMIFS('Anlage 1c_Korrekturen_NB'!$L$11:$L$600,'Anlage 1c_Korrekturen_NB'!$O$11:$O$600,'Anlage 1g_Korrekturen_KG'!C$9,'Anlage 1c_Korrekturen_NB'!$B$11:$B$600,'Anlage 1g_Korrekturen_KG'!$B62,'Anlage 1c_Korrekturen_NB'!$C$11:$C$600,'Anlage 1g_Korrekturen_KG'!$A62)</f>
        <v>0</v>
      </c>
      <c r="D62" s="470"/>
      <c r="E62" s="469">
        <f>SUMIFS('Anlage 1c_Korrekturen_NB'!$L$11:$L$600,'Anlage 1c_Korrekturen_NB'!$O$11:$O$600,'Anlage 1g_Korrekturen_KG'!E$9,'Anlage 1c_Korrekturen_NB'!$B$11:$B$600,'Anlage 1g_Korrekturen_KG'!$B62,'Anlage 1c_Korrekturen_NB'!$C$11:$C$600,'Anlage 1g_Korrekturen_KG'!$A62)</f>
        <v>0</v>
      </c>
      <c r="F62" s="470"/>
      <c r="G62" s="469">
        <f>SUMIFS('Anlage 1c_Korrekturen_NB'!$L$11:$L$600,'Anlage 1c_Korrekturen_NB'!$O$11:$O$600,'Anlage 1g_Korrekturen_KG'!G$9,'Anlage 1c_Korrekturen_NB'!$B$11:$B$600,'Anlage 1g_Korrekturen_KG'!$B62,'Anlage 1c_Korrekturen_NB'!$C$11:$C$600,'Anlage 1g_Korrekturen_KG'!$A62)</f>
        <v>0</v>
      </c>
      <c r="H62" s="470"/>
      <c r="I62" s="469">
        <f>SUMIFS('Anlage 1c_Korrekturen_NB'!$L$11:$L$600,'Anlage 1c_Korrekturen_NB'!$O$11:$O$600,'Anlage 1g_Korrekturen_KG'!I$9,'Anlage 1c_Korrekturen_NB'!$B$11:$B$600,'Anlage 1g_Korrekturen_KG'!$B62,'Anlage 1c_Korrekturen_NB'!$C$11:$C$600,'Anlage 1g_Korrekturen_KG'!$A62)</f>
        <v>0</v>
      </c>
      <c r="J62" s="470"/>
      <c r="K62" s="905">
        <f t="shared" si="6"/>
        <v>0</v>
      </c>
      <c r="L62" s="901">
        <f t="shared" si="3"/>
        <v>0</v>
      </c>
      <c r="M62" s="5"/>
      <c r="N62" s="5"/>
    </row>
    <row r="63" spans="1:16" hidden="1" outlineLevel="1">
      <c r="A63" s="472">
        <f t="shared" ref="A63:A67" si="11">$A$61</f>
        <v>2017</v>
      </c>
      <c r="B63" s="468">
        <v>2</v>
      </c>
      <c r="C63" s="469">
        <f>SUMIFS('Anlage 1c_Korrekturen_NB'!$L$11:$L$600,'Anlage 1c_Korrekturen_NB'!$O$11:$O$600,'Anlage 1g_Korrekturen_KG'!C$9,'Anlage 1c_Korrekturen_NB'!$B$11:$B$600,'Anlage 1g_Korrekturen_KG'!$B63,'Anlage 1c_Korrekturen_NB'!$C$11:$C$600,'Anlage 1g_Korrekturen_KG'!$A63)</f>
        <v>0</v>
      </c>
      <c r="D63" s="470"/>
      <c r="E63" s="469">
        <f>SUMIFS('Anlage 1c_Korrekturen_NB'!$L$11:$L$600,'Anlage 1c_Korrekturen_NB'!$O$11:$O$600,'Anlage 1g_Korrekturen_KG'!E$9,'Anlage 1c_Korrekturen_NB'!$B$11:$B$600,'Anlage 1g_Korrekturen_KG'!$B63,'Anlage 1c_Korrekturen_NB'!$C$11:$C$600,'Anlage 1g_Korrekturen_KG'!$A63)</f>
        <v>0</v>
      </c>
      <c r="F63" s="470"/>
      <c r="G63" s="469">
        <f>SUMIFS('Anlage 1c_Korrekturen_NB'!$L$11:$L$600,'Anlage 1c_Korrekturen_NB'!$O$11:$O$600,'Anlage 1g_Korrekturen_KG'!G$9,'Anlage 1c_Korrekturen_NB'!$B$11:$B$600,'Anlage 1g_Korrekturen_KG'!$B63,'Anlage 1c_Korrekturen_NB'!$C$11:$C$600,'Anlage 1g_Korrekturen_KG'!$A63)</f>
        <v>0</v>
      </c>
      <c r="H63" s="470"/>
      <c r="I63" s="469">
        <f>SUMIFS('Anlage 1c_Korrekturen_NB'!$L$11:$L$600,'Anlage 1c_Korrekturen_NB'!$O$11:$O$600,'Anlage 1g_Korrekturen_KG'!I$9,'Anlage 1c_Korrekturen_NB'!$B$11:$B$600,'Anlage 1g_Korrekturen_KG'!$B63,'Anlage 1c_Korrekturen_NB'!$C$11:$C$600,'Anlage 1g_Korrekturen_KG'!$A63)</f>
        <v>0</v>
      </c>
      <c r="J63" s="470"/>
      <c r="K63" s="905">
        <f t="shared" si="6"/>
        <v>0</v>
      </c>
      <c r="L63" s="901">
        <f t="shared" si="3"/>
        <v>0</v>
      </c>
      <c r="M63" s="5"/>
      <c r="N63" s="5"/>
    </row>
    <row r="64" spans="1:16" hidden="1" outlineLevel="1">
      <c r="A64" s="472">
        <f t="shared" si="11"/>
        <v>2017</v>
      </c>
      <c r="B64" s="468">
        <v>3</v>
      </c>
      <c r="C64" s="469">
        <f>SUMIFS('Anlage 1c_Korrekturen_NB'!$L$11:$L$600,'Anlage 1c_Korrekturen_NB'!$O$11:$O$600,'Anlage 1g_Korrekturen_KG'!C$9,'Anlage 1c_Korrekturen_NB'!$B$11:$B$600,'Anlage 1g_Korrekturen_KG'!$B64,'Anlage 1c_Korrekturen_NB'!$C$11:$C$600,'Anlage 1g_Korrekturen_KG'!$A64)</f>
        <v>0</v>
      </c>
      <c r="D64" s="470"/>
      <c r="E64" s="469">
        <f>SUMIFS('Anlage 1c_Korrekturen_NB'!$L$11:$L$600,'Anlage 1c_Korrekturen_NB'!$O$11:$O$600,'Anlage 1g_Korrekturen_KG'!E$9,'Anlage 1c_Korrekturen_NB'!$B$11:$B$600,'Anlage 1g_Korrekturen_KG'!$B64,'Anlage 1c_Korrekturen_NB'!$C$11:$C$600,'Anlage 1g_Korrekturen_KG'!$A64)</f>
        <v>0</v>
      </c>
      <c r="F64" s="470"/>
      <c r="G64" s="469">
        <f>SUMIFS('Anlage 1c_Korrekturen_NB'!$L$11:$L$600,'Anlage 1c_Korrekturen_NB'!$O$11:$O$600,'Anlage 1g_Korrekturen_KG'!G$9,'Anlage 1c_Korrekturen_NB'!$B$11:$B$600,'Anlage 1g_Korrekturen_KG'!$B64,'Anlage 1c_Korrekturen_NB'!$C$11:$C$600,'Anlage 1g_Korrekturen_KG'!$A64)</f>
        <v>0</v>
      </c>
      <c r="H64" s="470"/>
      <c r="I64" s="469">
        <f>SUMIFS('Anlage 1c_Korrekturen_NB'!$L$11:$L$600,'Anlage 1c_Korrekturen_NB'!$O$11:$O$600,'Anlage 1g_Korrekturen_KG'!I$9,'Anlage 1c_Korrekturen_NB'!$B$11:$B$600,'Anlage 1g_Korrekturen_KG'!$B64,'Anlage 1c_Korrekturen_NB'!$C$11:$C$600,'Anlage 1g_Korrekturen_KG'!$A64)</f>
        <v>0</v>
      </c>
      <c r="J64" s="470"/>
      <c r="K64" s="905">
        <f t="shared" si="6"/>
        <v>0</v>
      </c>
      <c r="L64" s="901">
        <f t="shared" si="3"/>
        <v>0</v>
      </c>
      <c r="M64" s="5"/>
      <c r="N64" s="5"/>
    </row>
    <row r="65" spans="1:16" hidden="1" outlineLevel="1">
      <c r="A65" s="472">
        <f t="shared" si="11"/>
        <v>2017</v>
      </c>
      <c r="B65" s="468">
        <v>4</v>
      </c>
      <c r="C65" s="469">
        <f>SUMIFS('Anlage 1c_Korrekturen_NB'!$L$11:$L$600,'Anlage 1c_Korrekturen_NB'!$O$11:$O$600,'Anlage 1g_Korrekturen_KG'!C$9,'Anlage 1c_Korrekturen_NB'!$B$11:$B$600,'Anlage 1g_Korrekturen_KG'!$B65,'Anlage 1c_Korrekturen_NB'!$C$11:$C$600,'Anlage 1g_Korrekturen_KG'!$A65)</f>
        <v>0</v>
      </c>
      <c r="D65" s="470"/>
      <c r="E65" s="469">
        <f>SUMIFS('Anlage 1c_Korrekturen_NB'!$L$11:$L$600,'Anlage 1c_Korrekturen_NB'!$O$11:$O$600,'Anlage 1g_Korrekturen_KG'!E$9,'Anlage 1c_Korrekturen_NB'!$B$11:$B$600,'Anlage 1g_Korrekturen_KG'!$B65,'Anlage 1c_Korrekturen_NB'!$C$11:$C$600,'Anlage 1g_Korrekturen_KG'!$A65)</f>
        <v>0</v>
      </c>
      <c r="F65" s="470"/>
      <c r="G65" s="469">
        <f>SUMIFS('Anlage 1c_Korrekturen_NB'!$L$11:$L$600,'Anlage 1c_Korrekturen_NB'!$O$11:$O$600,'Anlage 1g_Korrekturen_KG'!G$9,'Anlage 1c_Korrekturen_NB'!$B$11:$B$600,'Anlage 1g_Korrekturen_KG'!$B65,'Anlage 1c_Korrekturen_NB'!$C$11:$C$600,'Anlage 1g_Korrekturen_KG'!$A65)</f>
        <v>0</v>
      </c>
      <c r="H65" s="470"/>
      <c r="I65" s="469">
        <f>SUMIFS('Anlage 1c_Korrekturen_NB'!$L$11:$L$600,'Anlage 1c_Korrekturen_NB'!$O$11:$O$600,'Anlage 1g_Korrekturen_KG'!I$9,'Anlage 1c_Korrekturen_NB'!$B$11:$B$600,'Anlage 1g_Korrekturen_KG'!$B65,'Anlage 1c_Korrekturen_NB'!$C$11:$C$600,'Anlage 1g_Korrekturen_KG'!$A65)</f>
        <v>0</v>
      </c>
      <c r="J65" s="470"/>
      <c r="K65" s="905">
        <f t="shared" si="6"/>
        <v>0</v>
      </c>
      <c r="L65" s="901">
        <f t="shared" si="3"/>
        <v>0</v>
      </c>
      <c r="M65" s="5"/>
      <c r="N65" s="5"/>
    </row>
    <row r="66" spans="1:16" hidden="1" outlineLevel="1">
      <c r="A66" s="472">
        <f t="shared" si="11"/>
        <v>2017</v>
      </c>
      <c r="B66" s="468">
        <v>5</v>
      </c>
      <c r="C66" s="469">
        <f>SUMIFS('Anlage 1c_Korrekturen_NB'!$L$11:$L$600,'Anlage 1c_Korrekturen_NB'!$O$11:$O$600,'Anlage 1g_Korrekturen_KG'!C$9,'Anlage 1c_Korrekturen_NB'!$B$11:$B$600,'Anlage 1g_Korrekturen_KG'!$B66,'Anlage 1c_Korrekturen_NB'!$C$11:$C$600,'Anlage 1g_Korrekturen_KG'!$A66)</f>
        <v>0</v>
      </c>
      <c r="D66" s="470"/>
      <c r="E66" s="469">
        <f>SUMIFS('Anlage 1c_Korrekturen_NB'!$L$11:$L$600,'Anlage 1c_Korrekturen_NB'!$O$11:$O$600,'Anlage 1g_Korrekturen_KG'!E$9,'Anlage 1c_Korrekturen_NB'!$B$11:$B$600,'Anlage 1g_Korrekturen_KG'!$B66,'Anlage 1c_Korrekturen_NB'!$C$11:$C$600,'Anlage 1g_Korrekturen_KG'!$A66)</f>
        <v>0</v>
      </c>
      <c r="F66" s="470"/>
      <c r="G66" s="469">
        <f>SUMIFS('Anlage 1c_Korrekturen_NB'!$L$11:$L$600,'Anlage 1c_Korrekturen_NB'!$O$11:$O$600,'Anlage 1g_Korrekturen_KG'!G$9,'Anlage 1c_Korrekturen_NB'!$B$11:$B$600,'Anlage 1g_Korrekturen_KG'!$B66,'Anlage 1c_Korrekturen_NB'!$C$11:$C$600,'Anlage 1g_Korrekturen_KG'!$A66)</f>
        <v>0</v>
      </c>
      <c r="H66" s="470"/>
      <c r="I66" s="469">
        <f>SUMIFS('Anlage 1c_Korrekturen_NB'!$L$11:$L$600,'Anlage 1c_Korrekturen_NB'!$O$11:$O$600,'Anlage 1g_Korrekturen_KG'!I$9,'Anlage 1c_Korrekturen_NB'!$B$11:$B$600,'Anlage 1g_Korrekturen_KG'!$B66,'Anlage 1c_Korrekturen_NB'!$C$11:$C$600,'Anlage 1g_Korrekturen_KG'!$A66)</f>
        <v>0</v>
      </c>
      <c r="J66" s="470"/>
      <c r="K66" s="905">
        <f t="shared" si="6"/>
        <v>0</v>
      </c>
      <c r="L66" s="901">
        <f t="shared" si="3"/>
        <v>0</v>
      </c>
      <c r="M66" s="5"/>
      <c r="N66" s="5"/>
    </row>
    <row r="67" spans="1:16" hidden="1" outlineLevel="1">
      <c r="A67" s="472">
        <f t="shared" si="11"/>
        <v>2017</v>
      </c>
      <c r="B67" s="1692">
        <v>7</v>
      </c>
      <c r="C67" s="469">
        <f>SUMIFS('Anlage 1c_Korrekturen_NB'!$L$11:$L$600,'Anlage 1c_Korrekturen_NB'!$O$11:$O$600,'Anlage 1g_Korrekturen_KG'!C$9,'Anlage 1c_Korrekturen_NB'!$B$11:$B$600,'Anlage 1g_Korrekturen_KG'!$B67,'Anlage 1c_Korrekturen_NB'!$C$11:$C$600,'Anlage 1g_Korrekturen_KG'!$A67)</f>
        <v>0</v>
      </c>
      <c r="D67" s="470"/>
      <c r="E67" s="469">
        <f>SUMIFS('Anlage 1c_Korrekturen_NB'!$L$11:$L$600,'Anlage 1c_Korrekturen_NB'!$O$11:$O$600,'Anlage 1g_Korrekturen_KG'!E$9,'Anlage 1c_Korrekturen_NB'!$B$11:$B$600,'Anlage 1g_Korrekturen_KG'!$B67,'Anlage 1c_Korrekturen_NB'!$C$11:$C$600,'Anlage 1g_Korrekturen_KG'!$A67)</f>
        <v>0</v>
      </c>
      <c r="F67" s="470"/>
      <c r="G67" s="469">
        <f>SUMIFS('Anlage 1c_Korrekturen_NB'!$L$11:$L$600,'Anlage 1c_Korrekturen_NB'!$O$11:$O$600,'Anlage 1g_Korrekturen_KG'!G$9,'Anlage 1c_Korrekturen_NB'!$B$11:$B$600,'Anlage 1g_Korrekturen_KG'!$B67,'Anlage 1c_Korrekturen_NB'!$C$11:$C$600,'Anlage 1g_Korrekturen_KG'!$A67)</f>
        <v>0</v>
      </c>
      <c r="H67" s="470"/>
      <c r="I67" s="469">
        <f>SUMIFS('Anlage 1c_Korrekturen_NB'!$L$11:$L$600,'Anlage 1c_Korrekturen_NB'!$O$11:$O$600,'Anlage 1g_Korrekturen_KG'!I$9,'Anlage 1c_Korrekturen_NB'!$B$11:$B$600,'Anlage 1g_Korrekturen_KG'!$B67,'Anlage 1c_Korrekturen_NB'!$C$11:$C$600,'Anlage 1g_Korrekturen_KG'!$A67)</f>
        <v>83295.42</v>
      </c>
      <c r="J67" s="470"/>
      <c r="K67" s="905">
        <f t="shared" si="6"/>
        <v>83295.42</v>
      </c>
      <c r="L67" s="901">
        <f t="shared" si="3"/>
        <v>0</v>
      </c>
      <c r="M67" s="5"/>
      <c r="N67" s="5"/>
    </row>
    <row r="68" spans="1:16" collapsed="1">
      <c r="A68" s="1693">
        <v>2016</v>
      </c>
      <c r="B68" s="1690"/>
      <c r="C68" s="1691">
        <f>SUM(C69:C74)</f>
        <v>0</v>
      </c>
      <c r="D68" s="477"/>
      <c r="E68" s="476">
        <f>SUM(E69:E74)</f>
        <v>0</v>
      </c>
      <c r="F68" s="477"/>
      <c r="G68" s="476">
        <f>SUM(G69:G74)</f>
        <v>0</v>
      </c>
      <c r="H68" s="477"/>
      <c r="I68" s="476">
        <f>SUM(I69:I74)</f>
        <v>81474.080000000002</v>
      </c>
      <c r="J68" s="477"/>
      <c r="K68" s="904">
        <f t="shared" si="1"/>
        <v>81474.080000000002</v>
      </c>
      <c r="L68" s="901">
        <f t="shared" si="3"/>
        <v>0</v>
      </c>
      <c r="M68" s="5"/>
      <c r="N68" s="5"/>
      <c r="P68" s="119"/>
    </row>
    <row r="69" spans="1:16" hidden="1" outlineLevel="1">
      <c r="A69" s="472">
        <f t="shared" ref="A69:A74" si="12">$A$68</f>
        <v>2016</v>
      </c>
      <c r="B69" s="468" t="s">
        <v>2079</v>
      </c>
      <c r="C69" s="476">
        <f>SUMIFS('Anlage 1c_Korrekturen_NB'!$L$11:$L$600,'Anlage 1c_Korrekturen_NB'!$O$11:$O$600,'Anlage 1g_Korrekturen_KG'!C$9,'Anlage 1c_Korrekturen_NB'!$B$11:$B$600,'Anlage 1g_Korrekturen_KG'!$B69,'Anlage 1c_Korrekturen_NB'!$C$11:$C$600,'Anlage 1g_Korrekturen_KG'!$A69)</f>
        <v>0</v>
      </c>
      <c r="D69" s="477"/>
      <c r="E69" s="476">
        <f>SUMIFS('Anlage 1c_Korrekturen_NB'!$L$11:$L$600,'Anlage 1c_Korrekturen_NB'!$O$11:$O$600,'Anlage 1g_Korrekturen_KG'!E$9,'Anlage 1c_Korrekturen_NB'!$B$11:$B$600,'Anlage 1g_Korrekturen_KG'!$B69,'Anlage 1c_Korrekturen_NB'!$C$11:$C$600,'Anlage 1g_Korrekturen_KG'!$A69)</f>
        <v>0</v>
      </c>
      <c r="F69" s="477"/>
      <c r="G69" s="476">
        <f>SUMIFS('Anlage 1c_Korrekturen_NB'!$L$11:$L$600,'Anlage 1c_Korrekturen_NB'!$O$11:$O$600,'Anlage 1g_Korrekturen_KG'!G$9,'Anlage 1c_Korrekturen_NB'!$B$11:$B$600,'Anlage 1g_Korrekturen_KG'!$B69,'Anlage 1c_Korrekturen_NB'!$C$11:$C$600,'Anlage 1g_Korrekturen_KG'!$A69)</f>
        <v>0</v>
      </c>
      <c r="H69" s="477"/>
      <c r="I69" s="476">
        <f>SUMIFS('Anlage 1c_Korrekturen_NB'!$L$11:$L$600,'Anlage 1c_Korrekturen_NB'!$O$11:$O$600,'Anlage 1g_Korrekturen_KG'!I$9,'Anlage 1c_Korrekturen_NB'!$B$11:$B$600,'Anlage 1g_Korrekturen_KG'!$B69,'Anlage 1c_Korrekturen_NB'!$C$11:$C$600,'Anlage 1g_Korrekturen_KG'!$A69)</f>
        <v>0</v>
      </c>
      <c r="J69" s="477"/>
      <c r="K69" s="904">
        <f t="shared" si="1"/>
        <v>0</v>
      </c>
      <c r="L69" s="901">
        <f t="shared" si="3"/>
        <v>0</v>
      </c>
      <c r="M69" s="5"/>
      <c r="N69" s="5"/>
    </row>
    <row r="70" spans="1:16" hidden="1" outlineLevel="1">
      <c r="A70" s="472">
        <f t="shared" si="12"/>
        <v>2016</v>
      </c>
      <c r="B70" s="468">
        <v>2</v>
      </c>
      <c r="C70" s="476">
        <f>SUMIFS('Anlage 1c_Korrekturen_NB'!$L$11:$L$600,'Anlage 1c_Korrekturen_NB'!$O$11:$O$600,'Anlage 1g_Korrekturen_KG'!C$9,'Anlage 1c_Korrekturen_NB'!$B$11:$B$600,'Anlage 1g_Korrekturen_KG'!$B70,'Anlage 1c_Korrekturen_NB'!$C$11:$C$600,'Anlage 1g_Korrekturen_KG'!$A70)</f>
        <v>0</v>
      </c>
      <c r="D70" s="477"/>
      <c r="E70" s="476">
        <f>SUMIFS('Anlage 1c_Korrekturen_NB'!$L$11:$L$600,'Anlage 1c_Korrekturen_NB'!$O$11:$O$600,'Anlage 1g_Korrekturen_KG'!E$9,'Anlage 1c_Korrekturen_NB'!$B$11:$B$600,'Anlage 1g_Korrekturen_KG'!$B70,'Anlage 1c_Korrekturen_NB'!$C$11:$C$600,'Anlage 1g_Korrekturen_KG'!$A70)</f>
        <v>0</v>
      </c>
      <c r="F70" s="477"/>
      <c r="G70" s="476">
        <f>SUMIFS('Anlage 1c_Korrekturen_NB'!$L$11:$L$600,'Anlage 1c_Korrekturen_NB'!$O$11:$O$600,'Anlage 1g_Korrekturen_KG'!G$9,'Anlage 1c_Korrekturen_NB'!$B$11:$B$600,'Anlage 1g_Korrekturen_KG'!$B70,'Anlage 1c_Korrekturen_NB'!$C$11:$C$600,'Anlage 1g_Korrekturen_KG'!$A70)</f>
        <v>0</v>
      </c>
      <c r="H70" s="477"/>
      <c r="I70" s="476">
        <f>SUMIFS('Anlage 1c_Korrekturen_NB'!$L$11:$L$600,'Anlage 1c_Korrekturen_NB'!$O$11:$O$600,'Anlage 1g_Korrekturen_KG'!I$9,'Anlage 1c_Korrekturen_NB'!$B$11:$B$600,'Anlage 1g_Korrekturen_KG'!$B70,'Anlage 1c_Korrekturen_NB'!$C$11:$C$600,'Anlage 1g_Korrekturen_KG'!$A70)</f>
        <v>0</v>
      </c>
      <c r="J70" s="477"/>
      <c r="K70" s="904">
        <f t="shared" si="1"/>
        <v>0</v>
      </c>
      <c r="L70" s="901">
        <f t="shared" si="3"/>
        <v>0</v>
      </c>
      <c r="M70" s="5"/>
      <c r="N70" s="5"/>
    </row>
    <row r="71" spans="1:16" hidden="1" outlineLevel="1">
      <c r="A71" s="472">
        <f t="shared" si="12"/>
        <v>2016</v>
      </c>
      <c r="B71" s="468">
        <v>3</v>
      </c>
      <c r="C71" s="476">
        <f>SUMIFS('Anlage 1c_Korrekturen_NB'!$L$11:$L$600,'Anlage 1c_Korrekturen_NB'!$O$11:$O$600,'Anlage 1g_Korrekturen_KG'!C$9,'Anlage 1c_Korrekturen_NB'!$B$11:$B$600,'Anlage 1g_Korrekturen_KG'!$B71,'Anlage 1c_Korrekturen_NB'!$C$11:$C$600,'Anlage 1g_Korrekturen_KG'!$A71)</f>
        <v>0</v>
      </c>
      <c r="D71" s="477"/>
      <c r="E71" s="476">
        <f>SUMIFS('Anlage 1c_Korrekturen_NB'!$L$11:$L$600,'Anlage 1c_Korrekturen_NB'!$O$11:$O$600,'Anlage 1g_Korrekturen_KG'!E$9,'Anlage 1c_Korrekturen_NB'!$B$11:$B$600,'Anlage 1g_Korrekturen_KG'!$B71,'Anlage 1c_Korrekturen_NB'!$C$11:$C$600,'Anlage 1g_Korrekturen_KG'!$A71)</f>
        <v>0</v>
      </c>
      <c r="F71" s="477"/>
      <c r="G71" s="476">
        <f>SUMIFS('Anlage 1c_Korrekturen_NB'!$L$11:$L$600,'Anlage 1c_Korrekturen_NB'!$O$11:$O$600,'Anlage 1g_Korrekturen_KG'!G$9,'Anlage 1c_Korrekturen_NB'!$B$11:$B$600,'Anlage 1g_Korrekturen_KG'!$B71,'Anlage 1c_Korrekturen_NB'!$C$11:$C$600,'Anlage 1g_Korrekturen_KG'!$A71)</f>
        <v>0</v>
      </c>
      <c r="H71" s="477"/>
      <c r="I71" s="476">
        <f>SUMIFS('Anlage 1c_Korrekturen_NB'!$L$11:$L$600,'Anlage 1c_Korrekturen_NB'!$O$11:$O$600,'Anlage 1g_Korrekturen_KG'!I$9,'Anlage 1c_Korrekturen_NB'!$B$11:$B$600,'Anlage 1g_Korrekturen_KG'!$B71,'Anlage 1c_Korrekturen_NB'!$C$11:$C$600,'Anlage 1g_Korrekturen_KG'!$A71)</f>
        <v>0</v>
      </c>
      <c r="J71" s="477"/>
      <c r="K71" s="904">
        <f t="shared" si="1"/>
        <v>0</v>
      </c>
      <c r="L71" s="901">
        <f t="shared" si="3"/>
        <v>0</v>
      </c>
      <c r="M71" s="5"/>
      <c r="N71" s="5"/>
    </row>
    <row r="72" spans="1:16" hidden="1" outlineLevel="1">
      <c r="A72" s="472">
        <f t="shared" si="12"/>
        <v>2016</v>
      </c>
      <c r="B72" s="468">
        <v>4</v>
      </c>
      <c r="C72" s="476">
        <f>SUMIFS('Anlage 1c_Korrekturen_NB'!$L$11:$L$600,'Anlage 1c_Korrekturen_NB'!$O$11:$O$600,'Anlage 1g_Korrekturen_KG'!C$9,'Anlage 1c_Korrekturen_NB'!$B$11:$B$600,'Anlage 1g_Korrekturen_KG'!$B72,'Anlage 1c_Korrekturen_NB'!$C$11:$C$600,'Anlage 1g_Korrekturen_KG'!$A72)</f>
        <v>0</v>
      </c>
      <c r="D72" s="477"/>
      <c r="E72" s="476">
        <f>SUMIFS('Anlage 1c_Korrekturen_NB'!$L$11:$L$600,'Anlage 1c_Korrekturen_NB'!$O$11:$O$600,'Anlage 1g_Korrekturen_KG'!E$9,'Anlage 1c_Korrekturen_NB'!$B$11:$B$600,'Anlage 1g_Korrekturen_KG'!$B72,'Anlage 1c_Korrekturen_NB'!$C$11:$C$600,'Anlage 1g_Korrekturen_KG'!$A72)</f>
        <v>0</v>
      </c>
      <c r="F72" s="477"/>
      <c r="G72" s="476">
        <f>SUMIFS('Anlage 1c_Korrekturen_NB'!$L$11:$L$600,'Anlage 1c_Korrekturen_NB'!$O$11:$O$600,'Anlage 1g_Korrekturen_KG'!G$9,'Anlage 1c_Korrekturen_NB'!$B$11:$B$600,'Anlage 1g_Korrekturen_KG'!$B72,'Anlage 1c_Korrekturen_NB'!$C$11:$C$600,'Anlage 1g_Korrekturen_KG'!$A72)</f>
        <v>0</v>
      </c>
      <c r="H72" s="477"/>
      <c r="I72" s="476">
        <f>SUMIFS('Anlage 1c_Korrekturen_NB'!$L$11:$L$600,'Anlage 1c_Korrekturen_NB'!$O$11:$O$600,'Anlage 1g_Korrekturen_KG'!I$9,'Anlage 1c_Korrekturen_NB'!$B$11:$B$600,'Anlage 1g_Korrekturen_KG'!$B72,'Anlage 1c_Korrekturen_NB'!$C$11:$C$600,'Anlage 1g_Korrekturen_KG'!$A72)</f>
        <v>0</v>
      </c>
      <c r="J72" s="477"/>
      <c r="K72" s="904">
        <f t="shared" si="1"/>
        <v>0</v>
      </c>
      <c r="L72" s="901">
        <f t="shared" si="3"/>
        <v>0</v>
      </c>
      <c r="M72" s="5"/>
      <c r="N72" s="5"/>
    </row>
    <row r="73" spans="1:16" hidden="1" outlineLevel="1">
      <c r="A73" s="472">
        <f t="shared" si="12"/>
        <v>2016</v>
      </c>
      <c r="B73" s="468">
        <v>5</v>
      </c>
      <c r="C73" s="476">
        <f>SUMIFS('Anlage 1c_Korrekturen_NB'!$L$11:$L$600,'Anlage 1c_Korrekturen_NB'!$O$11:$O$600,'Anlage 1g_Korrekturen_KG'!C$9,'Anlage 1c_Korrekturen_NB'!$B$11:$B$600,'Anlage 1g_Korrekturen_KG'!$B73,'Anlage 1c_Korrekturen_NB'!$C$11:$C$600,'Anlage 1g_Korrekturen_KG'!$A73)</f>
        <v>0</v>
      </c>
      <c r="D73" s="477"/>
      <c r="E73" s="476">
        <f>SUMIFS('Anlage 1c_Korrekturen_NB'!$L$11:$L$600,'Anlage 1c_Korrekturen_NB'!$O$11:$O$600,'Anlage 1g_Korrekturen_KG'!E$9,'Anlage 1c_Korrekturen_NB'!$B$11:$B$600,'Anlage 1g_Korrekturen_KG'!$B73,'Anlage 1c_Korrekturen_NB'!$C$11:$C$600,'Anlage 1g_Korrekturen_KG'!$A73)</f>
        <v>0</v>
      </c>
      <c r="F73" s="477"/>
      <c r="G73" s="476">
        <f>SUMIFS('Anlage 1c_Korrekturen_NB'!$L$11:$L$600,'Anlage 1c_Korrekturen_NB'!$O$11:$O$600,'Anlage 1g_Korrekturen_KG'!G$9,'Anlage 1c_Korrekturen_NB'!$B$11:$B$600,'Anlage 1g_Korrekturen_KG'!$B73,'Anlage 1c_Korrekturen_NB'!$C$11:$C$600,'Anlage 1g_Korrekturen_KG'!$A73)</f>
        <v>0</v>
      </c>
      <c r="H73" s="477"/>
      <c r="I73" s="476">
        <f>SUMIFS('Anlage 1c_Korrekturen_NB'!$L$11:$L$600,'Anlage 1c_Korrekturen_NB'!$O$11:$O$600,'Anlage 1g_Korrekturen_KG'!I$9,'Anlage 1c_Korrekturen_NB'!$B$11:$B$600,'Anlage 1g_Korrekturen_KG'!$B73,'Anlage 1c_Korrekturen_NB'!$C$11:$C$600,'Anlage 1g_Korrekturen_KG'!$A73)</f>
        <v>0</v>
      </c>
      <c r="J73" s="477"/>
      <c r="K73" s="904">
        <f t="shared" si="1"/>
        <v>0</v>
      </c>
      <c r="L73" s="901">
        <f t="shared" si="3"/>
        <v>0</v>
      </c>
      <c r="M73" s="5"/>
      <c r="N73" s="5"/>
    </row>
    <row r="74" spans="1:16" hidden="1" outlineLevel="1">
      <c r="A74" s="472">
        <f t="shared" si="12"/>
        <v>2016</v>
      </c>
      <c r="B74" s="1692">
        <v>7</v>
      </c>
      <c r="C74" s="476">
        <f>SUMIFS('Anlage 1c_Korrekturen_NB'!$L$11:$L$600,'Anlage 1c_Korrekturen_NB'!$O$11:$O$600,'Anlage 1g_Korrekturen_KG'!C$9,'Anlage 1c_Korrekturen_NB'!$B$11:$B$600,'Anlage 1g_Korrekturen_KG'!$B74,'Anlage 1c_Korrekturen_NB'!$C$11:$C$600,'Anlage 1g_Korrekturen_KG'!$A74)</f>
        <v>0</v>
      </c>
      <c r="D74" s="477"/>
      <c r="E74" s="476">
        <f>SUMIFS('Anlage 1c_Korrekturen_NB'!$L$11:$L$600,'Anlage 1c_Korrekturen_NB'!$O$11:$O$600,'Anlage 1g_Korrekturen_KG'!E$9,'Anlage 1c_Korrekturen_NB'!$B$11:$B$600,'Anlage 1g_Korrekturen_KG'!$B74,'Anlage 1c_Korrekturen_NB'!$C$11:$C$600,'Anlage 1g_Korrekturen_KG'!$A74)</f>
        <v>0</v>
      </c>
      <c r="F74" s="477"/>
      <c r="G74" s="476">
        <f>SUMIFS('Anlage 1c_Korrekturen_NB'!$L$11:$L$600,'Anlage 1c_Korrekturen_NB'!$O$11:$O$600,'Anlage 1g_Korrekturen_KG'!G$9,'Anlage 1c_Korrekturen_NB'!$B$11:$B$600,'Anlage 1g_Korrekturen_KG'!$B74,'Anlage 1c_Korrekturen_NB'!$C$11:$C$600,'Anlage 1g_Korrekturen_KG'!$A74)</f>
        <v>0</v>
      </c>
      <c r="H74" s="477"/>
      <c r="I74" s="476">
        <f>SUMIFS('Anlage 1c_Korrekturen_NB'!$L$11:$L$600,'Anlage 1c_Korrekturen_NB'!$O$11:$O$600,'Anlage 1g_Korrekturen_KG'!I$9,'Anlage 1c_Korrekturen_NB'!$B$11:$B$600,'Anlage 1g_Korrekturen_KG'!$B74,'Anlage 1c_Korrekturen_NB'!$C$11:$C$600,'Anlage 1g_Korrekturen_KG'!$A74)</f>
        <v>81474.080000000002</v>
      </c>
      <c r="J74" s="477"/>
      <c r="K74" s="904">
        <f t="shared" si="1"/>
        <v>81474.080000000002</v>
      </c>
      <c r="L74" s="901">
        <f t="shared" si="3"/>
        <v>0</v>
      </c>
      <c r="M74" s="5"/>
      <c r="N74" s="5"/>
    </row>
    <row r="75" spans="1:16" collapsed="1">
      <c r="A75" s="1693">
        <v>2015</v>
      </c>
      <c r="B75" s="1690"/>
      <c r="C75" s="1691">
        <f>SUM(C76:C81)</f>
        <v>0</v>
      </c>
      <c r="D75" s="477"/>
      <c r="E75" s="476">
        <f>SUM(E76:E81)</f>
        <v>0</v>
      </c>
      <c r="F75" s="477"/>
      <c r="G75" s="476">
        <f>SUM(G76:G81)</f>
        <v>0</v>
      </c>
      <c r="H75" s="477"/>
      <c r="I75" s="476">
        <f>SUM(I76:I81)</f>
        <v>25604.89</v>
      </c>
      <c r="J75" s="477"/>
      <c r="K75" s="904">
        <f t="shared" ref="K75:K81" si="13">C75+E75+G75+I75</f>
        <v>25604.89</v>
      </c>
      <c r="L75" s="901">
        <f t="shared" si="3"/>
        <v>0</v>
      </c>
      <c r="M75" s="5"/>
      <c r="N75" s="5"/>
    </row>
    <row r="76" spans="1:16" hidden="1" outlineLevel="1">
      <c r="A76" s="472">
        <v>2015</v>
      </c>
      <c r="B76" s="468" t="s">
        <v>2079</v>
      </c>
      <c r="C76" s="469">
        <f>SUMIFS('Anlage 1c_Korrekturen_NB'!$L$11:$L$600,'Anlage 1c_Korrekturen_NB'!$O$11:$O$600,'Anlage 1g_Korrekturen_KG'!C$9,'Anlage 1c_Korrekturen_NB'!$B$11:$B$600,'Anlage 1g_Korrekturen_KG'!$B76,'Anlage 1c_Korrekturen_NB'!$C$11:$C$600,'Anlage 1g_Korrekturen_KG'!$A76)</f>
        <v>0</v>
      </c>
      <c r="D76" s="470"/>
      <c r="E76" s="469">
        <f>SUMIFS('Anlage 1c_Korrekturen_NB'!$L$11:$L$600,'Anlage 1c_Korrekturen_NB'!$O$11:$O$600,'Anlage 1g_Korrekturen_KG'!E$9,'Anlage 1c_Korrekturen_NB'!$B$11:$B$600,'Anlage 1g_Korrekturen_KG'!$B76,'Anlage 1c_Korrekturen_NB'!$C$11:$C$600,'Anlage 1g_Korrekturen_KG'!$A76)</f>
        <v>0</v>
      </c>
      <c r="F76" s="470"/>
      <c r="G76" s="469">
        <f>SUMIFS('Anlage 1c_Korrekturen_NB'!$L$11:$L$600,'Anlage 1c_Korrekturen_NB'!$O$11:$O$600,'Anlage 1g_Korrekturen_KG'!G$9,'Anlage 1c_Korrekturen_NB'!$B$11:$B$600,'Anlage 1g_Korrekturen_KG'!$B76,'Anlage 1c_Korrekturen_NB'!$C$11:$C$600,'Anlage 1g_Korrekturen_KG'!$A76)</f>
        <v>0</v>
      </c>
      <c r="H76" s="470"/>
      <c r="I76" s="469">
        <f>SUMIFS('Anlage 1c_Korrekturen_NB'!$L$11:$L$600,'Anlage 1c_Korrekturen_NB'!$O$11:$O$600,'Anlage 1g_Korrekturen_KG'!I$9,'Anlage 1c_Korrekturen_NB'!$B$11:$B$600,'Anlage 1g_Korrekturen_KG'!$B76,'Anlage 1c_Korrekturen_NB'!$C$11:$C$600,'Anlage 1g_Korrekturen_KG'!$A76)</f>
        <v>0</v>
      </c>
      <c r="J76" s="470"/>
      <c r="K76" s="905">
        <f t="shared" si="13"/>
        <v>0</v>
      </c>
      <c r="L76" s="901">
        <f t="shared" si="3"/>
        <v>0</v>
      </c>
      <c r="M76" s="5"/>
      <c r="N76" s="5"/>
    </row>
    <row r="77" spans="1:16" hidden="1" outlineLevel="1">
      <c r="A77" s="472">
        <v>2015</v>
      </c>
      <c r="B77" s="468">
        <v>2</v>
      </c>
      <c r="C77" s="469">
        <f>SUMIFS('Anlage 1c_Korrekturen_NB'!$L$11:$L$600,'Anlage 1c_Korrekturen_NB'!$O$11:$O$600,'Anlage 1g_Korrekturen_KG'!C$9,'Anlage 1c_Korrekturen_NB'!$B$11:$B$600,'Anlage 1g_Korrekturen_KG'!$B77,'Anlage 1c_Korrekturen_NB'!$C$11:$C$600,'Anlage 1g_Korrekturen_KG'!$A77)</f>
        <v>0</v>
      </c>
      <c r="D77" s="470"/>
      <c r="E77" s="469">
        <f>SUMIFS('Anlage 1c_Korrekturen_NB'!$L$11:$L$600,'Anlage 1c_Korrekturen_NB'!$O$11:$O$600,'Anlage 1g_Korrekturen_KG'!E$9,'Anlage 1c_Korrekturen_NB'!$B$11:$B$600,'Anlage 1g_Korrekturen_KG'!$B77,'Anlage 1c_Korrekturen_NB'!$C$11:$C$600,'Anlage 1g_Korrekturen_KG'!$A77)</f>
        <v>0</v>
      </c>
      <c r="F77" s="470"/>
      <c r="G77" s="469">
        <f>SUMIFS('Anlage 1c_Korrekturen_NB'!$L$11:$L$600,'Anlage 1c_Korrekturen_NB'!$O$11:$O$600,'Anlage 1g_Korrekturen_KG'!G$9,'Anlage 1c_Korrekturen_NB'!$B$11:$B$600,'Anlage 1g_Korrekturen_KG'!$B77,'Anlage 1c_Korrekturen_NB'!$C$11:$C$600,'Anlage 1g_Korrekturen_KG'!$A77)</f>
        <v>0</v>
      </c>
      <c r="H77" s="470"/>
      <c r="I77" s="469">
        <f>SUMIFS('Anlage 1c_Korrekturen_NB'!$L$11:$L$600,'Anlage 1c_Korrekturen_NB'!$O$11:$O$600,'Anlage 1g_Korrekturen_KG'!I$9,'Anlage 1c_Korrekturen_NB'!$B$11:$B$600,'Anlage 1g_Korrekturen_KG'!$B77,'Anlage 1c_Korrekturen_NB'!$C$11:$C$600,'Anlage 1g_Korrekturen_KG'!$A77)</f>
        <v>0</v>
      </c>
      <c r="J77" s="470"/>
      <c r="K77" s="905">
        <f t="shared" si="13"/>
        <v>0</v>
      </c>
      <c r="L77" s="901">
        <f t="shared" si="3"/>
        <v>0</v>
      </c>
      <c r="M77" s="5"/>
      <c r="N77" s="5"/>
    </row>
    <row r="78" spans="1:16" hidden="1" outlineLevel="1">
      <c r="A78" s="472">
        <v>2015</v>
      </c>
      <c r="B78" s="468">
        <v>3</v>
      </c>
      <c r="C78" s="469">
        <f>SUMIFS('Anlage 1c_Korrekturen_NB'!$L$11:$L$600,'Anlage 1c_Korrekturen_NB'!$O$11:$O$600,'Anlage 1g_Korrekturen_KG'!C$9,'Anlage 1c_Korrekturen_NB'!$B$11:$B$600,'Anlage 1g_Korrekturen_KG'!$B78,'Anlage 1c_Korrekturen_NB'!$C$11:$C$600,'Anlage 1g_Korrekturen_KG'!$A78)</f>
        <v>0</v>
      </c>
      <c r="D78" s="470"/>
      <c r="E78" s="469">
        <f>SUMIFS('Anlage 1c_Korrekturen_NB'!$L$11:$L$600,'Anlage 1c_Korrekturen_NB'!$O$11:$O$600,'Anlage 1g_Korrekturen_KG'!E$9,'Anlage 1c_Korrekturen_NB'!$B$11:$B$600,'Anlage 1g_Korrekturen_KG'!$B78,'Anlage 1c_Korrekturen_NB'!$C$11:$C$600,'Anlage 1g_Korrekturen_KG'!$A78)</f>
        <v>0</v>
      </c>
      <c r="F78" s="470"/>
      <c r="G78" s="469">
        <f>SUMIFS('Anlage 1c_Korrekturen_NB'!$L$11:$L$600,'Anlage 1c_Korrekturen_NB'!$O$11:$O$600,'Anlage 1g_Korrekturen_KG'!G$9,'Anlage 1c_Korrekturen_NB'!$B$11:$B$600,'Anlage 1g_Korrekturen_KG'!$B78,'Anlage 1c_Korrekturen_NB'!$C$11:$C$600,'Anlage 1g_Korrekturen_KG'!$A78)</f>
        <v>0</v>
      </c>
      <c r="H78" s="470"/>
      <c r="I78" s="469">
        <f>SUMIFS('Anlage 1c_Korrekturen_NB'!$L$11:$L$600,'Anlage 1c_Korrekturen_NB'!$O$11:$O$600,'Anlage 1g_Korrekturen_KG'!I$9,'Anlage 1c_Korrekturen_NB'!$B$11:$B$600,'Anlage 1g_Korrekturen_KG'!$B78,'Anlage 1c_Korrekturen_NB'!$C$11:$C$600,'Anlage 1g_Korrekturen_KG'!$A78)</f>
        <v>0</v>
      </c>
      <c r="J78" s="470"/>
      <c r="K78" s="905">
        <f t="shared" si="13"/>
        <v>0</v>
      </c>
      <c r="L78" s="901">
        <f t="shared" si="3"/>
        <v>0</v>
      </c>
      <c r="M78" s="5"/>
      <c r="N78" s="5"/>
    </row>
    <row r="79" spans="1:16" hidden="1" outlineLevel="1">
      <c r="A79" s="472">
        <v>2015</v>
      </c>
      <c r="B79" s="468">
        <v>4</v>
      </c>
      <c r="C79" s="469">
        <f>SUMIFS('Anlage 1c_Korrekturen_NB'!$L$11:$L$600,'Anlage 1c_Korrekturen_NB'!$O$11:$O$600,'Anlage 1g_Korrekturen_KG'!C$9,'Anlage 1c_Korrekturen_NB'!$B$11:$B$600,'Anlage 1g_Korrekturen_KG'!$B79,'Anlage 1c_Korrekturen_NB'!$C$11:$C$600,'Anlage 1g_Korrekturen_KG'!$A79)</f>
        <v>0</v>
      </c>
      <c r="D79" s="470"/>
      <c r="E79" s="469">
        <f>SUMIFS('Anlage 1c_Korrekturen_NB'!$L$11:$L$600,'Anlage 1c_Korrekturen_NB'!$O$11:$O$600,'Anlage 1g_Korrekturen_KG'!E$9,'Anlage 1c_Korrekturen_NB'!$B$11:$B$600,'Anlage 1g_Korrekturen_KG'!$B79,'Anlage 1c_Korrekturen_NB'!$C$11:$C$600,'Anlage 1g_Korrekturen_KG'!$A79)</f>
        <v>0</v>
      </c>
      <c r="F79" s="470"/>
      <c r="G79" s="469">
        <f>SUMIFS('Anlage 1c_Korrekturen_NB'!$L$11:$L$600,'Anlage 1c_Korrekturen_NB'!$O$11:$O$600,'Anlage 1g_Korrekturen_KG'!G$9,'Anlage 1c_Korrekturen_NB'!$B$11:$B$600,'Anlage 1g_Korrekturen_KG'!$B79,'Anlage 1c_Korrekturen_NB'!$C$11:$C$600,'Anlage 1g_Korrekturen_KG'!$A79)</f>
        <v>0</v>
      </c>
      <c r="H79" s="470"/>
      <c r="I79" s="469">
        <f>SUMIFS('Anlage 1c_Korrekturen_NB'!$L$11:$L$600,'Anlage 1c_Korrekturen_NB'!$O$11:$O$600,'Anlage 1g_Korrekturen_KG'!I$9,'Anlage 1c_Korrekturen_NB'!$B$11:$B$600,'Anlage 1g_Korrekturen_KG'!$B79,'Anlage 1c_Korrekturen_NB'!$C$11:$C$600,'Anlage 1g_Korrekturen_KG'!$A79)</f>
        <v>0</v>
      </c>
      <c r="J79" s="470"/>
      <c r="K79" s="905">
        <f t="shared" si="13"/>
        <v>0</v>
      </c>
      <c r="L79" s="901">
        <f t="shared" si="3"/>
        <v>0</v>
      </c>
      <c r="M79" s="5"/>
      <c r="N79" s="5"/>
    </row>
    <row r="80" spans="1:16" hidden="1" outlineLevel="1">
      <c r="A80" s="472">
        <v>2015</v>
      </c>
      <c r="B80" s="468">
        <v>5</v>
      </c>
      <c r="C80" s="469">
        <f>SUMIFS('Anlage 1c_Korrekturen_NB'!$L$11:$L$600,'Anlage 1c_Korrekturen_NB'!$O$11:$O$600,'Anlage 1g_Korrekturen_KG'!C$9,'Anlage 1c_Korrekturen_NB'!$B$11:$B$600,'Anlage 1g_Korrekturen_KG'!$B80,'Anlage 1c_Korrekturen_NB'!$C$11:$C$600,'Anlage 1g_Korrekturen_KG'!$A80)</f>
        <v>0</v>
      </c>
      <c r="D80" s="470"/>
      <c r="E80" s="469">
        <f>SUMIFS('Anlage 1c_Korrekturen_NB'!$L$11:$L$600,'Anlage 1c_Korrekturen_NB'!$O$11:$O$600,'Anlage 1g_Korrekturen_KG'!E$9,'Anlage 1c_Korrekturen_NB'!$B$11:$B$600,'Anlage 1g_Korrekturen_KG'!$B80,'Anlage 1c_Korrekturen_NB'!$C$11:$C$600,'Anlage 1g_Korrekturen_KG'!$A80)</f>
        <v>0</v>
      </c>
      <c r="F80" s="470"/>
      <c r="G80" s="469">
        <f>SUMIFS('Anlage 1c_Korrekturen_NB'!$L$11:$L$600,'Anlage 1c_Korrekturen_NB'!$O$11:$O$600,'Anlage 1g_Korrekturen_KG'!G$9,'Anlage 1c_Korrekturen_NB'!$B$11:$B$600,'Anlage 1g_Korrekturen_KG'!$B80,'Anlage 1c_Korrekturen_NB'!$C$11:$C$600,'Anlage 1g_Korrekturen_KG'!$A80)</f>
        <v>0</v>
      </c>
      <c r="H80" s="470"/>
      <c r="I80" s="469">
        <f>SUMIFS('Anlage 1c_Korrekturen_NB'!$L$11:$L$600,'Anlage 1c_Korrekturen_NB'!$O$11:$O$600,'Anlage 1g_Korrekturen_KG'!I$9,'Anlage 1c_Korrekturen_NB'!$B$11:$B$600,'Anlage 1g_Korrekturen_KG'!$B80,'Anlage 1c_Korrekturen_NB'!$C$11:$C$600,'Anlage 1g_Korrekturen_KG'!$A80)</f>
        <v>0</v>
      </c>
      <c r="J80" s="470"/>
      <c r="K80" s="905">
        <f t="shared" si="13"/>
        <v>0</v>
      </c>
      <c r="L80" s="901">
        <f t="shared" si="3"/>
        <v>0</v>
      </c>
      <c r="M80" s="5"/>
      <c r="N80" s="5"/>
    </row>
    <row r="81" spans="1:14" hidden="1" outlineLevel="1">
      <c r="A81" s="473">
        <v>2015</v>
      </c>
      <c r="B81" s="474">
        <v>7</v>
      </c>
      <c r="C81" s="469">
        <f>SUMIFS('Anlage 1c_Korrekturen_NB'!$L$11:$L$600,'Anlage 1c_Korrekturen_NB'!$O$11:$O$600,'Anlage 1g_Korrekturen_KG'!C$9,'Anlage 1c_Korrekturen_NB'!$B$11:$B$600,'Anlage 1g_Korrekturen_KG'!$B81,'Anlage 1c_Korrekturen_NB'!$C$11:$C$600,'Anlage 1g_Korrekturen_KG'!$A81)</f>
        <v>0</v>
      </c>
      <c r="D81" s="470"/>
      <c r="E81" s="469">
        <f>SUMIFS('Anlage 1c_Korrekturen_NB'!$L$11:$L$600,'Anlage 1c_Korrekturen_NB'!$O$11:$O$600,'Anlage 1g_Korrekturen_KG'!E$9,'Anlage 1c_Korrekturen_NB'!$B$11:$B$600,'Anlage 1g_Korrekturen_KG'!$B81,'Anlage 1c_Korrekturen_NB'!$C$11:$C$600,'Anlage 1g_Korrekturen_KG'!$A81)</f>
        <v>0</v>
      </c>
      <c r="F81" s="470"/>
      <c r="G81" s="469">
        <f>SUMIFS('Anlage 1c_Korrekturen_NB'!$L$11:$L$600,'Anlage 1c_Korrekturen_NB'!$O$11:$O$600,'Anlage 1g_Korrekturen_KG'!G$9,'Anlage 1c_Korrekturen_NB'!$B$11:$B$600,'Anlage 1g_Korrekturen_KG'!$B81,'Anlage 1c_Korrekturen_NB'!$C$11:$C$600,'Anlage 1g_Korrekturen_KG'!$A81)</f>
        <v>0</v>
      </c>
      <c r="H81" s="470"/>
      <c r="I81" s="469">
        <f>SUMIFS('Anlage 1c_Korrekturen_NB'!$L$11:$L$600,'Anlage 1c_Korrekturen_NB'!$O$11:$O$600,'Anlage 1g_Korrekturen_KG'!I$9,'Anlage 1c_Korrekturen_NB'!$B$11:$B$600,'Anlage 1g_Korrekturen_KG'!$B81,'Anlage 1c_Korrekturen_NB'!$C$11:$C$600,'Anlage 1g_Korrekturen_KG'!$A81)</f>
        <v>25604.89</v>
      </c>
      <c r="J81" s="470"/>
      <c r="K81" s="905">
        <f t="shared" si="13"/>
        <v>25604.89</v>
      </c>
      <c r="L81" s="901">
        <f t="shared" si="3"/>
        <v>0</v>
      </c>
      <c r="M81" s="5"/>
      <c r="N81" s="5"/>
    </row>
    <row r="82" spans="1:14" ht="13.5" collapsed="1" thickBot="1">
      <c r="A82" s="976">
        <v>2014</v>
      </c>
      <c r="B82" s="955"/>
      <c r="C82" s="962">
        <f>SUM(C83:C88)</f>
        <v>0</v>
      </c>
      <c r="D82" s="963"/>
      <c r="E82" s="962">
        <f>SUM(E83:E88)</f>
        <v>0</v>
      </c>
      <c r="F82" s="963"/>
      <c r="G82" s="962">
        <f>SUM(G83:G88)</f>
        <v>0</v>
      </c>
      <c r="H82" s="963"/>
      <c r="I82" s="962">
        <f>SUM(I83:I88)</f>
        <v>4251.71</v>
      </c>
      <c r="J82" s="963"/>
      <c r="K82" s="964">
        <f t="shared" ref="K82:K88" si="14">C82+E82+G82+I82</f>
        <v>4251.71</v>
      </c>
      <c r="L82" s="901">
        <f t="shared" si="3"/>
        <v>0</v>
      </c>
      <c r="M82" s="5"/>
      <c r="N82" s="5"/>
    </row>
    <row r="83" spans="1:14" hidden="1" outlineLevel="2">
      <c r="A83" s="472">
        <v>2014</v>
      </c>
      <c r="B83" s="468" t="s">
        <v>2079</v>
      </c>
      <c r="C83" s="469">
        <f>SUMIFS('Anlage 1c_Korrekturen_NB'!$L$11:$L$600,'Anlage 1c_Korrekturen_NB'!$O$11:$O$600,'Anlage 1g_Korrekturen_KG'!C$9,'Anlage 1c_Korrekturen_NB'!$B$11:$B$600,'Anlage 1g_Korrekturen_KG'!$B83,'Anlage 1c_Korrekturen_NB'!$C$11:$C$600,'Anlage 1g_Korrekturen_KG'!$A83)</f>
        <v>0</v>
      </c>
      <c r="D83" s="470"/>
      <c r="E83" s="469">
        <f>SUMIFS('Anlage 1c_Korrekturen_NB'!$L$11:$L$600,'Anlage 1c_Korrekturen_NB'!$O$11:$O$600,'Anlage 1g_Korrekturen_KG'!E$9,'Anlage 1c_Korrekturen_NB'!$B$11:$B$600,'Anlage 1g_Korrekturen_KG'!$B83,'Anlage 1c_Korrekturen_NB'!$C$11:$C$600,'Anlage 1g_Korrekturen_KG'!$A83)</f>
        <v>0</v>
      </c>
      <c r="F83" s="470"/>
      <c r="G83" s="469">
        <f>SUMIFS('Anlage 1c_Korrekturen_NB'!$L$11:$L$600,'Anlage 1c_Korrekturen_NB'!$O$11:$O$600,'Anlage 1g_Korrekturen_KG'!G$9,'Anlage 1c_Korrekturen_NB'!$B$11:$B$600,'Anlage 1g_Korrekturen_KG'!$B83,'Anlage 1c_Korrekturen_NB'!$C$11:$C$600,'Anlage 1g_Korrekturen_KG'!$A83)</f>
        <v>0</v>
      </c>
      <c r="H83" s="470"/>
      <c r="I83" s="469">
        <f>SUMIFS('Anlage 1c_Korrekturen_NB'!$L$11:$L$600,'Anlage 1c_Korrekturen_NB'!$O$11:$O$600,'Anlage 1g_Korrekturen_KG'!I$9,'Anlage 1c_Korrekturen_NB'!$B$11:$B$600,'Anlage 1g_Korrekturen_KG'!$B83,'Anlage 1c_Korrekturen_NB'!$C$11:$C$600,'Anlage 1g_Korrekturen_KG'!$A83)</f>
        <v>0</v>
      </c>
      <c r="J83" s="185"/>
      <c r="K83" s="905">
        <f t="shared" si="14"/>
        <v>0</v>
      </c>
      <c r="L83" s="902"/>
      <c r="M83" s="5"/>
      <c r="N83" s="5"/>
    </row>
    <row r="84" spans="1:14" hidden="1" outlineLevel="2">
      <c r="A84" s="472">
        <v>2014</v>
      </c>
      <c r="B84" s="468">
        <v>2</v>
      </c>
      <c r="C84" s="469">
        <f>SUMIFS('Anlage 1c_Korrekturen_NB'!$L$11:$L$600,'Anlage 1c_Korrekturen_NB'!$O$11:$O$600,'Anlage 1g_Korrekturen_KG'!C$9,'Anlage 1c_Korrekturen_NB'!$B$11:$B$600,'Anlage 1g_Korrekturen_KG'!$B84,'Anlage 1c_Korrekturen_NB'!$C$11:$C$600,'Anlage 1g_Korrekturen_KG'!$A84)</f>
        <v>0</v>
      </c>
      <c r="D84" s="470"/>
      <c r="E84" s="469">
        <f>SUMIFS('Anlage 1c_Korrekturen_NB'!$L$11:$L$600,'Anlage 1c_Korrekturen_NB'!$O$11:$O$600,'Anlage 1g_Korrekturen_KG'!E$9,'Anlage 1c_Korrekturen_NB'!$B$11:$B$600,'Anlage 1g_Korrekturen_KG'!$B84,'Anlage 1c_Korrekturen_NB'!$C$11:$C$600,'Anlage 1g_Korrekturen_KG'!$A84)</f>
        <v>0</v>
      </c>
      <c r="F84" s="470"/>
      <c r="G84" s="469">
        <f>SUMIFS('Anlage 1c_Korrekturen_NB'!$L$11:$L$600,'Anlage 1c_Korrekturen_NB'!$O$11:$O$600,'Anlage 1g_Korrekturen_KG'!G$9,'Anlage 1c_Korrekturen_NB'!$B$11:$B$600,'Anlage 1g_Korrekturen_KG'!$B84,'Anlage 1c_Korrekturen_NB'!$C$11:$C$600,'Anlage 1g_Korrekturen_KG'!$A84)</f>
        <v>0</v>
      </c>
      <c r="H84" s="470"/>
      <c r="I84" s="469">
        <f>SUMIFS('Anlage 1c_Korrekturen_NB'!$L$11:$L$600,'Anlage 1c_Korrekturen_NB'!$O$11:$O$600,'Anlage 1g_Korrekturen_KG'!I$9,'Anlage 1c_Korrekturen_NB'!$B$11:$B$600,'Anlage 1g_Korrekturen_KG'!$B84,'Anlage 1c_Korrekturen_NB'!$C$11:$C$600,'Anlage 1g_Korrekturen_KG'!$A84)</f>
        <v>0</v>
      </c>
      <c r="J84" s="185"/>
      <c r="K84" s="905">
        <f t="shared" si="14"/>
        <v>0</v>
      </c>
      <c r="L84" s="902"/>
      <c r="M84" s="5"/>
      <c r="N84" s="5"/>
    </row>
    <row r="85" spans="1:14" hidden="1" outlineLevel="2">
      <c r="A85" s="472">
        <v>2014</v>
      </c>
      <c r="B85" s="468">
        <v>3</v>
      </c>
      <c r="C85" s="469">
        <f>SUMIFS('Anlage 1c_Korrekturen_NB'!$L$11:$L$600,'Anlage 1c_Korrekturen_NB'!$O$11:$O$600,'Anlage 1g_Korrekturen_KG'!C$9,'Anlage 1c_Korrekturen_NB'!$B$11:$B$600,'Anlage 1g_Korrekturen_KG'!$B85,'Anlage 1c_Korrekturen_NB'!$C$11:$C$600,'Anlage 1g_Korrekturen_KG'!$A85)</f>
        <v>0</v>
      </c>
      <c r="D85" s="470"/>
      <c r="E85" s="469">
        <f>SUMIFS('Anlage 1c_Korrekturen_NB'!$L$11:$L$600,'Anlage 1c_Korrekturen_NB'!$O$11:$O$600,'Anlage 1g_Korrekturen_KG'!E$9,'Anlage 1c_Korrekturen_NB'!$B$11:$B$600,'Anlage 1g_Korrekturen_KG'!$B85,'Anlage 1c_Korrekturen_NB'!$C$11:$C$600,'Anlage 1g_Korrekturen_KG'!$A85)</f>
        <v>0</v>
      </c>
      <c r="F85" s="470"/>
      <c r="G85" s="469">
        <f>SUMIFS('Anlage 1c_Korrekturen_NB'!$L$11:$L$600,'Anlage 1c_Korrekturen_NB'!$O$11:$O$600,'Anlage 1g_Korrekturen_KG'!G$9,'Anlage 1c_Korrekturen_NB'!$B$11:$B$600,'Anlage 1g_Korrekturen_KG'!$B85,'Anlage 1c_Korrekturen_NB'!$C$11:$C$600,'Anlage 1g_Korrekturen_KG'!$A85)</f>
        <v>0</v>
      </c>
      <c r="H85" s="470"/>
      <c r="I85" s="469">
        <f>SUMIFS('Anlage 1c_Korrekturen_NB'!$L$11:$L$600,'Anlage 1c_Korrekturen_NB'!$O$11:$O$600,'Anlage 1g_Korrekturen_KG'!I$9,'Anlage 1c_Korrekturen_NB'!$B$11:$B$600,'Anlage 1g_Korrekturen_KG'!$B85,'Anlage 1c_Korrekturen_NB'!$C$11:$C$600,'Anlage 1g_Korrekturen_KG'!$A85)</f>
        <v>0</v>
      </c>
      <c r="J85" s="185"/>
      <c r="K85" s="905">
        <f t="shared" si="14"/>
        <v>0</v>
      </c>
      <c r="L85" s="902"/>
      <c r="M85" s="5"/>
      <c r="N85" s="5"/>
    </row>
    <row r="86" spans="1:14" hidden="1" outlineLevel="2">
      <c r="A86" s="472">
        <v>2014</v>
      </c>
      <c r="B86" s="468">
        <v>4</v>
      </c>
      <c r="C86" s="469">
        <f>SUMIFS('Anlage 1c_Korrekturen_NB'!$L$11:$L$600,'Anlage 1c_Korrekturen_NB'!$O$11:$O$600,'Anlage 1g_Korrekturen_KG'!C$9,'Anlage 1c_Korrekturen_NB'!$B$11:$B$600,'Anlage 1g_Korrekturen_KG'!$B86,'Anlage 1c_Korrekturen_NB'!$C$11:$C$600,'Anlage 1g_Korrekturen_KG'!$A86)</f>
        <v>0</v>
      </c>
      <c r="D86" s="470"/>
      <c r="E86" s="469">
        <f>SUMIFS('Anlage 1c_Korrekturen_NB'!$L$11:$L$600,'Anlage 1c_Korrekturen_NB'!$O$11:$O$600,'Anlage 1g_Korrekturen_KG'!E$9,'Anlage 1c_Korrekturen_NB'!$B$11:$B$600,'Anlage 1g_Korrekturen_KG'!$B86,'Anlage 1c_Korrekturen_NB'!$C$11:$C$600,'Anlage 1g_Korrekturen_KG'!$A86)</f>
        <v>0</v>
      </c>
      <c r="F86" s="470"/>
      <c r="G86" s="469">
        <f>SUMIFS('Anlage 1c_Korrekturen_NB'!$L$11:$L$600,'Anlage 1c_Korrekturen_NB'!$O$11:$O$600,'Anlage 1g_Korrekturen_KG'!G$9,'Anlage 1c_Korrekturen_NB'!$B$11:$B$600,'Anlage 1g_Korrekturen_KG'!$B86,'Anlage 1c_Korrekturen_NB'!$C$11:$C$600,'Anlage 1g_Korrekturen_KG'!$A86)</f>
        <v>0</v>
      </c>
      <c r="H86" s="470"/>
      <c r="I86" s="469">
        <f>SUMIFS('Anlage 1c_Korrekturen_NB'!$L$11:$L$600,'Anlage 1c_Korrekturen_NB'!$O$11:$O$600,'Anlage 1g_Korrekturen_KG'!I$9,'Anlage 1c_Korrekturen_NB'!$B$11:$B$600,'Anlage 1g_Korrekturen_KG'!$B86,'Anlage 1c_Korrekturen_NB'!$C$11:$C$600,'Anlage 1g_Korrekturen_KG'!$A86)</f>
        <v>0</v>
      </c>
      <c r="J86" s="185"/>
      <c r="K86" s="905">
        <f t="shared" si="14"/>
        <v>0</v>
      </c>
      <c r="L86" s="902"/>
      <c r="M86" s="5"/>
      <c r="N86" s="5"/>
    </row>
    <row r="87" spans="1:14" hidden="1" outlineLevel="2">
      <c r="A87" s="472">
        <v>2014</v>
      </c>
      <c r="B87" s="468">
        <v>5</v>
      </c>
      <c r="C87" s="469">
        <f>SUMIFS('Anlage 1c_Korrekturen_NB'!$L$11:$L$600,'Anlage 1c_Korrekturen_NB'!$O$11:$O$600,'Anlage 1g_Korrekturen_KG'!C$9,'Anlage 1c_Korrekturen_NB'!$B$11:$B$600,'Anlage 1g_Korrekturen_KG'!$B87,'Anlage 1c_Korrekturen_NB'!$C$11:$C$600,'Anlage 1g_Korrekturen_KG'!$A87)</f>
        <v>0</v>
      </c>
      <c r="D87" s="470"/>
      <c r="E87" s="469">
        <f>SUMIFS('Anlage 1c_Korrekturen_NB'!$L$11:$L$600,'Anlage 1c_Korrekturen_NB'!$O$11:$O$600,'Anlage 1g_Korrekturen_KG'!E$9,'Anlage 1c_Korrekturen_NB'!$B$11:$B$600,'Anlage 1g_Korrekturen_KG'!$B87,'Anlage 1c_Korrekturen_NB'!$C$11:$C$600,'Anlage 1g_Korrekturen_KG'!$A87)</f>
        <v>0</v>
      </c>
      <c r="F87" s="470"/>
      <c r="G87" s="469">
        <f>SUMIFS('Anlage 1c_Korrekturen_NB'!$L$11:$L$600,'Anlage 1c_Korrekturen_NB'!$O$11:$O$600,'Anlage 1g_Korrekturen_KG'!G$9,'Anlage 1c_Korrekturen_NB'!$B$11:$B$600,'Anlage 1g_Korrekturen_KG'!$B87,'Anlage 1c_Korrekturen_NB'!$C$11:$C$600,'Anlage 1g_Korrekturen_KG'!$A87)</f>
        <v>0</v>
      </c>
      <c r="H87" s="470"/>
      <c r="I87" s="469">
        <f>SUMIFS('Anlage 1c_Korrekturen_NB'!$L$11:$L$600,'Anlage 1c_Korrekturen_NB'!$O$11:$O$600,'Anlage 1g_Korrekturen_KG'!I$9,'Anlage 1c_Korrekturen_NB'!$B$11:$B$600,'Anlage 1g_Korrekturen_KG'!$B87,'Anlage 1c_Korrekturen_NB'!$C$11:$C$600,'Anlage 1g_Korrekturen_KG'!$A87)</f>
        <v>0</v>
      </c>
      <c r="J87" s="185"/>
      <c r="K87" s="905">
        <f t="shared" si="14"/>
        <v>0</v>
      </c>
      <c r="L87" s="902"/>
      <c r="M87" s="5"/>
      <c r="N87" s="5"/>
    </row>
    <row r="88" spans="1:14" ht="13.5" hidden="1" outlineLevel="2" thickBot="1">
      <c r="A88" s="473">
        <v>2014</v>
      </c>
      <c r="B88" s="474">
        <v>7</v>
      </c>
      <c r="C88" s="469">
        <f>SUMIFS('Anlage 1c_Korrekturen_NB'!$L$11:$L$600,'Anlage 1c_Korrekturen_NB'!$O$11:$O$600,'Anlage 1g_Korrekturen_KG'!C$9,'Anlage 1c_Korrekturen_NB'!$B$11:$B$600,'Anlage 1g_Korrekturen_KG'!$B88,'Anlage 1c_Korrekturen_NB'!$C$11:$C$600,'Anlage 1g_Korrekturen_KG'!$A88)</f>
        <v>0</v>
      </c>
      <c r="D88" s="470"/>
      <c r="E88" s="469">
        <f>SUMIFS('Anlage 1c_Korrekturen_NB'!$L$11:$L$600,'Anlage 1c_Korrekturen_NB'!$O$11:$O$600,'Anlage 1g_Korrekturen_KG'!E$9,'Anlage 1c_Korrekturen_NB'!$B$11:$B$600,'Anlage 1g_Korrekturen_KG'!$B88,'Anlage 1c_Korrekturen_NB'!$C$11:$C$600,'Anlage 1g_Korrekturen_KG'!$A88)</f>
        <v>0</v>
      </c>
      <c r="F88" s="470"/>
      <c r="G88" s="469">
        <f>SUMIFS('Anlage 1c_Korrekturen_NB'!$L$11:$L$600,'Anlage 1c_Korrekturen_NB'!$O$11:$O$600,'Anlage 1g_Korrekturen_KG'!G$9,'Anlage 1c_Korrekturen_NB'!$B$11:$B$600,'Anlage 1g_Korrekturen_KG'!$B88,'Anlage 1c_Korrekturen_NB'!$C$11:$C$600,'Anlage 1g_Korrekturen_KG'!$A88)</f>
        <v>0</v>
      </c>
      <c r="H88" s="470"/>
      <c r="I88" s="469">
        <f>SUMIFS('Anlage 1c_Korrekturen_NB'!$L$11:$L$600,'Anlage 1c_Korrekturen_NB'!$O$11:$O$600,'Anlage 1g_Korrekturen_KG'!I$9,'Anlage 1c_Korrekturen_NB'!$B$11:$B$600,'Anlage 1g_Korrekturen_KG'!$B88,'Anlage 1c_Korrekturen_NB'!$C$11:$C$600,'Anlage 1g_Korrekturen_KG'!$A88)</f>
        <v>4251.71</v>
      </c>
      <c r="J88" s="185"/>
      <c r="K88" s="905">
        <f t="shared" si="14"/>
        <v>4251.71</v>
      </c>
      <c r="L88" s="902"/>
      <c r="M88" s="5"/>
      <c r="N88" s="5"/>
    </row>
    <row r="89" spans="1:14" ht="13.5" collapsed="1" thickBot="1">
      <c r="A89" s="458" t="s">
        <v>2047</v>
      </c>
      <c r="B89" s="459"/>
      <c r="C89" s="241">
        <f t="shared" ref="C89:L89" si="15">C12+C19+C26+C33+C40+C47+C54+C61+C68+C75+C82</f>
        <v>32470858.68</v>
      </c>
      <c r="D89" s="229">
        <f t="shared" si="15"/>
        <v>-241228</v>
      </c>
      <c r="E89" s="241">
        <f t="shared" si="15"/>
        <v>28083770.229999997</v>
      </c>
      <c r="F89" s="229">
        <f t="shared" si="15"/>
        <v>-250871</v>
      </c>
      <c r="G89" s="241">
        <f t="shared" si="15"/>
        <v>23116475.009999998</v>
      </c>
      <c r="H89" s="229">
        <f t="shared" si="15"/>
        <v>11421510</v>
      </c>
      <c r="I89" s="241">
        <f t="shared" si="15"/>
        <v>7803585.4100000001</v>
      </c>
      <c r="J89" s="229">
        <f>J12+J19+J26+J33+J40+J47+J54+J61+J68+J75+J82</f>
        <v>49182</v>
      </c>
      <c r="K89" s="396">
        <f t="shared" si="15"/>
        <v>91474689.329999983</v>
      </c>
      <c r="L89" s="903">
        <f t="shared" si="15"/>
        <v>10978593</v>
      </c>
    </row>
    <row r="90" spans="1:14">
      <c r="A90" s="9"/>
      <c r="B90" s="2"/>
      <c r="C90" s="253"/>
      <c r="D90" s="253"/>
      <c r="E90" s="253"/>
      <c r="F90" s="253"/>
      <c r="G90" s="253"/>
      <c r="H90" s="253"/>
      <c r="I90" s="253"/>
      <c r="J90" s="253"/>
      <c r="K90" s="253"/>
      <c r="L90" s="253"/>
    </row>
    <row r="91" spans="1:14" hidden="1">
      <c r="A91" s="9"/>
      <c r="B91" s="2"/>
      <c r="C91" s="176"/>
      <c r="D91" s="176"/>
      <c r="E91" s="176"/>
      <c r="F91" s="176"/>
      <c r="G91" s="176"/>
      <c r="H91" s="176"/>
      <c r="I91" s="176"/>
      <c r="J91" s="176"/>
      <c r="K91" s="176"/>
      <c r="L91" s="176"/>
    </row>
    <row r="92" spans="1:14" hidden="1">
      <c r="A92" s="9"/>
      <c r="B92" s="2"/>
      <c r="C92" s="253"/>
      <c r="D92" s="253"/>
      <c r="E92" s="253"/>
      <c r="F92" s="253"/>
      <c r="G92" s="253"/>
      <c r="H92" s="253"/>
      <c r="I92" s="253"/>
      <c r="J92" s="253"/>
      <c r="K92" s="253"/>
      <c r="L92" s="253"/>
    </row>
    <row r="93" spans="1:14" hidden="1">
      <c r="A93" s="9"/>
      <c r="B93" s="2"/>
      <c r="C93" s="176"/>
      <c r="D93" s="176"/>
      <c r="E93" s="176"/>
      <c r="F93" s="176"/>
      <c r="G93" s="176"/>
      <c r="H93" s="176"/>
      <c r="I93" s="176"/>
      <c r="J93" s="176"/>
      <c r="K93" s="176"/>
      <c r="L93" s="176"/>
    </row>
    <row r="94" spans="1:14" hidden="1">
      <c r="A94" s="9"/>
      <c r="B94" s="2"/>
      <c r="C94" s="176"/>
      <c r="D94" s="176"/>
      <c r="E94" s="176"/>
      <c r="F94" s="176"/>
      <c r="G94" s="176"/>
      <c r="H94" s="176"/>
      <c r="I94" s="176"/>
      <c r="J94" s="176"/>
      <c r="K94" s="176"/>
      <c r="L94" s="176"/>
    </row>
    <row r="95" spans="1:14" hidden="1">
      <c r="A95" s="9"/>
      <c r="B95" s="2"/>
      <c r="C95" s="176"/>
      <c r="D95" s="176"/>
      <c r="E95" s="176"/>
      <c r="F95" s="176"/>
      <c r="G95" s="176"/>
      <c r="H95" s="176"/>
      <c r="I95" s="176"/>
      <c r="J95" s="176"/>
      <c r="K95" s="176"/>
      <c r="L95" s="176"/>
    </row>
    <row r="96" spans="1:14" hidden="1">
      <c r="A96" s="9"/>
      <c r="B96" s="2"/>
      <c r="C96" s="253"/>
      <c r="D96" s="253"/>
      <c r="E96" s="253"/>
      <c r="F96" s="253"/>
      <c r="G96" s="253"/>
      <c r="H96" s="253"/>
      <c r="I96" s="253"/>
      <c r="J96" s="253"/>
      <c r="K96" s="253"/>
      <c r="L96" s="253"/>
    </row>
    <row r="97" spans="1:12" hidden="1">
      <c r="A97" s="9"/>
      <c r="B97" s="2"/>
      <c r="C97" s="253"/>
      <c r="D97" s="253"/>
      <c r="E97" s="253"/>
      <c r="F97" s="253"/>
      <c r="G97" s="253"/>
      <c r="H97" s="253"/>
      <c r="I97" s="253"/>
      <c r="J97" s="253"/>
      <c r="K97" s="253"/>
      <c r="L97" s="253"/>
    </row>
    <row r="98" spans="1:12" hidden="1">
      <c r="A98" s="9"/>
      <c r="B98" s="2"/>
      <c r="C98" s="253"/>
      <c r="D98" s="253"/>
      <c r="E98" s="253"/>
      <c r="F98" s="253"/>
      <c r="G98" s="253"/>
      <c r="H98" s="253"/>
      <c r="I98" s="253"/>
      <c r="J98" s="253"/>
      <c r="K98" s="253"/>
      <c r="L98" s="253"/>
    </row>
    <row r="99" spans="1:12" hidden="1">
      <c r="A99" s="9"/>
      <c r="B99" s="2"/>
      <c r="C99" s="176"/>
      <c r="D99" s="176"/>
      <c r="E99" s="176"/>
      <c r="F99" s="176"/>
      <c r="G99" s="176"/>
      <c r="H99" s="176"/>
      <c r="I99" s="176"/>
      <c r="J99" s="176"/>
      <c r="K99" s="176"/>
      <c r="L99" s="176"/>
    </row>
    <row r="100" spans="1:12" hidden="1">
      <c r="A100" s="9"/>
      <c r="B100" s="2"/>
      <c r="C100" s="253"/>
      <c r="D100" s="253"/>
      <c r="E100" s="253"/>
      <c r="F100" s="253"/>
      <c r="G100" s="253"/>
      <c r="H100" s="253"/>
      <c r="I100" s="253"/>
      <c r="J100" s="253"/>
      <c r="K100" s="253"/>
      <c r="L100" s="253"/>
    </row>
    <row r="101" spans="1:12" hidden="1">
      <c r="A101" s="9"/>
      <c r="B101" s="2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</row>
    <row r="102" spans="1:12" hidden="1">
      <c r="A102" s="9"/>
      <c r="B102" s="2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</row>
    <row r="103" spans="1:12" hidden="1">
      <c r="A103" s="9"/>
      <c r="B103" s="2"/>
      <c r="C103" s="253"/>
      <c r="D103" s="253"/>
      <c r="E103" s="253"/>
      <c r="F103" s="253"/>
      <c r="G103" s="253"/>
      <c r="H103" s="253"/>
      <c r="I103" s="253"/>
      <c r="J103" s="253"/>
      <c r="K103" s="253"/>
      <c r="L103" s="253"/>
    </row>
    <row r="104" spans="1:12">
      <c r="A104" s="9"/>
      <c r="B104" s="2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</row>
    <row r="105" spans="1:12">
      <c r="A105" s="580" t="s">
        <v>2151</v>
      </c>
      <c r="B105" s="2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</row>
    <row r="106" spans="1:12" ht="13.5" thickBot="1">
      <c r="A106" s="9"/>
      <c r="B106" s="2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</row>
    <row r="107" spans="1:12" ht="39" thickBot="1">
      <c r="A107" s="7"/>
      <c r="B107" s="965"/>
      <c r="C107" s="485" t="s">
        <v>455</v>
      </c>
      <c r="D107" s="485" t="s">
        <v>774</v>
      </c>
      <c r="E107" s="485" t="s">
        <v>1220</v>
      </c>
      <c r="F107" s="485" t="s">
        <v>1828</v>
      </c>
      <c r="G107" s="485" t="s">
        <v>2047</v>
      </c>
      <c r="H107" s="176"/>
      <c r="I107" s="176"/>
      <c r="J107" s="176"/>
      <c r="K107" s="176"/>
      <c r="L107" s="176"/>
    </row>
    <row r="108" spans="1:12" ht="25.5">
      <c r="A108" s="947" t="s">
        <v>2071</v>
      </c>
      <c r="B108" s="958" t="s">
        <v>2070</v>
      </c>
      <c r="C108" s="435" t="s">
        <v>2152</v>
      </c>
      <c r="D108" s="435" t="s">
        <v>2152</v>
      </c>
      <c r="E108" s="435" t="s">
        <v>2152</v>
      </c>
      <c r="F108" s="435" t="s">
        <v>2152</v>
      </c>
      <c r="G108" s="435" t="s">
        <v>2152</v>
      </c>
    </row>
    <row r="109" spans="1:12" ht="13.5" thickBot="1">
      <c r="A109" s="1688"/>
      <c r="B109" s="1676"/>
      <c r="C109" s="482" t="s">
        <v>2054</v>
      </c>
      <c r="D109" s="482" t="s">
        <v>2054</v>
      </c>
      <c r="E109" s="482" t="s">
        <v>2054</v>
      </c>
      <c r="F109" s="482" t="s">
        <v>2054</v>
      </c>
      <c r="G109" s="482" t="s">
        <v>2054</v>
      </c>
    </row>
    <row r="110" spans="1:12">
      <c r="A110" s="1689">
        <v>2023</v>
      </c>
      <c r="B110" s="1690"/>
      <c r="C110" s="477">
        <f>SUM(C111:C116)</f>
        <v>2960</v>
      </c>
      <c r="D110" s="478">
        <f>SUM(D111:D116)</f>
        <v>-25792.5</v>
      </c>
      <c r="E110" s="478">
        <f>SUM(E111:E116)</f>
        <v>-6344</v>
      </c>
      <c r="F110" s="478">
        <f>SUM(F111:F116)</f>
        <v>-9820</v>
      </c>
      <c r="G110" s="478">
        <f>SUM(C110:F110)</f>
        <v>-38996.5</v>
      </c>
      <c r="H110" s="747"/>
      <c r="I110" s="176"/>
      <c r="J110" s="176"/>
      <c r="K110" s="176"/>
      <c r="L110" s="176"/>
    </row>
    <row r="111" spans="1:12" hidden="1" outlineLevel="1">
      <c r="A111" s="130">
        <f>A110</f>
        <v>2023</v>
      </c>
      <c r="B111" s="483">
        <v>1</v>
      </c>
      <c r="C111" s="469">
        <f>SUMIFS('Anlage 1c_Korrekturen_NB'!$D$621:$D$648,'Anlage 1c_Korrekturen_NB'!$O$621:$O$648,'Anlage 1g_Korrekturen_KG'!C$107,'Anlage 1c_Korrekturen_NB'!$B$621:$B$648,'Anlage 1g_Korrekturen_KG'!$B111,'Anlage 1c_Korrekturen_NB'!$C$621:$C$648,'Anlage 1g_Korrekturen_KG'!$A111)</f>
        <v>0</v>
      </c>
      <c r="D111" s="469">
        <f>SUMIFS('Anlage 1c_Korrekturen_NB'!$D$621:$D$648,'Anlage 1c_Korrekturen_NB'!$O$621:$O$648,'Anlage 1g_Korrekturen_KG'!D$107,'Anlage 1c_Korrekturen_NB'!$B$621:$B$648,'Anlage 1g_Korrekturen_KG'!$B111,'Anlage 1c_Korrekturen_NB'!$C$621:$C$648,'Anlage 1g_Korrekturen_KG'!$A111)</f>
        <v>-12500</v>
      </c>
      <c r="E111" s="469">
        <f>SUMIFS('Anlage 1c_Korrekturen_NB'!$D$621:$D$648,'Anlage 1c_Korrekturen_NB'!$O$621:$O$648,'Anlage 1g_Korrekturen_KG'!E$107,'Anlage 1c_Korrekturen_NB'!$B$621:$B$648,'Anlage 1g_Korrekturen_KG'!$B111,'Anlage 1c_Korrekturen_NB'!$C$621:$C$648,'Anlage 1g_Korrekturen_KG'!$A111)</f>
        <v>0</v>
      </c>
      <c r="F111" s="469">
        <f>SUMIFS('Anlage 1c_Korrekturen_NB'!$D$621:$D$648,'Anlage 1c_Korrekturen_NB'!$O$621:$O$648,'Anlage 1g_Korrekturen_KG'!F$107,'Anlage 1c_Korrekturen_NB'!$B$621:$B$648,'Anlage 1g_Korrekturen_KG'!$B111,'Anlage 1c_Korrekturen_NB'!$C$621:$C$648,'Anlage 1g_Korrekturen_KG'!$A111)</f>
        <v>0</v>
      </c>
      <c r="G111" s="471">
        <f t="shared" ref="G111:G124" si="16">SUM(C111:F111)</f>
        <v>-12500</v>
      </c>
      <c r="H111" s="176"/>
      <c r="I111" s="176"/>
      <c r="J111" s="176"/>
      <c r="K111" s="176"/>
      <c r="L111" s="176"/>
    </row>
    <row r="112" spans="1:12" hidden="1" outlineLevel="1">
      <c r="A112" s="130">
        <f t="shared" ref="A112:A115" si="17">A111</f>
        <v>2023</v>
      </c>
      <c r="B112" s="483">
        <v>2</v>
      </c>
      <c r="C112" s="469">
        <f>SUMIFS('Anlage 1c_Korrekturen_NB'!$D$621:$D$648,'Anlage 1c_Korrekturen_NB'!$O$621:$O$648,'Anlage 1g_Korrekturen_KG'!C$107,'Anlage 1c_Korrekturen_NB'!$B$621:$B$648,'Anlage 1g_Korrekturen_KG'!$B112,'Anlage 1c_Korrekturen_NB'!$C$621:$C$648,'Anlage 1g_Korrekturen_KG'!$A112)</f>
        <v>0</v>
      </c>
      <c r="D112" s="469">
        <f>SUMIFS('Anlage 1c_Korrekturen_NB'!$D$621:$D$648,'Anlage 1c_Korrekturen_NB'!$O$621:$O$648,'Anlage 1g_Korrekturen_KG'!D$107,'Anlage 1c_Korrekturen_NB'!$B$621:$B$648,'Anlage 1g_Korrekturen_KG'!$B112,'Anlage 1c_Korrekturen_NB'!$C$621:$C$648,'Anlage 1g_Korrekturen_KG'!$A112)</f>
        <v>0</v>
      </c>
      <c r="E112" s="469">
        <f>SUMIFS('Anlage 1c_Korrekturen_NB'!$D$621:$D$648,'Anlage 1c_Korrekturen_NB'!$O$621:$O$648,'Anlage 1g_Korrekturen_KG'!E$107,'Anlage 1c_Korrekturen_NB'!$B$621:$B$648,'Anlage 1g_Korrekturen_KG'!$B112,'Anlage 1c_Korrekturen_NB'!$C$621:$C$648,'Anlage 1g_Korrekturen_KG'!$A112)</f>
        <v>0</v>
      </c>
      <c r="F112" s="469">
        <f>SUMIFS('Anlage 1c_Korrekturen_NB'!$D$621:$D$648,'Anlage 1c_Korrekturen_NB'!$O$621:$O$648,'Anlage 1g_Korrekturen_KG'!F$107,'Anlage 1c_Korrekturen_NB'!$B$621:$B$648,'Anlage 1g_Korrekturen_KG'!$B112,'Anlage 1c_Korrekturen_NB'!$C$621:$C$648,'Anlage 1g_Korrekturen_KG'!$A112)</f>
        <v>0</v>
      </c>
      <c r="G112" s="471">
        <f t="shared" si="16"/>
        <v>0</v>
      </c>
      <c r="H112" s="176"/>
      <c r="I112" s="176"/>
      <c r="J112" s="176"/>
      <c r="K112" s="176"/>
      <c r="L112" s="176"/>
    </row>
    <row r="113" spans="1:17" hidden="1" outlineLevel="1">
      <c r="A113" s="130">
        <f t="shared" si="17"/>
        <v>2023</v>
      </c>
      <c r="B113" s="483">
        <v>3</v>
      </c>
      <c r="C113" s="469">
        <f>SUMIFS('Anlage 1c_Korrekturen_NB'!$D$621:$D$648,'Anlage 1c_Korrekturen_NB'!$O$621:$O$648,'Anlage 1g_Korrekturen_KG'!C$107,'Anlage 1c_Korrekturen_NB'!$B$621:$B$648,'Anlage 1g_Korrekturen_KG'!$B113,'Anlage 1c_Korrekturen_NB'!$C$621:$C$648,'Anlage 1g_Korrekturen_KG'!$A113)</f>
        <v>0</v>
      </c>
      <c r="D113" s="469">
        <f>SUMIFS('Anlage 1c_Korrekturen_NB'!$D$621:$D$648,'Anlage 1c_Korrekturen_NB'!$O$621:$O$648,'Anlage 1g_Korrekturen_KG'!D$107,'Anlage 1c_Korrekturen_NB'!$B$621:$B$648,'Anlage 1g_Korrekturen_KG'!$B113,'Anlage 1c_Korrekturen_NB'!$C$621:$C$648,'Anlage 1g_Korrekturen_KG'!$A113)</f>
        <v>0</v>
      </c>
      <c r="E113" s="469">
        <f>SUMIFS('Anlage 1c_Korrekturen_NB'!$D$621:$D$648,'Anlage 1c_Korrekturen_NB'!$O$621:$O$648,'Anlage 1g_Korrekturen_KG'!E$107,'Anlage 1c_Korrekturen_NB'!$B$621:$B$648,'Anlage 1g_Korrekturen_KG'!$B113,'Anlage 1c_Korrekturen_NB'!$C$621:$C$648,'Anlage 1g_Korrekturen_KG'!$A113)</f>
        <v>0</v>
      </c>
      <c r="F113" s="469">
        <f>SUMIFS('Anlage 1c_Korrekturen_NB'!$D$621:$D$648,'Anlage 1c_Korrekturen_NB'!$O$621:$O$648,'Anlage 1g_Korrekturen_KG'!F$107,'Anlage 1c_Korrekturen_NB'!$B$621:$B$648,'Anlage 1g_Korrekturen_KG'!$B113,'Anlage 1c_Korrekturen_NB'!$C$621:$C$648,'Anlage 1g_Korrekturen_KG'!$A113)</f>
        <v>0</v>
      </c>
      <c r="G113" s="471">
        <f t="shared" si="16"/>
        <v>0</v>
      </c>
      <c r="H113" s="176"/>
      <c r="I113" s="176"/>
      <c r="J113" s="176"/>
      <c r="K113" s="176"/>
      <c r="L113" s="176"/>
    </row>
    <row r="114" spans="1:17" hidden="1" outlineLevel="1">
      <c r="A114" s="130">
        <f t="shared" si="17"/>
        <v>2023</v>
      </c>
      <c r="B114" s="483">
        <v>4</v>
      </c>
      <c r="C114" s="469">
        <f>SUMIFS('Anlage 1c_Korrekturen_NB'!$D$621:$D$648,'Anlage 1c_Korrekturen_NB'!$O$621:$O$648,'Anlage 1g_Korrekturen_KG'!C$107,'Anlage 1c_Korrekturen_NB'!$B$621:$B$648,'Anlage 1g_Korrekturen_KG'!$B114,'Anlage 1c_Korrekturen_NB'!$C$621:$C$648,'Anlage 1g_Korrekturen_KG'!$A114)</f>
        <v>0</v>
      </c>
      <c r="D114" s="469">
        <f>SUMIFS('Anlage 1c_Korrekturen_NB'!$D$621:$D$648,'Anlage 1c_Korrekturen_NB'!$O$621:$O$648,'Anlage 1g_Korrekturen_KG'!D$107,'Anlage 1c_Korrekturen_NB'!$B$621:$B$648,'Anlage 1g_Korrekturen_KG'!$B114,'Anlage 1c_Korrekturen_NB'!$C$621:$C$648,'Anlage 1g_Korrekturen_KG'!$A114)</f>
        <v>0</v>
      </c>
      <c r="E114" s="469">
        <f>SUMIFS('Anlage 1c_Korrekturen_NB'!$D$621:$D$648,'Anlage 1c_Korrekturen_NB'!$O$621:$O$648,'Anlage 1g_Korrekturen_KG'!E$107,'Anlage 1c_Korrekturen_NB'!$B$621:$B$648,'Anlage 1g_Korrekturen_KG'!$B114,'Anlage 1c_Korrekturen_NB'!$C$621:$C$648,'Anlage 1g_Korrekturen_KG'!$A114)</f>
        <v>0</v>
      </c>
      <c r="F114" s="469">
        <f>SUMIFS('Anlage 1c_Korrekturen_NB'!$D$621:$D$648,'Anlage 1c_Korrekturen_NB'!$O$621:$O$648,'Anlage 1g_Korrekturen_KG'!F$107,'Anlage 1c_Korrekturen_NB'!$B$621:$B$648,'Anlage 1g_Korrekturen_KG'!$B114,'Anlage 1c_Korrekturen_NB'!$C$621:$C$648,'Anlage 1g_Korrekturen_KG'!$A114)</f>
        <v>0</v>
      </c>
      <c r="G114" s="471">
        <f t="shared" si="16"/>
        <v>0</v>
      </c>
      <c r="H114" s="176"/>
      <c r="I114" s="176"/>
      <c r="J114" s="176"/>
      <c r="K114" s="176"/>
      <c r="L114" s="176"/>
    </row>
    <row r="115" spans="1:17" hidden="1" outlineLevel="1">
      <c r="A115" s="130">
        <f t="shared" si="17"/>
        <v>2023</v>
      </c>
      <c r="B115" s="483">
        <v>5</v>
      </c>
      <c r="C115" s="469">
        <f>SUMIFS('Anlage 1c_Korrekturen_NB'!$D$621:$D$648,'Anlage 1c_Korrekturen_NB'!$O$621:$O$648,'Anlage 1g_Korrekturen_KG'!C$107,'Anlage 1c_Korrekturen_NB'!$B$621:$B$648,'Anlage 1g_Korrekturen_KG'!$B115,'Anlage 1c_Korrekturen_NB'!$C$621:$C$648,'Anlage 1g_Korrekturen_KG'!$A115)</f>
        <v>0</v>
      </c>
      <c r="D115" s="469">
        <f>SUMIFS('Anlage 1c_Korrekturen_NB'!$D$621:$D$648,'Anlage 1c_Korrekturen_NB'!$O$621:$O$648,'Anlage 1g_Korrekturen_KG'!D$107,'Anlage 1c_Korrekturen_NB'!$B$621:$B$648,'Anlage 1g_Korrekturen_KG'!$B115,'Anlage 1c_Korrekturen_NB'!$C$621:$C$648,'Anlage 1g_Korrekturen_KG'!$A115)</f>
        <v>0</v>
      </c>
      <c r="E115" s="469">
        <f>SUMIFS('Anlage 1c_Korrekturen_NB'!$D$621:$D$648,'Anlage 1c_Korrekturen_NB'!$O$621:$O$648,'Anlage 1g_Korrekturen_KG'!E$107,'Anlage 1c_Korrekturen_NB'!$B$621:$B$648,'Anlage 1g_Korrekturen_KG'!$B115,'Anlage 1c_Korrekturen_NB'!$C$621:$C$648,'Anlage 1g_Korrekturen_KG'!$A115)</f>
        <v>0</v>
      </c>
      <c r="F115" s="469">
        <f>SUMIFS('Anlage 1c_Korrekturen_NB'!$D$621:$D$648,'Anlage 1c_Korrekturen_NB'!$O$621:$O$648,'Anlage 1g_Korrekturen_KG'!F$107,'Anlage 1c_Korrekturen_NB'!$B$621:$B$648,'Anlage 1g_Korrekturen_KG'!$B115,'Anlage 1c_Korrekturen_NB'!$C$621:$C$648,'Anlage 1g_Korrekturen_KG'!$A115)</f>
        <v>0</v>
      </c>
      <c r="G115" s="471">
        <f t="shared" si="16"/>
        <v>0</v>
      </c>
      <c r="H115" s="176"/>
      <c r="I115" s="176"/>
      <c r="J115" s="176"/>
      <c r="K115" s="176"/>
      <c r="L115" s="176"/>
    </row>
    <row r="116" spans="1:17" hidden="1" outlineLevel="1">
      <c r="A116" s="130">
        <f>A115</f>
        <v>2023</v>
      </c>
      <c r="B116" s="479">
        <v>7</v>
      </c>
      <c r="C116" s="469">
        <f>SUMIFS('Anlage 1c_Korrekturen_NB'!$D$621:$D$648,'Anlage 1c_Korrekturen_NB'!$O$621:$O$648,'Anlage 1g_Korrekturen_KG'!C$107,'Anlage 1c_Korrekturen_NB'!$B$621:$B$648,'Anlage 1g_Korrekturen_KG'!$B116,'Anlage 1c_Korrekturen_NB'!$C$621:$C$648,'Anlage 1g_Korrekturen_KG'!$A116)</f>
        <v>2960</v>
      </c>
      <c r="D116" s="469">
        <f>SUMIFS('Anlage 1c_Korrekturen_NB'!$D$621:$D$648,'Anlage 1c_Korrekturen_NB'!$O$621:$O$648,'Anlage 1g_Korrekturen_KG'!D$107,'Anlage 1c_Korrekturen_NB'!$B$621:$B$648,'Anlage 1g_Korrekturen_KG'!$B116,'Anlage 1c_Korrekturen_NB'!$C$621:$C$648,'Anlage 1g_Korrekturen_KG'!$A116)</f>
        <v>-13292.5</v>
      </c>
      <c r="E116" s="906">
        <f>SUMIFS('Anlage 1c_Korrekturen_NB'!$D$621:$D$648,'Anlage 1c_Korrekturen_NB'!$O$621:$O$648,'Anlage 1g_Korrekturen_KG'!E$107,'Anlage 1c_Korrekturen_NB'!$B$621:$B$648,'Anlage 1g_Korrekturen_KG'!$B116,'Anlage 1c_Korrekturen_NB'!$C$621:$C$648,'Anlage 1g_Korrekturen_KG'!$A116)</f>
        <v>-6344</v>
      </c>
      <c r="F116" s="469">
        <f>SUMIFS('Anlage 1c_Korrekturen_NB'!$D$621:$D$648,'Anlage 1c_Korrekturen_NB'!$O$621:$O$648,'Anlage 1g_Korrekturen_KG'!F$107,'Anlage 1c_Korrekturen_NB'!$B$621:$B$648,'Anlage 1g_Korrekturen_KG'!$B116,'Anlage 1c_Korrekturen_NB'!$C$621:$C$648,'Anlage 1g_Korrekturen_KG'!$A116)</f>
        <v>-9820</v>
      </c>
      <c r="G116" s="471">
        <f t="shared" si="16"/>
        <v>-26496.5</v>
      </c>
      <c r="H116" s="176"/>
      <c r="I116" s="176"/>
      <c r="J116" s="176"/>
      <c r="K116" s="176"/>
      <c r="L116" s="176"/>
    </row>
    <row r="117" spans="1:17" ht="13.5" collapsed="1" thickBot="1">
      <c r="A117" s="954">
        <v>2024</v>
      </c>
      <c r="B117" s="956"/>
      <c r="C117" s="478">
        <f>SUM(C118:C123)</f>
        <v>0</v>
      </c>
      <c r="D117" s="478">
        <f>SUM(D118:D123)</f>
        <v>9565</v>
      </c>
      <c r="E117" s="478">
        <f>SUM(E118:E123)</f>
        <v>-101114.72</v>
      </c>
      <c r="F117" s="478">
        <f>SUM(F118:F123)</f>
        <v>-7521.7199999999993</v>
      </c>
      <c r="G117" s="478">
        <f>SUM(C117:F117)</f>
        <v>-99071.44</v>
      </c>
      <c r="H117" s="176"/>
      <c r="I117" s="176"/>
      <c r="J117" s="176"/>
      <c r="K117" s="176"/>
      <c r="L117" s="176"/>
    </row>
    <row r="118" spans="1:17" hidden="1" outlineLevel="1">
      <c r="A118" s="130">
        <f>A117</f>
        <v>2024</v>
      </c>
      <c r="B118" s="483">
        <v>1</v>
      </c>
      <c r="C118" s="469">
        <f>SUMIFS('Anlage 1c_Korrekturen_NB'!$D$621:$D$648,'Anlage 1c_Korrekturen_NB'!$O$621:$O$648,'Anlage 1g_Korrekturen_KG'!C$107,'Anlage 1c_Korrekturen_NB'!$B$621:$B$648,'Anlage 1g_Korrekturen_KG'!$B118,'Anlage 1c_Korrekturen_NB'!$C$621:$C$648,'Anlage 1g_Korrekturen_KG'!$A118)</f>
        <v>0</v>
      </c>
      <c r="D118" s="469">
        <f>SUMIFS('Anlage 1c_Korrekturen_NB'!$D$621:$D$648,'Anlage 1c_Korrekturen_NB'!$O$621:$O$648,'Anlage 1g_Korrekturen_KG'!D$107,'Anlage 1c_Korrekturen_NB'!$B$621:$B$648,'Anlage 1g_Korrekturen_KG'!$B118,'Anlage 1c_Korrekturen_NB'!$C$621:$C$648,'Anlage 1g_Korrekturen_KG'!$A118)</f>
        <v>0</v>
      </c>
      <c r="E118" s="469">
        <f>SUMIFS('Anlage 1c_Korrekturen_NB'!$D$621:$D$648,'Anlage 1c_Korrekturen_NB'!$O$621:$O$648,'Anlage 1g_Korrekturen_KG'!E$107,'Anlage 1c_Korrekturen_NB'!$B$621:$B$648,'Anlage 1g_Korrekturen_KG'!$B118,'Anlage 1c_Korrekturen_NB'!$C$621:$C$648,'Anlage 1g_Korrekturen_KG'!$A118)</f>
        <v>0</v>
      </c>
      <c r="F118" s="469">
        <f>SUMIFS('Anlage 1c_Korrekturen_NB'!$D$621:$D$648,'Anlage 1c_Korrekturen_NB'!$O$621:$O$648,'Anlage 1g_Korrekturen_KG'!F$107,'Anlage 1c_Korrekturen_NB'!$B$621:$B$648,'Anlage 1g_Korrekturen_KG'!$B118,'Anlage 1c_Korrekturen_NB'!$C$621:$C$648,'Anlage 1g_Korrekturen_KG'!$A118)</f>
        <v>0</v>
      </c>
      <c r="G118" s="471">
        <f t="shared" ref="G118:G123" si="18">SUM(C118:F118)</f>
        <v>0</v>
      </c>
      <c r="H118" s="176"/>
      <c r="I118" s="176"/>
      <c r="J118" s="176"/>
      <c r="K118" s="176"/>
      <c r="L118" s="176"/>
    </row>
    <row r="119" spans="1:17" hidden="1" outlineLevel="1">
      <c r="A119" s="130">
        <f t="shared" ref="A119:A122" si="19">A118</f>
        <v>2024</v>
      </c>
      <c r="B119" s="483">
        <v>2</v>
      </c>
      <c r="C119" s="469">
        <f>SUMIFS('Anlage 1c_Korrekturen_NB'!$D$621:$D$648,'Anlage 1c_Korrekturen_NB'!$O$621:$O$648,'Anlage 1g_Korrekturen_KG'!C$107,'Anlage 1c_Korrekturen_NB'!$B$621:$B$648,'Anlage 1g_Korrekturen_KG'!$B119,'Anlage 1c_Korrekturen_NB'!$C$621:$C$648,'Anlage 1g_Korrekturen_KG'!$A119)</f>
        <v>0</v>
      </c>
      <c r="D119" s="469">
        <f>SUMIFS('Anlage 1c_Korrekturen_NB'!$D$621:$D$648,'Anlage 1c_Korrekturen_NB'!$O$621:$O$648,'Anlage 1g_Korrekturen_KG'!D$107,'Anlage 1c_Korrekturen_NB'!$B$621:$B$648,'Anlage 1g_Korrekturen_KG'!$B119,'Anlage 1c_Korrekturen_NB'!$C$621:$C$648,'Anlage 1g_Korrekturen_KG'!$A119)</f>
        <v>0</v>
      </c>
      <c r="E119" s="469">
        <f>SUMIFS('Anlage 1c_Korrekturen_NB'!$D$621:$D$648,'Anlage 1c_Korrekturen_NB'!$O$621:$O$648,'Anlage 1g_Korrekturen_KG'!E$107,'Anlage 1c_Korrekturen_NB'!$B$621:$B$648,'Anlage 1g_Korrekturen_KG'!$B119,'Anlage 1c_Korrekturen_NB'!$C$621:$C$648,'Anlage 1g_Korrekturen_KG'!$A119)</f>
        <v>0</v>
      </c>
      <c r="F119" s="469">
        <f>SUMIFS('Anlage 1c_Korrekturen_NB'!$D$621:$D$648,'Anlage 1c_Korrekturen_NB'!$O$621:$O$648,'Anlage 1g_Korrekturen_KG'!F$107,'Anlage 1c_Korrekturen_NB'!$B$621:$B$648,'Anlage 1g_Korrekturen_KG'!$B119,'Anlage 1c_Korrekturen_NB'!$C$621:$C$648,'Anlage 1g_Korrekturen_KG'!$A119)</f>
        <v>0</v>
      </c>
      <c r="G119" s="471">
        <f t="shared" si="18"/>
        <v>0</v>
      </c>
      <c r="H119" s="176"/>
      <c r="I119" s="176"/>
      <c r="J119" s="176"/>
      <c r="K119" s="176"/>
      <c r="L119" s="176"/>
    </row>
    <row r="120" spans="1:17" hidden="1" outlineLevel="1">
      <c r="A120" s="130">
        <f t="shared" si="19"/>
        <v>2024</v>
      </c>
      <c r="B120" s="483">
        <v>3</v>
      </c>
      <c r="C120" s="469">
        <f>SUMIFS('Anlage 1c_Korrekturen_NB'!$D$621:$D$648,'Anlage 1c_Korrekturen_NB'!$O$621:$O$648,'Anlage 1g_Korrekturen_KG'!C$107,'Anlage 1c_Korrekturen_NB'!$B$621:$B$648,'Anlage 1g_Korrekturen_KG'!$B120,'Anlage 1c_Korrekturen_NB'!$C$621:$C$648,'Anlage 1g_Korrekturen_KG'!$A120)</f>
        <v>0</v>
      </c>
      <c r="D120" s="469">
        <f>SUMIFS('Anlage 1c_Korrekturen_NB'!$D$621:$D$648,'Anlage 1c_Korrekturen_NB'!$O$621:$O$648,'Anlage 1g_Korrekturen_KG'!D$107,'Anlage 1c_Korrekturen_NB'!$B$621:$B$648,'Anlage 1g_Korrekturen_KG'!$B120,'Anlage 1c_Korrekturen_NB'!$C$621:$C$648,'Anlage 1g_Korrekturen_KG'!$A120)</f>
        <v>0</v>
      </c>
      <c r="E120" s="469">
        <f>SUMIFS('Anlage 1c_Korrekturen_NB'!$D$621:$D$648,'Anlage 1c_Korrekturen_NB'!$O$621:$O$648,'Anlage 1g_Korrekturen_KG'!E$107,'Anlage 1c_Korrekturen_NB'!$B$621:$B$648,'Anlage 1g_Korrekturen_KG'!$B120,'Anlage 1c_Korrekturen_NB'!$C$621:$C$648,'Anlage 1g_Korrekturen_KG'!$A120)</f>
        <v>0</v>
      </c>
      <c r="F120" s="469">
        <f>SUMIFS('Anlage 1c_Korrekturen_NB'!$D$621:$D$648,'Anlage 1c_Korrekturen_NB'!$O$621:$O$648,'Anlage 1g_Korrekturen_KG'!F$107,'Anlage 1c_Korrekturen_NB'!$B$621:$B$648,'Anlage 1g_Korrekturen_KG'!$B120,'Anlage 1c_Korrekturen_NB'!$C$621:$C$648,'Anlage 1g_Korrekturen_KG'!$A120)</f>
        <v>0</v>
      </c>
      <c r="G120" s="471">
        <f t="shared" si="18"/>
        <v>0</v>
      </c>
      <c r="H120" s="176"/>
      <c r="I120" s="176"/>
      <c r="J120" s="176"/>
      <c r="K120" s="176"/>
      <c r="L120" s="176"/>
    </row>
    <row r="121" spans="1:17" hidden="1" outlineLevel="1">
      <c r="A121" s="130">
        <f t="shared" si="19"/>
        <v>2024</v>
      </c>
      <c r="B121" s="483">
        <v>4</v>
      </c>
      <c r="C121" s="469">
        <f>SUMIFS('Anlage 1c_Korrekturen_NB'!$D$621:$D$648,'Anlage 1c_Korrekturen_NB'!$O$621:$O$648,'Anlage 1g_Korrekturen_KG'!C$107,'Anlage 1c_Korrekturen_NB'!$B$621:$B$648,'Anlage 1g_Korrekturen_KG'!$B121,'Anlage 1c_Korrekturen_NB'!$C$621:$C$648,'Anlage 1g_Korrekturen_KG'!$A121)</f>
        <v>0</v>
      </c>
      <c r="D121" s="469">
        <f>SUMIFS('Anlage 1c_Korrekturen_NB'!$D$621:$D$648,'Anlage 1c_Korrekturen_NB'!$O$621:$O$648,'Anlage 1g_Korrekturen_KG'!D$107,'Anlage 1c_Korrekturen_NB'!$B$621:$B$648,'Anlage 1g_Korrekturen_KG'!$B121,'Anlage 1c_Korrekturen_NB'!$C$621:$C$648,'Anlage 1g_Korrekturen_KG'!$A121)</f>
        <v>0</v>
      </c>
      <c r="E121" s="469">
        <f>SUMIFS('Anlage 1c_Korrekturen_NB'!$D$621:$D$648,'Anlage 1c_Korrekturen_NB'!$O$621:$O$648,'Anlage 1g_Korrekturen_KG'!E$107,'Anlage 1c_Korrekturen_NB'!$B$621:$B$648,'Anlage 1g_Korrekturen_KG'!$B121,'Anlage 1c_Korrekturen_NB'!$C$621:$C$648,'Anlage 1g_Korrekturen_KG'!$A121)</f>
        <v>0</v>
      </c>
      <c r="F121" s="469">
        <f>SUMIFS('Anlage 1c_Korrekturen_NB'!$D$621:$D$648,'Anlage 1c_Korrekturen_NB'!$O$621:$O$648,'Anlage 1g_Korrekturen_KG'!F$107,'Anlage 1c_Korrekturen_NB'!$B$621:$B$648,'Anlage 1g_Korrekturen_KG'!$B121,'Anlage 1c_Korrekturen_NB'!$C$621:$C$648,'Anlage 1g_Korrekturen_KG'!$A121)</f>
        <v>0</v>
      </c>
      <c r="G121" s="471">
        <f t="shared" si="18"/>
        <v>0</v>
      </c>
      <c r="H121" s="176"/>
      <c r="I121" s="176"/>
      <c r="J121" s="176"/>
      <c r="K121" s="176"/>
      <c r="L121" s="176"/>
    </row>
    <row r="122" spans="1:17" hidden="1" outlineLevel="1">
      <c r="A122" s="130">
        <f t="shared" si="19"/>
        <v>2024</v>
      </c>
      <c r="B122" s="483">
        <v>5</v>
      </c>
      <c r="C122" s="469">
        <f>SUMIFS('Anlage 1c_Korrekturen_NB'!$D$621:$D$648,'Anlage 1c_Korrekturen_NB'!$O$621:$O$648,'Anlage 1g_Korrekturen_KG'!C$107,'Anlage 1c_Korrekturen_NB'!$B$621:$B$648,'Anlage 1g_Korrekturen_KG'!$B122,'Anlage 1c_Korrekturen_NB'!$C$621:$C$648,'Anlage 1g_Korrekturen_KG'!$A122)</f>
        <v>0</v>
      </c>
      <c r="D122" s="469">
        <f>SUMIFS('Anlage 1c_Korrekturen_NB'!$D$621:$D$648,'Anlage 1c_Korrekturen_NB'!$O$621:$O$648,'Anlage 1g_Korrekturen_KG'!D$107,'Anlage 1c_Korrekturen_NB'!$B$621:$B$648,'Anlage 1g_Korrekturen_KG'!$B122,'Anlage 1c_Korrekturen_NB'!$C$621:$C$648,'Anlage 1g_Korrekturen_KG'!$A122)</f>
        <v>0</v>
      </c>
      <c r="E122" s="469">
        <f>SUMIFS('Anlage 1c_Korrekturen_NB'!$D$621:$D$648,'Anlage 1c_Korrekturen_NB'!$O$621:$O$648,'Anlage 1g_Korrekturen_KG'!E$107,'Anlage 1c_Korrekturen_NB'!$B$621:$B$648,'Anlage 1g_Korrekturen_KG'!$B122,'Anlage 1c_Korrekturen_NB'!$C$621:$C$648,'Anlage 1g_Korrekturen_KG'!$A122)</f>
        <v>0</v>
      </c>
      <c r="F122" s="469">
        <f>SUMIFS('Anlage 1c_Korrekturen_NB'!$D$621:$D$648,'Anlage 1c_Korrekturen_NB'!$O$621:$O$648,'Anlage 1g_Korrekturen_KG'!F$107,'Anlage 1c_Korrekturen_NB'!$B$621:$B$648,'Anlage 1g_Korrekturen_KG'!$B122,'Anlage 1c_Korrekturen_NB'!$C$621:$C$648,'Anlage 1g_Korrekturen_KG'!$A122)</f>
        <v>0</v>
      </c>
      <c r="G122" s="471">
        <f t="shared" si="18"/>
        <v>0</v>
      </c>
      <c r="H122" s="176"/>
      <c r="I122" s="176"/>
      <c r="J122" s="176"/>
      <c r="K122" s="176"/>
      <c r="L122" s="176"/>
    </row>
    <row r="123" spans="1:17" ht="13.5" hidden="1" outlineLevel="1" thickBot="1">
      <c r="A123" s="130">
        <f>A122</f>
        <v>2024</v>
      </c>
      <c r="B123" s="479">
        <v>7</v>
      </c>
      <c r="C123" s="469">
        <f>SUMIFS('Anlage 1c_Korrekturen_NB'!$D$621:$D$648,'Anlage 1c_Korrekturen_NB'!$O$621:$O$648,'Anlage 1g_Korrekturen_KG'!C$107,'Anlage 1c_Korrekturen_NB'!$B$621:$B$648,'Anlage 1g_Korrekturen_KG'!$B123,'Anlage 1c_Korrekturen_NB'!$C$621:$C$648,'Anlage 1g_Korrekturen_KG'!$A123)</f>
        <v>0</v>
      </c>
      <c r="D123" s="469">
        <f>SUMIFS('Anlage 1c_Korrekturen_NB'!$D$621:$D$648,'Anlage 1c_Korrekturen_NB'!$O$621:$O$648,'Anlage 1g_Korrekturen_KG'!D$107,'Anlage 1c_Korrekturen_NB'!$B$621:$B$648,'Anlage 1g_Korrekturen_KG'!$B123,'Anlage 1c_Korrekturen_NB'!$C$621:$C$648,'Anlage 1g_Korrekturen_KG'!$A123)</f>
        <v>9565</v>
      </c>
      <c r="E123" s="906">
        <f>SUMIFS('Anlage 1c_Korrekturen_NB'!$D$621:$D$648,'Anlage 1c_Korrekturen_NB'!$O$621:$O$648,'Anlage 1g_Korrekturen_KG'!E$107,'Anlage 1c_Korrekturen_NB'!$B$621:$B$648,'Anlage 1g_Korrekturen_KG'!$B123,'Anlage 1c_Korrekturen_NB'!$C$621:$C$648,'Anlage 1g_Korrekturen_KG'!$A123)</f>
        <v>-101114.72</v>
      </c>
      <c r="F123" s="469">
        <f>SUMIFS('Anlage 1c_Korrekturen_NB'!$D$621:$D$648,'Anlage 1c_Korrekturen_NB'!$O$621:$O$648,'Anlage 1g_Korrekturen_KG'!F$107,'Anlage 1c_Korrekturen_NB'!$B$621:$B$648,'Anlage 1g_Korrekturen_KG'!$B123,'Anlage 1c_Korrekturen_NB'!$C$621:$C$648,'Anlage 1g_Korrekturen_KG'!$A123)</f>
        <v>-7521.7199999999993</v>
      </c>
      <c r="G123" s="471">
        <f t="shared" si="18"/>
        <v>-99071.44</v>
      </c>
      <c r="H123" s="176"/>
      <c r="I123" s="176"/>
      <c r="J123" s="176"/>
      <c r="K123" s="176"/>
      <c r="L123" s="176"/>
    </row>
    <row r="124" spans="1:17" s="174" customFormat="1" ht="13.5" collapsed="1" thickBot="1">
      <c r="A124" s="463" t="s">
        <v>2047</v>
      </c>
      <c r="B124" s="464"/>
      <c r="C124" s="456">
        <f>C110+C117</f>
        <v>2960</v>
      </c>
      <c r="D124" s="456">
        <f>D110+D117</f>
        <v>-16227.5</v>
      </c>
      <c r="E124" s="456">
        <f>E110+E117</f>
        <v>-107458.72</v>
      </c>
      <c r="F124" s="456">
        <f>F110+F117</f>
        <v>-17341.72</v>
      </c>
      <c r="G124" s="456">
        <f t="shared" si="16"/>
        <v>-138067.94</v>
      </c>
      <c r="M124"/>
      <c r="N124"/>
      <c r="O124"/>
      <c r="P124"/>
      <c r="Q124"/>
    </row>
    <row r="127" spans="1:17" s="174" customFormat="1">
      <c r="A127" s="373" t="s">
        <v>2081</v>
      </c>
      <c r="B127" s="373"/>
      <c r="C127" s="37"/>
      <c r="D127" s="37"/>
      <c r="E127" s="37"/>
      <c r="F127" s="37"/>
      <c r="G127" s="37"/>
      <c r="H127" s="37"/>
      <c r="M127"/>
      <c r="N127"/>
      <c r="O127"/>
      <c r="P127"/>
      <c r="Q127"/>
    </row>
    <row r="128" spans="1:17" s="174" customFormat="1">
      <c r="A128" s="373" t="s">
        <v>2082</v>
      </c>
      <c r="B128" s="373"/>
      <c r="C128" s="37"/>
      <c r="D128" s="37"/>
      <c r="E128" s="37"/>
      <c r="F128" s="37"/>
      <c r="G128" s="37"/>
      <c r="H128" s="37"/>
      <c r="M128"/>
      <c r="N128"/>
      <c r="O128"/>
      <c r="P128"/>
      <c r="Q128"/>
    </row>
    <row r="129" spans="1:17" s="174" customFormat="1">
      <c r="A129" s="373" t="s">
        <v>2083</v>
      </c>
      <c r="B129" s="373"/>
      <c r="C129" s="37"/>
      <c r="D129" s="37"/>
      <c r="E129" s="37"/>
      <c r="F129" s="37"/>
      <c r="G129" s="37"/>
      <c r="H129" s="37"/>
      <c r="M129"/>
      <c r="N129"/>
      <c r="O129"/>
      <c r="P129"/>
      <c r="Q129"/>
    </row>
    <row r="130" spans="1:17" s="174" customFormat="1">
      <c r="A130" s="373" t="s">
        <v>2084</v>
      </c>
      <c r="B130" s="373"/>
      <c r="C130" s="37"/>
      <c r="D130" s="37"/>
      <c r="E130" s="37"/>
      <c r="F130" s="37"/>
      <c r="G130" s="37"/>
      <c r="H130" s="37"/>
      <c r="M130"/>
      <c r="N130"/>
      <c r="O130"/>
      <c r="P130"/>
      <c r="Q130"/>
    </row>
    <row r="131" spans="1:17" s="174" customFormat="1">
      <c r="A131" s="373" t="s">
        <v>2085</v>
      </c>
      <c r="B131" s="373"/>
      <c r="C131" s="37"/>
      <c r="D131" s="37"/>
      <c r="E131" s="37"/>
      <c r="F131" s="37"/>
      <c r="G131" s="37"/>
      <c r="H131" s="37"/>
      <c r="M131"/>
      <c r="N131"/>
      <c r="O131"/>
      <c r="P131"/>
      <c r="Q131"/>
    </row>
    <row r="132" spans="1:17" s="174" customFormat="1">
      <c r="A132" s="373" t="s">
        <v>2086</v>
      </c>
      <c r="B132" s="373"/>
      <c r="C132" s="37"/>
      <c r="D132" s="37"/>
      <c r="E132" s="37"/>
      <c r="F132" s="37"/>
      <c r="G132" s="37"/>
      <c r="H132" s="37"/>
      <c r="M132"/>
      <c r="N132"/>
      <c r="O132"/>
      <c r="P132"/>
      <c r="Q132"/>
    </row>
    <row r="133" spans="1:17" s="174" customFormat="1">
      <c r="A133" s="373" t="s">
        <v>2087</v>
      </c>
      <c r="B133" s="373"/>
      <c r="C133" s="37"/>
      <c r="D133" s="37"/>
      <c r="E133" s="37"/>
      <c r="F133" s="37"/>
      <c r="G133" s="37"/>
      <c r="H133" s="37"/>
      <c r="M133"/>
      <c r="N133"/>
      <c r="O133"/>
      <c r="P133"/>
      <c r="Q133"/>
    </row>
    <row r="134" spans="1:17" s="174" customFormat="1">
      <c r="A134" s="373" t="s">
        <v>2088</v>
      </c>
      <c r="B134" s="373"/>
      <c r="C134" s="37"/>
      <c r="D134" s="37"/>
      <c r="E134" s="37"/>
      <c r="F134" s="37"/>
      <c r="G134" s="37"/>
      <c r="H134" s="37"/>
      <c r="M134"/>
      <c r="N134"/>
      <c r="O134"/>
      <c r="P134"/>
      <c r="Q134"/>
    </row>
  </sheetData>
  <mergeCells count="6">
    <mergeCell ref="A3:L3"/>
    <mergeCell ref="C9:D9"/>
    <mergeCell ref="E9:F9"/>
    <mergeCell ref="G9:H9"/>
    <mergeCell ref="I9:J9"/>
    <mergeCell ref="K9:L9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 differentOddEven="1" scaleWithDoc="0">
    <oddHeader>&amp;L&amp;G</oddHeader>
    <oddFooter>&amp;R&amp;UAnlage 1g
&amp;USeite &amp;P</oddFooter>
    <evenHeader>&amp;L&amp;G&amp;C&amp;"Calibri"&amp;10&amp;K000000 Intern (Internal)&amp;1#_x000D_</evenHeader>
    <evenFooter>&amp;R&amp;UAnlage 1g&amp;U
Seite &amp;P</evenFooter>
  </headerFooter>
  <rowBreaks count="1" manualBreakCount="1">
    <brk id="102" max="16383" man="1"/>
  </rowBreaks>
  <ignoredErrors>
    <ignoredError sqref="D12:D26 F12:F26 H12:H26 D33 F33 H33" 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501F3BAF22714CB7E7152BDDD4B823" ma:contentTypeVersion="20" ma:contentTypeDescription="Ein neues Dokument erstellen." ma:contentTypeScope="" ma:versionID="6c726ee07e3398355d1bbc75f717fa0c">
  <xsd:schema xmlns:xsd="http://www.w3.org/2001/XMLSchema" xmlns:xs="http://www.w3.org/2001/XMLSchema" xmlns:p="http://schemas.microsoft.com/office/2006/metadata/properties" xmlns:ns2="5c6dfab4-252d-401e-a3da-0a884206eb77" xmlns:ns3="http://schemas.microsoft.com/sharepoint/v4" xmlns:ns4="4eee6405-2410-41a9-b466-84efdb81922d" targetNamespace="http://schemas.microsoft.com/office/2006/metadata/properties" ma:root="true" ma:fieldsID="aeec18e0dace7c576f22ab1b5c73e39f" ns2:_="" ns3:_="" ns4:_="">
    <xsd:import namespace="5c6dfab4-252d-401e-a3da-0a884206eb77"/>
    <xsd:import namespace="http://schemas.microsoft.com/sharepoint/v4"/>
    <xsd:import namespace="4eee6405-2410-41a9-b466-84efdb81922d"/>
    <xsd:element name="properties">
      <xsd:complexType>
        <xsd:sequence>
          <xsd:element name="documentManagement">
            <xsd:complexType>
              <xsd:all>
                <xsd:element ref="ns2:Schlagw_x00f6_rter" minOccurs="0"/>
                <xsd:element ref="ns3:IconOverla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dfab4-252d-401e-a3da-0a884206eb77" elementFormDefault="qualified">
    <xsd:import namespace="http://schemas.microsoft.com/office/2006/documentManagement/types"/>
    <xsd:import namespace="http://schemas.microsoft.com/office/infopath/2007/PartnerControls"/>
    <xsd:element name="Schlagw_x00f6_rter" ma:index="8" nillable="true" ma:displayName="Schlagwörter" ma:internalName="Schlagw_x00f6_rter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c74095c4-f9c7-4481-a14d-3eb675bc63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internalName="IconOverla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e6405-2410-41a9-b466-84efdb81922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55d2d4-e0be-4df1-8e9f-d6caf6e9dbc8}" ma:internalName="TaxCatchAll" ma:showField="CatchAllData" ma:web="4eee6405-2410-41a9-b466-84efdb819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Schlagw_x00f6_rter xmlns="5c6dfab4-252d-401e-a3da-0a884206eb77" xsi:nil="true"/>
    <TaxCatchAll xmlns="4eee6405-2410-41a9-b466-84efdb81922d" xsi:nil="true"/>
    <lcf76f155ced4ddcb4097134ff3c332f xmlns="5c6dfab4-252d-401e-a3da-0a884206eb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C62C43-68FB-4025-AA3B-E243A814A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6632D-E977-4F78-A1B0-EAAA57311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dfab4-252d-401e-a3da-0a884206eb77"/>
    <ds:schemaRef ds:uri="http://schemas.microsoft.com/sharepoint/v4"/>
    <ds:schemaRef ds:uri="4eee6405-2410-41a9-b466-84efdb8192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627BDC-7319-41C2-AC00-6554373FFF0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7461996-B6DD-4238-8268-0511F1E32452}">
  <ds:schemaRefs>
    <ds:schemaRef ds:uri="http://schemas.openxmlformats.org/package/2006/metadata/core-properties"/>
    <ds:schemaRef ds:uri="5c6dfab4-252d-401e-a3da-0a884206eb77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4eee6405-2410-41a9-b466-84efdb81922d"/>
  </ds:schemaRefs>
</ds:datastoreItem>
</file>

<file path=docMetadata/LabelInfo.xml><?xml version="1.0" encoding="utf-8"?>
<clbl:labelList xmlns:clbl="http://schemas.microsoft.com/office/2020/mipLabelMetadata">
  <clbl:label id="{1d770d1a-b944-483f-ac5e-01a389b44f15}" enabled="0" method="" siteId="{1d770d1a-b944-483f-ac5e-01a389b44f15}" removed="1"/>
  <clbl:label id="{6e118e09-08be-4360-a815-3fc29828016d}" enabled="1" method="Standard" siteId="{15b734ef-4a07-47e7-90f4-22cc84a7af23}" contentBits="0" removed="0"/>
  <clbl:label id="{eb769cfb-dd8b-4bb8-a400-4916379695bd}" enabled="1" method="Privileged" siteId="{d602ad75-52f3-4a9e-930c-683bb941493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4</vt:i4>
      </vt:variant>
    </vt:vector>
  </HeadingPairs>
  <TitlesOfParts>
    <vt:vector size="20" baseType="lpstr">
      <vt:lpstr>Hinweise</vt:lpstr>
      <vt:lpstr>Input_Zuschlagszahlungen_KAT</vt:lpstr>
      <vt:lpstr>Anlage 1a_Zuschlagszahlungen_NB</vt:lpstr>
      <vt:lpstr>Anlage 1b_Abzüge, Pflicht, Boni</vt:lpstr>
      <vt:lpstr>Anlage 1c_Korrekturen_NB</vt:lpstr>
      <vt:lpstr>Anlage 1d_Pönalen</vt:lpstr>
      <vt:lpstr>Anlage 1e_WKNS</vt:lpstr>
      <vt:lpstr>Anlage 1f_ZuschlagszahlungenKAT</vt:lpstr>
      <vt:lpstr>Anlage 1g_Korrekturen_KG</vt:lpstr>
      <vt:lpstr>Anlage 2a_Letztverbrauch</vt:lpstr>
      <vt:lpstr>Anlage 2b_Korrekturen</vt:lpstr>
      <vt:lpstr>Anlage 2c_Korrekturen_JA</vt:lpstr>
      <vt:lpstr>Anlage 3a_Zusammenfassung_KWKG</vt:lpstr>
      <vt:lpstr>Anlage 3b_Zusammenfassung ONU</vt:lpstr>
      <vt:lpstr>LV Testat</vt:lpstr>
      <vt:lpstr>LV-Schlüssel</vt:lpstr>
      <vt:lpstr>'Anlage 1a_Zuschlagszahlungen_NB'!Druckbereich</vt:lpstr>
      <vt:lpstr>'Anlage 2b_Korrekturen'!Druckbereich</vt:lpstr>
      <vt:lpstr>'Anlage 2c_Korrekturen_JA'!Druckbereich</vt:lpstr>
      <vt:lpstr>'Anlage 2a_Letztverbrauch'!Print_Area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Matrizen</dc:title>
  <dc:subject/>
  <dc:creator>Geiger Dr. Ansgar</dc:creator>
  <cp:keywords/>
  <dc:description/>
  <cp:lastModifiedBy>Ehlers, Sabrina</cp:lastModifiedBy>
  <cp:revision/>
  <cp:lastPrinted>2026-09-10T10:18:05Z</cp:lastPrinted>
  <dcterms:created xsi:type="dcterms:W3CDTF">2000-03-21T12:53:47Z</dcterms:created>
  <dcterms:modified xsi:type="dcterms:W3CDTF">2026-09-11T12:18:09Z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Dokument</vt:lpwstr>
  </property>
  <property fmtid="{D5CDD505-2E9C-101B-9397-08002B2CF9AE}" pid="4" name="display_urn:schemas-microsoft-com:office:office#Editor">
    <vt:lpwstr>Inga Kurz</vt:lpwstr>
  </property>
  <property fmtid="{D5CDD505-2E9C-101B-9397-08002B2CF9AE}" pid="5" name="display_urn:schemas-microsoft-com:office:office#Author">
    <vt:lpwstr>Inga Kurz</vt:lpwstr>
  </property>
  <property fmtid="{D5CDD505-2E9C-101B-9397-08002B2CF9AE}" pid="6" name="ContentTypeId">
    <vt:lpwstr>0x0101003C501F3BAF22714CB7E7152BDDD4B823</vt:lpwstr>
  </property>
  <property fmtid="{D5CDD505-2E9C-101B-9397-08002B2CF9AE}" pid="7" name="ComplianceAssetId">
    <vt:lpwstr/>
  </property>
  <property fmtid="{D5CDD505-2E9C-101B-9397-08002B2CF9AE}" pid="8" name="Order">
    <vt:r8>38900</vt:r8>
  </property>
  <property fmtid="{D5CDD505-2E9C-101B-9397-08002B2CF9AE}" pid="9" name="TemplateUrl">
    <vt:lpwstr/>
  </property>
  <property fmtid="{D5CDD505-2E9C-101B-9397-08002B2CF9AE}" pid="10" name="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itel">
    <vt:lpwstr>Matrizen</vt:lpwstr>
  </property>
  <property fmtid="{D5CDD505-2E9C-101B-9397-08002B2CF9AE}" pid="14" name="MSIP_Label_6e118e09-08be-4360-a815-3fc29828016d_Enabled">
    <vt:lpwstr>true</vt:lpwstr>
  </property>
  <property fmtid="{D5CDD505-2E9C-101B-9397-08002B2CF9AE}" pid="15" name="MSIP_Label_6e118e09-08be-4360-a815-3fc29828016d_SetDate">
    <vt:lpwstr>2024-09-11T09:57:26Z</vt:lpwstr>
  </property>
  <property fmtid="{D5CDD505-2E9C-101B-9397-08002B2CF9AE}" pid="16" name="MSIP_Label_6e118e09-08be-4360-a815-3fc29828016d_Method">
    <vt:lpwstr>Standard</vt:lpwstr>
  </property>
  <property fmtid="{D5CDD505-2E9C-101B-9397-08002B2CF9AE}" pid="17" name="MSIP_Label_6e118e09-08be-4360-a815-3fc29828016d_Name">
    <vt:lpwstr>Internal</vt:lpwstr>
  </property>
  <property fmtid="{D5CDD505-2E9C-101B-9397-08002B2CF9AE}" pid="18" name="MSIP_Label_6e118e09-08be-4360-a815-3fc29828016d_SiteId">
    <vt:lpwstr>15b734ef-4a07-47e7-90f4-22cc84a7af23</vt:lpwstr>
  </property>
  <property fmtid="{D5CDD505-2E9C-101B-9397-08002B2CF9AE}" pid="19" name="MSIP_Label_6e118e09-08be-4360-a815-3fc29828016d_ActionId">
    <vt:lpwstr>4300e18d-9943-44d5-b87e-f8e451e1fb70</vt:lpwstr>
  </property>
  <property fmtid="{D5CDD505-2E9C-101B-9397-08002B2CF9AE}" pid="20" name="MSIP_Label_6e118e09-08be-4360-a815-3fc29828016d_ContentBits">
    <vt:lpwstr>0</vt:lpwstr>
  </property>
  <property fmtid="{D5CDD505-2E9C-101B-9397-08002B2CF9AE}" pid="21" name="MediaServiceImageTags">
    <vt:lpwstr/>
  </property>
  <property fmtid="{D5CDD505-2E9C-101B-9397-08002B2CF9AE}" pid="22" name="MSIP_Label_a5a44795-d4dd-452a-88bf-3d40be48070b_Enabled">
    <vt:lpwstr>true</vt:lpwstr>
  </property>
  <property fmtid="{D5CDD505-2E9C-101B-9397-08002B2CF9AE}" pid="23" name="MSIP_Label_a5a44795-d4dd-452a-88bf-3d40be48070b_SetDate">
    <vt:lpwstr>2026-09-07T08:16:50Z</vt:lpwstr>
  </property>
  <property fmtid="{D5CDD505-2E9C-101B-9397-08002B2CF9AE}" pid="24" name="MSIP_Label_a5a44795-d4dd-452a-88bf-3d40be48070b_Method">
    <vt:lpwstr>Privileged</vt:lpwstr>
  </property>
  <property fmtid="{D5CDD505-2E9C-101B-9397-08002B2CF9AE}" pid="25" name="MSIP_Label_a5a44795-d4dd-452a-88bf-3d40be48070b_Name">
    <vt:lpwstr>Public</vt:lpwstr>
  </property>
  <property fmtid="{D5CDD505-2E9C-101B-9397-08002B2CF9AE}" pid="26" name="MSIP_Label_a5a44795-d4dd-452a-88bf-3d40be48070b_SiteId">
    <vt:lpwstr>20d9a90b-518d-4726-8ece-bb30a12e0f7a</vt:lpwstr>
  </property>
  <property fmtid="{D5CDD505-2E9C-101B-9397-08002B2CF9AE}" pid="27" name="MSIP_Label_a5a44795-d4dd-452a-88bf-3d40be48070b_ActionId">
    <vt:lpwstr>e7fe3207-4a23-4d4c-ad0a-a04ed69c0933</vt:lpwstr>
  </property>
  <property fmtid="{D5CDD505-2E9C-101B-9397-08002B2CF9AE}" pid="28" name="MSIP_Label_a5a44795-d4dd-452a-88bf-3d40be48070b_ContentBits">
    <vt:lpwstr>0</vt:lpwstr>
  </property>
  <property fmtid="{D5CDD505-2E9C-101B-9397-08002B2CF9AE}" pid="29" name="MSIP_Label_a5a44795-d4dd-452a-88bf-3d40be48070b_Tag">
    <vt:lpwstr>10, 0, 1, 1</vt:lpwstr>
  </property>
</Properties>
</file>